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360" yWindow="2370" windowWidth="23850" windowHeight="10815" activeTab="1"/>
  </bookViews>
  <sheets>
    <sheet name="Setup" sheetId="30" r:id="rId1"/>
    <sheet name="Gear" sheetId="12" r:id="rId2"/>
    <sheet name="Data" sheetId="29" r:id="rId3"/>
    <sheet name="Weaponskill" sheetId="49" r:id="rId4"/>
    <sheet name="Melee" sheetId="48" r:id="rId5"/>
    <sheet name="Gear Lists" sheetId="13" r:id="rId6"/>
    <sheet name="Other Lists" sheetId="14" r:id="rId7"/>
    <sheet name="Stats" sheetId="31" r:id="rId8"/>
    <sheet name="Endark" sheetId="26" r:id="rId9"/>
    <sheet name="Sets" sheetId="50" r:id="rId10"/>
  </sheets>
  <definedNames>
    <definedName name="AM2Table">Data!$N$17:$P$23</definedName>
    <definedName name="Ammo">'Gear Lists'!$A$69:$AO$96</definedName>
    <definedName name="AmmoList">'Gear Lists'!$A$70:$A$96</definedName>
    <definedName name="AtmaHeader">'Other Lists'!$A$126:$U$126</definedName>
    <definedName name="AtmaList">'Other Lists'!$A$127:$U$140</definedName>
    <definedName name="Atmas">'Other Lists'!$A$127:$A$140</definedName>
    <definedName name="AvgHitsPerHand1TP1">Melee!$F$16</definedName>
    <definedName name="AvgHitsPerHand1TP2">Melee!$F$56</definedName>
    <definedName name="AvgHitsPerHand2TP1">Melee!$F$32</definedName>
    <definedName name="AvgHitsPerHand2TP2">Melee!$F$72</definedName>
    <definedName name="AvgHitsPerRound1">Melee!$E$38</definedName>
    <definedName name="AvgHitsPerRound2">Melee!$E$78</definedName>
    <definedName name="AvgRoundsSet1">Melee!$Q$12:$R$112</definedName>
    <definedName name="AvgRoundsSet2">Melee!$T$12:$U$112</definedName>
    <definedName name="Axe">'Gear Lists'!$A$41:$BC$45</definedName>
    <definedName name="AxeList">'Gear Lists'!$A$42:$A$45</definedName>
    <definedName name="AxeWS">'Other Lists'!$A$44:$A$47</definedName>
    <definedName name="Back">'Gear Lists'!$A$337:$AO$354</definedName>
    <definedName name="BackList">'Gear Lists'!$A$338:$A$354</definedName>
    <definedName name="Body">'Gear Lists'!$A$208:$AO$252</definedName>
    <definedName name="BodyList">'Gear Lists'!$A$209:$A$252</definedName>
    <definedName name="Boosts">'Other Lists'!$A$187:$A$188</definedName>
    <definedName name="Earring">'Gear Lists'!$A$176:$AO$205</definedName>
    <definedName name="EarringList">'Gear Lists'!$A$177:$A$205</definedName>
    <definedName name="EndarkTable">Endark!$A$4:$J$53</definedName>
    <definedName name="Entropy">Setup!$C$36</definedName>
    <definedName name="Feet">'Gear Lists'!$A$420:$AO$468</definedName>
    <definedName name="FeetList">'Gear Lists'!$A$421:$A$468</definedName>
    <definedName name="Food">'Other Lists'!$A$2:$Q$24</definedName>
    <definedName name="FoodHeader">'Other Lists'!$A$2:$Q$2</definedName>
    <definedName name="FoodList">'Other Lists'!$A$3:$A$24</definedName>
    <definedName name="GradeRates">Stats!$A$36:$J$43</definedName>
    <definedName name="Grades">Stats!$A$8:$I$33</definedName>
    <definedName name="GreatAxe">'Gear Lists'!$A$23:$BC$25</definedName>
    <definedName name="GreatAxeList">'Gear Lists'!$A$24:$A$25</definedName>
    <definedName name="GreatAxeWS">'Other Lists'!$A$50</definedName>
    <definedName name="GreatSword">'Gear Lists'!$A$28:$BC$38</definedName>
    <definedName name="GreatSwordList">'Gear Lists'!$A$29:$A$38</definedName>
    <definedName name="GreatSwordWS">'Other Lists'!$A$37:$A$41</definedName>
    <definedName name="Grip">'Gear Lists'!$A$48:$BC$66</definedName>
    <definedName name="GripList">'Gear Lists'!$A$49:$A$66</definedName>
    <definedName name="Hands">'Gear Lists'!$A$255:$AO$293</definedName>
    <definedName name="HandsList">'Gear Lists'!$A$256:$A$293</definedName>
    <definedName name="Hastes">'Other Lists'!$A$183:$A$184</definedName>
    <definedName name="Head">'Gear Lists'!$A$99:$AO$145</definedName>
    <definedName name="HeadList">'Gear Lists'!$A$100:$A$145</definedName>
    <definedName name="Ionis">'Other Lists'!$A$119:$B$123</definedName>
    <definedName name="Legs">'Gear Lists'!$A$378:$AO$417</definedName>
    <definedName name="LegsList">'Gear Lists'!$A$379:$A$417</definedName>
    <definedName name="MainWeapons">'Other Lists'!$A$59:$A$62</definedName>
    <definedName name="MainWeaponsGroup">'Other Lists'!$A$59:$B$62</definedName>
    <definedName name="MobHeader">'Other Lists'!$A$164:$J$164</definedName>
    <definedName name="MobList">'Other Lists'!$A$165:$A$179</definedName>
    <definedName name="Mobs">'Other Lists'!$A$164:$J$179</definedName>
    <definedName name="Neck">'Gear Lists'!$A$148:$AO$173</definedName>
    <definedName name="NeckList">'Gear Lists'!$A$149:$A$173</definedName>
    <definedName name="PlayerStats">Stats!$A$2:$I$3</definedName>
    <definedName name="Races">'Other Lists'!$A$158:$A$162</definedName>
    <definedName name="RateTiers">Stats!$A$36:$J$36</definedName>
    <definedName name="Ring">'Gear Lists'!$A$296:$AO$334</definedName>
    <definedName name="RingList">'Gear Lists'!$A$297:$A$334</definedName>
    <definedName name="Scythe">'Gear Lists'!$A$4:$BC$20</definedName>
    <definedName name="ScytheList">'Gear Lists'!$A$5:$A$20</definedName>
    <definedName name="ScytheWS">'Other Lists'!$A$28:$A$34</definedName>
    <definedName name="Set1AM3">Weaponskill!$E$6</definedName>
    <definedName name="Set1AM32">Weaponskill!$E$7</definedName>
    <definedName name="Set1AM33">Weaponskill!$E$8</definedName>
    <definedName name="Set1ConserveTP">Data!$D$234</definedName>
    <definedName name="Set1CRatio">Data!$D$80</definedName>
    <definedName name="Set1CritDmg">Data!$D$197</definedName>
    <definedName name="Set1CritMain">Data!$D$196</definedName>
    <definedName name="Set1CritOff">Data!$D$196</definedName>
    <definedName name="Set1DA">Data!$D$182</definedName>
    <definedName name="Set1FTP">Data!$D$233</definedName>
    <definedName name="Set1MainDmg">Data!$D$119</definedName>
    <definedName name="Set1MeleeTP">Data!$B$192</definedName>
    <definedName name="Set1MinTP">Setup!$F$47</definedName>
    <definedName name="Set1OffDmg">Data!$D$179</definedName>
    <definedName name="Set1OverTP">Setup!$F$45</definedName>
    <definedName name="Set1QA">Data!$D$184</definedName>
    <definedName name="Set1Regain">Data!$D$239</definedName>
    <definedName name="Set1SaveTP">Data!$K$25</definedName>
    <definedName name="Set1TA">Data!$D$183</definedName>
    <definedName name="Set1TPBonus">Data!$D$235</definedName>
    <definedName name="Set1WSAgi">Data!$D$33</definedName>
    <definedName name="Set1WSDex">Data!$D$32</definedName>
    <definedName name="Set1WSDmg">Data!$D$236</definedName>
    <definedName name="Set1WSHitRate">Data!$D$114</definedName>
    <definedName name="Set1WSInt">Data!$D$35</definedName>
    <definedName name="Set1WSMnd">Data!$D$36</definedName>
    <definedName name="Set1WSStoreTP">Data!$D$191</definedName>
    <definedName name="Set1WSStr">Data!$D$31</definedName>
    <definedName name="Set1WSTP">Data!$D$192</definedName>
    <definedName name="Set1WSVit">Data!$D$34</definedName>
    <definedName name="Set2AM3">Weaponskill!$E$539</definedName>
    <definedName name="Set2AM32">Weaponskill!$E$540</definedName>
    <definedName name="Set2AM33">Weaponskill!$E$541</definedName>
    <definedName name="Set2ConserveTP">Data!$E$234</definedName>
    <definedName name="Set2CRatio">Data!$E$80</definedName>
    <definedName name="Set2CritDmg">Data!$E$197</definedName>
    <definedName name="Set2CritMain">Data!$E$196</definedName>
    <definedName name="Set2CritOff">Data!$E$196</definedName>
    <definedName name="Set2DA">Data!$E$182</definedName>
    <definedName name="Set2FTP">Data!$E$233</definedName>
    <definedName name="Set2MainDmg">Data!$E$119</definedName>
    <definedName name="Set2MeleeTP">Data!$C$192</definedName>
    <definedName name="Set2MinTP">Setup!$G$47</definedName>
    <definedName name="Set2OffDmg">Data!$E$179</definedName>
    <definedName name="Set2OverTP">Setup!$G$45</definedName>
    <definedName name="Set2QA">Data!$E$184</definedName>
    <definedName name="Set2Regain">Data!$E$239</definedName>
    <definedName name="Set2SaveTP">Data!$L$25</definedName>
    <definedName name="Set2TA">Data!$E$183</definedName>
    <definedName name="Set2TPBonus">Data!$E$235</definedName>
    <definedName name="Set2WSAgi">Data!$E$33</definedName>
    <definedName name="Set2WSDex">Data!$E$32</definedName>
    <definedName name="Set2WSDmg">Data!$E$236</definedName>
    <definedName name="Set2WSHitRate">Data!$E$114</definedName>
    <definedName name="Set2WSInt">Data!$E$35</definedName>
    <definedName name="Set2WSMnd">Data!$E$36</definedName>
    <definedName name="Set2WSStoreTP">Data!$E$191</definedName>
    <definedName name="Set2WSStr">Data!$E$31</definedName>
    <definedName name="Set2WSTP">Data!$E$192</definedName>
    <definedName name="Set2WSVit">Data!$E$34</definedName>
    <definedName name="SetBonusLookup">'Other Lists'!$C$99:$M$114</definedName>
    <definedName name="Skills">'Other Lists'!$A$71:$D$75</definedName>
    <definedName name="Slots">Gear!$A$3:$A$21</definedName>
    <definedName name="Souleater10">Melee!$A$87:$F$96</definedName>
    <definedName name="Souleater12">Melee!$H$87:$M$96</definedName>
    <definedName name="SouleaterOptions">'Other Lists'!$A$148:$A$150</definedName>
    <definedName name="StatHeader">'Gear Lists'!$A$1:$BC$1</definedName>
    <definedName name="Stats">Stats!$A$8:$I$8</definedName>
    <definedName name="Sub1HWeapons">'Other Lists'!$A$68</definedName>
    <definedName name="Sub2HWeapons">'Other Lists'!$A$65</definedName>
    <definedName name="Subjobs">'Other Lists'!$A$153:$A$155</definedName>
    <definedName name="Toggle">'Other Lists'!$A$144:$A$145</definedName>
    <definedName name="TPSet1">Gear!$A$2:$X$21</definedName>
    <definedName name="TPSet1Gear">Gear!$B$3:$B$17</definedName>
    <definedName name="TPSet2">Gear!$AA$2:$AX$21</definedName>
    <definedName name="TPSet2Gear">Gear!$AB$3:$AB$17</definedName>
    <definedName name="Waist">'Gear Lists'!$A$357:$AO$375</definedName>
    <definedName name="WaistList">'Gear Lists'!$A$358:$A$375</definedName>
    <definedName name="WeaponskillData">'Other Lists'!$A$78:$T$94</definedName>
    <definedName name="WeaponskillDataCols">'Other Lists'!$A$77:$T$77</definedName>
    <definedName name="WeaponTypes">'Other Lists'!$A$53:$A$56</definedName>
    <definedName name="WSSet1">Gear!$A$25:$X$44</definedName>
    <definedName name="WSSet1Gear">Gear!$B$26:$B$40</definedName>
    <definedName name="WSSet2">Gear!$AA$25:$AX$44</definedName>
    <definedName name="WSSet2Gear">Gear!$AB$26:$AB$40</definedName>
  </definedNames>
  <calcPr calcId="125725"/>
</workbook>
</file>

<file path=xl/calcChain.xml><?xml version="1.0" encoding="utf-8"?>
<calcChain xmlns="http://schemas.openxmlformats.org/spreadsheetml/2006/main">
  <c r="AF3" i="12"/>
  <c r="AF4"/>
  <c r="AF5"/>
  <c r="AF6"/>
  <c r="AF7"/>
  <c r="AF8"/>
  <c r="AF9"/>
  <c r="AF10"/>
  <c r="AF11"/>
  <c r="AF12"/>
  <c r="AF13"/>
  <c r="AF14"/>
  <c r="AF15"/>
  <c r="AF16"/>
  <c r="AF17"/>
  <c r="AF18"/>
  <c r="AF21" s="1"/>
  <c r="AF28"/>
  <c r="AF29"/>
  <c r="AF30"/>
  <c r="AF31"/>
  <c r="AF32"/>
  <c r="AF33"/>
  <c r="AF34"/>
  <c r="AF35"/>
  <c r="AF36"/>
  <c r="AF37"/>
  <c r="AF38"/>
  <c r="AF39"/>
  <c r="AF40"/>
  <c r="AF41"/>
  <c r="F3"/>
  <c r="F4"/>
  <c r="F5"/>
  <c r="F6"/>
  <c r="F7"/>
  <c r="F8"/>
  <c r="F9"/>
  <c r="F10"/>
  <c r="F11"/>
  <c r="F12"/>
  <c r="F13"/>
  <c r="F14"/>
  <c r="F15"/>
  <c r="F16"/>
  <c r="F17"/>
  <c r="F18"/>
  <c r="F21" s="1"/>
  <c r="F28"/>
  <c r="F29"/>
  <c r="F30"/>
  <c r="F31"/>
  <c r="F32"/>
  <c r="F33"/>
  <c r="F34"/>
  <c r="F35"/>
  <c r="F36"/>
  <c r="F37"/>
  <c r="F38"/>
  <c r="F39"/>
  <c r="F40"/>
  <c r="F41"/>
  <c r="J103" i="14"/>
  <c r="K103"/>
  <c r="J104"/>
  <c r="K104"/>
  <c r="J105"/>
  <c r="K105"/>
  <c r="AB27" i="12"/>
  <c r="N252" i="13" l="1"/>
  <c r="H252"/>
  <c r="I128"/>
  <c r="O128"/>
  <c r="N128"/>
  <c r="Q27" i="50" l="1"/>
  <c r="P27"/>
  <c r="N27"/>
  <c r="M27"/>
  <c r="K27"/>
  <c r="J27"/>
  <c r="H27"/>
  <c r="G27"/>
  <c r="E27"/>
  <c r="D27"/>
  <c r="B27"/>
  <c r="A27"/>
  <c r="Q26"/>
  <c r="P26"/>
  <c r="N26"/>
  <c r="M26"/>
  <c r="K26"/>
  <c r="J26"/>
  <c r="H26"/>
  <c r="G26"/>
  <c r="E26"/>
  <c r="D26"/>
  <c r="B26"/>
  <c r="A26"/>
  <c r="C78" i="26"/>
  <c r="B78"/>
  <c r="C77"/>
  <c r="B77"/>
  <c r="C76"/>
  <c r="B76"/>
  <c r="C75"/>
  <c r="B75"/>
  <c r="C74"/>
  <c r="B74"/>
  <c r="C73"/>
  <c r="B73"/>
  <c r="C72"/>
  <c r="B72"/>
  <c r="C71"/>
  <c r="B71"/>
  <c r="C70"/>
  <c r="B70"/>
  <c r="C69"/>
  <c r="B69"/>
  <c r="C68"/>
  <c r="B68"/>
  <c r="C67"/>
  <c r="B67"/>
  <c r="C66"/>
  <c r="B66"/>
  <c r="C65"/>
  <c r="B65"/>
  <c r="C64"/>
  <c r="B64"/>
  <c r="C63"/>
  <c r="B63"/>
  <c r="C62"/>
  <c r="B62"/>
  <c r="C61"/>
  <c r="B61"/>
  <c r="C60"/>
  <c r="B60"/>
  <c r="C59"/>
  <c r="B59"/>
  <c r="C58"/>
  <c r="B58"/>
  <c r="C57"/>
  <c r="B57"/>
  <c r="C56"/>
  <c r="B56"/>
  <c r="C55"/>
  <c r="B55"/>
  <c r="C54"/>
  <c r="B54"/>
  <c r="C53"/>
  <c r="B53"/>
  <c r="C52"/>
  <c r="B52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F28"/>
  <c r="F44"/>
  <c r="D26"/>
  <c r="D24"/>
  <c r="F24"/>
  <c r="F38"/>
  <c r="F47"/>
  <c r="F43"/>
  <c r="D21"/>
  <c r="F36"/>
  <c r="D50"/>
  <c r="D37"/>
  <c r="F21"/>
  <c r="F49"/>
  <c r="F22"/>
  <c r="F37"/>
  <c r="F33"/>
  <c r="D22"/>
  <c r="D20"/>
  <c r="F50"/>
  <c r="F26"/>
  <c r="D34"/>
  <c r="D48"/>
  <c r="F52"/>
  <c r="D23"/>
  <c r="D39"/>
  <c r="F39"/>
  <c r="F20"/>
  <c r="F25"/>
  <c r="D47"/>
  <c r="D27"/>
  <c r="F34"/>
  <c r="F48"/>
  <c r="F29"/>
  <c r="D36"/>
  <c r="F42"/>
  <c r="F27"/>
  <c r="D43"/>
  <c r="D49"/>
  <c r="D40"/>
  <c r="D30"/>
  <c r="D41"/>
  <c r="F30"/>
  <c r="D19"/>
  <c r="D42"/>
  <c r="F46"/>
  <c r="D44"/>
  <c r="D33"/>
  <c r="D45"/>
  <c r="F40"/>
  <c r="F31"/>
  <c r="F32"/>
  <c r="D38"/>
  <c r="D52"/>
  <c r="F45"/>
  <c r="F51"/>
  <c r="F53"/>
  <c r="F35"/>
  <c r="D35"/>
  <c r="D29"/>
  <c r="F19"/>
  <c r="D25"/>
  <c r="D53"/>
  <c r="D28"/>
  <c r="D46"/>
  <c r="F23"/>
  <c r="D31"/>
  <c r="F41"/>
  <c r="F18"/>
  <c r="F17"/>
  <c r="D32"/>
  <c r="D51"/>
  <c r="D18"/>
  <c r="E54" l="1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G67"/>
  <c r="G68"/>
  <c r="G69"/>
  <c r="G72"/>
  <c r="G73"/>
  <c r="G74"/>
  <c r="G54"/>
  <c r="G57"/>
  <c r="G70"/>
  <c r="G75"/>
  <c r="G58"/>
  <c r="G59"/>
  <c r="G61"/>
  <c r="G65"/>
  <c r="G76"/>
  <c r="G60"/>
  <c r="G62"/>
  <c r="G77"/>
  <c r="G55"/>
  <c r="G78"/>
  <c r="G56"/>
  <c r="G71"/>
  <c r="G66"/>
  <c r="G63"/>
  <c r="G64"/>
  <c r="G19"/>
  <c r="G21"/>
  <c r="G22"/>
  <c r="G24"/>
  <c r="G27"/>
  <c r="G28"/>
  <c r="G31"/>
  <c r="G32"/>
  <c r="G33"/>
  <c r="G34"/>
  <c r="G35"/>
  <c r="G36"/>
  <c r="G37"/>
  <c r="G39"/>
  <c r="G40"/>
  <c r="G42"/>
  <c r="G43"/>
  <c r="G44"/>
  <c r="G45"/>
  <c r="G46"/>
  <c r="G47"/>
  <c r="G48"/>
  <c r="G49"/>
  <c r="G50"/>
  <c r="G51"/>
  <c r="G52"/>
  <c r="G26"/>
  <c r="G30"/>
  <c r="E20"/>
  <c r="E21"/>
  <c r="E24"/>
  <c r="E25"/>
  <c r="E27"/>
  <c r="E29"/>
  <c r="E33"/>
  <c r="E53"/>
  <c r="G25"/>
  <c r="G29"/>
  <c r="E18"/>
  <c r="E19"/>
  <c r="E22"/>
  <c r="E23"/>
  <c r="E26"/>
  <c r="E28"/>
  <c r="E30"/>
  <c r="E31"/>
  <c r="E32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G18"/>
  <c r="G20"/>
  <c r="G23"/>
  <c r="G38"/>
  <c r="G41"/>
  <c r="G53"/>
  <c r="C17"/>
  <c r="B17"/>
  <c r="C16"/>
  <c r="B16"/>
  <c r="C15"/>
  <c r="B15"/>
  <c r="D17"/>
  <c r="D15"/>
  <c r="F16"/>
  <c r="F15"/>
  <c r="D16"/>
  <c r="G15" l="1"/>
  <c r="G16"/>
  <c r="E15"/>
  <c r="E16"/>
  <c r="E17"/>
  <c r="G17"/>
  <c r="C14"/>
  <c r="B14"/>
  <c r="C13"/>
  <c r="B13"/>
  <c r="C12"/>
  <c r="B12"/>
  <c r="C11"/>
  <c r="B11"/>
  <c r="C10"/>
  <c r="B10"/>
  <c r="C9"/>
  <c r="B9"/>
  <c r="C8"/>
  <c r="B8"/>
  <c r="C7"/>
  <c r="B7"/>
  <c r="F9"/>
  <c r="D11"/>
  <c r="D7"/>
  <c r="F7"/>
  <c r="D9"/>
  <c r="F8"/>
  <c r="F13"/>
  <c r="D13"/>
  <c r="D14"/>
  <c r="D10"/>
  <c r="F14"/>
  <c r="D8"/>
  <c r="F10"/>
  <c r="D12"/>
  <c r="F11"/>
  <c r="F12"/>
  <c r="E8" l="1"/>
  <c r="E9"/>
  <c r="E10"/>
  <c r="E11"/>
  <c r="E12"/>
  <c r="E13"/>
  <c r="E14"/>
  <c r="G7"/>
  <c r="G9"/>
  <c r="G10"/>
  <c r="G11"/>
  <c r="G13"/>
  <c r="G14"/>
  <c r="G8"/>
  <c r="G12"/>
  <c r="E7"/>
  <c r="C6"/>
  <c r="B6"/>
  <c r="C5"/>
  <c r="B5"/>
  <c r="C4"/>
  <c r="B4"/>
  <c r="A47" i="31"/>
  <c r="H47" s="1"/>
  <c r="J43"/>
  <c r="I43"/>
  <c r="J42"/>
  <c r="I42"/>
  <c r="J41"/>
  <c r="I41"/>
  <c r="J40"/>
  <c r="I40"/>
  <c r="J39"/>
  <c r="I39"/>
  <c r="J38"/>
  <c r="I38"/>
  <c r="J37"/>
  <c r="I37"/>
  <c r="H178" i="14"/>
  <c r="D6" i="26"/>
  <c r="F6"/>
  <c r="D5"/>
  <c r="D4"/>
  <c r="F5"/>
  <c r="F4"/>
  <c r="H49" i="31" l="1"/>
  <c r="H51"/>
  <c r="H48"/>
  <c r="B47"/>
  <c r="G47"/>
  <c r="F47"/>
  <c r="D47"/>
  <c r="I47"/>
  <c r="C47"/>
  <c r="G6" i="26"/>
  <c r="G4"/>
  <c r="E4"/>
  <c r="E5"/>
  <c r="E6"/>
  <c r="G5"/>
  <c r="G178" i="14"/>
  <c r="F178"/>
  <c r="D178"/>
  <c r="K106"/>
  <c r="K112"/>
  <c r="J100"/>
  <c r="K111"/>
  <c r="K110"/>
  <c r="K107"/>
  <c r="J106"/>
  <c r="K100"/>
  <c r="K101"/>
  <c r="J110"/>
  <c r="J101"/>
  <c r="J108"/>
  <c r="J113"/>
  <c r="K102"/>
  <c r="J109"/>
  <c r="J111"/>
  <c r="J107"/>
  <c r="K109"/>
  <c r="J102"/>
  <c r="J112"/>
  <c r="K108"/>
  <c r="K113"/>
  <c r="K114"/>
  <c r="J114"/>
  <c r="G49" i="31" l="1"/>
  <c r="G51"/>
  <c r="G50"/>
  <c r="F50" s="1"/>
  <c r="E47"/>
  <c r="F51"/>
  <c r="F48"/>
  <c r="F49"/>
  <c r="D48"/>
  <c r="D50"/>
  <c r="D51"/>
  <c r="G48"/>
  <c r="C50"/>
  <c r="C51"/>
  <c r="C48"/>
  <c r="I50"/>
  <c r="H50" s="1"/>
  <c r="I48"/>
  <c r="I49"/>
  <c r="B51"/>
  <c r="B49"/>
  <c r="B48"/>
  <c r="B50"/>
  <c r="E94" i="14"/>
  <c r="E93"/>
  <c r="E89"/>
  <c r="E84"/>
  <c r="D74"/>
  <c r="D73"/>
  <c r="D72"/>
  <c r="D71"/>
  <c r="O468" i="13"/>
  <c r="N468"/>
  <c r="O465"/>
  <c r="N465"/>
  <c r="O464"/>
  <c r="N464"/>
  <c r="E51" i="31" l="1"/>
  <c r="E48"/>
  <c r="E50"/>
  <c r="E49"/>
  <c r="D49" s="1"/>
  <c r="C49" s="1"/>
  <c r="N455" i="13"/>
  <c r="G455"/>
  <c r="N454"/>
  <c r="G454"/>
  <c r="N453" l="1"/>
  <c r="G453"/>
  <c r="G449"/>
  <c r="O446"/>
  <c r="G446"/>
  <c r="AN438"/>
  <c r="N437"/>
  <c r="I437"/>
  <c r="N432"/>
  <c r="AN425"/>
  <c r="I425"/>
  <c r="N424"/>
  <c r="H424"/>
  <c r="G424"/>
  <c r="N423"/>
  <c r="H423"/>
  <c r="G423"/>
  <c r="N422"/>
  <c r="H422"/>
  <c r="G422"/>
  <c r="N421"/>
  <c r="H421"/>
  <c r="G421"/>
  <c r="O416"/>
  <c r="I409" l="1"/>
  <c r="N407"/>
  <c r="G407"/>
  <c r="N406"/>
  <c r="O405" l="1"/>
  <c r="N405"/>
  <c r="AN394"/>
  <c r="O393"/>
  <c r="L393"/>
  <c r="N382"/>
  <c r="G382"/>
  <c r="N381"/>
  <c r="G381"/>
  <c r="N380"/>
  <c r="G380"/>
  <c r="G379"/>
  <c r="O353"/>
  <c r="N279"/>
  <c r="G279"/>
  <c r="N276"/>
  <c r="AN269"/>
  <c r="O268"/>
  <c r="G268"/>
  <c r="N263"/>
  <c r="H257"/>
  <c r="G257"/>
  <c r="H256"/>
  <c r="G256"/>
  <c r="O239"/>
  <c r="AE237"/>
  <c r="O237"/>
  <c r="I237"/>
  <c r="AN224"/>
  <c r="N218"/>
  <c r="O212"/>
  <c r="N212"/>
  <c r="H212" l="1"/>
  <c r="G212"/>
  <c r="O211"/>
  <c r="N211"/>
  <c r="H211"/>
  <c r="G211"/>
  <c r="O210"/>
  <c r="N210"/>
  <c r="H210"/>
  <c r="G210"/>
  <c r="N209"/>
  <c r="H209" l="1"/>
  <c r="G209"/>
  <c r="N142"/>
  <c r="G142"/>
  <c r="N141"/>
  <c r="G141"/>
  <c r="N140" l="1"/>
  <c r="I140"/>
  <c r="H140"/>
  <c r="N139"/>
  <c r="H139" l="1"/>
  <c r="G139"/>
  <c r="O127"/>
  <c r="N127"/>
  <c r="J127"/>
  <c r="L124"/>
  <c r="AN117"/>
  <c r="N114"/>
  <c r="H114"/>
  <c r="S108"/>
  <c r="N108"/>
  <c r="O103"/>
  <c r="H103"/>
  <c r="G103"/>
  <c r="O102"/>
  <c r="H102"/>
  <c r="G102"/>
  <c r="H101"/>
  <c r="G101"/>
  <c r="H100"/>
  <c r="G100"/>
  <c r="AP33"/>
  <c r="AP15"/>
  <c r="L96" i="48"/>
  <c r="K96" s="1"/>
  <c r="J96" l="1"/>
  <c r="I96" l="1"/>
  <c r="F96" s="1"/>
  <c r="E96"/>
  <c r="D96" s="1"/>
  <c r="C96" l="1"/>
  <c r="B96"/>
  <c r="L95"/>
  <c r="K95" s="1"/>
  <c r="J95"/>
  <c r="I95"/>
  <c r="F95" s="1"/>
  <c r="E95"/>
  <c r="D95" s="1"/>
  <c r="C95"/>
  <c r="B95" l="1"/>
  <c r="L94"/>
  <c r="K94" s="1"/>
  <c r="J94"/>
  <c r="I94"/>
  <c r="F94" s="1"/>
  <c r="E94"/>
  <c r="D94" s="1"/>
  <c r="C94"/>
  <c r="B94"/>
  <c r="L93"/>
  <c r="K93" s="1"/>
  <c r="J93"/>
  <c r="I93"/>
  <c r="F93" s="1"/>
  <c r="E93"/>
  <c r="D93" s="1"/>
  <c r="C93"/>
  <c r="B93"/>
  <c r="L92"/>
  <c r="K92" s="1"/>
  <c r="J92"/>
  <c r="I92"/>
  <c r="F92" s="1"/>
  <c r="E92"/>
  <c r="D92" s="1"/>
  <c r="C92"/>
  <c r="B92" l="1"/>
  <c r="L91"/>
  <c r="K91" s="1"/>
  <c r="J91"/>
  <c r="I91"/>
  <c r="F91" s="1"/>
  <c r="E91"/>
  <c r="D91" s="1"/>
  <c r="C91"/>
  <c r="B91"/>
  <c r="L90"/>
  <c r="K90" s="1"/>
  <c r="J90"/>
  <c r="I90"/>
  <c r="F90" s="1"/>
  <c r="E90"/>
  <c r="D90" s="1"/>
  <c r="C90"/>
  <c r="B90"/>
  <c r="L89"/>
  <c r="K89" s="1"/>
  <c r="J89"/>
  <c r="I89" s="1"/>
  <c r="F89" s="1"/>
  <c r="E89"/>
  <c r="D89" s="1"/>
  <c r="C89"/>
  <c r="B89"/>
  <c r="L88"/>
  <c r="K88" s="1"/>
  <c r="J88"/>
  <c r="F88" s="1"/>
  <c r="E88"/>
  <c r="D88" s="1"/>
  <c r="C88"/>
  <c r="N68" l="1"/>
  <c r="N67"/>
  <c r="M67"/>
  <c r="N66"/>
  <c r="M66"/>
  <c r="L66"/>
  <c r="N65"/>
  <c r="M65"/>
  <c r="L65"/>
  <c r="K65"/>
  <c r="N64"/>
  <c r="M64"/>
  <c r="L64"/>
  <c r="K64"/>
  <c r="J64"/>
  <c r="N63"/>
  <c r="M63"/>
  <c r="L63"/>
  <c r="K63"/>
  <c r="J63"/>
  <c r="I63"/>
  <c r="N62"/>
  <c r="M62"/>
  <c r="L62"/>
  <c r="K62"/>
  <c r="J62"/>
  <c r="I62"/>
  <c r="H62"/>
  <c r="N61"/>
  <c r="M61"/>
  <c r="L61"/>
  <c r="K61"/>
  <c r="J61"/>
  <c r="I61"/>
  <c r="H61"/>
  <c r="G61"/>
  <c r="B67"/>
  <c r="B66"/>
  <c r="B65"/>
  <c r="N52" l="1"/>
  <c r="N51"/>
  <c r="M51"/>
  <c r="N50"/>
  <c r="M50"/>
  <c r="L50"/>
  <c r="N49"/>
  <c r="M49"/>
  <c r="L49"/>
  <c r="K49"/>
  <c r="N48"/>
  <c r="M48"/>
  <c r="L48"/>
  <c r="K48"/>
  <c r="J48"/>
  <c r="N47"/>
  <c r="M47"/>
  <c r="L47"/>
  <c r="K47"/>
  <c r="J47"/>
  <c r="I47"/>
  <c r="N46"/>
  <c r="M46"/>
  <c r="L46"/>
  <c r="K46"/>
  <c r="J46"/>
  <c r="I46"/>
  <c r="H46"/>
  <c r="B49"/>
  <c r="B50"/>
  <c r="B52"/>
  <c r="B55"/>
  <c r="B48"/>
  <c r="B51"/>
  <c r="B54"/>
  <c r="B53"/>
  <c r="N45" l="1"/>
  <c r="M45"/>
  <c r="L45"/>
  <c r="K45"/>
  <c r="J45"/>
  <c r="I45"/>
  <c r="H45"/>
  <c r="G45"/>
  <c r="N28" l="1"/>
  <c r="N27" l="1"/>
  <c r="M27"/>
  <c r="B27"/>
  <c r="N26" l="1"/>
  <c r="M26"/>
  <c r="L26"/>
  <c r="B26"/>
  <c r="N25" l="1"/>
  <c r="M25"/>
  <c r="L25"/>
  <c r="K25"/>
  <c r="B25"/>
  <c r="N24" l="1"/>
  <c r="M24"/>
  <c r="L24"/>
  <c r="K24"/>
  <c r="J24"/>
  <c r="N23" l="1"/>
  <c r="M23"/>
  <c r="L23"/>
  <c r="K23"/>
  <c r="J23"/>
  <c r="I23"/>
  <c r="N22"/>
  <c r="M22"/>
  <c r="L22"/>
  <c r="K22"/>
  <c r="J22"/>
  <c r="I22"/>
  <c r="H22"/>
  <c r="N21"/>
  <c r="M21"/>
  <c r="L21"/>
  <c r="K21"/>
  <c r="J21"/>
  <c r="I21"/>
  <c r="H21"/>
  <c r="G21"/>
  <c r="N12" l="1"/>
  <c r="N11"/>
  <c r="M11"/>
  <c r="N10"/>
  <c r="M10"/>
  <c r="L10"/>
  <c r="N9"/>
  <c r="M9"/>
  <c r="L9"/>
  <c r="K9"/>
  <c r="N8"/>
  <c r="M8"/>
  <c r="L8"/>
  <c r="K8"/>
  <c r="J8"/>
  <c r="N7"/>
  <c r="M7"/>
  <c r="L7"/>
  <c r="K7"/>
  <c r="J7"/>
  <c r="I7"/>
  <c r="N6"/>
  <c r="M6"/>
  <c r="L6"/>
  <c r="K6"/>
  <c r="J6"/>
  <c r="I6"/>
  <c r="H6"/>
  <c r="N5"/>
  <c r="M5"/>
  <c r="L5"/>
  <c r="K5"/>
  <c r="J5"/>
  <c r="I5"/>
  <c r="H5"/>
  <c r="G5"/>
  <c r="B10"/>
  <c r="B12"/>
  <c r="B14"/>
  <c r="B11"/>
  <c r="B13"/>
  <c r="B8"/>
  <c r="B15"/>
  <c r="B9"/>
  <c r="K545" i="49" l="1"/>
  <c r="B545"/>
  <c r="Y628" s="1"/>
  <c r="Q544"/>
  <c r="Q541"/>
  <c r="E541"/>
  <c r="E540"/>
  <c r="E539"/>
  <c r="A535"/>
  <c r="B542" s="1"/>
  <c r="I536" l="1"/>
  <c r="Y554"/>
  <c r="Y558"/>
  <c r="Y562"/>
  <c r="Y566"/>
  <c r="Y570"/>
  <c r="Y574"/>
  <c r="Y578"/>
  <c r="Y582"/>
  <c r="Y586"/>
  <c r="Y590"/>
  <c r="Y594"/>
  <c r="Y598"/>
  <c r="Y602"/>
  <c r="Y606"/>
  <c r="Y610"/>
  <c r="Y614"/>
  <c r="Y618"/>
  <c r="Y622"/>
  <c r="Y626"/>
  <c r="Y630"/>
  <c r="K535"/>
  <c r="L538"/>
  <c r="K538" s="1"/>
  <c r="J541"/>
  <c r="Y553"/>
  <c r="Y557"/>
  <c r="Y561"/>
  <c r="Y565"/>
  <c r="Y569"/>
  <c r="Y573"/>
  <c r="Y577"/>
  <c r="Y581"/>
  <c r="Y585"/>
  <c r="Y589"/>
  <c r="Y593"/>
  <c r="Y597"/>
  <c r="Y601"/>
  <c r="Y605"/>
  <c r="Y609"/>
  <c r="Y613"/>
  <c r="Y617"/>
  <c r="Y621"/>
  <c r="Y625"/>
  <c r="Y629"/>
  <c r="I535"/>
  <c r="J538"/>
  <c r="Y552"/>
  <c r="Y556"/>
  <c r="Y560"/>
  <c r="Y564"/>
  <c r="Y568"/>
  <c r="Y572"/>
  <c r="Y576"/>
  <c r="Y580"/>
  <c r="Y584"/>
  <c r="Y588"/>
  <c r="Y592"/>
  <c r="Y596"/>
  <c r="Y600"/>
  <c r="Y604"/>
  <c r="Y608"/>
  <c r="Y612"/>
  <c r="Y616"/>
  <c r="Y620"/>
  <c r="Y624"/>
  <c r="Y1059"/>
  <c r="Y1055"/>
  <c r="Y1051"/>
  <c r="Y1047"/>
  <c r="Y1043"/>
  <c r="Y1039"/>
  <c r="Y1035"/>
  <c r="Y1031"/>
  <c r="Y1027"/>
  <c r="Y1023"/>
  <c r="Y1019"/>
  <c r="Y1015"/>
  <c r="Y1011"/>
  <c r="Y1007"/>
  <c r="Y1003"/>
  <c r="Y999"/>
  <c r="Y1060"/>
  <c r="Y1056"/>
  <c r="Y1052"/>
  <c r="Y1048"/>
  <c r="Y1044"/>
  <c r="Y1040"/>
  <c r="Y1036"/>
  <c r="Y1032"/>
  <c r="Y1028"/>
  <c r="Y1024"/>
  <c r="Y1020"/>
  <c r="Y1016"/>
  <c r="Y1012"/>
  <c r="Y1008"/>
  <c r="Y1004"/>
  <c r="Y1000"/>
  <c r="Y1061"/>
  <c r="Y1057"/>
  <c r="Y1053"/>
  <c r="Y1049"/>
  <c r="Y1045"/>
  <c r="Y1041"/>
  <c r="Y1037"/>
  <c r="Y1033"/>
  <c r="Y1029"/>
  <c r="Y1025"/>
  <c r="Y1021"/>
  <c r="Y1017"/>
  <c r="Y1013"/>
  <c r="Y1009"/>
  <c r="Y1005"/>
  <c r="Y1001"/>
  <c r="Y997"/>
  <c r="Y1062"/>
  <c r="Y1058"/>
  <c r="Y1054"/>
  <c r="Y1050"/>
  <c r="Y1046"/>
  <c r="Y1042"/>
  <c r="Y1038"/>
  <c r="Y1034"/>
  <c r="Y1030"/>
  <c r="Y1026"/>
  <c r="Y1022"/>
  <c r="Y1018"/>
  <c r="Y1014"/>
  <c r="Y1010"/>
  <c r="Y1006"/>
  <c r="Y1002"/>
  <c r="Y998"/>
  <c r="Y993"/>
  <c r="Y989"/>
  <c r="Y985"/>
  <c r="Y981"/>
  <c r="Y977"/>
  <c r="Y973"/>
  <c r="Y969"/>
  <c r="Y965"/>
  <c r="Y961"/>
  <c r="Y957"/>
  <c r="Y953"/>
  <c r="Y949"/>
  <c r="Y945"/>
  <c r="Y941"/>
  <c r="Y937"/>
  <c r="Y933"/>
  <c r="Y929"/>
  <c r="Y925"/>
  <c r="Y921"/>
  <c r="Y917"/>
  <c r="Y913"/>
  <c r="Y994"/>
  <c r="Y990"/>
  <c r="Y986"/>
  <c r="Y982"/>
  <c r="Y978"/>
  <c r="Y974"/>
  <c r="Y970"/>
  <c r="Y966"/>
  <c r="Y962"/>
  <c r="Y958"/>
  <c r="Y954"/>
  <c r="Y950"/>
  <c r="Y946"/>
  <c r="Y942"/>
  <c r="Y938"/>
  <c r="Y934"/>
  <c r="Y930"/>
  <c r="Y926"/>
  <c r="Y922"/>
  <c r="Y918"/>
  <c r="Y914"/>
  <c r="Y995"/>
  <c r="Y991"/>
  <c r="Y987"/>
  <c r="Y983"/>
  <c r="Y979"/>
  <c r="Y975"/>
  <c r="Y971"/>
  <c r="Y967"/>
  <c r="Y963"/>
  <c r="Y959"/>
  <c r="Y955"/>
  <c r="Y951"/>
  <c r="Y947"/>
  <c r="Y943"/>
  <c r="Y939"/>
  <c r="Y935"/>
  <c r="Y931"/>
  <c r="Y927"/>
  <c r="Y923"/>
  <c r="Y919"/>
  <c r="Y915"/>
  <c r="Y996"/>
  <c r="Y992"/>
  <c r="Y988"/>
  <c r="Y984"/>
  <c r="Y980"/>
  <c r="Y976"/>
  <c r="Y972"/>
  <c r="Y968"/>
  <c r="Y964"/>
  <c r="Y960"/>
  <c r="Y956"/>
  <c r="Y952"/>
  <c r="Y948"/>
  <c r="Y944"/>
  <c r="Y940"/>
  <c r="Y936"/>
  <c r="Y932"/>
  <c r="Y928"/>
  <c r="Y924"/>
  <c r="Y920"/>
  <c r="Y916"/>
  <c r="Y912"/>
  <c r="Y908"/>
  <c r="Y904"/>
  <c r="Y900"/>
  <c r="Y896"/>
  <c r="Y892"/>
  <c r="Y888"/>
  <c r="Y884"/>
  <c r="Y880"/>
  <c r="Y876"/>
  <c r="Y872"/>
  <c r="Y868"/>
  <c r="Y864"/>
  <c r="Y860"/>
  <c r="Y856"/>
  <c r="Y909"/>
  <c r="Y905"/>
  <c r="Y901"/>
  <c r="Y897"/>
  <c r="Y893"/>
  <c r="Y889"/>
  <c r="Y885"/>
  <c r="Y881"/>
  <c r="Y877"/>
  <c r="Y873"/>
  <c r="Y869"/>
  <c r="Y865"/>
  <c r="Y861"/>
  <c r="Y857"/>
  <c r="Y910"/>
  <c r="Y906"/>
  <c r="Y902"/>
  <c r="Y898"/>
  <c r="Y894"/>
  <c r="Y890"/>
  <c r="Y886"/>
  <c r="Y882"/>
  <c r="Y878"/>
  <c r="Y874"/>
  <c r="Y870"/>
  <c r="Y866"/>
  <c r="Y862"/>
  <c r="Y858"/>
  <c r="Y911"/>
  <c r="Y907"/>
  <c r="Y903"/>
  <c r="Y899"/>
  <c r="Y895"/>
  <c r="Y891"/>
  <c r="Y887"/>
  <c r="Y883"/>
  <c r="Y879"/>
  <c r="Y875"/>
  <c r="Y871"/>
  <c r="Y867"/>
  <c r="Y863"/>
  <c r="Y859"/>
  <c r="Y852"/>
  <c r="Y848"/>
  <c r="Y844"/>
  <c r="Y840"/>
  <c r="Y836"/>
  <c r="Y832"/>
  <c r="Y828"/>
  <c r="Y824"/>
  <c r="Y820"/>
  <c r="Y816"/>
  <c r="Y812"/>
  <c r="Y808"/>
  <c r="Y804"/>
  <c r="Y800"/>
  <c r="Y796"/>
  <c r="Y792"/>
  <c r="Y788"/>
  <c r="Y784"/>
  <c r="Y780"/>
  <c r="Y776"/>
  <c r="Y772"/>
  <c r="Y768"/>
  <c r="Y853"/>
  <c r="Y849"/>
  <c r="Y845"/>
  <c r="Y841"/>
  <c r="Y837"/>
  <c r="Y833"/>
  <c r="Y829"/>
  <c r="Y825"/>
  <c r="Y821"/>
  <c r="Y817"/>
  <c r="Y813"/>
  <c r="Y809"/>
  <c r="Y805"/>
  <c r="Y801"/>
  <c r="Y797"/>
  <c r="Y793"/>
  <c r="Y789"/>
  <c r="Y785"/>
  <c r="Y781"/>
  <c r="Y777"/>
  <c r="Y773"/>
  <c r="Y769"/>
  <c r="Y854"/>
  <c r="Y850"/>
  <c r="Y846"/>
  <c r="Y842"/>
  <c r="Y838"/>
  <c r="Y834"/>
  <c r="Y830"/>
  <c r="Y826"/>
  <c r="Y822"/>
  <c r="Y818"/>
  <c r="Y814"/>
  <c r="Y810"/>
  <c r="Y806"/>
  <c r="Y802"/>
  <c r="Y798"/>
  <c r="Y794"/>
  <c r="Y790"/>
  <c r="Y786"/>
  <c r="Y782"/>
  <c r="Y778"/>
  <c r="Y774"/>
  <c r="Y770"/>
  <c r="Y855"/>
  <c r="Y851"/>
  <c r="Y847"/>
  <c r="Y843"/>
  <c r="Y839"/>
  <c r="Y835"/>
  <c r="Y831"/>
  <c r="Y827"/>
  <c r="Y823"/>
  <c r="Y819"/>
  <c r="Y815"/>
  <c r="Y811"/>
  <c r="Y807"/>
  <c r="Y803"/>
  <c r="Y799"/>
  <c r="Y795"/>
  <c r="Y791"/>
  <c r="Y787"/>
  <c r="Y783"/>
  <c r="Y779"/>
  <c r="Y775"/>
  <c r="Y771"/>
  <c r="Y767"/>
  <c r="Y763"/>
  <c r="Y759"/>
  <c r="Y761"/>
  <c r="Y762"/>
  <c r="Y764"/>
  <c r="Y760"/>
  <c r="Y766"/>
  <c r="Y765"/>
  <c r="Y758"/>
  <c r="Y754"/>
  <c r="Y750"/>
  <c r="Y746"/>
  <c r="Y742"/>
  <c r="Y738"/>
  <c r="Y734"/>
  <c r="Y730"/>
  <c r="Y726"/>
  <c r="Y722"/>
  <c r="Y718"/>
  <c r="Y714"/>
  <c r="Y710"/>
  <c r="Y706"/>
  <c r="Y702"/>
  <c r="Y698"/>
  <c r="Y694"/>
  <c r="Y690"/>
  <c r="Y686"/>
  <c r="Y682"/>
  <c r="Y678"/>
  <c r="Y674"/>
  <c r="Y670"/>
  <c r="Y666"/>
  <c r="Y662"/>
  <c r="Y658"/>
  <c r="Y654"/>
  <c r="Y755"/>
  <c r="Y751"/>
  <c r="Y747"/>
  <c r="Y743"/>
  <c r="Y739"/>
  <c r="Y735"/>
  <c r="Y731"/>
  <c r="Y727"/>
  <c r="Y723"/>
  <c r="Y719"/>
  <c r="Y715"/>
  <c r="Y711"/>
  <c r="Y707"/>
  <c r="Y703"/>
  <c r="Y699"/>
  <c r="Y695"/>
  <c r="Y691"/>
  <c r="Y687"/>
  <c r="Y683"/>
  <c r="Y679"/>
  <c r="Y675"/>
  <c r="Y671"/>
  <c r="Y667"/>
  <c r="Y663"/>
  <c r="Y659"/>
  <c r="Y655"/>
  <c r="Y651"/>
  <c r="Y756"/>
  <c r="Y752"/>
  <c r="Y748"/>
  <c r="Y744"/>
  <c r="Y740"/>
  <c r="Y736"/>
  <c r="Y732"/>
  <c r="Y728"/>
  <c r="Y724"/>
  <c r="Y720"/>
  <c r="Y716"/>
  <c r="Y712"/>
  <c r="Y708"/>
  <c r="Y704"/>
  <c r="Y700"/>
  <c r="Y696"/>
  <c r="Y692"/>
  <c r="Y688"/>
  <c r="Y684"/>
  <c r="Y680"/>
  <c r="Y676"/>
  <c r="Y672"/>
  <c r="Y668"/>
  <c r="Y664"/>
  <c r="Y660"/>
  <c r="Y656"/>
  <c r="Y652"/>
  <c r="Y757"/>
  <c r="Y753"/>
  <c r="Y749"/>
  <c r="Y745"/>
  <c r="Y741"/>
  <c r="Y737"/>
  <c r="Y733"/>
  <c r="Y729"/>
  <c r="Y725"/>
  <c r="Y721"/>
  <c r="Y717"/>
  <c r="Y713"/>
  <c r="Y709"/>
  <c r="Y705"/>
  <c r="Y701"/>
  <c r="Y697"/>
  <c r="Y693"/>
  <c r="Y689"/>
  <c r="Y685"/>
  <c r="Y681"/>
  <c r="Y677"/>
  <c r="Y673"/>
  <c r="Y669"/>
  <c r="Y665"/>
  <c r="Y661"/>
  <c r="Y657"/>
  <c r="Y653"/>
  <c r="Y647"/>
  <c r="Y643"/>
  <c r="Y639"/>
  <c r="Y635"/>
  <c r="Y637"/>
  <c r="Y646"/>
  <c r="Y648"/>
  <c r="Y644"/>
  <c r="Y640"/>
  <c r="Y636"/>
  <c r="Y632"/>
  <c r="Y645"/>
  <c r="Y633"/>
  <c r="Y634"/>
  <c r="Y649"/>
  <c r="Y641"/>
  <c r="Y638"/>
  <c r="Y650"/>
  <c r="Y642"/>
  <c r="Y631"/>
  <c r="Y551"/>
  <c r="Y555"/>
  <c r="Y559"/>
  <c r="Y563"/>
  <c r="Y567"/>
  <c r="Y571"/>
  <c r="Y575"/>
  <c r="Y579"/>
  <c r="Y583"/>
  <c r="Y587"/>
  <c r="Y591"/>
  <c r="Y595"/>
  <c r="Y599"/>
  <c r="Y603"/>
  <c r="Y607"/>
  <c r="Y611"/>
  <c r="Y615"/>
  <c r="Y619"/>
  <c r="Y623"/>
  <c r="Y627"/>
  <c r="L543" l="1"/>
  <c r="L545"/>
  <c r="L544"/>
  <c r="L546"/>
  <c r="K12" l="1"/>
  <c r="B12"/>
  <c r="Y25" s="1"/>
  <c r="Q11"/>
  <c r="Y19" l="1"/>
  <c r="Y23"/>
  <c r="Y27"/>
  <c r="Y18"/>
  <c r="Y22"/>
  <c r="Y26"/>
  <c r="Y21"/>
  <c r="Y527"/>
  <c r="Y523"/>
  <c r="Y519"/>
  <c r="Y515"/>
  <c r="Y511"/>
  <c r="Y507"/>
  <c r="Y503"/>
  <c r="Y499"/>
  <c r="Y495"/>
  <c r="Y491"/>
  <c r="Y487"/>
  <c r="Y483"/>
  <c r="Y479"/>
  <c r="Y475"/>
  <c r="Y471"/>
  <c r="Y467"/>
  <c r="Y463"/>
  <c r="Y459"/>
  <c r="Y455"/>
  <c r="Y451"/>
  <c r="Y447"/>
  <c r="Y443"/>
  <c r="Y446"/>
  <c r="Y528"/>
  <c r="Y524"/>
  <c r="Y520"/>
  <c r="Y516"/>
  <c r="Y512"/>
  <c r="Y508"/>
  <c r="Y504"/>
  <c r="Y500"/>
  <c r="Y496"/>
  <c r="Y492"/>
  <c r="Y488"/>
  <c r="Y484"/>
  <c r="Y480"/>
  <c r="Y476"/>
  <c r="Y472"/>
  <c r="Y468"/>
  <c r="Y464"/>
  <c r="Y460"/>
  <c r="Y456"/>
  <c r="Y452"/>
  <c r="Y448"/>
  <c r="Y444"/>
  <c r="Y450"/>
  <c r="Y529"/>
  <c r="Y525"/>
  <c r="Y521"/>
  <c r="Y517"/>
  <c r="Y513"/>
  <c r="Y509"/>
  <c r="Y505"/>
  <c r="Y501"/>
  <c r="Y497"/>
  <c r="Y493"/>
  <c r="Y489"/>
  <c r="Y485"/>
  <c r="Y481"/>
  <c r="Y477"/>
  <c r="Y473"/>
  <c r="Y469"/>
  <c r="Y465"/>
  <c r="Y461"/>
  <c r="Y457"/>
  <c r="Y453"/>
  <c r="Y449"/>
  <c r="Y445"/>
  <c r="Y458"/>
  <c r="Y526"/>
  <c r="Y522"/>
  <c r="Y518"/>
  <c r="Y514"/>
  <c r="Y510"/>
  <c r="Y506"/>
  <c r="Y502"/>
  <c r="Y498"/>
  <c r="Y494"/>
  <c r="Y490"/>
  <c r="Y486"/>
  <c r="Y482"/>
  <c r="Y478"/>
  <c r="Y474"/>
  <c r="Y470"/>
  <c r="Y466"/>
  <c r="Y462"/>
  <c r="Y454"/>
  <c r="Y439"/>
  <c r="Y435"/>
  <c r="Y431"/>
  <c r="Y427"/>
  <c r="Y423"/>
  <c r="Y419"/>
  <c r="Y415"/>
  <c r="Y411"/>
  <c r="Y407"/>
  <c r="Y403"/>
  <c r="Y399"/>
  <c r="Y395"/>
  <c r="Y391"/>
  <c r="Y387"/>
  <c r="Y383"/>
  <c r="Y379"/>
  <c r="Y375"/>
  <c r="Y371"/>
  <c r="Y440"/>
  <c r="Y436"/>
  <c r="Y432"/>
  <c r="Y428"/>
  <c r="Y424"/>
  <c r="Y420"/>
  <c r="Y416"/>
  <c r="Y412"/>
  <c r="Y408"/>
  <c r="Y404"/>
  <c r="Y400"/>
  <c r="Y396"/>
  <c r="Y392"/>
  <c r="Y388"/>
  <c r="Y384"/>
  <c r="Y380"/>
  <c r="Y376"/>
  <c r="Y372"/>
  <c r="Y441"/>
  <c r="Y437"/>
  <c r="Y433"/>
  <c r="Y429"/>
  <c r="Y425"/>
  <c r="Y421"/>
  <c r="Y417"/>
  <c r="Y413"/>
  <c r="Y409"/>
  <c r="Y405"/>
  <c r="Y401"/>
  <c r="Y397"/>
  <c r="Y393"/>
  <c r="Y389"/>
  <c r="Y385"/>
  <c r="Y381"/>
  <c r="Y377"/>
  <c r="Y373"/>
  <c r="Y442"/>
  <c r="Y438"/>
  <c r="Y434"/>
  <c r="Y430"/>
  <c r="Y426"/>
  <c r="Y422"/>
  <c r="Y418"/>
  <c r="Y414"/>
  <c r="Y410"/>
  <c r="Y406"/>
  <c r="Y402"/>
  <c r="Y398"/>
  <c r="Y394"/>
  <c r="Y390"/>
  <c r="Y386"/>
  <c r="Y382"/>
  <c r="Y378"/>
  <c r="Y374"/>
  <c r="Y370"/>
  <c r="Y366"/>
  <c r="Y362"/>
  <c r="Y358"/>
  <c r="Y354"/>
  <c r="Y350"/>
  <c r="Y346"/>
  <c r="Y342"/>
  <c r="Y338"/>
  <c r="Y334"/>
  <c r="Y330"/>
  <c r="Y326"/>
  <c r="Y322"/>
  <c r="Y318"/>
  <c r="Y314"/>
  <c r="Y310"/>
  <c r="Y306"/>
  <c r="Y302"/>
  <c r="Y298"/>
  <c r="Y294"/>
  <c r="Y290"/>
  <c r="Y286"/>
  <c r="Y282"/>
  <c r="Y278"/>
  <c r="Y274"/>
  <c r="Y270"/>
  <c r="Y266"/>
  <c r="Y262"/>
  <c r="Y258"/>
  <c r="Y254"/>
  <c r="Y250"/>
  <c r="Y246"/>
  <c r="Y242"/>
  <c r="Y238"/>
  <c r="Y234"/>
  <c r="Y230"/>
  <c r="Y226"/>
  <c r="Y222"/>
  <c r="Y218"/>
  <c r="Y214"/>
  <c r="Y210"/>
  <c r="Y206"/>
  <c r="Y202"/>
  <c r="Y198"/>
  <c r="Y194"/>
  <c r="Y190"/>
  <c r="Y186"/>
  <c r="Y182"/>
  <c r="Y178"/>
  <c r="Y174"/>
  <c r="Y367"/>
  <c r="Y363"/>
  <c r="Y359"/>
  <c r="Y355"/>
  <c r="Y351"/>
  <c r="Y347"/>
  <c r="Y343"/>
  <c r="Y339"/>
  <c r="Y335"/>
  <c r="Y331"/>
  <c r="Y327"/>
  <c r="Y323"/>
  <c r="Y319"/>
  <c r="Y315"/>
  <c r="Y311"/>
  <c r="Y307"/>
  <c r="Y303"/>
  <c r="Y299"/>
  <c r="Y295"/>
  <c r="Y291"/>
  <c r="Y287"/>
  <c r="Y283"/>
  <c r="Y279"/>
  <c r="Y275"/>
  <c r="Y271"/>
  <c r="Y267"/>
  <c r="Y263"/>
  <c r="Y259"/>
  <c r="Y255"/>
  <c r="Y251"/>
  <c r="Y247"/>
  <c r="Y243"/>
  <c r="Y239"/>
  <c r="Y235"/>
  <c r="Y231"/>
  <c r="Y227"/>
  <c r="Y223"/>
  <c r="Y219"/>
  <c r="Y215"/>
  <c r="Y211"/>
  <c r="Y207"/>
  <c r="Y203"/>
  <c r="Y199"/>
  <c r="Y195"/>
  <c r="Y191"/>
  <c r="Y187"/>
  <c r="Y183"/>
  <c r="Y179"/>
  <c r="Y175"/>
  <c r="Y171"/>
  <c r="Y368"/>
  <c r="Y364"/>
  <c r="Y360"/>
  <c r="Y356"/>
  <c r="Y352"/>
  <c r="Y348"/>
  <c r="Y344"/>
  <c r="Y340"/>
  <c r="Y336"/>
  <c r="Y332"/>
  <c r="Y328"/>
  <c r="Y324"/>
  <c r="Y320"/>
  <c r="Y316"/>
  <c r="Y312"/>
  <c r="Y308"/>
  <c r="Y304"/>
  <c r="Y300"/>
  <c r="Y296"/>
  <c r="Y292"/>
  <c r="Y288"/>
  <c r="Y284"/>
  <c r="Y280"/>
  <c r="Y276"/>
  <c r="Y272"/>
  <c r="Y268"/>
  <c r="Y264"/>
  <c r="Y260"/>
  <c r="Y256"/>
  <c r="Y252"/>
  <c r="Y248"/>
  <c r="Y244"/>
  <c r="Y240"/>
  <c r="Y236"/>
  <c r="Y232"/>
  <c r="Y228"/>
  <c r="Y224"/>
  <c r="Y220"/>
  <c r="Y216"/>
  <c r="Y212"/>
  <c r="Y208"/>
  <c r="Y204"/>
  <c r="Y200"/>
  <c r="Y196"/>
  <c r="Y192"/>
  <c r="Y188"/>
  <c r="Y184"/>
  <c r="Y180"/>
  <c r="Y176"/>
  <c r="Y172"/>
  <c r="Y369"/>
  <c r="Y365"/>
  <c r="Y361"/>
  <c r="Y357"/>
  <c r="Y353"/>
  <c r="Y349"/>
  <c r="Y345"/>
  <c r="Y341"/>
  <c r="Y337"/>
  <c r="Y333"/>
  <c r="Y329"/>
  <c r="Y325"/>
  <c r="Y321"/>
  <c r="Y317"/>
  <c r="Y313"/>
  <c r="Y309"/>
  <c r="Y305"/>
  <c r="Y301"/>
  <c r="Y297"/>
  <c r="Y293"/>
  <c r="Y289"/>
  <c r="Y285"/>
  <c r="Y281"/>
  <c r="Y277"/>
  <c r="Y273"/>
  <c r="Y269"/>
  <c r="Y265"/>
  <c r="Y261"/>
  <c r="Y257"/>
  <c r="Y253"/>
  <c r="Y249"/>
  <c r="Y245"/>
  <c r="Y241"/>
  <c r="Y237"/>
  <c r="Y233"/>
  <c r="Y229"/>
  <c r="Y225"/>
  <c r="Y221"/>
  <c r="Y217"/>
  <c r="Y213"/>
  <c r="Y209"/>
  <c r="Y205"/>
  <c r="Y201"/>
  <c r="Y197"/>
  <c r="Y193"/>
  <c r="Y189"/>
  <c r="Y185"/>
  <c r="Y181"/>
  <c r="Y177"/>
  <c r="Y173"/>
  <c r="Y167"/>
  <c r="Y163"/>
  <c r="Y159"/>
  <c r="Y155"/>
  <c r="Y151"/>
  <c r="Y147"/>
  <c r="Y143"/>
  <c r="Y139"/>
  <c r="Y135"/>
  <c r="Y131"/>
  <c r="Y127"/>
  <c r="Y123"/>
  <c r="Y119"/>
  <c r="Y168"/>
  <c r="Y164"/>
  <c r="Y160"/>
  <c r="Y156"/>
  <c r="Y152"/>
  <c r="Y148"/>
  <c r="Y144"/>
  <c r="Y140"/>
  <c r="Y136"/>
  <c r="Y132"/>
  <c r="Y128"/>
  <c r="Y124"/>
  <c r="Y120"/>
  <c r="Y116"/>
  <c r="Y169"/>
  <c r="Y165"/>
  <c r="Y161"/>
  <c r="Y157"/>
  <c r="Y153"/>
  <c r="Y149"/>
  <c r="Y145"/>
  <c r="Y141"/>
  <c r="Y137"/>
  <c r="Y133"/>
  <c r="Y129"/>
  <c r="Y125"/>
  <c r="Y121"/>
  <c r="Y117"/>
  <c r="Y170"/>
  <c r="Y166"/>
  <c r="Y162"/>
  <c r="Y158"/>
  <c r="Y154"/>
  <c r="Y150"/>
  <c r="Y146"/>
  <c r="Y142"/>
  <c r="Y138"/>
  <c r="Y134"/>
  <c r="Y130"/>
  <c r="Y126"/>
  <c r="Y122"/>
  <c r="Y118"/>
  <c r="Y112"/>
  <c r="Y108"/>
  <c r="Y104"/>
  <c r="Y100"/>
  <c r="Y96"/>
  <c r="Y92"/>
  <c r="Y88"/>
  <c r="Y84"/>
  <c r="Y80"/>
  <c r="Y76"/>
  <c r="Y72"/>
  <c r="Y68"/>
  <c r="Y64"/>
  <c r="Y60"/>
  <c r="Y56"/>
  <c r="Y52"/>
  <c r="Y48"/>
  <c r="Y113"/>
  <c r="Y109"/>
  <c r="Y105"/>
  <c r="Y101"/>
  <c r="Y97"/>
  <c r="Y93"/>
  <c r="Y89"/>
  <c r="Y85"/>
  <c r="Y81"/>
  <c r="Y77"/>
  <c r="Y73"/>
  <c r="Y69"/>
  <c r="Y65"/>
  <c r="Y61"/>
  <c r="Y57"/>
  <c r="Y53"/>
  <c r="Y49"/>
  <c r="Y114"/>
  <c r="Y110"/>
  <c r="Y106"/>
  <c r="Y102"/>
  <c r="Y98"/>
  <c r="Y94"/>
  <c r="Y90"/>
  <c r="Y86"/>
  <c r="Y82"/>
  <c r="Y78"/>
  <c r="Y74"/>
  <c r="Y70"/>
  <c r="Y66"/>
  <c r="Y62"/>
  <c r="Y58"/>
  <c r="Y54"/>
  <c r="Y50"/>
  <c r="Y115"/>
  <c r="Y111"/>
  <c r="Y107"/>
  <c r="Y103"/>
  <c r="Y99"/>
  <c r="Y95"/>
  <c r="Y91"/>
  <c r="Y87"/>
  <c r="Y83"/>
  <c r="Y79"/>
  <c r="Y75"/>
  <c r="Y71"/>
  <c r="Y67"/>
  <c r="Y63"/>
  <c r="Y59"/>
  <c r="Y55"/>
  <c r="Y51"/>
  <c r="Y44"/>
  <c r="Y40"/>
  <c r="Y36"/>
  <c r="Y32"/>
  <c r="Y38"/>
  <c r="Y47"/>
  <c r="Y45"/>
  <c r="Y41"/>
  <c r="Y37"/>
  <c r="Y33"/>
  <c r="Y42"/>
  <c r="Y43"/>
  <c r="Y35"/>
  <c r="Y46"/>
  <c r="Y34"/>
  <c r="Y39"/>
  <c r="Y28"/>
  <c r="Y29"/>
  <c r="Y31"/>
  <c r="Y30"/>
  <c r="Y20"/>
  <c r="Y24"/>
  <c r="Q8"/>
  <c r="E8"/>
  <c r="E7"/>
  <c r="E6"/>
  <c r="A2" l="1"/>
  <c r="J5" l="1"/>
  <c r="K5"/>
  <c r="L5"/>
  <c r="B9"/>
  <c r="K2"/>
  <c r="I3"/>
  <c r="I2"/>
  <c r="E237" i="29"/>
  <c r="K3" i="49" l="1"/>
  <c r="D237" i="29"/>
  <c r="C225" l="1"/>
  <c r="B225"/>
  <c r="C223" l="1"/>
  <c r="B223"/>
  <c r="C218" l="1"/>
  <c r="B218"/>
  <c r="C213" l="1"/>
  <c r="B213"/>
  <c r="C209"/>
  <c r="B209"/>
  <c r="C208"/>
  <c r="B208"/>
  <c r="E201" l="1"/>
  <c r="D201"/>
  <c r="C201"/>
  <c r="B201"/>
  <c r="E199" l="1"/>
  <c r="E200" s="1"/>
  <c r="D199"/>
  <c r="D200" s="1"/>
  <c r="C199"/>
  <c r="C200" s="1"/>
  <c r="B199"/>
  <c r="B200" s="1"/>
  <c r="E198"/>
  <c r="E202" s="1"/>
  <c r="D198"/>
  <c r="D202" s="1"/>
  <c r="C198"/>
  <c r="C202" s="1"/>
  <c r="B198"/>
  <c r="B202" s="1"/>
  <c r="E195"/>
  <c r="D195"/>
  <c r="C195"/>
  <c r="B195"/>
  <c r="E135" l="1"/>
  <c r="D135"/>
  <c r="C135" l="1"/>
  <c r="B135"/>
  <c r="E132" l="1"/>
  <c r="D132"/>
  <c r="C132"/>
  <c r="B132"/>
  <c r="E131"/>
  <c r="C131"/>
  <c r="E75" l="1"/>
  <c r="D75" l="1"/>
  <c r="C75"/>
  <c r="B75"/>
  <c r="E72" l="1"/>
  <c r="D72"/>
  <c r="C72" s="1"/>
  <c r="B72"/>
  <c r="E71"/>
  <c r="C71"/>
  <c r="E66" l="1"/>
  <c r="D66"/>
  <c r="C66"/>
  <c r="B66"/>
  <c r="E65"/>
  <c r="D65"/>
  <c r="C65"/>
  <c r="B65"/>
  <c r="E58" l="1"/>
  <c r="D58"/>
  <c r="C58"/>
  <c r="B58"/>
  <c r="E49" l="1"/>
  <c r="D49"/>
  <c r="C49"/>
  <c r="B49"/>
  <c r="E48"/>
  <c r="D48"/>
  <c r="C48"/>
  <c r="B48"/>
  <c r="E47"/>
  <c r="D47"/>
  <c r="C47"/>
  <c r="B47"/>
  <c r="E46"/>
  <c r="D46"/>
  <c r="C46"/>
  <c r="B46"/>
  <c r="E45"/>
  <c r="D45"/>
  <c r="C45"/>
  <c r="B45"/>
  <c r="E44"/>
  <c r="D44"/>
  <c r="C44"/>
  <c r="B44"/>
  <c r="E43"/>
  <c r="D43"/>
  <c r="C43"/>
  <c r="B43"/>
  <c r="E41"/>
  <c r="D41"/>
  <c r="C41"/>
  <c r="B41"/>
  <c r="E40"/>
  <c r="D40"/>
  <c r="C40"/>
  <c r="B40"/>
  <c r="E42" l="1"/>
  <c r="D42" s="1"/>
  <c r="C42" s="1"/>
  <c r="B42" s="1"/>
  <c r="E39"/>
  <c r="D39"/>
  <c r="C39"/>
  <c r="B39"/>
  <c r="E30"/>
  <c r="D30"/>
  <c r="C30"/>
  <c r="B30"/>
  <c r="E29"/>
  <c r="D29"/>
  <c r="C29"/>
  <c r="B29"/>
  <c r="D25"/>
  <c r="C25"/>
  <c r="L24"/>
  <c r="K24"/>
  <c r="D24"/>
  <c r="C24"/>
  <c r="L22"/>
  <c r="K22"/>
  <c r="D22"/>
  <c r="C22"/>
  <c r="H21"/>
  <c r="G21"/>
  <c r="D21"/>
  <c r="C21"/>
  <c r="D20"/>
  <c r="C20"/>
  <c r="L18"/>
  <c r="K18"/>
  <c r="D18"/>
  <c r="C18"/>
  <c r="B18"/>
  <c r="L17"/>
  <c r="K17"/>
  <c r="H17"/>
  <c r="D19" s="1"/>
  <c r="G17"/>
  <c r="D17"/>
  <c r="C17"/>
  <c r="P16"/>
  <c r="P22" s="1"/>
  <c r="O16"/>
  <c r="O22" s="1"/>
  <c r="L16"/>
  <c r="K16"/>
  <c r="F13"/>
  <c r="E13"/>
  <c r="F12"/>
  <c r="E12"/>
  <c r="G9"/>
  <c r="F9"/>
  <c r="E9"/>
  <c r="D9"/>
  <c r="G8"/>
  <c r="F8"/>
  <c r="E8"/>
  <c r="D8"/>
  <c r="C206"/>
  <c r="H19"/>
  <c r="I20"/>
  <c r="K25"/>
  <c r="C205"/>
  <c r="G19"/>
  <c r="G20"/>
  <c r="H20"/>
  <c r="L25"/>
  <c r="B205"/>
  <c r="B206"/>
  <c r="G23" l="1"/>
  <c r="B217" s="1"/>
  <c r="C19"/>
  <c r="K21"/>
  <c r="P17"/>
  <c r="P18"/>
  <c r="P21"/>
  <c r="H22"/>
  <c r="P23"/>
  <c r="H24"/>
  <c r="E187" s="1"/>
  <c r="O17"/>
  <c r="O18"/>
  <c r="P19"/>
  <c r="O19" s="1"/>
  <c r="P20"/>
  <c r="O21"/>
  <c r="O23"/>
  <c r="G24"/>
  <c r="B187" s="1"/>
  <c r="O20"/>
  <c r="L21"/>
  <c r="H23"/>
  <c r="B543" i="49" s="1"/>
  <c r="C116" i="29"/>
  <c r="E116"/>
  <c r="B116"/>
  <c r="D116"/>
  <c r="Q543" i="49"/>
  <c r="Q10"/>
  <c r="G7" i="29"/>
  <c r="F7"/>
  <c r="E7"/>
  <c r="D7"/>
  <c r="B176" l="1"/>
  <c r="B178" s="1"/>
  <c r="B10" i="49"/>
  <c r="C508" s="1"/>
  <c r="D176" i="29"/>
  <c r="D177" s="1"/>
  <c r="E19" i="48"/>
  <c r="E28" s="1"/>
  <c r="E176" i="29"/>
  <c r="E177" s="1"/>
  <c r="C217"/>
  <c r="C230"/>
  <c r="D187"/>
  <c r="C176"/>
  <c r="C178" s="1"/>
  <c r="E59" i="48"/>
  <c r="E67" s="1"/>
  <c r="C187" i="29"/>
  <c r="B230"/>
  <c r="G22"/>
  <c r="C126"/>
  <c r="C125"/>
  <c r="E125"/>
  <c r="C122"/>
  <c r="E122"/>
  <c r="C1057" i="49"/>
  <c r="C1053"/>
  <c r="C1051"/>
  <c r="C1048"/>
  <c r="C1044"/>
  <c r="C1039"/>
  <c r="C1031"/>
  <c r="C1030"/>
  <c r="C1027"/>
  <c r="C1023"/>
  <c r="C1020"/>
  <c r="C1019"/>
  <c r="C1016"/>
  <c r="C1015"/>
  <c r="C1013"/>
  <c r="C1008"/>
  <c r="C1007"/>
  <c r="C1003"/>
  <c r="C1000"/>
  <c r="C1060"/>
  <c r="C1056"/>
  <c r="C1043"/>
  <c r="C1034"/>
  <c r="C1029"/>
  <c r="C1026"/>
  <c r="C1022"/>
  <c r="C1018"/>
  <c r="C1012"/>
  <c r="C1006"/>
  <c r="C999"/>
  <c r="C1062"/>
  <c r="C1059"/>
  <c r="C1055"/>
  <c r="C1052"/>
  <c r="C1050"/>
  <c r="C1047"/>
  <c r="C1042"/>
  <c r="C1041"/>
  <c r="C1038"/>
  <c r="C1037"/>
  <c r="C1036"/>
  <c r="C1033"/>
  <c r="C1025"/>
  <c r="C1017"/>
  <c r="C1014"/>
  <c r="C1011"/>
  <c r="C1005"/>
  <c r="C1002"/>
  <c r="C1061"/>
  <c r="C1058"/>
  <c r="C1054"/>
  <c r="C1049"/>
  <c r="C1046"/>
  <c r="C1045"/>
  <c r="C1040"/>
  <c r="C1035"/>
  <c r="C1032"/>
  <c r="C1028"/>
  <c r="C1024"/>
  <c r="C1021"/>
  <c r="C1010"/>
  <c r="C1009"/>
  <c r="C1004"/>
  <c r="C1001"/>
  <c r="C998"/>
  <c r="C997"/>
  <c r="C996"/>
  <c r="C991"/>
  <c r="C987"/>
  <c r="C986"/>
  <c r="C985"/>
  <c r="C982"/>
  <c r="C978"/>
  <c r="C974"/>
  <c r="C968"/>
  <c r="C967"/>
  <c r="C964"/>
  <c r="C961"/>
  <c r="C959"/>
  <c r="C953"/>
  <c r="C950"/>
  <c r="C946"/>
  <c r="C944"/>
  <c r="C940"/>
  <c r="C995"/>
  <c r="C994"/>
  <c r="C984"/>
  <c r="C981"/>
  <c r="C977"/>
  <c r="C973"/>
  <c r="C972"/>
  <c r="C971"/>
  <c r="C966"/>
  <c r="C963"/>
  <c r="C958"/>
  <c r="C955"/>
  <c r="C952"/>
  <c r="C949"/>
  <c r="C943"/>
  <c r="C993"/>
  <c r="C990"/>
  <c r="C983"/>
  <c r="C980"/>
  <c r="C976"/>
  <c r="C970"/>
  <c r="C962"/>
  <c r="C960"/>
  <c r="C957"/>
  <c r="C951"/>
  <c r="C948"/>
  <c r="C945"/>
  <c r="C942"/>
  <c r="C992"/>
  <c r="C989"/>
  <c r="C988"/>
  <c r="C979"/>
  <c r="C975"/>
  <c r="C969"/>
  <c r="C965"/>
  <c r="C956"/>
  <c r="C954"/>
  <c r="C947"/>
  <c r="C941"/>
  <c r="C938"/>
  <c r="C936"/>
  <c r="C934"/>
  <c r="C932"/>
  <c r="C929"/>
  <c r="C926"/>
  <c r="C920"/>
  <c r="C919"/>
  <c r="C928"/>
  <c r="C918"/>
  <c r="C933"/>
  <c r="C931"/>
  <c r="C925"/>
  <c r="C937"/>
  <c r="C935"/>
  <c r="C924"/>
  <c r="C923"/>
  <c r="C922"/>
  <c r="C917"/>
  <c r="C916"/>
  <c r="C915"/>
  <c r="C914"/>
  <c r="C913"/>
  <c r="C912"/>
  <c r="C939"/>
  <c r="C930"/>
  <c r="C927"/>
  <c r="C921"/>
  <c r="C908"/>
  <c r="C907"/>
  <c r="C906"/>
  <c r="C900"/>
  <c r="C899"/>
  <c r="C897"/>
  <c r="C896"/>
  <c r="C893"/>
  <c r="C886"/>
  <c r="C885"/>
  <c r="C882"/>
  <c r="C878"/>
  <c r="C876"/>
  <c r="C873"/>
  <c r="C859"/>
  <c r="C911"/>
  <c r="C905"/>
  <c r="C892"/>
  <c r="C888"/>
  <c r="C884"/>
  <c r="C881"/>
  <c r="C880"/>
  <c r="C875"/>
  <c r="C872"/>
  <c r="C863"/>
  <c r="C862"/>
  <c r="C858"/>
  <c r="C910"/>
  <c r="C904"/>
  <c r="C898"/>
  <c r="C895"/>
  <c r="C891"/>
  <c r="C890"/>
  <c r="C887"/>
  <c r="C877"/>
  <c r="C874"/>
  <c r="C871"/>
  <c r="C868"/>
  <c r="C867"/>
  <c r="C866"/>
  <c r="C909"/>
  <c r="C903"/>
  <c r="C902"/>
  <c r="C901"/>
  <c r="C894"/>
  <c r="C889"/>
  <c r="C883"/>
  <c r="C879"/>
  <c r="C870"/>
  <c r="C869"/>
  <c r="C865"/>
  <c r="C864"/>
  <c r="C861"/>
  <c r="C860"/>
  <c r="C857"/>
  <c r="C852"/>
  <c r="C851"/>
  <c r="C847"/>
  <c r="C843"/>
  <c r="C838"/>
  <c r="C835"/>
  <c r="C828"/>
  <c r="C825"/>
  <c r="C823"/>
  <c r="C822"/>
  <c r="C817"/>
  <c r="C816"/>
  <c r="C814"/>
  <c r="C803"/>
  <c r="C800"/>
  <c r="C797"/>
  <c r="C792"/>
  <c r="C789"/>
  <c r="C854"/>
  <c r="C850"/>
  <c r="C846"/>
  <c r="C842"/>
  <c r="C840"/>
  <c r="C834"/>
  <c r="C831"/>
  <c r="C827"/>
  <c r="C824"/>
  <c r="C821"/>
  <c r="C820"/>
  <c r="C819"/>
  <c r="C813"/>
  <c r="C807"/>
  <c r="C806"/>
  <c r="C796"/>
  <c r="C791"/>
  <c r="C788"/>
  <c r="C856"/>
  <c r="C845"/>
  <c r="C837"/>
  <c r="C833"/>
  <c r="C830"/>
  <c r="C812"/>
  <c r="C811"/>
  <c r="C809"/>
  <c r="C805"/>
  <c r="C804"/>
  <c r="C802"/>
  <c r="C799"/>
  <c r="C795"/>
  <c r="C794"/>
  <c r="C855"/>
  <c r="C853"/>
  <c r="C849"/>
  <c r="C848"/>
  <c r="C844"/>
  <c r="C841"/>
  <c r="C839"/>
  <c r="C836"/>
  <c r="C832"/>
  <c r="C829"/>
  <c r="C826"/>
  <c r="C818"/>
  <c r="C815"/>
  <c r="C810"/>
  <c r="C808"/>
  <c r="C801"/>
  <c r="C798"/>
  <c r="C793"/>
  <c r="C790"/>
  <c r="C782"/>
  <c r="C779"/>
  <c r="C776"/>
  <c r="C770"/>
  <c r="C775"/>
  <c r="C772"/>
  <c r="C784"/>
  <c r="C786"/>
  <c r="C778"/>
  <c r="C769"/>
  <c r="C785"/>
  <c r="C774"/>
  <c r="C771"/>
  <c r="C787"/>
  <c r="C783"/>
  <c r="C780"/>
  <c r="C768"/>
  <c r="C773"/>
  <c r="C781"/>
  <c r="C777"/>
  <c r="C767"/>
  <c r="C766"/>
  <c r="C762"/>
  <c r="C761"/>
  <c r="C765"/>
  <c r="C760"/>
  <c r="C763"/>
  <c r="C764"/>
  <c r="C759"/>
  <c r="C756"/>
  <c r="C740"/>
  <c r="C737"/>
  <c r="C736"/>
  <c r="C728"/>
  <c r="C726"/>
  <c r="C719"/>
  <c r="C709"/>
  <c r="C703"/>
  <c r="C702"/>
  <c r="C697"/>
  <c r="C695"/>
  <c r="C690"/>
  <c r="C755"/>
  <c r="C754"/>
  <c r="C750"/>
  <c r="C747"/>
  <c r="C746"/>
  <c r="C745"/>
  <c r="C744"/>
  <c r="C742"/>
  <c r="C739"/>
  <c r="C734"/>
  <c r="C732"/>
  <c r="C722"/>
  <c r="C718"/>
  <c r="C717"/>
  <c r="C716"/>
  <c r="C706"/>
  <c r="C701"/>
  <c r="C700"/>
  <c r="C687"/>
  <c r="C753"/>
  <c r="C752"/>
  <c r="C749"/>
  <c r="C741"/>
  <c r="C738"/>
  <c r="C731"/>
  <c r="C730"/>
  <c r="C727"/>
  <c r="C725"/>
  <c r="C724"/>
  <c r="C721"/>
  <c r="C715"/>
  <c r="C714"/>
  <c r="C713"/>
  <c r="C711"/>
  <c r="C708"/>
  <c r="C704"/>
  <c r="C699"/>
  <c r="C696"/>
  <c r="C694"/>
  <c r="C693"/>
  <c r="C689"/>
  <c r="C686"/>
  <c r="C758"/>
  <c r="C757"/>
  <c r="C751"/>
  <c r="C748"/>
  <c r="C743"/>
  <c r="C735"/>
  <c r="C733"/>
  <c r="C729"/>
  <c r="C723"/>
  <c r="C720"/>
  <c r="C712"/>
  <c r="C710"/>
  <c r="C707"/>
  <c r="C705"/>
  <c r="C698"/>
  <c r="C692"/>
  <c r="C691"/>
  <c r="C688"/>
  <c r="C685"/>
  <c r="C673"/>
  <c r="C669"/>
  <c r="C666"/>
  <c r="C665"/>
  <c r="C662"/>
  <c r="C659"/>
  <c r="C658"/>
  <c r="C684"/>
  <c r="C681"/>
  <c r="C678"/>
  <c r="C677"/>
  <c r="C676"/>
  <c r="C672"/>
  <c r="C668"/>
  <c r="C664"/>
  <c r="C661"/>
  <c r="C657"/>
  <c r="C654"/>
  <c r="C680"/>
  <c r="C675"/>
  <c r="C671"/>
  <c r="C663"/>
  <c r="C660"/>
  <c r="C653"/>
  <c r="C683"/>
  <c r="C682"/>
  <c r="C679"/>
  <c r="C674"/>
  <c r="C670"/>
  <c r="C667"/>
  <c r="C656"/>
  <c r="C655"/>
  <c r="C652"/>
  <c r="C651"/>
  <c r="C644"/>
  <c r="C634"/>
  <c r="C650"/>
  <c r="C649"/>
  <c r="C636"/>
  <c r="C633"/>
  <c r="C632"/>
  <c r="C648"/>
  <c r="C647"/>
  <c r="C646"/>
  <c r="C643"/>
  <c r="C642"/>
  <c r="C639"/>
  <c r="C638"/>
  <c r="C645"/>
  <c r="C641"/>
  <c r="C640"/>
  <c r="C637"/>
  <c r="C635"/>
  <c r="C630"/>
  <c r="C624"/>
  <c r="C621"/>
  <c r="C617"/>
  <c r="C615"/>
  <c r="C611"/>
  <c r="C608"/>
  <c r="C606"/>
  <c r="C605"/>
  <c r="C601"/>
  <c r="C600"/>
  <c r="C595"/>
  <c r="C592"/>
  <c r="C585"/>
  <c r="C582"/>
  <c r="C579"/>
  <c r="C574"/>
  <c r="C563"/>
  <c r="C562"/>
  <c r="C559"/>
  <c r="C557"/>
  <c r="C629"/>
  <c r="C620"/>
  <c r="C616"/>
  <c r="C614"/>
  <c r="C610"/>
  <c r="C609"/>
  <c r="C604"/>
  <c r="C597"/>
  <c r="C581"/>
  <c r="C578"/>
  <c r="C576"/>
  <c r="C573"/>
  <c r="C571"/>
  <c r="C570"/>
  <c r="C568"/>
  <c r="C566"/>
  <c r="C565"/>
  <c r="C560"/>
  <c r="C558"/>
  <c r="C556"/>
  <c r="C555"/>
  <c r="C553"/>
  <c r="C551"/>
  <c r="C628"/>
  <c r="C627"/>
  <c r="C626"/>
  <c r="C623"/>
  <c r="C619"/>
  <c r="C613"/>
  <c r="C603"/>
  <c r="C599"/>
  <c r="C594"/>
  <c r="C593"/>
  <c r="C591"/>
  <c r="C590"/>
  <c r="C589"/>
  <c r="C588"/>
  <c r="C584"/>
  <c r="C580"/>
  <c r="C575"/>
  <c r="C631"/>
  <c r="C625"/>
  <c r="C622"/>
  <c r="C618"/>
  <c r="C612"/>
  <c r="C607"/>
  <c r="C602"/>
  <c r="C598"/>
  <c r="C596"/>
  <c r="C587"/>
  <c r="C586"/>
  <c r="C583"/>
  <c r="C577"/>
  <c r="C572"/>
  <c r="C569"/>
  <c r="C567"/>
  <c r="C564"/>
  <c r="C561"/>
  <c r="C554"/>
  <c r="C552"/>
  <c r="C20"/>
  <c r="G6" i="29"/>
  <c r="F6"/>
  <c r="E6"/>
  <c r="D6"/>
  <c r="G5"/>
  <c r="F5"/>
  <c r="E5"/>
  <c r="D5"/>
  <c r="G4"/>
  <c r="F4"/>
  <c r="E4"/>
  <c r="D4"/>
  <c r="E188"/>
  <c r="B188"/>
  <c r="D188"/>
  <c r="C188"/>
  <c r="C258" i="49" l="1"/>
  <c r="E258" s="1"/>
  <c r="C199"/>
  <c r="C140"/>
  <c r="D140" s="1"/>
  <c r="C376"/>
  <c r="D376" s="1"/>
  <c r="C108"/>
  <c r="D108" s="1"/>
  <c r="C265"/>
  <c r="D265" s="1"/>
  <c r="C42"/>
  <c r="D42" s="1"/>
  <c r="C77"/>
  <c r="D77" s="1"/>
  <c r="C165"/>
  <c r="E165" s="1"/>
  <c r="C190"/>
  <c r="E190" s="1"/>
  <c r="C316"/>
  <c r="D316" s="1"/>
  <c r="C336"/>
  <c r="E336" s="1"/>
  <c r="C424"/>
  <c r="E424" s="1"/>
  <c r="C58"/>
  <c r="C133"/>
  <c r="E133" s="1"/>
  <c r="C214"/>
  <c r="D214" s="1"/>
  <c r="C319"/>
  <c r="E319" s="1"/>
  <c r="C324"/>
  <c r="E324" s="1"/>
  <c r="C373"/>
  <c r="E373" s="1"/>
  <c r="C527"/>
  <c r="D527" s="1"/>
  <c r="C71"/>
  <c r="D71" s="1"/>
  <c r="C164"/>
  <c r="C238"/>
  <c r="E238" s="1"/>
  <c r="C253"/>
  <c r="D253" s="1"/>
  <c r="C266"/>
  <c r="D266" s="1"/>
  <c r="C400"/>
  <c r="E400" s="1"/>
  <c r="C438"/>
  <c r="D438" s="1"/>
  <c r="C31"/>
  <c r="D31" s="1"/>
  <c r="C44"/>
  <c r="E44" s="1"/>
  <c r="C92"/>
  <c r="D92" s="1"/>
  <c r="C69"/>
  <c r="D69" s="1"/>
  <c r="C51"/>
  <c r="E51" s="1"/>
  <c r="C89"/>
  <c r="D89" s="1"/>
  <c r="C159"/>
  <c r="E159" s="1"/>
  <c r="C154"/>
  <c r="D154" s="1"/>
  <c r="C128"/>
  <c r="D128" s="1"/>
  <c r="C186"/>
  <c r="E186" s="1"/>
  <c r="C175"/>
  <c r="E175" s="1"/>
  <c r="C227"/>
  <c r="D227" s="1"/>
  <c r="C223"/>
  <c r="D223" s="1"/>
  <c r="C209"/>
  <c r="E209" s="1"/>
  <c r="C271"/>
  <c r="C335"/>
  <c r="E335" s="1"/>
  <c r="C270"/>
  <c r="D270" s="1"/>
  <c r="C334"/>
  <c r="E334" s="1"/>
  <c r="C282"/>
  <c r="C337"/>
  <c r="E337" s="1"/>
  <c r="C281"/>
  <c r="D281" s="1"/>
  <c r="C352"/>
  <c r="E352" s="1"/>
  <c r="C412"/>
  <c r="E412" s="1"/>
  <c r="C392"/>
  <c r="D392" s="1"/>
  <c r="C384"/>
  <c r="D384" s="1"/>
  <c r="C439"/>
  <c r="D439" s="1"/>
  <c r="C453"/>
  <c r="C502"/>
  <c r="D502" s="1"/>
  <c r="C24"/>
  <c r="D24" s="1"/>
  <c r="C38"/>
  <c r="E38" s="1"/>
  <c r="C53"/>
  <c r="D53" s="1"/>
  <c r="C55"/>
  <c r="E55" s="1"/>
  <c r="C97"/>
  <c r="D97" s="1"/>
  <c r="C67"/>
  <c r="D67" s="1"/>
  <c r="C127"/>
  <c r="E127" s="1"/>
  <c r="C119"/>
  <c r="D119" s="1"/>
  <c r="C132"/>
  <c r="E132" s="1"/>
  <c r="C152"/>
  <c r="D152" s="1"/>
  <c r="C221"/>
  <c r="E221" s="1"/>
  <c r="C202"/>
  <c r="E202" s="1"/>
  <c r="C184"/>
  <c r="E184" s="1"/>
  <c r="C182"/>
  <c r="E182" s="1"/>
  <c r="C239"/>
  <c r="E239" s="1"/>
  <c r="C307"/>
  <c r="E307" s="1"/>
  <c r="C363"/>
  <c r="E363" s="1"/>
  <c r="C296"/>
  <c r="D296" s="1"/>
  <c r="C368"/>
  <c r="C311"/>
  <c r="E311" s="1"/>
  <c r="C251"/>
  <c r="D251" s="1"/>
  <c r="C314"/>
  <c r="D314" s="1"/>
  <c r="C381"/>
  <c r="C434"/>
  <c r="E434" s="1"/>
  <c r="C437"/>
  <c r="D437" s="1"/>
  <c r="C411"/>
  <c r="D411" s="1"/>
  <c r="C422"/>
  <c r="E422" s="1"/>
  <c r="C480"/>
  <c r="E480" s="1"/>
  <c r="C451"/>
  <c r="D451" s="1"/>
  <c r="C45"/>
  <c r="D45" s="1"/>
  <c r="C93"/>
  <c r="C105"/>
  <c r="D105" s="1"/>
  <c r="C83"/>
  <c r="D83" s="1"/>
  <c r="C112"/>
  <c r="D112" s="1"/>
  <c r="C102"/>
  <c r="E102" s="1"/>
  <c r="C123"/>
  <c r="E123" s="1"/>
  <c r="C161"/>
  <c r="E161" s="1"/>
  <c r="C142"/>
  <c r="E142" s="1"/>
  <c r="C208"/>
  <c r="E208" s="1"/>
  <c r="C193"/>
  <c r="D193" s="1"/>
  <c r="C241"/>
  <c r="E241" s="1"/>
  <c r="C247"/>
  <c r="E247" s="1"/>
  <c r="C226"/>
  <c r="D226" s="1"/>
  <c r="C288"/>
  <c r="E288" s="1"/>
  <c r="C351"/>
  <c r="E351" s="1"/>
  <c r="C284"/>
  <c r="E284" s="1"/>
  <c r="C350"/>
  <c r="D350" s="1"/>
  <c r="C293"/>
  <c r="E293" s="1"/>
  <c r="C356"/>
  <c r="D356" s="1"/>
  <c r="C299"/>
  <c r="D299" s="1"/>
  <c r="C365"/>
  <c r="E365" s="1"/>
  <c r="C420"/>
  <c r="E420" s="1"/>
  <c r="C408"/>
  <c r="E408" s="1"/>
  <c r="C397"/>
  <c r="D397" s="1"/>
  <c r="C402"/>
  <c r="E402" s="1"/>
  <c r="C466"/>
  <c r="E466" s="1"/>
  <c r="C482"/>
  <c r="E482" s="1"/>
  <c r="C26"/>
  <c r="E26" s="1"/>
  <c r="C27"/>
  <c r="D27" s="1"/>
  <c r="C21"/>
  <c r="E21" s="1"/>
  <c r="C32"/>
  <c r="D32" s="1"/>
  <c r="C33"/>
  <c r="E33" s="1"/>
  <c r="C39"/>
  <c r="D39" s="1"/>
  <c r="C43"/>
  <c r="E43" s="1"/>
  <c r="C46"/>
  <c r="E46" s="1"/>
  <c r="C101"/>
  <c r="D101" s="1"/>
  <c r="C63"/>
  <c r="C79"/>
  <c r="D79" s="1"/>
  <c r="C98"/>
  <c r="D98" s="1"/>
  <c r="C106"/>
  <c r="E106" s="1"/>
  <c r="C72"/>
  <c r="E72" s="1"/>
  <c r="C61"/>
  <c r="D61" s="1"/>
  <c r="C70"/>
  <c r="D70" s="1"/>
  <c r="C86"/>
  <c r="E86" s="1"/>
  <c r="C103"/>
  <c r="D103" s="1"/>
  <c r="C109"/>
  <c r="D109" s="1"/>
  <c r="C54"/>
  <c r="E54" s="1"/>
  <c r="C50"/>
  <c r="E50" s="1"/>
  <c r="C68"/>
  <c r="E68" s="1"/>
  <c r="C80"/>
  <c r="E80" s="1"/>
  <c r="C91"/>
  <c r="E91" s="1"/>
  <c r="C113"/>
  <c r="D113" s="1"/>
  <c r="C135"/>
  <c r="E135" s="1"/>
  <c r="C134"/>
  <c r="D134" s="1"/>
  <c r="C169"/>
  <c r="D169" s="1"/>
  <c r="C141"/>
  <c r="E141" s="1"/>
  <c r="C121"/>
  <c r="C139"/>
  <c r="E139" s="1"/>
  <c r="C155"/>
  <c r="E155" s="1"/>
  <c r="C162"/>
  <c r="E162" s="1"/>
  <c r="C126"/>
  <c r="D126" s="1"/>
  <c r="C117"/>
  <c r="E117" s="1"/>
  <c r="C129"/>
  <c r="E129" s="1"/>
  <c r="C145"/>
  <c r="E145" s="1"/>
  <c r="C156"/>
  <c r="C166"/>
  <c r="E166" s="1"/>
  <c r="C187"/>
  <c r="E187" s="1"/>
  <c r="C212"/>
  <c r="D212" s="1"/>
  <c r="C225"/>
  <c r="E225" s="1"/>
  <c r="C242"/>
  <c r="D242" s="1"/>
  <c r="C176"/>
  <c r="E176" s="1"/>
  <c r="C195"/>
  <c r="D195" s="1"/>
  <c r="C203"/>
  <c r="D203" s="1"/>
  <c r="C217"/>
  <c r="D217" s="1"/>
  <c r="C230"/>
  <c r="D230" s="1"/>
  <c r="C244"/>
  <c r="E244" s="1"/>
  <c r="C185"/>
  <c r="E185" s="1"/>
  <c r="C206"/>
  <c r="E206" s="1"/>
  <c r="C232"/>
  <c r="E232" s="1"/>
  <c r="C173"/>
  <c r="D173" s="1"/>
  <c r="C183"/>
  <c r="E183" s="1"/>
  <c r="C196"/>
  <c r="E196" s="1"/>
  <c r="C213"/>
  <c r="E213" s="1"/>
  <c r="C229"/>
  <c r="E229" s="1"/>
  <c r="C243"/>
  <c r="C256"/>
  <c r="E256" s="1"/>
  <c r="C276"/>
  <c r="E276" s="1"/>
  <c r="C292"/>
  <c r="D292" s="1"/>
  <c r="C309"/>
  <c r="E309" s="1"/>
  <c r="C322"/>
  <c r="E322" s="1"/>
  <c r="C339"/>
  <c r="E339" s="1"/>
  <c r="C354"/>
  <c r="E354" s="1"/>
  <c r="C370"/>
  <c r="E370" s="1"/>
  <c r="C261"/>
  <c r="D261" s="1"/>
  <c r="C274"/>
  <c r="E274" s="1"/>
  <c r="C290"/>
  <c r="E290" s="1"/>
  <c r="C300"/>
  <c r="C321"/>
  <c r="D321" s="1"/>
  <c r="C338"/>
  <c r="D338" s="1"/>
  <c r="C353"/>
  <c r="D353" s="1"/>
  <c r="C369"/>
  <c r="C269"/>
  <c r="E269" s="1"/>
  <c r="C283"/>
  <c r="D283" s="1"/>
  <c r="C303"/>
  <c r="E303" s="1"/>
  <c r="C315"/>
  <c r="C327"/>
  <c r="E327" s="1"/>
  <c r="C341"/>
  <c r="D341" s="1"/>
  <c r="C360"/>
  <c r="E360" s="1"/>
  <c r="C254"/>
  <c r="E254" s="1"/>
  <c r="C268"/>
  <c r="E268" s="1"/>
  <c r="C286"/>
  <c r="E286" s="1"/>
  <c r="C302"/>
  <c r="E302" s="1"/>
  <c r="C323"/>
  <c r="C340"/>
  <c r="E340" s="1"/>
  <c r="C355"/>
  <c r="D355" s="1"/>
  <c r="C371"/>
  <c r="D371" s="1"/>
  <c r="C388"/>
  <c r="D388" s="1"/>
  <c r="C401"/>
  <c r="E401" s="1"/>
  <c r="C413"/>
  <c r="E413" s="1"/>
  <c r="C421"/>
  <c r="E421" s="1"/>
  <c r="C441"/>
  <c r="D441" s="1"/>
  <c r="C380"/>
  <c r="D380" s="1"/>
  <c r="C398"/>
  <c r="E398" s="1"/>
  <c r="C425"/>
  <c r="D425" s="1"/>
  <c r="C440"/>
  <c r="C377"/>
  <c r="E377" s="1"/>
  <c r="C385"/>
  <c r="E385" s="1"/>
  <c r="C403"/>
  <c r="E403" s="1"/>
  <c r="C416"/>
  <c r="E416" s="1"/>
  <c r="C430"/>
  <c r="E430" s="1"/>
  <c r="C443"/>
  <c r="E443" s="1"/>
  <c r="C410"/>
  <c r="D410" s="1"/>
  <c r="C428"/>
  <c r="C442"/>
  <c r="D442" s="1"/>
  <c r="C456"/>
  <c r="D456" s="1"/>
  <c r="C470"/>
  <c r="E470" s="1"/>
  <c r="C485"/>
  <c r="E485" s="1"/>
  <c r="C458"/>
  <c r="D458" s="1"/>
  <c r="C518"/>
  <c r="E518" s="1"/>
  <c r="C501"/>
  <c r="E501" s="1"/>
  <c r="C475"/>
  <c r="E475" s="1"/>
  <c r="C23"/>
  <c r="D23" s="1"/>
  <c r="C25"/>
  <c r="E25" s="1"/>
  <c r="C19"/>
  <c r="D19" s="1"/>
  <c r="C30"/>
  <c r="D30" s="1"/>
  <c r="C36"/>
  <c r="D36" s="1"/>
  <c r="C41"/>
  <c r="E41" s="1"/>
  <c r="C37"/>
  <c r="E37" s="1"/>
  <c r="C48"/>
  <c r="E48" s="1"/>
  <c r="C52"/>
  <c r="D52" s="1"/>
  <c r="C65"/>
  <c r="E65" s="1"/>
  <c r="C88"/>
  <c r="E88" s="1"/>
  <c r="C100"/>
  <c r="D100" s="1"/>
  <c r="C115"/>
  <c r="D115" s="1"/>
  <c r="C57"/>
  <c r="E57" s="1"/>
  <c r="C66"/>
  <c r="D66" s="1"/>
  <c r="C82"/>
  <c r="C96"/>
  <c r="D96" s="1"/>
  <c r="C107"/>
  <c r="D107" s="1"/>
  <c r="C49"/>
  <c r="E49" s="1"/>
  <c r="C84"/>
  <c r="D84" s="1"/>
  <c r="C60"/>
  <c r="E60" s="1"/>
  <c r="C74"/>
  <c r="E74" s="1"/>
  <c r="C85"/>
  <c r="E85" s="1"/>
  <c r="C95"/>
  <c r="C122"/>
  <c r="E122" s="1"/>
  <c r="C151"/>
  <c r="E151" s="1"/>
  <c r="C150"/>
  <c r="D150" s="1"/>
  <c r="C171"/>
  <c r="D171" s="1"/>
  <c r="C118"/>
  <c r="E118" s="1"/>
  <c r="C130"/>
  <c r="E130" s="1"/>
  <c r="C153"/>
  <c r="D153" s="1"/>
  <c r="C158"/>
  <c r="E158" s="1"/>
  <c r="C168"/>
  <c r="D168" s="1"/>
  <c r="C137"/>
  <c r="E137" s="1"/>
  <c r="C124"/>
  <c r="D124" s="1"/>
  <c r="C138"/>
  <c r="E138" s="1"/>
  <c r="C148"/>
  <c r="E148" s="1"/>
  <c r="C163"/>
  <c r="E163" s="1"/>
  <c r="C177"/>
  <c r="E177" s="1"/>
  <c r="C204"/>
  <c r="E204" s="1"/>
  <c r="C218"/>
  <c r="E218" s="1"/>
  <c r="C234"/>
  <c r="E234" s="1"/>
  <c r="C248"/>
  <c r="D248" s="1"/>
  <c r="C192"/>
  <c r="C201"/>
  <c r="D201" s="1"/>
  <c r="C211"/>
  <c r="D211" s="1"/>
  <c r="C224"/>
  <c r="D224" s="1"/>
  <c r="C237"/>
  <c r="D237" s="1"/>
  <c r="C180"/>
  <c r="E180" s="1"/>
  <c r="C198"/>
  <c r="E198" s="1"/>
  <c r="C219"/>
  <c r="E219" s="1"/>
  <c r="C240"/>
  <c r="E240" s="1"/>
  <c r="C179"/>
  <c r="D179" s="1"/>
  <c r="C189"/>
  <c r="E189" s="1"/>
  <c r="C205"/>
  <c r="E205" s="1"/>
  <c r="C222"/>
  <c r="E222" s="1"/>
  <c r="C235"/>
  <c r="E235" s="1"/>
  <c r="C250"/>
  <c r="E250" s="1"/>
  <c r="C264"/>
  <c r="E264" s="1"/>
  <c r="C285"/>
  <c r="C301"/>
  <c r="E301" s="1"/>
  <c r="C317"/>
  <c r="E317" s="1"/>
  <c r="C329"/>
  <c r="E329" s="1"/>
  <c r="C347"/>
  <c r="E347" s="1"/>
  <c r="C362"/>
  <c r="E362" s="1"/>
  <c r="C252"/>
  <c r="E252" s="1"/>
  <c r="C267"/>
  <c r="E267" s="1"/>
  <c r="C279"/>
  <c r="D279" s="1"/>
  <c r="C294"/>
  <c r="D294" s="1"/>
  <c r="C312"/>
  <c r="D312" s="1"/>
  <c r="C331"/>
  <c r="E331" s="1"/>
  <c r="C346"/>
  <c r="D346" s="1"/>
  <c r="C361"/>
  <c r="D361" s="1"/>
  <c r="C257"/>
  <c r="E257" s="1"/>
  <c r="C278"/>
  <c r="E278" s="1"/>
  <c r="C289"/>
  <c r="E289" s="1"/>
  <c r="C308"/>
  <c r="E308" s="1"/>
  <c r="C320"/>
  <c r="E320" s="1"/>
  <c r="C333"/>
  <c r="E333" s="1"/>
  <c r="C349"/>
  <c r="C367"/>
  <c r="E367" s="1"/>
  <c r="C262"/>
  <c r="E262" s="1"/>
  <c r="C277"/>
  <c r="D277" s="1"/>
  <c r="C298"/>
  <c r="C310"/>
  <c r="E310" s="1"/>
  <c r="C332"/>
  <c r="E332" s="1"/>
  <c r="C348"/>
  <c r="D348" s="1"/>
  <c r="C364"/>
  <c r="C378"/>
  <c r="D378" s="1"/>
  <c r="C393"/>
  <c r="E393" s="1"/>
  <c r="C409"/>
  <c r="E409" s="1"/>
  <c r="C419"/>
  <c r="C427"/>
  <c r="E427" s="1"/>
  <c r="C390"/>
  <c r="E390" s="1"/>
  <c r="C387"/>
  <c r="E387" s="1"/>
  <c r="C404"/>
  <c r="D404" s="1"/>
  <c r="C433"/>
  <c r="D433" s="1"/>
  <c r="C375"/>
  <c r="D375" s="1"/>
  <c r="C383"/>
  <c r="E383" s="1"/>
  <c r="C396"/>
  <c r="C407"/>
  <c r="E407" s="1"/>
  <c r="C423"/>
  <c r="D423" s="1"/>
  <c r="C436"/>
  <c r="E436" s="1"/>
  <c r="C395"/>
  <c r="C415"/>
  <c r="E415" s="1"/>
  <c r="C435"/>
  <c r="E435" s="1"/>
  <c r="C447"/>
  <c r="E447" s="1"/>
  <c r="C462"/>
  <c r="D462" s="1"/>
  <c r="C477"/>
  <c r="D477" s="1"/>
  <c r="C520"/>
  <c r="D520" s="1"/>
  <c r="C488"/>
  <c r="D488" s="1"/>
  <c r="C460"/>
  <c r="C524"/>
  <c r="E524" s="1"/>
  <c r="C503"/>
  <c r="E503" s="1"/>
  <c r="C18"/>
  <c r="E18" s="1"/>
  <c r="C28"/>
  <c r="D28" s="1"/>
  <c r="C22"/>
  <c r="E22" s="1"/>
  <c r="C29"/>
  <c r="E29" s="1"/>
  <c r="C35"/>
  <c r="E35" s="1"/>
  <c r="C40"/>
  <c r="D40" s="1"/>
  <c r="C34"/>
  <c r="E34" s="1"/>
  <c r="C47"/>
  <c r="E47" s="1"/>
  <c r="C111"/>
  <c r="D111" s="1"/>
  <c r="C64"/>
  <c r="D64" s="1"/>
  <c r="C87"/>
  <c r="D87" s="1"/>
  <c r="C99"/>
  <c r="E99" s="1"/>
  <c r="C110"/>
  <c r="D110" s="1"/>
  <c r="C76"/>
  <c r="C62"/>
  <c r="E62" s="1"/>
  <c r="C78"/>
  <c r="D78" s="1"/>
  <c r="C90"/>
  <c r="D90" s="1"/>
  <c r="C104"/>
  <c r="E104" s="1"/>
  <c r="C114"/>
  <c r="D114" s="1"/>
  <c r="C75"/>
  <c r="D75" s="1"/>
  <c r="C56"/>
  <c r="E56" s="1"/>
  <c r="C73"/>
  <c r="C81"/>
  <c r="E81" s="1"/>
  <c r="C94"/>
  <c r="E94" s="1"/>
  <c r="C116"/>
  <c r="E116" s="1"/>
  <c r="C144"/>
  <c r="C149"/>
  <c r="D149" s="1"/>
  <c r="C170"/>
  <c r="D170" s="1"/>
  <c r="C147"/>
  <c r="E147" s="1"/>
  <c r="C125"/>
  <c r="E125" s="1"/>
  <c r="C143"/>
  <c r="D143" s="1"/>
  <c r="C157"/>
  <c r="E157" s="1"/>
  <c r="C167"/>
  <c r="E167" s="1"/>
  <c r="C131"/>
  <c r="C120"/>
  <c r="E120" s="1"/>
  <c r="C136"/>
  <c r="E136" s="1"/>
  <c r="C146"/>
  <c r="E146" s="1"/>
  <c r="C160"/>
  <c r="E160" s="1"/>
  <c r="C172"/>
  <c r="D172" s="1"/>
  <c r="C194"/>
  <c r="E194" s="1"/>
  <c r="C215"/>
  <c r="E215" s="1"/>
  <c r="C228"/>
  <c r="C245"/>
  <c r="E245" s="1"/>
  <c r="C181"/>
  <c r="D181" s="1"/>
  <c r="C200"/>
  <c r="E200" s="1"/>
  <c r="C207"/>
  <c r="E207" s="1"/>
  <c r="C220"/>
  <c r="E220" s="1"/>
  <c r="C233"/>
  <c r="D233" s="1"/>
  <c r="C174"/>
  <c r="E174" s="1"/>
  <c r="C191"/>
  <c r="C210"/>
  <c r="E210" s="1"/>
  <c r="C236"/>
  <c r="E236" s="1"/>
  <c r="C178"/>
  <c r="E178" s="1"/>
  <c r="C188"/>
  <c r="C197"/>
  <c r="E197" s="1"/>
  <c r="C216"/>
  <c r="E216" s="1"/>
  <c r="C231"/>
  <c r="E231" s="1"/>
  <c r="C246"/>
  <c r="E246" s="1"/>
  <c r="C259"/>
  <c r="E259" s="1"/>
  <c r="C280"/>
  <c r="E280" s="1"/>
  <c r="C297"/>
  <c r="E297" s="1"/>
  <c r="C313"/>
  <c r="E313" s="1"/>
  <c r="C325"/>
  <c r="E325" s="1"/>
  <c r="C343"/>
  <c r="D343" s="1"/>
  <c r="C358"/>
  <c r="E358" s="1"/>
  <c r="C249"/>
  <c r="C263"/>
  <c r="D263" s="1"/>
  <c r="C275"/>
  <c r="E275" s="1"/>
  <c r="C291"/>
  <c r="E291" s="1"/>
  <c r="C304"/>
  <c r="D304" s="1"/>
  <c r="C328"/>
  <c r="D328" s="1"/>
  <c r="C342"/>
  <c r="E342" s="1"/>
  <c r="C357"/>
  <c r="D357" s="1"/>
  <c r="C255"/>
  <c r="E255" s="1"/>
  <c r="C273"/>
  <c r="E273" s="1"/>
  <c r="C287"/>
  <c r="D287" s="1"/>
  <c r="C306"/>
  <c r="E306" s="1"/>
  <c r="C318"/>
  <c r="E318" s="1"/>
  <c r="C330"/>
  <c r="E330" s="1"/>
  <c r="C345"/>
  <c r="E345" s="1"/>
  <c r="C366"/>
  <c r="D366" s="1"/>
  <c r="C260"/>
  <c r="D260" s="1"/>
  <c r="C272"/>
  <c r="E272" s="1"/>
  <c r="C295"/>
  <c r="D295" s="1"/>
  <c r="C305"/>
  <c r="D305" s="1"/>
  <c r="C326"/>
  <c r="D326" s="1"/>
  <c r="C344"/>
  <c r="E344" s="1"/>
  <c r="C359"/>
  <c r="D359" s="1"/>
  <c r="C374"/>
  <c r="E374" s="1"/>
  <c r="C389"/>
  <c r="D389" s="1"/>
  <c r="C405"/>
  <c r="E405" s="1"/>
  <c r="C418"/>
  <c r="D418" s="1"/>
  <c r="C426"/>
  <c r="E426" s="1"/>
  <c r="C382"/>
  <c r="C386"/>
  <c r="E386" s="1"/>
  <c r="C399"/>
  <c r="E399" s="1"/>
  <c r="C432"/>
  <c r="D432" s="1"/>
  <c r="C372"/>
  <c r="E372" s="1"/>
  <c r="C379"/>
  <c r="E379" s="1"/>
  <c r="C391"/>
  <c r="E391" s="1"/>
  <c r="C406"/>
  <c r="E406" s="1"/>
  <c r="C417"/>
  <c r="E417" s="1"/>
  <c r="C431"/>
  <c r="D431" s="1"/>
  <c r="C394"/>
  <c r="E394" s="1"/>
  <c r="C414"/>
  <c r="E414" s="1"/>
  <c r="C429"/>
  <c r="C445"/>
  <c r="E445" s="1"/>
  <c r="C459"/>
  <c r="E459" s="1"/>
  <c r="C474"/>
  <c r="E474" s="1"/>
  <c r="C498"/>
  <c r="C473"/>
  <c r="D473" s="1"/>
  <c r="C446"/>
  <c r="D446" s="1"/>
  <c r="C512"/>
  <c r="E512" s="1"/>
  <c r="C487"/>
  <c r="E29" i="48"/>
  <c r="E24"/>
  <c r="E21"/>
  <c r="E25"/>
  <c r="E22"/>
  <c r="E27"/>
  <c r="E23"/>
  <c r="C496" i="49"/>
  <c r="D496" s="1"/>
  <c r="C516"/>
  <c r="E516" s="1"/>
  <c r="C523"/>
  <c r="E523" s="1"/>
  <c r="C455"/>
  <c r="E455" s="1"/>
  <c r="C469"/>
  <c r="D469" s="1"/>
  <c r="C484"/>
  <c r="D484" s="1"/>
  <c r="C495"/>
  <c r="E495" s="1"/>
  <c r="C515"/>
  <c r="D515" s="1"/>
  <c r="C444"/>
  <c r="E444" s="1"/>
  <c r="C457"/>
  <c r="E457" s="1"/>
  <c r="C472"/>
  <c r="E472" s="1"/>
  <c r="C500"/>
  <c r="D500" s="1"/>
  <c r="C509"/>
  <c r="C517"/>
  <c r="E517" s="1"/>
  <c r="C448"/>
  <c r="E448" s="1"/>
  <c r="C471"/>
  <c r="E471" s="1"/>
  <c r="C486"/>
  <c r="C499"/>
  <c r="D499" s="1"/>
  <c r="C491"/>
  <c r="E491" s="1"/>
  <c r="C511"/>
  <c r="E511" s="1"/>
  <c r="C522"/>
  <c r="E522" s="1"/>
  <c r="C452"/>
  <c r="D452" s="1"/>
  <c r="C465"/>
  <c r="D465" s="1"/>
  <c r="C479"/>
  <c r="D479" s="1"/>
  <c r="C494"/>
  <c r="D494" s="1"/>
  <c r="C510"/>
  <c r="D510" s="1"/>
  <c r="C526"/>
  <c r="D526" s="1"/>
  <c r="C454"/>
  <c r="D454" s="1"/>
  <c r="C468"/>
  <c r="E468" s="1"/>
  <c r="C497"/>
  <c r="E497" s="1"/>
  <c r="C505"/>
  <c r="E505" s="1"/>
  <c r="C514"/>
  <c r="D514" s="1"/>
  <c r="C529"/>
  <c r="E529" s="1"/>
  <c r="C467"/>
  <c r="D467" s="1"/>
  <c r="C481"/>
  <c r="D481" s="1"/>
  <c r="C493"/>
  <c r="D493" s="1"/>
  <c r="C528"/>
  <c r="E528" s="1"/>
  <c r="C490"/>
  <c r="D490" s="1"/>
  <c r="C507"/>
  <c r="D507" s="1"/>
  <c r="C521"/>
  <c r="D521" s="1"/>
  <c r="C450"/>
  <c r="D450" s="1"/>
  <c r="C461"/>
  <c r="D461" s="1"/>
  <c r="C476"/>
  <c r="D476" s="1"/>
  <c r="C489"/>
  <c r="D489" s="1"/>
  <c r="C506"/>
  <c r="D506" s="1"/>
  <c r="C519"/>
  <c r="D519" s="1"/>
  <c r="C449"/>
  <c r="E449" s="1"/>
  <c r="C464"/>
  <c r="E464" s="1"/>
  <c r="C483"/>
  <c r="E483" s="1"/>
  <c r="C504"/>
  <c r="E504" s="1"/>
  <c r="C513"/>
  <c r="D513" s="1"/>
  <c r="C525"/>
  <c r="D525" s="1"/>
  <c r="C463"/>
  <c r="E463" s="1"/>
  <c r="C478"/>
  <c r="E478" s="1"/>
  <c r="C492"/>
  <c r="D492" s="1"/>
  <c r="E62" i="48"/>
  <c r="E61"/>
  <c r="E65"/>
  <c r="E66"/>
  <c r="E64"/>
  <c r="E63"/>
  <c r="E69"/>
  <c r="E68"/>
  <c r="C177" i="29"/>
  <c r="B177" s="1"/>
  <c r="E178"/>
  <c r="D178" s="1"/>
  <c r="C222"/>
  <c r="C123"/>
  <c r="C124"/>
  <c r="B126"/>
  <c r="B125"/>
  <c r="D126"/>
  <c r="D125"/>
  <c r="B122"/>
  <c r="D122"/>
  <c r="E123"/>
  <c r="E124"/>
  <c r="E28" i="49"/>
  <c r="D93"/>
  <c r="E93"/>
  <c r="E63"/>
  <c r="D63"/>
  <c r="E39"/>
  <c r="E20"/>
  <c r="D20"/>
  <c r="E58"/>
  <c r="D58"/>
  <c r="D135"/>
  <c r="D159"/>
  <c r="D221"/>
  <c r="D175"/>
  <c r="D185"/>
  <c r="E226"/>
  <c r="D313"/>
  <c r="D335"/>
  <c r="E350"/>
  <c r="D254"/>
  <c r="E265"/>
  <c r="E388"/>
  <c r="E441"/>
  <c r="D567"/>
  <c r="E567"/>
  <c r="D583"/>
  <c r="E583"/>
  <c r="D587"/>
  <c r="E587"/>
  <c r="D596"/>
  <c r="E596"/>
  <c r="D622"/>
  <c r="E622"/>
  <c r="E580"/>
  <c r="D580"/>
  <c r="E589"/>
  <c r="D589"/>
  <c r="E591"/>
  <c r="D591"/>
  <c r="E613"/>
  <c r="D613"/>
  <c r="E626"/>
  <c r="D626"/>
  <c r="E628"/>
  <c r="D628"/>
  <c r="D553"/>
  <c r="E553"/>
  <c r="D565"/>
  <c r="E565"/>
  <c r="D568"/>
  <c r="E568"/>
  <c r="D576"/>
  <c r="E576"/>
  <c r="D581"/>
  <c r="E581"/>
  <c r="D614"/>
  <c r="E614"/>
  <c r="D559"/>
  <c r="E559"/>
  <c r="D563"/>
  <c r="E563"/>
  <c r="D574"/>
  <c r="E574"/>
  <c r="D579"/>
  <c r="E579"/>
  <c r="D595"/>
  <c r="E595"/>
  <c r="D601"/>
  <c r="E601"/>
  <c r="D624"/>
  <c r="E624"/>
  <c r="D637"/>
  <c r="E637"/>
  <c r="D641"/>
  <c r="E641"/>
  <c r="E643"/>
  <c r="D643"/>
  <c r="D650"/>
  <c r="E650"/>
  <c r="D652"/>
  <c r="E652"/>
  <c r="D656"/>
  <c r="E656"/>
  <c r="D682"/>
  <c r="E682"/>
  <c r="E663"/>
  <c r="D663"/>
  <c r="E671"/>
  <c r="D671"/>
  <c r="D657"/>
  <c r="E657"/>
  <c r="D668"/>
  <c r="E668"/>
  <c r="D677"/>
  <c r="E677"/>
  <c r="D662"/>
  <c r="E662"/>
  <c r="D669"/>
  <c r="E669"/>
  <c r="D688"/>
  <c r="E688"/>
  <c r="D692"/>
  <c r="E692"/>
  <c r="D698"/>
  <c r="E698"/>
  <c r="D705"/>
  <c r="E705"/>
  <c r="D723"/>
  <c r="E723"/>
  <c r="D729"/>
  <c r="E729"/>
  <c r="D735"/>
  <c r="E735"/>
  <c r="D743"/>
  <c r="E743"/>
  <c r="D751"/>
  <c r="E751"/>
  <c r="E694"/>
  <c r="D694"/>
  <c r="E699"/>
  <c r="D699"/>
  <c r="E711"/>
  <c r="D711"/>
  <c r="E714"/>
  <c r="D714"/>
  <c r="E724"/>
  <c r="D724"/>
  <c r="E727"/>
  <c r="D727"/>
  <c r="E731"/>
  <c r="D731"/>
  <c r="E738"/>
  <c r="D738"/>
  <c r="D687"/>
  <c r="E687"/>
  <c r="D701"/>
  <c r="E701"/>
  <c r="D717"/>
  <c r="E717"/>
  <c r="D732"/>
  <c r="E732"/>
  <c r="D742"/>
  <c r="E742"/>
  <c r="D745"/>
  <c r="E745"/>
  <c r="D747"/>
  <c r="E747"/>
  <c r="D690"/>
  <c r="E690"/>
  <c r="D719"/>
  <c r="E719"/>
  <c r="D728"/>
  <c r="E728"/>
  <c r="D736"/>
  <c r="E736"/>
  <c r="E759"/>
  <c r="D759"/>
  <c r="D760"/>
  <c r="E760"/>
  <c r="D762"/>
  <c r="E762"/>
  <c r="D783"/>
  <c r="E783"/>
  <c r="E769"/>
  <c r="D769"/>
  <c r="D786"/>
  <c r="E786"/>
  <c r="D775"/>
  <c r="E775"/>
  <c r="D776"/>
  <c r="E776"/>
  <c r="D793"/>
  <c r="E793"/>
  <c r="E809"/>
  <c r="D809"/>
  <c r="E856"/>
  <c r="D856"/>
  <c r="D791"/>
  <c r="E791"/>
  <c r="D796"/>
  <c r="E796"/>
  <c r="D807"/>
  <c r="E807"/>
  <c r="D813"/>
  <c r="E813"/>
  <c r="D820"/>
  <c r="E820"/>
  <c r="D824"/>
  <c r="E824"/>
  <c r="D842"/>
  <c r="E842"/>
  <c r="D816"/>
  <c r="E816"/>
  <c r="D838"/>
  <c r="E838"/>
  <c r="D843"/>
  <c r="E843"/>
  <c r="D852"/>
  <c r="E852"/>
  <c r="D861"/>
  <c r="E861"/>
  <c r="D865"/>
  <c r="E865"/>
  <c r="D870"/>
  <c r="E870"/>
  <c r="D883"/>
  <c r="E883"/>
  <c r="D889"/>
  <c r="E889"/>
  <c r="E890"/>
  <c r="D890"/>
  <c r="E904"/>
  <c r="D904"/>
  <c r="D888"/>
  <c r="E888"/>
  <c r="D892"/>
  <c r="E892"/>
  <c r="D911"/>
  <c r="E911"/>
  <c r="D873"/>
  <c r="E873"/>
  <c r="D885"/>
  <c r="E885"/>
  <c r="D896"/>
  <c r="E896"/>
  <c r="D899"/>
  <c r="E899"/>
  <c r="D921"/>
  <c r="E921"/>
  <c r="E914"/>
  <c r="D914"/>
  <c r="E916"/>
  <c r="D916"/>
  <c r="D928"/>
  <c r="E928"/>
  <c r="D926"/>
  <c r="E926"/>
  <c r="D934"/>
  <c r="E934"/>
  <c r="D938"/>
  <c r="E938"/>
  <c r="D979"/>
  <c r="E979"/>
  <c r="D989"/>
  <c r="E989"/>
  <c r="E942"/>
  <c r="D942"/>
  <c r="D952"/>
  <c r="E952"/>
  <c r="D972"/>
  <c r="E972"/>
  <c r="D981"/>
  <c r="E981"/>
  <c r="D944"/>
  <c r="E944"/>
  <c r="D953"/>
  <c r="E953"/>
  <c r="D959"/>
  <c r="E959"/>
  <c r="D967"/>
  <c r="E967"/>
  <c r="D985"/>
  <c r="E985"/>
  <c r="D987"/>
  <c r="E987"/>
  <c r="D997"/>
  <c r="E997"/>
  <c r="D1004"/>
  <c r="E1004"/>
  <c r="D1009"/>
  <c r="E1009"/>
  <c r="D1024"/>
  <c r="E1024"/>
  <c r="D1040"/>
  <c r="E1040"/>
  <c r="D1049"/>
  <c r="E1049"/>
  <c r="D1054"/>
  <c r="E1054"/>
  <c r="E1005"/>
  <c r="D1005"/>
  <c r="E1011"/>
  <c r="D1011"/>
  <c r="E1017"/>
  <c r="D1017"/>
  <c r="E1025"/>
  <c r="D1025"/>
  <c r="E1033"/>
  <c r="D1033"/>
  <c r="E1042"/>
  <c r="D1042"/>
  <c r="E1047"/>
  <c r="D1047"/>
  <c r="E1055"/>
  <c r="D1055"/>
  <c r="D999"/>
  <c r="E999"/>
  <c r="D1006"/>
  <c r="E1006"/>
  <c r="D1026"/>
  <c r="E1026"/>
  <c r="D1043"/>
  <c r="E1043"/>
  <c r="D1008"/>
  <c r="E1008"/>
  <c r="D1020"/>
  <c r="E1020"/>
  <c r="D95"/>
  <c r="E95"/>
  <c r="D144"/>
  <c r="E144"/>
  <c r="E131"/>
  <c r="D131"/>
  <c r="D285"/>
  <c r="E285"/>
  <c r="E369"/>
  <c r="D369"/>
  <c r="D298"/>
  <c r="E298"/>
  <c r="D364"/>
  <c r="E364"/>
  <c r="D419"/>
  <c r="E419"/>
  <c r="D395"/>
  <c r="E395"/>
  <c r="D429"/>
  <c r="E429"/>
  <c r="D487"/>
  <c r="E487"/>
  <c r="D554"/>
  <c r="E554"/>
  <c r="D561"/>
  <c r="E561"/>
  <c r="D625"/>
  <c r="E625"/>
  <c r="E584"/>
  <c r="D584"/>
  <c r="E594"/>
  <c r="D594"/>
  <c r="E599"/>
  <c r="D599"/>
  <c r="E619"/>
  <c r="D619"/>
  <c r="D551"/>
  <c r="E551"/>
  <c r="D556"/>
  <c r="E556"/>
  <c r="D560"/>
  <c r="E560"/>
  <c r="D571"/>
  <c r="E571"/>
  <c r="D609"/>
  <c r="E609"/>
  <c r="D629"/>
  <c r="E629"/>
  <c r="D582"/>
  <c r="E582"/>
  <c r="D592"/>
  <c r="E592"/>
  <c r="D600"/>
  <c r="E600"/>
  <c r="D605"/>
  <c r="E605"/>
  <c r="D608"/>
  <c r="E608"/>
  <c r="D617"/>
  <c r="E617"/>
  <c r="D630"/>
  <c r="E630"/>
  <c r="D645"/>
  <c r="E645"/>
  <c r="E639"/>
  <c r="D639"/>
  <c r="E646"/>
  <c r="D646"/>
  <c r="E648"/>
  <c r="D648"/>
  <c r="D633"/>
  <c r="E633"/>
  <c r="D634"/>
  <c r="E634"/>
  <c r="D667"/>
  <c r="E667"/>
  <c r="D679"/>
  <c r="E679"/>
  <c r="E675"/>
  <c r="D675"/>
  <c r="D661"/>
  <c r="E661"/>
  <c r="D672"/>
  <c r="E672"/>
  <c r="D684"/>
  <c r="E684"/>
  <c r="D658"/>
  <c r="E658"/>
  <c r="D665"/>
  <c r="E665"/>
  <c r="D673"/>
  <c r="E673"/>
  <c r="D712"/>
  <c r="E712"/>
  <c r="D757"/>
  <c r="E757"/>
  <c r="D686"/>
  <c r="E686"/>
  <c r="E753"/>
  <c r="D753"/>
  <c r="D706"/>
  <c r="E706"/>
  <c r="D750"/>
  <c r="E750"/>
  <c r="D754"/>
  <c r="E754"/>
  <c r="D697"/>
  <c r="E697"/>
  <c r="D702"/>
  <c r="E702"/>
  <c r="D709"/>
  <c r="E709"/>
  <c r="D756"/>
  <c r="E756"/>
  <c r="E764"/>
  <c r="D764"/>
  <c r="E765"/>
  <c r="D765"/>
  <c r="D766"/>
  <c r="E766"/>
  <c r="D777"/>
  <c r="E777"/>
  <c r="D768"/>
  <c r="E768"/>
  <c r="E778"/>
  <c r="D778"/>
  <c r="E784"/>
  <c r="D784"/>
  <c r="D779"/>
  <c r="E779"/>
  <c r="D798"/>
  <c r="E798"/>
  <c r="D810"/>
  <c r="E810"/>
  <c r="D832"/>
  <c r="E832"/>
  <c r="D841"/>
  <c r="E841"/>
  <c r="D849"/>
  <c r="E849"/>
  <c r="D853"/>
  <c r="E853"/>
  <c r="E795"/>
  <c r="D795"/>
  <c r="E804"/>
  <c r="D804"/>
  <c r="E811"/>
  <c r="D811"/>
  <c r="E830"/>
  <c r="D830"/>
  <c r="D834"/>
  <c r="E834"/>
  <c r="D846"/>
  <c r="E846"/>
  <c r="D854"/>
  <c r="E854"/>
  <c r="D789"/>
  <c r="E789"/>
  <c r="D800"/>
  <c r="E800"/>
  <c r="D822"/>
  <c r="E822"/>
  <c r="D825"/>
  <c r="E825"/>
  <c r="D847"/>
  <c r="E847"/>
  <c r="D857"/>
  <c r="E857"/>
  <c r="D894"/>
  <c r="E894"/>
  <c r="D902"/>
  <c r="E902"/>
  <c r="E867"/>
  <c r="D867"/>
  <c r="E874"/>
  <c r="D874"/>
  <c r="E898"/>
  <c r="D898"/>
  <c r="E910"/>
  <c r="D910"/>
  <c r="D862"/>
  <c r="E862"/>
  <c r="D872"/>
  <c r="E872"/>
  <c r="D881"/>
  <c r="E881"/>
  <c r="D859"/>
  <c r="E859"/>
  <c r="D876"/>
  <c r="E876"/>
  <c r="D907"/>
  <c r="E907"/>
  <c r="D927"/>
  <c r="E927"/>
  <c r="E923"/>
  <c r="D923"/>
  <c r="D937"/>
  <c r="E937"/>
  <c r="E919"/>
  <c r="D919"/>
  <c r="D929"/>
  <c r="E929"/>
  <c r="D941"/>
  <c r="E941"/>
  <c r="D947"/>
  <c r="E947"/>
  <c r="D954"/>
  <c r="E954"/>
  <c r="D992"/>
  <c r="E992"/>
  <c r="E951"/>
  <c r="D951"/>
  <c r="E957"/>
  <c r="D957"/>
  <c r="E962"/>
  <c r="D962"/>
  <c r="E970"/>
  <c r="D970"/>
  <c r="E983"/>
  <c r="D983"/>
  <c r="E990"/>
  <c r="D990"/>
  <c r="D966"/>
  <c r="E966"/>
  <c r="D984"/>
  <c r="E984"/>
  <c r="D994"/>
  <c r="E994"/>
  <c r="D974"/>
  <c r="E974"/>
  <c r="D1028"/>
  <c r="E1028"/>
  <c r="D1032"/>
  <c r="E1032"/>
  <c r="D1045"/>
  <c r="E1045"/>
  <c r="D1058"/>
  <c r="E1058"/>
  <c r="E1036"/>
  <c r="D1036"/>
  <c r="E1038"/>
  <c r="D1038"/>
  <c r="E1050"/>
  <c r="D1050"/>
  <c r="E1059"/>
  <c r="D1059"/>
  <c r="D1012"/>
  <c r="E1012"/>
  <c r="D1018"/>
  <c r="E1018"/>
  <c r="D1003"/>
  <c r="E1003"/>
  <c r="D1013"/>
  <c r="E1013"/>
  <c r="D1016"/>
  <c r="E1016"/>
  <c r="D1023"/>
  <c r="E1023"/>
  <c r="D1031"/>
  <c r="E1031"/>
  <c r="D1048"/>
  <c r="E1048"/>
  <c r="D1053"/>
  <c r="E1053"/>
  <c r="D76"/>
  <c r="E76"/>
  <c r="D164"/>
  <c r="E164"/>
  <c r="E121"/>
  <c r="D121"/>
  <c r="D228"/>
  <c r="E228"/>
  <c r="D191"/>
  <c r="E191"/>
  <c r="D271"/>
  <c r="E271"/>
  <c r="D315"/>
  <c r="E315"/>
  <c r="D349"/>
  <c r="E349"/>
  <c r="D382"/>
  <c r="E382"/>
  <c r="D396"/>
  <c r="E396"/>
  <c r="D453"/>
  <c r="E453"/>
  <c r="D498"/>
  <c r="E498"/>
  <c r="D460"/>
  <c r="E460"/>
  <c r="D508"/>
  <c r="E508"/>
  <c r="D552"/>
  <c r="E552"/>
  <c r="D564"/>
  <c r="E564"/>
  <c r="D572"/>
  <c r="E572"/>
  <c r="D586"/>
  <c r="E586"/>
  <c r="D598"/>
  <c r="E598"/>
  <c r="D602"/>
  <c r="E602"/>
  <c r="D607"/>
  <c r="E607"/>
  <c r="D631"/>
  <c r="E631"/>
  <c r="E575"/>
  <c r="D575"/>
  <c r="E588"/>
  <c r="D588"/>
  <c r="E590"/>
  <c r="D590"/>
  <c r="E623"/>
  <c r="D623"/>
  <c r="E627"/>
  <c r="D627"/>
  <c r="D566"/>
  <c r="E566"/>
  <c r="D616"/>
  <c r="E616"/>
  <c r="D562"/>
  <c r="E562"/>
  <c r="D611"/>
  <c r="E611"/>
  <c r="D621"/>
  <c r="E621"/>
  <c r="D635"/>
  <c r="E635"/>
  <c r="D640"/>
  <c r="E640"/>
  <c r="E642"/>
  <c r="D642"/>
  <c r="D649"/>
  <c r="E649"/>
  <c r="D644"/>
  <c r="E644"/>
  <c r="D651"/>
  <c r="E651"/>
  <c r="D655"/>
  <c r="E655"/>
  <c r="D670"/>
  <c r="E670"/>
  <c r="D683"/>
  <c r="E683"/>
  <c r="E653"/>
  <c r="D653"/>
  <c r="E660"/>
  <c r="D660"/>
  <c r="E680"/>
  <c r="D680"/>
  <c r="D654"/>
  <c r="E654"/>
  <c r="D664"/>
  <c r="E664"/>
  <c r="D676"/>
  <c r="E676"/>
  <c r="D678"/>
  <c r="E678"/>
  <c r="D685"/>
  <c r="E685"/>
  <c r="D691"/>
  <c r="E691"/>
  <c r="D707"/>
  <c r="E707"/>
  <c r="D720"/>
  <c r="E720"/>
  <c r="D733"/>
  <c r="E733"/>
  <c r="D748"/>
  <c r="E748"/>
  <c r="E689"/>
  <c r="D689"/>
  <c r="E693"/>
  <c r="D693"/>
  <c r="E696"/>
  <c r="D696"/>
  <c r="E704"/>
  <c r="D704"/>
  <c r="E713"/>
  <c r="D713"/>
  <c r="E715"/>
  <c r="D715"/>
  <c r="E725"/>
  <c r="D725"/>
  <c r="E730"/>
  <c r="D730"/>
  <c r="E741"/>
  <c r="D741"/>
  <c r="E749"/>
  <c r="D749"/>
  <c r="D700"/>
  <c r="E700"/>
  <c r="D716"/>
  <c r="E716"/>
  <c r="D718"/>
  <c r="E718"/>
  <c r="D734"/>
  <c r="E734"/>
  <c r="D744"/>
  <c r="E744"/>
  <c r="D746"/>
  <c r="E746"/>
  <c r="D695"/>
  <c r="E695"/>
  <c r="D726"/>
  <c r="E726"/>
  <c r="D737"/>
  <c r="E737"/>
  <c r="D763"/>
  <c r="E763"/>
  <c r="D761"/>
  <c r="E761"/>
  <c r="D767"/>
  <c r="E767"/>
  <c r="E787"/>
  <c r="D787"/>
  <c r="E774"/>
  <c r="D774"/>
  <c r="E785"/>
  <c r="D785"/>
  <c r="E772"/>
  <c r="D772"/>
  <c r="D770"/>
  <c r="E770"/>
  <c r="D801"/>
  <c r="E801"/>
  <c r="D815"/>
  <c r="E815"/>
  <c r="D826"/>
  <c r="E826"/>
  <c r="D836"/>
  <c r="E836"/>
  <c r="D844"/>
  <c r="E844"/>
  <c r="E799"/>
  <c r="D799"/>
  <c r="E833"/>
  <c r="D833"/>
  <c r="E845"/>
  <c r="D845"/>
  <c r="D788"/>
  <c r="E788"/>
  <c r="D806"/>
  <c r="E806"/>
  <c r="D819"/>
  <c r="E819"/>
  <c r="D821"/>
  <c r="E821"/>
  <c r="D827"/>
  <c r="E827"/>
  <c r="D840"/>
  <c r="E840"/>
  <c r="D792"/>
  <c r="E792"/>
  <c r="D814"/>
  <c r="E814"/>
  <c r="D817"/>
  <c r="E817"/>
  <c r="D828"/>
  <c r="E828"/>
  <c r="D835"/>
  <c r="E835"/>
  <c r="D851"/>
  <c r="E851"/>
  <c r="D860"/>
  <c r="E860"/>
  <c r="D864"/>
  <c r="E864"/>
  <c r="D869"/>
  <c r="E869"/>
  <c r="D909"/>
  <c r="E909"/>
  <c r="E891"/>
  <c r="D891"/>
  <c r="D875"/>
  <c r="E875"/>
  <c r="D886"/>
  <c r="E886"/>
  <c r="D893"/>
  <c r="E893"/>
  <c r="D897"/>
  <c r="E897"/>
  <c r="D900"/>
  <c r="E900"/>
  <c r="D930"/>
  <c r="E930"/>
  <c r="E913"/>
  <c r="D913"/>
  <c r="E915"/>
  <c r="D915"/>
  <c r="E917"/>
  <c r="D917"/>
  <c r="D935"/>
  <c r="E935"/>
  <c r="D925"/>
  <c r="E925"/>
  <c r="D933"/>
  <c r="E933"/>
  <c r="D932"/>
  <c r="E932"/>
  <c r="D936"/>
  <c r="E936"/>
  <c r="D965"/>
  <c r="E965"/>
  <c r="D969"/>
  <c r="E969"/>
  <c r="D988"/>
  <c r="E988"/>
  <c r="E945"/>
  <c r="D945"/>
  <c r="E976"/>
  <c r="D976"/>
  <c r="E993"/>
  <c r="D993"/>
  <c r="D955"/>
  <c r="E955"/>
  <c r="D971"/>
  <c r="E971"/>
  <c r="D973"/>
  <c r="E973"/>
  <c r="D946"/>
  <c r="E946"/>
  <c r="D961"/>
  <c r="E961"/>
  <c r="D968"/>
  <c r="E968"/>
  <c r="D978"/>
  <c r="E978"/>
  <c r="D986"/>
  <c r="E986"/>
  <c r="D991"/>
  <c r="E991"/>
  <c r="D996"/>
  <c r="E996"/>
  <c r="D998"/>
  <c r="E998"/>
  <c r="D1010"/>
  <c r="E1010"/>
  <c r="E1014"/>
  <c r="D1014"/>
  <c r="E1041"/>
  <c r="D1041"/>
  <c r="E1062"/>
  <c r="D1062"/>
  <c r="D1029"/>
  <c r="E1029"/>
  <c r="D1056"/>
  <c r="E1056"/>
  <c r="D1007"/>
  <c r="E1007"/>
  <c r="D1019"/>
  <c r="E1019"/>
  <c r="D1027"/>
  <c r="E1027"/>
  <c r="D1039"/>
  <c r="E1039"/>
  <c r="D1057"/>
  <c r="E1057"/>
  <c r="D82"/>
  <c r="E82"/>
  <c r="D73"/>
  <c r="E73"/>
  <c r="D156"/>
  <c r="E156"/>
  <c r="E192"/>
  <c r="D192"/>
  <c r="D199"/>
  <c r="E199"/>
  <c r="D188"/>
  <c r="E188"/>
  <c r="D243"/>
  <c r="E243"/>
  <c r="E249"/>
  <c r="D249"/>
  <c r="E300"/>
  <c r="D300"/>
  <c r="E368"/>
  <c r="D368"/>
  <c r="D282"/>
  <c r="E282"/>
  <c r="D323"/>
  <c r="E323"/>
  <c r="E381"/>
  <c r="D381"/>
  <c r="E440"/>
  <c r="D440"/>
  <c r="D428"/>
  <c r="E428"/>
  <c r="D509"/>
  <c r="E509"/>
  <c r="D486"/>
  <c r="E486"/>
  <c r="D569"/>
  <c r="E569"/>
  <c r="D577"/>
  <c r="E577"/>
  <c r="D612"/>
  <c r="E612"/>
  <c r="D618"/>
  <c r="E618"/>
  <c r="E593"/>
  <c r="D593"/>
  <c r="E603"/>
  <c r="D603"/>
  <c r="D555"/>
  <c r="E555"/>
  <c r="D558"/>
  <c r="E558"/>
  <c r="D570"/>
  <c r="E570"/>
  <c r="D573"/>
  <c r="E573"/>
  <c r="D578"/>
  <c r="E578"/>
  <c r="D597"/>
  <c r="E597"/>
  <c r="D604"/>
  <c r="E604"/>
  <c r="D610"/>
  <c r="E610"/>
  <c r="D620"/>
  <c r="E620"/>
  <c r="D557"/>
  <c r="E557"/>
  <c r="D585"/>
  <c r="E585"/>
  <c r="D606"/>
  <c r="E606"/>
  <c r="D615"/>
  <c r="E615"/>
  <c r="E638"/>
  <c r="D638"/>
  <c r="E647"/>
  <c r="D647"/>
  <c r="D632"/>
  <c r="E632"/>
  <c r="D636"/>
  <c r="E636"/>
  <c r="D674"/>
  <c r="E674"/>
  <c r="D681"/>
  <c r="E681"/>
  <c r="D659"/>
  <c r="E659"/>
  <c r="D666"/>
  <c r="E666"/>
  <c r="D710"/>
  <c r="E710"/>
  <c r="D758"/>
  <c r="E758"/>
  <c r="E708"/>
  <c r="D708"/>
  <c r="E721"/>
  <c r="D721"/>
  <c r="E752"/>
  <c r="D752"/>
  <c r="D722"/>
  <c r="E722"/>
  <c r="D739"/>
  <c r="E739"/>
  <c r="D755"/>
  <c r="E755"/>
  <c r="D703"/>
  <c r="E703"/>
  <c r="D740"/>
  <c r="E740"/>
  <c r="E781"/>
  <c r="D781"/>
  <c r="D773"/>
  <c r="E773"/>
  <c r="D780"/>
  <c r="E780"/>
  <c r="D771"/>
  <c r="E771"/>
  <c r="D782"/>
  <c r="E782"/>
  <c r="D790"/>
  <c r="E790"/>
  <c r="D808"/>
  <c r="E808"/>
  <c r="D818"/>
  <c r="E818"/>
  <c r="D829"/>
  <c r="E829"/>
  <c r="D839"/>
  <c r="E839"/>
  <c r="D848"/>
  <c r="E848"/>
  <c r="D855"/>
  <c r="E855"/>
  <c r="E794"/>
  <c r="D794"/>
  <c r="E802"/>
  <c r="D802"/>
  <c r="E805"/>
  <c r="D805"/>
  <c r="E812"/>
  <c r="D812"/>
  <c r="E837"/>
  <c r="D837"/>
  <c r="D831"/>
  <c r="E831"/>
  <c r="D850"/>
  <c r="E850"/>
  <c r="D797"/>
  <c r="E797"/>
  <c r="D803"/>
  <c r="E803"/>
  <c r="D823"/>
  <c r="E823"/>
  <c r="D879"/>
  <c r="E879"/>
  <c r="D901"/>
  <c r="E901"/>
  <c r="D903"/>
  <c r="E903"/>
  <c r="E866"/>
  <c r="D866"/>
  <c r="E868"/>
  <c r="D868"/>
  <c r="E871"/>
  <c r="D871"/>
  <c r="E877"/>
  <c r="D877"/>
  <c r="E887"/>
  <c r="D887"/>
  <c r="E895"/>
  <c r="D895"/>
  <c r="D858"/>
  <c r="E858"/>
  <c r="D863"/>
  <c r="E863"/>
  <c r="D880"/>
  <c r="E880"/>
  <c r="D884"/>
  <c r="E884"/>
  <c r="D905"/>
  <c r="E905"/>
  <c r="D878"/>
  <c r="E878"/>
  <c r="D882"/>
  <c r="E882"/>
  <c r="D906"/>
  <c r="E906"/>
  <c r="D908"/>
  <c r="E908"/>
  <c r="D939"/>
  <c r="E939"/>
  <c r="E912"/>
  <c r="D912"/>
  <c r="E922"/>
  <c r="D922"/>
  <c r="E924"/>
  <c r="D924"/>
  <c r="D931"/>
  <c r="E931"/>
  <c r="D918"/>
  <c r="E918"/>
  <c r="D920"/>
  <c r="E920"/>
  <c r="D956"/>
  <c r="E956"/>
  <c r="D975"/>
  <c r="E975"/>
  <c r="E948"/>
  <c r="D948"/>
  <c r="E960"/>
  <c r="D960"/>
  <c r="E980"/>
  <c r="D980"/>
  <c r="D943"/>
  <c r="E943"/>
  <c r="D949"/>
  <c r="E949"/>
  <c r="D958"/>
  <c r="E958"/>
  <c r="D963"/>
  <c r="E963"/>
  <c r="D977"/>
  <c r="E977"/>
  <c r="D995"/>
  <c r="E995"/>
  <c r="E940"/>
  <c r="D940"/>
  <c r="D950"/>
  <c r="E950"/>
  <c r="D964"/>
  <c r="E964"/>
  <c r="D982"/>
  <c r="E982"/>
  <c r="D1001"/>
  <c r="E1001"/>
  <c r="D1021"/>
  <c r="E1021"/>
  <c r="D1035"/>
  <c r="E1035"/>
  <c r="D1046"/>
  <c r="E1046"/>
  <c r="D1061"/>
  <c r="E1061"/>
  <c r="E1002"/>
  <c r="D1002"/>
  <c r="E1037"/>
  <c r="D1037"/>
  <c r="E1052"/>
  <c r="D1052"/>
  <c r="D1022"/>
  <c r="E1022"/>
  <c r="D1034"/>
  <c r="E1034"/>
  <c r="D1060"/>
  <c r="E1060"/>
  <c r="D1000"/>
  <c r="E1000"/>
  <c r="D1015"/>
  <c r="E1015"/>
  <c r="D1030"/>
  <c r="E1030"/>
  <c r="D1044"/>
  <c r="E1044"/>
  <c r="D1051"/>
  <c r="E1051"/>
  <c r="D165" l="1"/>
  <c r="E462"/>
  <c r="D258"/>
  <c r="D319"/>
  <c r="E108"/>
  <c r="E71"/>
  <c r="E411"/>
  <c r="D334"/>
  <c r="E152"/>
  <c r="E112"/>
  <c r="D209"/>
  <c r="D186"/>
  <c r="D182"/>
  <c r="E439"/>
  <c r="E314"/>
  <c r="E89"/>
  <c r="D44"/>
  <c r="D247"/>
  <c r="E266"/>
  <c r="E45"/>
  <c r="D424"/>
  <c r="D142"/>
  <c r="D475"/>
  <c r="D522"/>
  <c r="D422"/>
  <c r="D400"/>
  <c r="D365"/>
  <c r="D318"/>
  <c r="D255"/>
  <c r="E346"/>
  <c r="E279"/>
  <c r="D347"/>
  <c r="D309"/>
  <c r="D222"/>
  <c r="D190"/>
  <c r="D183"/>
  <c r="D240"/>
  <c r="E203"/>
  <c r="D208"/>
  <c r="D160"/>
  <c r="D138"/>
  <c r="D68"/>
  <c r="E103"/>
  <c r="D72"/>
  <c r="D483"/>
  <c r="E450"/>
  <c r="D485"/>
  <c r="D416"/>
  <c r="E404"/>
  <c r="E389"/>
  <c r="D324"/>
  <c r="E296"/>
  <c r="D239"/>
  <c r="E237"/>
  <c r="D204"/>
  <c r="E126"/>
  <c r="E171"/>
  <c r="D127"/>
  <c r="E92"/>
  <c r="E64"/>
  <c r="D528"/>
  <c r="E469"/>
  <c r="D402"/>
  <c r="D372"/>
  <c r="D412"/>
  <c r="D352"/>
  <c r="D289"/>
  <c r="D370"/>
  <c r="D246"/>
  <c r="D225"/>
  <c r="D158"/>
  <c r="D102"/>
  <c r="D104"/>
  <c r="E397"/>
  <c r="E299"/>
  <c r="D284"/>
  <c r="E67"/>
  <c r="E84"/>
  <c r="E100"/>
  <c r="E30"/>
  <c r="E53"/>
  <c r="D38"/>
  <c r="E27"/>
  <c r="D48"/>
  <c r="E527"/>
  <c r="E376"/>
  <c r="E253"/>
  <c r="E140"/>
  <c r="D336"/>
  <c r="D133"/>
  <c r="E438"/>
  <c r="D55"/>
  <c r="E442"/>
  <c r="D373"/>
  <c r="D238"/>
  <c r="D81"/>
  <c r="E502"/>
  <c r="E168"/>
  <c r="E143"/>
  <c r="E69"/>
  <c r="D377"/>
  <c r="E227"/>
  <c r="D139"/>
  <c r="D293"/>
  <c r="E154"/>
  <c r="D288"/>
  <c r="D218"/>
  <c r="E96"/>
  <c r="D466"/>
  <c r="D269"/>
  <c r="E316"/>
  <c r="D235"/>
  <c r="E193"/>
  <c r="D60"/>
  <c r="E431"/>
  <c r="E458"/>
  <c r="E201"/>
  <c r="D430"/>
  <c r="D307"/>
  <c r="D206"/>
  <c r="D117"/>
  <c r="E105"/>
  <c r="D202"/>
  <c r="E42"/>
  <c r="E242"/>
  <c r="E77"/>
  <c r="E214"/>
  <c r="D327"/>
  <c r="E52"/>
  <c r="E36"/>
  <c r="E179"/>
  <c r="E23"/>
  <c r="E295"/>
  <c r="D47"/>
  <c r="D379"/>
  <c r="D386"/>
  <c r="D444"/>
  <c r="D417"/>
  <c r="E326"/>
  <c r="E260"/>
  <c r="E304"/>
  <c r="D207"/>
  <c r="D125"/>
  <c r="E40"/>
  <c r="E496"/>
  <c r="E477"/>
  <c r="E433"/>
  <c r="D272"/>
  <c r="D259"/>
  <c r="D330"/>
  <c r="D427"/>
  <c r="E172"/>
  <c r="D197"/>
  <c r="E378"/>
  <c r="E328"/>
  <c r="E149"/>
  <c r="D445"/>
  <c r="D220"/>
  <c r="D415"/>
  <c r="D407"/>
  <c r="E392"/>
  <c r="D420"/>
  <c r="D344"/>
  <c r="D310"/>
  <c r="D256"/>
  <c r="D196"/>
  <c r="D166"/>
  <c r="E119"/>
  <c r="D34"/>
  <c r="D21"/>
  <c r="D337"/>
  <c r="D308"/>
  <c r="E361"/>
  <c r="E263"/>
  <c r="D362"/>
  <c r="E217"/>
  <c r="D122"/>
  <c r="E61"/>
  <c r="E473"/>
  <c r="D405"/>
  <c r="D340"/>
  <c r="D367"/>
  <c r="D273"/>
  <c r="D325"/>
  <c r="D210"/>
  <c r="D148"/>
  <c r="D118"/>
  <c r="E114"/>
  <c r="E115"/>
  <c r="E87"/>
  <c r="D524"/>
  <c r="D480"/>
  <c r="D401"/>
  <c r="D268"/>
  <c r="D311"/>
  <c r="E321"/>
  <c r="E261"/>
  <c r="D322"/>
  <c r="D301"/>
  <c r="D180"/>
  <c r="D245"/>
  <c r="D120"/>
  <c r="D123"/>
  <c r="E134"/>
  <c r="D80"/>
  <c r="E109"/>
  <c r="D62"/>
  <c r="E380"/>
  <c r="D434"/>
  <c r="E294"/>
  <c r="E79"/>
  <c r="D22"/>
  <c r="D43"/>
  <c r="E384"/>
  <c r="E446"/>
  <c r="D275"/>
  <c r="D345"/>
  <c r="D198"/>
  <c r="D151"/>
  <c r="E97"/>
  <c r="E251"/>
  <c r="D472"/>
  <c r="D339"/>
  <c r="D74"/>
  <c r="D398"/>
  <c r="E31"/>
  <c r="E32"/>
  <c r="E520"/>
  <c r="D408"/>
  <c r="E287"/>
  <c r="D241"/>
  <c r="E513"/>
  <c r="D495"/>
  <c r="E423"/>
  <c r="E356"/>
  <c r="D176"/>
  <c r="D57"/>
  <c r="D435"/>
  <c r="D320"/>
  <c r="D317"/>
  <c r="E233"/>
  <c r="D130"/>
  <c r="D54"/>
  <c r="E359"/>
  <c r="E492"/>
  <c r="D518"/>
  <c r="E418"/>
  <c r="D274"/>
  <c r="D137"/>
  <c r="E507"/>
  <c r="E375"/>
  <c r="E283"/>
  <c r="E223"/>
  <c r="D161"/>
  <c r="E83"/>
  <c r="D99"/>
  <c r="D443"/>
  <c r="D189"/>
  <c r="D136"/>
  <c r="E169"/>
  <c r="E107"/>
  <c r="D449"/>
  <c r="E281"/>
  <c r="D252"/>
  <c r="D280"/>
  <c r="D46"/>
  <c r="E481"/>
  <c r="E355"/>
  <c r="D399"/>
  <c r="D342"/>
  <c r="E343"/>
  <c r="E75"/>
  <c r="E451"/>
  <c r="D391"/>
  <c r="D232"/>
  <c r="D91"/>
  <c r="E70"/>
  <c r="E456"/>
  <c r="E341"/>
  <c r="D155"/>
  <c r="D41"/>
  <c r="D65"/>
  <c r="E526"/>
  <c r="E476"/>
  <c r="D394"/>
  <c r="D413"/>
  <c r="D393"/>
  <c r="D276"/>
  <c r="E230"/>
  <c r="E181"/>
  <c r="D163"/>
  <c r="E128"/>
  <c r="D157"/>
  <c r="E170"/>
  <c r="D94"/>
  <c r="E98"/>
  <c r="D503"/>
  <c r="D505"/>
  <c r="D459"/>
  <c r="D390"/>
  <c r="D262"/>
  <c r="E270"/>
  <c r="D250"/>
  <c r="D216"/>
  <c r="D236"/>
  <c r="D184"/>
  <c r="D234"/>
  <c r="D187"/>
  <c r="D51"/>
  <c r="E78"/>
  <c r="D482"/>
  <c r="E465"/>
  <c r="D332"/>
  <c r="D286"/>
  <c r="E312"/>
  <c r="D351"/>
  <c r="D29"/>
  <c r="E24"/>
  <c r="D25"/>
  <c r="D385"/>
  <c r="E437"/>
  <c r="D257"/>
  <c r="E338"/>
  <c r="D363"/>
  <c r="E211"/>
  <c r="D194"/>
  <c r="D129"/>
  <c r="D213"/>
  <c r="D132"/>
  <c r="D448"/>
  <c r="D33"/>
  <c r="E305"/>
  <c r="D291"/>
  <c r="D200"/>
  <c r="D501"/>
  <c r="E277"/>
  <c r="D331"/>
  <c r="E113"/>
  <c r="E479"/>
  <c r="E410"/>
  <c r="D387"/>
  <c r="D470"/>
  <c r="D358"/>
  <c r="D219"/>
  <c r="D468"/>
  <c r="E494"/>
  <c r="E371"/>
  <c r="D106"/>
  <c r="E353"/>
  <c r="D88"/>
  <c r="D474"/>
  <c r="D436"/>
  <c r="D360"/>
  <c r="D329"/>
  <c r="D146"/>
  <c r="D167"/>
  <c r="E153"/>
  <c r="D141"/>
  <c r="E150"/>
  <c r="D116"/>
  <c r="D85"/>
  <c r="D49"/>
  <c r="D383"/>
  <c r="D354"/>
  <c r="D174"/>
  <c r="E348"/>
  <c r="D290"/>
  <c r="E212"/>
  <c r="D86"/>
  <c r="E19"/>
  <c r="E515"/>
  <c r="D426"/>
  <c r="D333"/>
  <c r="D278"/>
  <c r="E195"/>
  <c r="E248"/>
  <c r="E124"/>
  <c r="E110"/>
  <c r="D414"/>
  <c r="D421"/>
  <c r="D297"/>
  <c r="E224"/>
  <c r="E366"/>
  <c r="D267"/>
  <c r="E173"/>
  <c r="D162"/>
  <c r="E111"/>
  <c r="D35"/>
  <c r="D511"/>
  <c r="E432"/>
  <c r="E357"/>
  <c r="D147"/>
  <c r="D306"/>
  <c r="D178"/>
  <c r="D145"/>
  <c r="E292"/>
  <c r="D244"/>
  <c r="E101"/>
  <c r="D18"/>
  <c r="E493"/>
  <c r="D512"/>
  <c r="E454"/>
  <c r="D403"/>
  <c r="D409"/>
  <c r="D303"/>
  <c r="D231"/>
  <c r="E90"/>
  <c r="E66"/>
  <c r="D37"/>
  <c r="D26"/>
  <c r="E488"/>
  <c r="D447"/>
  <c r="E425"/>
  <c r="D374"/>
  <c r="D302"/>
  <c r="D264"/>
  <c r="D229"/>
  <c r="D205"/>
  <c r="D50"/>
  <c r="E500"/>
  <c r="E521"/>
  <c r="D406"/>
  <c r="D215"/>
  <c r="D177"/>
  <c r="D56"/>
  <c r="D471"/>
  <c r="D497"/>
  <c r="E490"/>
  <c r="E510"/>
  <c r="D463"/>
  <c r="D529"/>
  <c r="E506"/>
  <c r="E525"/>
  <c r="D464"/>
  <c r="D455"/>
  <c r="E514"/>
  <c r="E489"/>
  <c r="E467"/>
  <c r="D457"/>
  <c r="E461"/>
  <c r="E499"/>
  <c r="D478"/>
  <c r="D517"/>
  <c r="D504"/>
  <c r="E452"/>
  <c r="E519"/>
  <c r="E484"/>
  <c r="D516"/>
  <c r="D523"/>
  <c r="D491"/>
  <c r="E70" i="48"/>
  <c r="D124" i="29"/>
  <c r="D123"/>
  <c r="B124"/>
  <c r="B222"/>
  <c r="B123"/>
  <c r="G3"/>
  <c r="F3"/>
  <c r="E3"/>
  <c r="D3"/>
  <c r="L1"/>
  <c r="L2" s="1"/>
  <c r="E1"/>
  <c r="C3" s="1"/>
  <c r="D1"/>
  <c r="B1"/>
  <c r="A1"/>
  <c r="A57" i="31" l="1"/>
  <c r="C226" i="29"/>
  <c r="B226"/>
  <c r="B186"/>
  <c r="E186"/>
  <c r="C186"/>
  <c r="D186"/>
  <c r="D133"/>
  <c r="C133"/>
  <c r="E133"/>
  <c r="B133"/>
  <c r="E73"/>
  <c r="D73"/>
  <c r="B73"/>
  <c r="C73"/>
  <c r="B50"/>
  <c r="C50"/>
  <c r="D50"/>
  <c r="E50"/>
  <c r="L13"/>
  <c r="B17"/>
  <c r="B22"/>
  <c r="B1" i="31"/>
  <c r="B21" i="29"/>
  <c r="H18"/>
  <c r="G18"/>
  <c r="L9"/>
  <c r="L10"/>
  <c r="L8"/>
  <c r="L7"/>
  <c r="M6"/>
  <c r="L5"/>
  <c r="M4"/>
  <c r="L3"/>
  <c r="B55"/>
  <c r="B54"/>
  <c r="C55"/>
  <c r="E55"/>
  <c r="D55"/>
  <c r="D54"/>
  <c r="C54" s="1"/>
  <c r="E54"/>
  <c r="B13"/>
  <c r="H12" s="1"/>
  <c r="C13"/>
  <c r="D12"/>
  <c r="C8"/>
  <c r="B23"/>
  <c r="D13"/>
  <c r="B12"/>
  <c r="C9"/>
  <c r="B9" s="1"/>
  <c r="H9" s="1"/>
  <c r="C12"/>
  <c r="C7"/>
  <c r="C5"/>
  <c r="C6"/>
  <c r="C4"/>
  <c r="Z42" i="12"/>
  <c r="AX41"/>
  <c r="AW41"/>
  <c r="AV41"/>
  <c r="AU41"/>
  <c r="AT41"/>
  <c r="AS41"/>
  <c r="AR41"/>
  <c r="AQ41"/>
  <c r="AP41"/>
  <c r="AN41"/>
  <c r="AJ41"/>
  <c r="X41"/>
  <c r="W41"/>
  <c r="V41"/>
  <c r="U41"/>
  <c r="T41"/>
  <c r="S41"/>
  <c r="R41"/>
  <c r="Q41"/>
  <c r="P41"/>
  <c r="N41"/>
  <c r="J41"/>
  <c r="Z40"/>
  <c r="Z39"/>
  <c r="Z38"/>
  <c r="Z37"/>
  <c r="Z36"/>
  <c r="Z35"/>
  <c r="Z34"/>
  <c r="Z33"/>
  <c r="Z32"/>
  <c r="Z31"/>
  <c r="Z30"/>
  <c r="Z29"/>
  <c r="Z28"/>
  <c r="AA27"/>
  <c r="B27"/>
  <c r="A27"/>
  <c r="AB26"/>
  <c r="AA26"/>
  <c r="B26"/>
  <c r="A26"/>
  <c r="AF27"/>
  <c r="AF26"/>
  <c r="F27"/>
  <c r="F26"/>
  <c r="L105" i="14"/>
  <c r="L104"/>
  <c r="L103"/>
  <c r="M105"/>
  <c r="M104"/>
  <c r="M103"/>
  <c r="L109"/>
  <c r="L114"/>
  <c r="L108"/>
  <c r="L107"/>
  <c r="L101"/>
  <c r="L111"/>
  <c r="L102"/>
  <c r="L113"/>
  <c r="L100"/>
  <c r="L106"/>
  <c r="L110"/>
  <c r="L112"/>
  <c r="AF44" i="12" l="1"/>
  <c r="F44"/>
  <c r="AE41"/>
  <c r="E41"/>
  <c r="I41"/>
  <c r="L41"/>
  <c r="M41"/>
  <c r="O41"/>
  <c r="D41"/>
  <c r="G41"/>
  <c r="H41"/>
  <c r="K41"/>
  <c r="N3" i="29"/>
  <c r="M3"/>
  <c r="B76" i="31"/>
  <c r="H53"/>
  <c r="C53"/>
  <c r="F53"/>
  <c r="D53"/>
  <c r="G53"/>
  <c r="E53"/>
  <c r="E57"/>
  <c r="F57"/>
  <c r="B57"/>
  <c r="G57"/>
  <c r="C57"/>
  <c r="I57"/>
  <c r="D57"/>
  <c r="I9" i="29"/>
  <c r="M5"/>
  <c r="N5"/>
  <c r="Z19" i="12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E18"/>
  <c r="AD18"/>
  <c r="X18"/>
  <c r="W18"/>
  <c r="V18"/>
  <c r="U18"/>
  <c r="T18"/>
  <c r="S18"/>
  <c r="R18"/>
  <c r="Q18"/>
  <c r="P18"/>
  <c r="O18"/>
  <c r="N18"/>
  <c r="M18"/>
  <c r="L18"/>
  <c r="K18"/>
  <c r="J18"/>
  <c r="R29"/>
  <c r="V36"/>
  <c r="K32"/>
  <c r="AV33"/>
  <c r="V29"/>
  <c r="O31"/>
  <c r="W29"/>
  <c r="N29"/>
  <c r="E27"/>
  <c r="L38"/>
  <c r="W32"/>
  <c r="D38"/>
  <c r="AK33"/>
  <c r="W35"/>
  <c r="D31"/>
  <c r="AO32"/>
  <c r="AW30"/>
  <c r="S32"/>
  <c r="I30"/>
  <c r="AV32"/>
  <c r="X35"/>
  <c r="AD39"/>
  <c r="L35"/>
  <c r="AW36"/>
  <c r="AD32"/>
  <c r="P34"/>
  <c r="X32"/>
  <c r="T35"/>
  <c r="J33"/>
  <c r="K26"/>
  <c r="M33"/>
  <c r="O34"/>
  <c r="AX26"/>
  <c r="AK31"/>
  <c r="K40"/>
  <c r="D29"/>
  <c r="H40"/>
  <c r="AH31"/>
  <c r="V32"/>
  <c r="AK26"/>
  <c r="G40"/>
  <c r="AI29"/>
  <c r="M38"/>
  <c r="AX39"/>
  <c r="AE35"/>
  <c r="Q37"/>
  <c r="AU39"/>
  <c r="P39"/>
  <c r="V26"/>
  <c r="L27"/>
  <c r="J31"/>
  <c r="AM39"/>
  <c r="M28"/>
  <c r="AQ38"/>
  <c r="G37"/>
  <c r="H27"/>
  <c r="AD26"/>
  <c r="G29"/>
  <c r="L30"/>
  <c r="AN32"/>
  <c r="AW26"/>
  <c r="K30"/>
  <c r="AJ38"/>
  <c r="R40"/>
  <c r="AG38"/>
  <c r="H30"/>
  <c r="U29"/>
  <c r="I35"/>
  <c r="Q40"/>
  <c r="AW32"/>
  <c r="AM37"/>
  <c r="P30"/>
  <c r="AT30"/>
  <c r="W34"/>
  <c r="AO37"/>
  <c r="N36"/>
  <c r="AO35"/>
  <c r="R28"/>
  <c r="L33"/>
  <c r="AJ28"/>
  <c r="AD30"/>
  <c r="Q28"/>
  <c r="AI34"/>
  <c r="AD35"/>
  <c r="AH28"/>
  <c r="S39"/>
  <c r="P37"/>
  <c r="AV29"/>
  <c r="AL34"/>
  <c r="P27"/>
  <c r="E32"/>
  <c r="U27"/>
  <c r="AN37"/>
  <c r="AE38"/>
  <c r="AI31"/>
  <c r="X29"/>
  <c r="AP38"/>
  <c r="W31"/>
  <c r="M36"/>
  <c r="AO28"/>
  <c r="AE33"/>
  <c r="AX28"/>
  <c r="AO40"/>
  <c r="U28"/>
  <c r="AN34"/>
  <c r="AL29"/>
  <c r="U31"/>
  <c r="G39"/>
  <c r="AV31"/>
  <c r="R36"/>
  <c r="M112" i="14"/>
  <c r="AH36" i="12"/>
  <c r="E40"/>
  <c r="M39"/>
  <c r="D34"/>
  <c r="T29"/>
  <c r="S36"/>
  <c r="H26"/>
  <c r="G36"/>
  <c r="O30"/>
  <c r="R33"/>
  <c r="V40"/>
  <c r="AE34"/>
  <c r="AM35"/>
  <c r="AO34"/>
  <c r="U32"/>
  <c r="AS37"/>
  <c r="X30"/>
  <c r="AG37"/>
  <c r="AO31"/>
  <c r="AV34"/>
  <c r="H29"/>
  <c r="AJ37"/>
  <c r="S40"/>
  <c r="AP37"/>
  <c r="D37"/>
  <c r="T39"/>
  <c r="G35"/>
  <c r="H39"/>
  <c r="P33"/>
  <c r="W36"/>
  <c r="AH30"/>
  <c r="P29"/>
  <c r="AW28"/>
  <c r="AQ40"/>
  <c r="E26"/>
  <c r="G31"/>
  <c r="AR32"/>
  <c r="AM30"/>
  <c r="AV40"/>
  <c r="O38"/>
  <c r="AS34"/>
  <c r="V34"/>
  <c r="W40"/>
  <c r="AM31"/>
  <c r="Q30"/>
  <c r="AI28"/>
  <c r="AH39"/>
  <c r="AH40"/>
  <c r="I32"/>
  <c r="AS31"/>
  <c r="E35"/>
  <c r="I29"/>
  <c r="AK40"/>
  <c r="I39"/>
  <c r="AE36"/>
  <c r="AI30"/>
  <c r="AK34"/>
  <c r="AT34"/>
  <c r="AN33"/>
  <c r="AW39"/>
  <c r="AK27"/>
  <c r="Q27"/>
  <c r="AX38"/>
  <c r="AI32"/>
  <c r="AO26"/>
  <c r="Q36"/>
  <c r="AI33"/>
  <c r="H38"/>
  <c r="P31"/>
  <c r="AX27"/>
  <c r="AM29"/>
  <c r="AQ37"/>
  <c r="J35"/>
  <c r="AO30"/>
  <c r="AO38"/>
  <c r="M29"/>
  <c r="AL26"/>
  <c r="E31"/>
  <c r="R37"/>
  <c r="I37"/>
  <c r="AS36"/>
  <c r="L34"/>
  <c r="T31"/>
  <c r="AK36"/>
  <c r="AG32"/>
  <c r="N32"/>
  <c r="AJ29"/>
  <c r="AO39"/>
  <c r="P28"/>
  <c r="O32"/>
  <c r="AS35"/>
  <c r="N27"/>
  <c r="AU40"/>
  <c r="Q31"/>
  <c r="P35"/>
  <c r="T37"/>
  <c r="I28"/>
  <c r="O29"/>
  <c r="R34"/>
  <c r="H36"/>
  <c r="AD33"/>
  <c r="AS30"/>
  <c r="AW33"/>
  <c r="D27"/>
  <c r="U40"/>
  <c r="AU28"/>
  <c r="N26"/>
  <c r="X40"/>
  <c r="D30"/>
  <c r="M101" i="14"/>
  <c r="AR27" i="12"/>
  <c r="AQ29"/>
  <c r="AS27"/>
  <c r="S29"/>
  <c r="AV30"/>
  <c r="Q32"/>
  <c r="U26"/>
  <c r="AJ39"/>
  <c r="AU36"/>
  <c r="AL31"/>
  <c r="D39"/>
  <c r="T30"/>
  <c r="AN28"/>
  <c r="E39"/>
  <c r="AJ27"/>
  <c r="AG30"/>
  <c r="AT31"/>
  <c r="Q29"/>
  <c r="AP26"/>
  <c r="S37"/>
  <c r="J32"/>
  <c r="U33"/>
  <c r="AQ30"/>
  <c r="J28"/>
  <c r="AM32"/>
  <c r="S33"/>
  <c r="AG40"/>
  <c r="W33"/>
  <c r="AV37"/>
  <c r="X28"/>
  <c r="I38"/>
  <c r="AX29"/>
  <c r="AK29"/>
  <c r="E37"/>
  <c r="AR35"/>
  <c r="M35"/>
  <c r="L29"/>
  <c r="AW34"/>
  <c r="W39"/>
  <c r="P32"/>
  <c r="AI39"/>
  <c r="J34"/>
  <c r="AD29"/>
  <c r="T40"/>
  <c r="AM36"/>
  <c r="AL30"/>
  <c r="X36"/>
  <c r="AW40"/>
  <c r="AP33"/>
  <c r="AG26"/>
  <c r="O37"/>
  <c r="J27"/>
  <c r="R31"/>
  <c r="AG27"/>
  <c r="AL28"/>
  <c r="S38"/>
  <c r="W28"/>
  <c r="AK35"/>
  <c r="AO27"/>
  <c r="AS32"/>
  <c r="AP36"/>
  <c r="AI26"/>
  <c r="AE26"/>
  <c r="AR30"/>
  <c r="AR39"/>
  <c r="AM33"/>
  <c r="AQ36"/>
  <c r="N28"/>
  <c r="AI27"/>
  <c r="O33"/>
  <c r="AS33"/>
  <c r="W27"/>
  <c r="N35"/>
  <c r="G26"/>
  <c r="AJ32"/>
  <c r="R38"/>
  <c r="AR29"/>
  <c r="AN30"/>
  <c r="P36"/>
  <c r="U38"/>
  <c r="I27"/>
  <c r="AR36"/>
  <c r="AQ26"/>
  <c r="K34"/>
  <c r="AV39"/>
  <c r="S31"/>
  <c r="AO33"/>
  <c r="Q39"/>
  <c r="L36"/>
  <c r="O39"/>
  <c r="AR34"/>
  <c r="N37"/>
  <c r="M106" i="14"/>
  <c r="AQ31" i="12"/>
  <c r="AU38"/>
  <c r="AD31"/>
  <c r="AV38"/>
  <c r="AN31"/>
  <c r="AG28"/>
  <c r="M30"/>
  <c r="AS39"/>
  <c r="AW29"/>
  <c r="L37"/>
  <c r="M27"/>
  <c r="T34"/>
  <c r="AQ39"/>
  <c r="AO29"/>
  <c r="I33"/>
  <c r="M110" i="14"/>
  <c r="X31" i="12"/>
  <c r="AL38"/>
  <c r="AT35"/>
  <c r="O27"/>
  <c r="AP32"/>
  <c r="AS26"/>
  <c r="J36"/>
  <c r="N33"/>
  <c r="AL32"/>
  <c r="M40"/>
  <c r="V28"/>
  <c r="AT40"/>
  <c r="AP34"/>
  <c r="AQ33"/>
  <c r="K39"/>
  <c r="AG31"/>
  <c r="T32"/>
  <c r="AE28"/>
  <c r="H33"/>
  <c r="AT33"/>
  <c r="AW27"/>
  <c r="AI40"/>
  <c r="U35"/>
  <c r="AM40"/>
  <c r="AH32"/>
  <c r="AG39"/>
  <c r="AX30"/>
  <c r="R35"/>
  <c r="AU37"/>
  <c r="G28"/>
  <c r="AI37"/>
  <c r="S26"/>
  <c r="AX34"/>
  <c r="V38"/>
  <c r="AO36"/>
  <c r="AM34"/>
  <c r="L26"/>
  <c r="AV36"/>
  <c r="V39"/>
  <c r="AG29"/>
  <c r="J39"/>
  <c r="AU26"/>
  <c r="D40"/>
  <c r="P38"/>
  <c r="AR37"/>
  <c r="W38"/>
  <c r="M114" i="14"/>
  <c r="H31" i="12"/>
  <c r="AN40"/>
  <c r="AD28"/>
  <c r="G38"/>
  <c r="E28"/>
  <c r="S27"/>
  <c r="AS40"/>
  <c r="G27"/>
  <c r="U39"/>
  <c r="AG36"/>
  <c r="AN38"/>
  <c r="AL33"/>
  <c r="K36"/>
  <c r="N30"/>
  <c r="V33"/>
  <c r="E36"/>
  <c r="I40"/>
  <c r="H32"/>
  <c r="AR26"/>
  <c r="AR38"/>
  <c r="I34"/>
  <c r="R30"/>
  <c r="AE31"/>
  <c r="M113" i="14"/>
  <c r="AT28" i="12"/>
  <c r="V31"/>
  <c r="G34"/>
  <c r="AJ31"/>
  <c r="AU32"/>
  <c r="X27"/>
  <c r="AI35"/>
  <c r="K29"/>
  <c r="AV26"/>
  <c r="U30"/>
  <c r="D33"/>
  <c r="AG35"/>
  <c r="K28"/>
  <c r="T36"/>
  <c r="AX31"/>
  <c r="J37"/>
  <c r="L32"/>
  <c r="AJ34"/>
  <c r="K27"/>
  <c r="AU31"/>
  <c r="AD34"/>
  <c r="AH38"/>
  <c r="AV28"/>
  <c r="AU35"/>
  <c r="AP29"/>
  <c r="AS28"/>
  <c r="L40"/>
  <c r="X26"/>
  <c r="AD37"/>
  <c r="AE39"/>
  <c r="AN27"/>
  <c r="M31"/>
  <c r="AM26"/>
  <c r="G33"/>
  <c r="O40"/>
  <c r="AJ35"/>
  <c r="AK37"/>
  <c r="AE32"/>
  <c r="D35"/>
  <c r="AE37"/>
  <c r="I31"/>
  <c r="J38"/>
  <c r="AS29"/>
  <c r="AM28"/>
  <c r="D26"/>
  <c r="K37"/>
  <c r="L39"/>
  <c r="AD36"/>
  <c r="AT29"/>
  <c r="J26"/>
  <c r="AT32"/>
  <c r="AN26"/>
  <c r="T27"/>
  <c r="AK38"/>
  <c r="AL40"/>
  <c r="D36"/>
  <c r="E38"/>
  <c r="AJ40"/>
  <c r="L28"/>
  <c r="AK30"/>
  <c r="AP39"/>
  <c r="M26"/>
  <c r="AU34"/>
  <c r="AJ30"/>
  <c r="R32"/>
  <c r="AU27"/>
  <c r="AN29"/>
  <c r="AV27"/>
  <c r="I26"/>
  <c r="AN39"/>
  <c r="K35"/>
  <c r="H37"/>
  <c r="M102" i="14"/>
  <c r="X34" i="12"/>
  <c r="N39"/>
  <c r="AP31"/>
  <c r="AJ36"/>
  <c r="G32"/>
  <c r="AU33"/>
  <c r="AP40"/>
  <c r="M107" i="14"/>
  <c r="AQ28" i="12"/>
  <c r="AX35"/>
  <c r="AR40"/>
  <c r="Q33"/>
  <c r="K38"/>
  <c r="AG33"/>
  <c r="V35"/>
  <c r="AT27"/>
  <c r="AJ26"/>
  <c r="D28"/>
  <c r="AQ34"/>
  <c r="AK39"/>
  <c r="H35"/>
  <c r="AD38"/>
  <c r="K33"/>
  <c r="AU30"/>
  <c r="AM27"/>
  <c r="N38"/>
  <c r="M32"/>
  <c r="AX37"/>
  <c r="AE29"/>
  <c r="Q35"/>
  <c r="AT26"/>
  <c r="P40"/>
  <c r="J30"/>
  <c r="X37"/>
  <c r="AP28"/>
  <c r="AX32"/>
  <c r="U37"/>
  <c r="AQ35"/>
  <c r="M108" i="14"/>
  <c r="AW37" i="12"/>
  <c r="O28"/>
  <c r="AH37"/>
  <c r="AR28"/>
  <c r="AX36"/>
  <c r="T33"/>
  <c r="W30"/>
  <c r="AP30"/>
  <c r="AH34"/>
  <c r="AW31"/>
  <c r="AK28"/>
  <c r="M34"/>
  <c r="E30"/>
  <c r="AU29"/>
  <c r="AH26"/>
  <c r="T26"/>
  <c r="X39"/>
  <c r="M109" i="14"/>
  <c r="AN35" i="12"/>
  <c r="AL27"/>
  <c r="AX40"/>
  <c r="H28"/>
  <c r="Q34"/>
  <c r="N31"/>
  <c r="R39"/>
  <c r="AN36"/>
  <c r="AH29"/>
  <c r="Q38"/>
  <c r="AT38"/>
  <c r="V27"/>
  <c r="T28"/>
  <c r="W37"/>
  <c r="J29"/>
  <c r="S34"/>
  <c r="R27"/>
  <c r="AT37"/>
  <c r="AD27"/>
  <c r="H34"/>
  <c r="AR33"/>
  <c r="K31"/>
  <c r="M111" i="14"/>
  <c r="AE30" i="12"/>
  <c r="AH35"/>
  <c r="S35"/>
  <c r="AK32"/>
  <c r="S28"/>
  <c r="AJ33"/>
  <c r="S30"/>
  <c r="G30"/>
  <c r="N40"/>
  <c r="AH27"/>
  <c r="M100" i="14"/>
  <c r="AI38" i="12"/>
  <c r="T38"/>
  <c r="AL35"/>
  <c r="U34"/>
  <c r="AL39"/>
  <c r="J40"/>
  <c r="AT39"/>
  <c r="V30"/>
  <c r="M37"/>
  <c r="V37"/>
  <c r="AQ27"/>
  <c r="E33"/>
  <c r="AG34"/>
  <c r="D32"/>
  <c r="AM38"/>
  <c r="AD40"/>
  <c r="AW35"/>
  <c r="U36"/>
  <c r="I36"/>
  <c r="X33"/>
  <c r="O35"/>
  <c r="L31"/>
  <c r="AQ32"/>
  <c r="AP27"/>
  <c r="O26"/>
  <c r="N34"/>
  <c r="P26"/>
  <c r="AV35"/>
  <c r="AE27"/>
  <c r="AE40"/>
  <c r="AR31"/>
  <c r="AH33"/>
  <c r="AW38"/>
  <c r="Q26"/>
  <c r="R26"/>
  <c r="AS38"/>
  <c r="W26"/>
  <c r="AP35"/>
  <c r="AL37"/>
  <c r="AX33"/>
  <c r="E34"/>
  <c r="O36"/>
  <c r="AT36"/>
  <c r="AL36"/>
  <c r="E29"/>
  <c r="X38"/>
  <c r="AI36"/>
  <c r="V44" l="1"/>
  <c r="AE44"/>
  <c r="AS44"/>
  <c r="AK41"/>
  <c r="AK44" s="1"/>
  <c r="J44"/>
  <c r="AD41"/>
  <c r="AD44" s="1"/>
  <c r="R44"/>
  <c r="AT44"/>
  <c r="AH41"/>
  <c r="N44"/>
  <c r="M44" s="1"/>
  <c r="L44" s="1"/>
  <c r="K44" s="1"/>
  <c r="AP44"/>
  <c r="AI41"/>
  <c r="AI44" s="1"/>
  <c r="AV44"/>
  <c r="Q44"/>
  <c r="AM41"/>
  <c r="AM44" s="1"/>
  <c r="S44"/>
  <c r="AU44"/>
  <c r="X44"/>
  <c r="AQ44"/>
  <c r="T44"/>
  <c r="AW44"/>
  <c r="AX44"/>
  <c r="AG41"/>
  <c r="AO41"/>
  <c r="AO44" s="1"/>
  <c r="U44"/>
  <c r="W44"/>
  <c r="AN44"/>
  <c r="AL41"/>
  <c r="AL44" s="1"/>
  <c r="AJ44"/>
  <c r="E44"/>
  <c r="AR44"/>
  <c r="P44"/>
  <c r="D58" i="31"/>
  <c r="D60"/>
  <c r="D59"/>
  <c r="C59" s="1"/>
  <c r="H57"/>
  <c r="I60"/>
  <c r="I59"/>
  <c r="I58"/>
  <c r="F61"/>
  <c r="F60"/>
  <c r="F59"/>
  <c r="F58"/>
  <c r="B61"/>
  <c r="B60"/>
  <c r="B59"/>
  <c r="B62"/>
  <c r="I61" s="1"/>
  <c r="G61"/>
  <c r="G60"/>
  <c r="G59"/>
  <c r="G58"/>
  <c r="C58"/>
  <c r="C61"/>
  <c r="C60"/>
  <c r="E60"/>
  <c r="E59"/>
  <c r="E61"/>
  <c r="D61" s="1"/>
  <c r="O44" i="12"/>
  <c r="D44"/>
  <c r="I44"/>
  <c r="I18"/>
  <c r="H18"/>
  <c r="G18"/>
  <c r="E18"/>
  <c r="D18"/>
  <c r="Z17"/>
  <c r="Z16"/>
  <c r="Z15"/>
  <c r="Z14"/>
  <c r="Z13"/>
  <c r="Z12"/>
  <c r="U17"/>
  <c r="Q17"/>
  <c r="AE16"/>
  <c r="AM16"/>
  <c r="J16"/>
  <c r="X15"/>
  <c r="AX16"/>
  <c r="AW14"/>
  <c r="AE15"/>
  <c r="AX17"/>
  <c r="S12"/>
  <c r="I13"/>
  <c r="AG17"/>
  <c r="E17"/>
  <c r="P17"/>
  <c r="AU11"/>
  <c r="AT15"/>
  <c r="D13"/>
  <c r="AS16"/>
  <c r="H14"/>
  <c r="T15"/>
  <c r="AI14"/>
  <c r="L12"/>
  <c r="AH12"/>
  <c r="AO15"/>
  <c r="E16"/>
  <c r="K13"/>
  <c r="AW17"/>
  <c r="W13"/>
  <c r="P15"/>
  <c r="AQ12"/>
  <c r="Q16"/>
  <c r="L13"/>
  <c r="AO14"/>
  <c r="AW11"/>
  <c r="H12"/>
  <c r="AD13"/>
  <c r="AV14"/>
  <c r="O17"/>
  <c r="AL12"/>
  <c r="G13"/>
  <c r="M16"/>
  <c r="L15"/>
  <c r="AH16"/>
  <c r="U14"/>
  <c r="V12"/>
  <c r="AS12"/>
  <c r="H16"/>
  <c r="V14"/>
  <c r="AR14"/>
  <c r="AS13"/>
  <c r="AQ11"/>
  <c r="AG13"/>
  <c r="AI17"/>
  <c r="AP15"/>
  <c r="AP12"/>
  <c r="AD17"/>
  <c r="AS17"/>
  <c r="I17"/>
  <c r="H17"/>
  <c r="AU16"/>
  <c r="V15"/>
  <c r="AN14"/>
  <c r="AV17"/>
  <c r="D15"/>
  <c r="AH11"/>
  <c r="L17"/>
  <c r="AH15"/>
  <c r="AG15"/>
  <c r="AV13"/>
  <c r="AO17"/>
  <c r="AK15"/>
  <c r="AN11"/>
  <c r="AL13"/>
  <c r="R15"/>
  <c r="AR16"/>
  <c r="AJ16"/>
  <c r="J14"/>
  <c r="W16"/>
  <c r="AW16"/>
  <c r="AN17"/>
  <c r="AM13"/>
  <c r="AD12"/>
  <c r="AN13"/>
  <c r="AO13"/>
  <c r="AW12"/>
  <c r="AR15"/>
  <c r="AT17"/>
  <c r="J17"/>
  <c r="AR17"/>
  <c r="AJ11"/>
  <c r="I14"/>
  <c r="AW13"/>
  <c r="M14"/>
  <c r="N16"/>
  <c r="S15"/>
  <c r="AT11"/>
  <c r="T12"/>
  <c r="AE17"/>
  <c r="K15"/>
  <c r="M12"/>
  <c r="AT16"/>
  <c r="W14"/>
  <c r="AI12"/>
  <c r="AO11"/>
  <c r="AI11"/>
  <c r="AU14"/>
  <c r="AQ13"/>
  <c r="N15"/>
  <c r="E12"/>
  <c r="AU12"/>
  <c r="AG14"/>
  <c r="AM17"/>
  <c r="N13"/>
  <c r="AO12"/>
  <c r="AS15"/>
  <c r="X12"/>
  <c r="N14"/>
  <c r="AU15"/>
  <c r="U16"/>
  <c r="S13"/>
  <c r="AN16"/>
  <c r="K12"/>
  <c r="I16"/>
  <c r="S17"/>
  <c r="J13"/>
  <c r="V17"/>
  <c r="V13"/>
  <c r="M17"/>
  <c r="R13"/>
  <c r="K17"/>
  <c r="E14"/>
  <c r="AQ15"/>
  <c r="W12"/>
  <c r="L16"/>
  <c r="H13"/>
  <c r="X16"/>
  <c r="AD11"/>
  <c r="M13"/>
  <c r="AI15"/>
  <c r="AX15"/>
  <c r="AR13"/>
  <c r="U15"/>
  <c r="T14"/>
  <c r="X13"/>
  <c r="AM12"/>
  <c r="K16"/>
  <c r="G16"/>
  <c r="AO16"/>
  <c r="AR11"/>
  <c r="G12"/>
  <c r="AE14"/>
  <c r="K14"/>
  <c r="U12"/>
  <c r="AG12"/>
  <c r="AJ13"/>
  <c r="Q13"/>
  <c r="U13"/>
  <c r="T13"/>
  <c r="X14"/>
  <c r="AI13"/>
  <c r="M15"/>
  <c r="Q15"/>
  <c r="AK16"/>
  <c r="AX14"/>
  <c r="Q12"/>
  <c r="AW15"/>
  <c r="P13"/>
  <c r="I15"/>
  <c r="AM15"/>
  <c r="AT14"/>
  <c r="J15"/>
  <c r="T17"/>
  <c r="AU17"/>
  <c r="AV11"/>
  <c r="J12"/>
  <c r="AK14"/>
  <c r="P12"/>
  <c r="R17"/>
  <c r="R14"/>
  <c r="N12"/>
  <c r="AL16"/>
  <c r="AX12"/>
  <c r="AM14"/>
  <c r="S14"/>
  <c r="O12"/>
  <c r="AQ16"/>
  <c r="O15"/>
  <c r="D17"/>
  <c r="AK12"/>
  <c r="E13"/>
  <c r="O14"/>
  <c r="AD14"/>
  <c r="AG11"/>
  <c r="AS11"/>
  <c r="G15"/>
  <c r="I12"/>
  <c r="AP11"/>
  <c r="AJ15"/>
  <c r="G17"/>
  <c r="Q14"/>
  <c r="AT13"/>
  <c r="AV16"/>
  <c r="D12"/>
  <c r="AS14"/>
  <c r="AN15"/>
  <c r="AJ12"/>
  <c r="AQ17"/>
  <c r="AL14"/>
  <c r="P16"/>
  <c r="G14"/>
  <c r="AH13"/>
  <c r="E15"/>
  <c r="L14"/>
  <c r="AE12"/>
  <c r="AJ14"/>
  <c r="D14"/>
  <c r="AE13"/>
  <c r="AI16"/>
  <c r="AE11"/>
  <c r="AH14"/>
  <c r="N17"/>
  <c r="AT12"/>
  <c r="AH17"/>
  <c r="D16"/>
  <c r="S16"/>
  <c r="AL11"/>
  <c r="AK13"/>
  <c r="H15"/>
  <c r="AV15"/>
  <c r="AV12"/>
  <c r="V16"/>
  <c r="R16"/>
  <c r="AG16"/>
  <c r="X17"/>
  <c r="R12"/>
  <c r="W15"/>
  <c r="AD15"/>
  <c r="AX11"/>
  <c r="O16"/>
  <c r="AL15"/>
  <c r="AD16"/>
  <c r="P14"/>
  <c r="AU13"/>
  <c r="AJ17"/>
  <c r="AP13"/>
  <c r="AR12"/>
  <c r="AP14"/>
  <c r="AK11"/>
  <c r="O13"/>
  <c r="AP17"/>
  <c r="AX13"/>
  <c r="AP16"/>
  <c r="AL17"/>
  <c r="AQ14"/>
  <c r="AM11"/>
  <c r="AK17"/>
  <c r="T16"/>
  <c r="AN12"/>
  <c r="W17"/>
  <c r="AM43" l="1"/>
  <c r="B58" i="31"/>
  <c r="E58"/>
  <c r="H58"/>
  <c r="H61"/>
  <c r="H60"/>
  <c r="H59"/>
  <c r="AH44" i="12"/>
  <c r="H44"/>
  <c r="Z11"/>
  <c r="Z10"/>
  <c r="Z9"/>
  <c r="Z8"/>
  <c r="Z7"/>
  <c r="Z6"/>
  <c r="Z5"/>
  <c r="Z4"/>
  <c r="Z3"/>
  <c r="AC2"/>
  <c r="C2"/>
  <c r="D56" i="30"/>
  <c r="AJ9" i="12"/>
  <c r="AJ7"/>
  <c r="M6"/>
  <c r="AH4"/>
  <c r="AC4"/>
  <c r="M3"/>
  <c r="AG10"/>
  <c r="AQ7"/>
  <c r="E5"/>
  <c r="AK4"/>
  <c r="AR8"/>
  <c r="E11"/>
  <c r="AR10"/>
  <c r="R8"/>
  <c r="AC3"/>
  <c r="V7"/>
  <c r="T8"/>
  <c r="AK6"/>
  <c r="U6"/>
  <c r="AN10"/>
  <c r="AI10"/>
  <c r="AV3"/>
  <c r="G10"/>
  <c r="K9"/>
  <c r="Q6"/>
  <c r="AQ3"/>
  <c r="K4"/>
  <c r="R7"/>
  <c r="AH9"/>
  <c r="R9"/>
  <c r="M5"/>
  <c r="N8"/>
  <c r="C6"/>
  <c r="AS6"/>
  <c r="AO9"/>
  <c r="AQ10"/>
  <c r="AW4"/>
  <c r="T9"/>
  <c r="AW6"/>
  <c r="AD8"/>
  <c r="N5"/>
  <c r="S4"/>
  <c r="AM10"/>
  <c r="D5"/>
  <c r="AV8"/>
  <c r="AP9"/>
  <c r="AR5"/>
  <c r="AH10"/>
  <c r="AI8"/>
  <c r="D10"/>
  <c r="E9"/>
  <c r="AV5"/>
  <c r="U3"/>
  <c r="M10"/>
  <c r="AC15"/>
  <c r="M9"/>
  <c r="AQ9"/>
  <c r="AI5"/>
  <c r="V4"/>
  <c r="AC17"/>
  <c r="I4"/>
  <c r="R11"/>
  <c r="S9"/>
  <c r="AC12"/>
  <c r="AT8"/>
  <c r="N4"/>
  <c r="AX3"/>
  <c r="AX6"/>
  <c r="C5"/>
  <c r="AJ5"/>
  <c r="J10"/>
  <c r="AP8"/>
  <c r="AE10"/>
  <c r="X6"/>
  <c r="Q8"/>
  <c r="AD5"/>
  <c r="H3"/>
  <c r="L10"/>
  <c r="U9"/>
  <c r="AU9"/>
  <c r="AV7"/>
  <c r="AK5"/>
  <c r="AI3"/>
  <c r="J3"/>
  <c r="V11"/>
  <c r="W9"/>
  <c r="G8"/>
  <c r="AG5"/>
  <c r="AH7"/>
  <c r="W4"/>
  <c r="G5"/>
  <c r="AO10"/>
  <c r="O3"/>
  <c r="AX4"/>
  <c r="N3"/>
  <c r="AE4"/>
  <c r="AT9"/>
  <c r="X11"/>
  <c r="AS5"/>
  <c r="O6"/>
  <c r="AD10"/>
  <c r="I6"/>
  <c r="Q3"/>
  <c r="I3"/>
  <c r="AT5"/>
  <c r="M7"/>
  <c r="E3"/>
  <c r="AS4"/>
  <c r="X5"/>
  <c r="AN5"/>
  <c r="L9"/>
  <c r="I7"/>
  <c r="G7"/>
  <c r="P6"/>
  <c r="AE5"/>
  <c r="AR4"/>
  <c r="H9"/>
  <c r="D3"/>
  <c r="E10"/>
  <c r="W11"/>
  <c r="AL5"/>
  <c r="T4"/>
  <c r="AE3"/>
  <c r="AC16"/>
  <c r="AW3"/>
  <c r="AH5"/>
  <c r="X7"/>
  <c r="D4"/>
  <c r="L3"/>
  <c r="E4"/>
  <c r="N11"/>
  <c r="AU5"/>
  <c r="AM8"/>
  <c r="T7"/>
  <c r="AX7"/>
  <c r="AP3"/>
  <c r="AT6"/>
  <c r="AQ5"/>
  <c r="C7"/>
  <c r="G6"/>
  <c r="AG6"/>
  <c r="AP4"/>
  <c r="D11"/>
  <c r="J5"/>
  <c r="K10"/>
  <c r="E7"/>
  <c r="AR6"/>
  <c r="R5"/>
  <c r="AD3"/>
  <c r="S6"/>
  <c r="AL9"/>
  <c r="AL8"/>
  <c r="T6"/>
  <c r="C3"/>
  <c r="AP6"/>
  <c r="Q7"/>
  <c r="S5"/>
  <c r="AX9"/>
  <c r="AK9"/>
  <c r="I9"/>
  <c r="AS8"/>
  <c r="P9"/>
  <c r="AN8"/>
  <c r="L4"/>
  <c r="H11"/>
  <c r="C13"/>
  <c r="AV4"/>
  <c r="P8"/>
  <c r="P7"/>
  <c r="G3"/>
  <c r="C14"/>
  <c r="T5"/>
  <c r="X4"/>
  <c r="W8"/>
  <c r="O7"/>
  <c r="K3"/>
  <c r="AD6"/>
  <c r="AU4"/>
  <c r="E6"/>
  <c r="I11"/>
  <c r="I10"/>
  <c r="Q9"/>
  <c r="V8"/>
  <c r="M8"/>
  <c r="AQ8"/>
  <c r="AW5"/>
  <c r="Q10"/>
  <c r="W7"/>
  <c r="AI6"/>
  <c r="U8"/>
  <c r="V6"/>
  <c r="AO5"/>
  <c r="AC13"/>
  <c r="AD7"/>
  <c r="C10"/>
  <c r="D8"/>
  <c r="AJ6"/>
  <c r="AX5"/>
  <c r="Q4"/>
  <c r="D9"/>
  <c r="AD9"/>
  <c r="K8"/>
  <c r="AW8"/>
  <c r="AP5"/>
  <c r="R4"/>
  <c r="AJ4"/>
  <c r="K5"/>
  <c r="AS10"/>
  <c r="AC9"/>
  <c r="T10"/>
  <c r="AO4"/>
  <c r="AC6"/>
  <c r="AD4"/>
  <c r="AC5"/>
  <c r="AR9"/>
  <c r="AC7"/>
  <c r="H8"/>
  <c r="AN6"/>
  <c r="AT4"/>
  <c r="Q5"/>
  <c r="AN3"/>
  <c r="AE8"/>
  <c r="O8"/>
  <c r="L6"/>
  <c r="H6"/>
  <c r="AO7"/>
  <c r="N7"/>
  <c r="W10"/>
  <c r="AW10"/>
  <c r="AG9"/>
  <c r="C11"/>
  <c r="V3"/>
  <c r="T11"/>
  <c r="S3"/>
  <c r="AK3"/>
  <c r="X9"/>
  <c r="AR7"/>
  <c r="AX8"/>
  <c r="X3"/>
  <c r="AL6"/>
  <c r="AX10"/>
  <c r="C9"/>
  <c r="C8"/>
  <c r="X10"/>
  <c r="J7"/>
  <c r="N6"/>
  <c r="AC10"/>
  <c r="J9"/>
  <c r="AU10"/>
  <c r="P10"/>
  <c r="AQ6"/>
  <c r="AI9"/>
  <c r="J6"/>
  <c r="T3"/>
  <c r="AV10"/>
  <c r="AU3"/>
  <c r="S11"/>
  <c r="P5"/>
  <c r="AE9"/>
  <c r="AP7"/>
  <c r="M4"/>
  <c r="AQ4"/>
  <c r="G9"/>
  <c r="AM7"/>
  <c r="AO8"/>
  <c r="K7"/>
  <c r="O5"/>
  <c r="C4"/>
  <c r="N9"/>
  <c r="J8"/>
  <c r="S7"/>
  <c r="O10"/>
  <c r="AJ8"/>
  <c r="AN7"/>
  <c r="AM3"/>
  <c r="AJ10"/>
  <c r="C17"/>
  <c r="U4"/>
  <c r="AO6"/>
  <c r="U11"/>
  <c r="L11"/>
  <c r="G11"/>
  <c r="AS3"/>
  <c r="AL10"/>
  <c r="D7"/>
  <c r="C15"/>
  <c r="H5"/>
  <c r="J11"/>
  <c r="AR3"/>
  <c r="AM6"/>
  <c r="AK8"/>
  <c r="AH6"/>
  <c r="AI4"/>
  <c r="AK10"/>
  <c r="P3"/>
  <c r="AS9"/>
  <c r="H10"/>
  <c r="AC8"/>
  <c r="AW7"/>
  <c r="R6"/>
  <c r="AE7"/>
  <c r="V5"/>
  <c r="AJ3"/>
  <c r="K11"/>
  <c r="AG3"/>
  <c r="AM9"/>
  <c r="N10"/>
  <c r="W3"/>
  <c r="D6"/>
  <c r="L5"/>
  <c r="AT10"/>
  <c r="O9"/>
  <c r="U10"/>
  <c r="J4"/>
  <c r="I8"/>
  <c r="AM4"/>
  <c r="V10"/>
  <c r="V9"/>
  <c r="AC14"/>
  <c r="AN9"/>
  <c r="AO3"/>
  <c r="E8"/>
  <c r="O4"/>
  <c r="AG4"/>
  <c r="L8"/>
  <c r="AU7"/>
  <c r="G4"/>
  <c r="AC11"/>
  <c r="W5"/>
  <c r="S8"/>
  <c r="AG8"/>
  <c r="AL4"/>
  <c r="AS7"/>
  <c r="H4"/>
  <c r="H7"/>
  <c r="AT7"/>
  <c r="K6"/>
  <c r="AU8"/>
  <c r="L7"/>
  <c r="AU6"/>
  <c r="P11"/>
  <c r="C12"/>
  <c r="AL7"/>
  <c r="AP10"/>
  <c r="X8"/>
  <c r="AW9"/>
  <c r="AV6"/>
  <c r="U5"/>
  <c r="C16"/>
  <c r="W6"/>
  <c r="S10"/>
  <c r="M11"/>
  <c r="AE6"/>
  <c r="I5"/>
  <c r="AN4"/>
  <c r="U7"/>
  <c r="Q11"/>
  <c r="AH3"/>
  <c r="AM5"/>
  <c r="AK7"/>
  <c r="P4"/>
  <c r="AI7"/>
  <c r="AT3"/>
  <c r="AL3"/>
  <c r="O11"/>
  <c r="R3"/>
  <c r="AG7"/>
  <c r="R10"/>
  <c r="AH8"/>
  <c r="AV9"/>
  <c r="AC25" l="1"/>
  <c r="AC18"/>
  <c r="AC21" s="1"/>
  <c r="C25"/>
  <c r="C18"/>
  <c r="C21" s="1"/>
  <c r="X21"/>
  <c r="S21"/>
  <c r="AP21"/>
  <c r="AX21"/>
  <c r="J21"/>
  <c r="N21"/>
  <c r="M21" s="1"/>
  <c r="L21" s="1"/>
  <c r="K21" s="1"/>
  <c r="R21"/>
  <c r="V21"/>
  <c r="AS21"/>
  <c r="AN21"/>
  <c r="AM21" s="1"/>
  <c r="AL21" s="1"/>
  <c r="AK21" s="1"/>
  <c r="AV21"/>
  <c r="E21"/>
  <c r="AR21"/>
  <c r="D21"/>
  <c r="T21"/>
  <c r="Q21"/>
  <c r="AJ21"/>
  <c r="P21"/>
  <c r="AE21"/>
  <c r="AQ21"/>
  <c r="AT21"/>
  <c r="G44"/>
  <c r="AG44"/>
  <c r="C35" i="30"/>
  <c r="B35"/>
  <c r="C32"/>
  <c r="B32"/>
  <c r="G31"/>
  <c r="C31"/>
  <c r="B31"/>
  <c r="C30"/>
  <c r="B30"/>
  <c r="E182" i="29"/>
  <c r="C36" i="12"/>
  <c r="E183" i="29"/>
  <c r="AC28" i="12"/>
  <c r="AC29"/>
  <c r="D183" i="29"/>
  <c r="D52"/>
  <c r="C35" i="12"/>
  <c r="C33"/>
  <c r="D191" i="29"/>
  <c r="E184"/>
  <c r="B183"/>
  <c r="C29" i="12"/>
  <c r="C52" i="29"/>
  <c r="E236"/>
  <c r="C30" i="12"/>
  <c r="C32"/>
  <c r="C197" i="29"/>
  <c r="C62"/>
  <c r="D236"/>
  <c r="E234"/>
  <c r="AC33" i="12"/>
  <c r="AC27"/>
  <c r="C184" i="29"/>
  <c r="AC26" i="12"/>
  <c r="C40"/>
  <c r="C51" i="29"/>
  <c r="E238"/>
  <c r="C191"/>
  <c r="AC39" i="12"/>
  <c r="E233" i="29"/>
  <c r="D238"/>
  <c r="B62"/>
  <c r="B185"/>
  <c r="E52"/>
  <c r="C183"/>
  <c r="E197"/>
  <c r="D197"/>
  <c r="E235"/>
  <c r="B52"/>
  <c r="AC40" i="12"/>
  <c r="C185" i="29"/>
  <c r="B197"/>
  <c r="D234"/>
  <c r="B191"/>
  <c r="B51"/>
  <c r="C27" i="12"/>
  <c r="C31"/>
  <c r="C34"/>
  <c r="D182" i="29"/>
  <c r="D51"/>
  <c r="AC36" i="12"/>
  <c r="C37"/>
  <c r="D235" i="29"/>
  <c r="AC30" i="12"/>
  <c r="AC31"/>
  <c r="AC32"/>
  <c r="AC35"/>
  <c r="AC37"/>
  <c r="AC38"/>
  <c r="C28"/>
  <c r="C26"/>
  <c r="B184" i="29"/>
  <c r="E51"/>
  <c r="C39" i="12"/>
  <c r="D233" i="29"/>
  <c r="E191"/>
  <c r="C38" i="12"/>
  <c r="D184" i="29"/>
  <c r="AC34" i="12"/>
  <c r="Q545" i="49" l="1"/>
  <c r="Q542"/>
  <c r="B538"/>
  <c r="B539" s="1"/>
  <c r="M544"/>
  <c r="M543"/>
  <c r="E538"/>
  <c r="F1018"/>
  <c r="F1014"/>
  <c r="F1015"/>
  <c r="F1041"/>
  <c r="F1058"/>
  <c r="F1028"/>
  <c r="F1051"/>
  <c r="F1016"/>
  <c r="F1042"/>
  <c r="F1054"/>
  <c r="F1010"/>
  <c r="F1039"/>
  <c r="F1003"/>
  <c r="F999"/>
  <c r="F1033"/>
  <c r="F1000"/>
  <c r="F538"/>
  <c r="F1026"/>
  <c r="F1038"/>
  <c r="F1030"/>
  <c r="F1047"/>
  <c r="F1002"/>
  <c r="F1035"/>
  <c r="F1057"/>
  <c r="F1027"/>
  <c r="F1050"/>
  <c r="F1005"/>
  <c r="F1024"/>
  <c r="F1048"/>
  <c r="F1008"/>
  <c r="F1029"/>
  <c r="F1037"/>
  <c r="F1013"/>
  <c r="F1034"/>
  <c r="F1055"/>
  <c r="F1040"/>
  <c r="F1012"/>
  <c r="F1011"/>
  <c r="F1045"/>
  <c r="F1009"/>
  <c r="F1031"/>
  <c r="F1062"/>
  <c r="F1025"/>
  <c r="F1032"/>
  <c r="F1053"/>
  <c r="F1019"/>
  <c r="F1043"/>
  <c r="F1052"/>
  <c r="F1020"/>
  <c r="F1056"/>
  <c r="F1006"/>
  <c r="F1061"/>
  <c r="F1022"/>
  <c r="F1017"/>
  <c r="F1049"/>
  <c r="F1021"/>
  <c r="F1044"/>
  <c r="F1007"/>
  <c r="F1036"/>
  <c r="F1046"/>
  <c r="F1004"/>
  <c r="F1023"/>
  <c r="F1060"/>
  <c r="F1059"/>
  <c r="F1001"/>
  <c r="F987"/>
  <c r="F850"/>
  <c r="F843"/>
  <c r="F716"/>
  <c r="F690"/>
  <c r="F641"/>
  <c r="F606"/>
  <c r="F991"/>
  <c r="F871"/>
  <c r="F811"/>
  <c r="F763"/>
  <c r="F756"/>
  <c r="F643"/>
  <c r="F631"/>
  <c r="F930"/>
  <c r="F911"/>
  <c r="F886"/>
  <c r="F786"/>
  <c r="F686"/>
  <c r="F646"/>
  <c r="F612"/>
  <c r="F976"/>
  <c r="F905"/>
  <c r="F807"/>
  <c r="F789"/>
  <c r="F720"/>
  <c r="F614"/>
  <c r="F600"/>
  <c r="F996"/>
  <c r="F859"/>
  <c r="F851"/>
  <c r="F722"/>
  <c r="F719"/>
  <c r="F642"/>
  <c r="F630"/>
  <c r="F997"/>
  <c r="F890"/>
  <c r="F833"/>
  <c r="F764"/>
  <c r="F733"/>
  <c r="F633"/>
  <c r="F584"/>
  <c r="F937"/>
  <c r="F920"/>
  <c r="F899"/>
  <c r="F792"/>
  <c r="F694"/>
  <c r="F659"/>
  <c r="F625"/>
  <c r="F931"/>
  <c r="F914"/>
  <c r="F819"/>
  <c r="F803"/>
  <c r="F743"/>
  <c r="F637"/>
  <c r="F605"/>
  <c r="F964"/>
  <c r="F827"/>
  <c r="F825"/>
  <c r="F752"/>
  <c r="F676"/>
  <c r="F634"/>
  <c r="F585"/>
  <c r="F953"/>
  <c r="F902"/>
  <c r="F794"/>
  <c r="F755"/>
  <c r="F726"/>
  <c r="F645"/>
  <c r="F607"/>
  <c r="F943"/>
  <c r="F922"/>
  <c r="F906"/>
  <c r="F816"/>
  <c r="F713"/>
  <c r="F670"/>
  <c r="F575"/>
  <c r="F939"/>
  <c r="F921"/>
  <c r="F831"/>
  <c r="F817"/>
  <c r="F751"/>
  <c r="F640"/>
  <c r="F611"/>
  <c r="F954"/>
  <c r="F908"/>
  <c r="F826"/>
  <c r="F754"/>
  <c r="F688"/>
  <c r="F636"/>
  <c r="F572"/>
  <c r="F982"/>
  <c r="F909"/>
  <c r="F799"/>
  <c r="F762"/>
  <c r="F737"/>
  <c r="F632"/>
  <c r="F618"/>
  <c r="F980"/>
  <c r="F884"/>
  <c r="F882"/>
  <c r="F774"/>
  <c r="F735"/>
  <c r="F638"/>
  <c r="F577"/>
  <c r="F962"/>
  <c r="F888"/>
  <c r="F796"/>
  <c r="F783"/>
  <c r="F707"/>
  <c r="F609"/>
  <c r="F574"/>
  <c r="F965"/>
  <c r="F860"/>
  <c r="F832"/>
  <c r="F761"/>
  <c r="F692"/>
  <c r="F650"/>
  <c r="F587"/>
  <c r="F969"/>
  <c r="F863"/>
  <c r="F821"/>
  <c r="F773"/>
  <c r="F704"/>
  <c r="F667"/>
  <c r="F553"/>
  <c r="F958"/>
  <c r="F915"/>
  <c r="F869"/>
  <c r="F790"/>
  <c r="F731"/>
  <c r="F661"/>
  <c r="F588"/>
  <c r="F963"/>
  <c r="F916"/>
  <c r="F900"/>
  <c r="F828"/>
  <c r="F714"/>
  <c r="F647"/>
  <c r="F554"/>
  <c r="F975"/>
  <c r="F901"/>
  <c r="F844"/>
  <c r="F767"/>
  <c r="F712"/>
  <c r="F665"/>
  <c r="F596"/>
  <c r="F989"/>
  <c r="F875"/>
  <c r="F824"/>
  <c r="F777"/>
  <c r="F711"/>
  <c r="F674"/>
  <c r="F565"/>
  <c r="F966"/>
  <c r="F924"/>
  <c r="F879"/>
  <c r="F808"/>
  <c r="F741"/>
  <c r="F668"/>
  <c r="F593"/>
  <c r="F971"/>
  <c r="F961"/>
  <c r="F907"/>
  <c r="F838"/>
  <c r="F721"/>
  <c r="F649"/>
  <c r="F569"/>
  <c r="F936"/>
  <c r="F896"/>
  <c r="F798"/>
  <c r="F745"/>
  <c r="F736"/>
  <c r="F648"/>
  <c r="F561"/>
  <c r="F938"/>
  <c r="F895"/>
  <c r="F845"/>
  <c r="F765"/>
  <c r="F758"/>
  <c r="F658"/>
  <c r="F591"/>
  <c r="F984"/>
  <c r="F925"/>
  <c r="F889"/>
  <c r="F815"/>
  <c r="F687"/>
  <c r="F678"/>
  <c r="F599"/>
  <c r="F981"/>
  <c r="F967"/>
  <c r="F857"/>
  <c r="F847"/>
  <c r="F725"/>
  <c r="F662"/>
  <c r="F586"/>
  <c r="F992"/>
  <c r="F874"/>
  <c r="F805"/>
  <c r="F766"/>
  <c r="F748"/>
  <c r="F652"/>
  <c r="F590"/>
  <c r="F956"/>
  <c r="F858"/>
  <c r="F788"/>
  <c r="F775"/>
  <c r="F693"/>
  <c r="F666"/>
  <c r="F628"/>
  <c r="F952"/>
  <c r="F927"/>
  <c r="F864"/>
  <c r="F822"/>
  <c r="F724"/>
  <c r="F682"/>
  <c r="F580"/>
  <c r="F949"/>
  <c r="F917"/>
  <c r="F878"/>
  <c r="F823"/>
  <c r="F696"/>
  <c r="F639"/>
  <c r="F617"/>
  <c r="F970"/>
  <c r="F862"/>
  <c r="F809"/>
  <c r="F770"/>
  <c r="F757"/>
  <c r="F656"/>
  <c r="F627"/>
  <c r="F935"/>
  <c r="F913"/>
  <c r="F854"/>
  <c r="F778"/>
  <c r="F753"/>
  <c r="F657"/>
  <c r="F581"/>
  <c r="F579"/>
  <c r="F978"/>
  <c r="F866"/>
  <c r="F855"/>
  <c r="F734"/>
  <c r="F703"/>
  <c r="F623"/>
  <c r="F582"/>
  <c r="F986"/>
  <c r="F870"/>
  <c r="F801"/>
  <c r="F739"/>
  <c r="F685"/>
  <c r="F589"/>
  <c r="F990"/>
  <c r="F892"/>
  <c r="F837"/>
  <c r="F781"/>
  <c r="F689"/>
  <c r="F679"/>
  <c r="F551"/>
  <c r="F955"/>
  <c r="F923"/>
  <c r="F873"/>
  <c r="F797"/>
  <c r="F701"/>
  <c r="F664"/>
  <c r="F597"/>
  <c r="F592"/>
  <c r="F985"/>
  <c r="F887"/>
  <c r="F795"/>
  <c r="F742"/>
  <c r="F728"/>
  <c r="F555"/>
  <c r="F595"/>
  <c r="F934"/>
  <c r="F883"/>
  <c r="F818"/>
  <c r="F744"/>
  <c r="F655"/>
  <c r="F594"/>
  <c r="F988"/>
  <c r="F868"/>
  <c r="F849"/>
  <c r="F760"/>
  <c r="F729"/>
  <c r="F669"/>
  <c r="F622"/>
  <c r="F983"/>
  <c r="F919"/>
  <c r="F840"/>
  <c r="F784"/>
  <c r="F730"/>
  <c r="F660"/>
  <c r="F571"/>
  <c r="F998"/>
  <c r="F932"/>
  <c r="F891"/>
  <c r="F802"/>
  <c r="F747"/>
  <c r="F740"/>
  <c r="F558"/>
  <c r="F608"/>
  <c r="F947"/>
  <c r="F894"/>
  <c r="F836"/>
  <c r="F750"/>
  <c r="F683"/>
  <c r="F603"/>
  <c r="F972"/>
  <c r="F929"/>
  <c r="F791"/>
  <c r="F769"/>
  <c r="F708"/>
  <c r="F663"/>
  <c r="F570"/>
  <c r="F993"/>
  <c r="F926"/>
  <c r="F846"/>
  <c r="F787"/>
  <c r="F749"/>
  <c r="F671"/>
  <c r="F576"/>
  <c r="F559"/>
  <c r="F959"/>
  <c r="F903"/>
  <c r="F839"/>
  <c r="F718"/>
  <c r="F697"/>
  <c r="F613"/>
  <c r="F994"/>
  <c r="F974"/>
  <c r="F865"/>
  <c r="F793"/>
  <c r="F738"/>
  <c r="F673"/>
  <c r="F602"/>
  <c r="F977"/>
  <c r="F944"/>
  <c r="F813"/>
  <c r="F800"/>
  <c r="F715"/>
  <c r="F675"/>
  <c r="F610"/>
  <c r="F557"/>
  <c r="F940"/>
  <c r="F897"/>
  <c r="F829"/>
  <c r="F732"/>
  <c r="F695"/>
  <c r="F629"/>
  <c r="F583"/>
  <c r="F945"/>
  <c r="F910"/>
  <c r="F806"/>
  <c r="F776"/>
  <c r="F705"/>
  <c r="F573"/>
  <c r="F621"/>
  <c r="F942"/>
  <c r="F877"/>
  <c r="F848"/>
  <c r="F780"/>
  <c r="F681"/>
  <c r="F626"/>
  <c r="F995"/>
  <c r="F950"/>
  <c r="F820"/>
  <c r="F814"/>
  <c r="F727"/>
  <c r="F654"/>
  <c r="F620"/>
  <c r="F563"/>
  <c r="F946"/>
  <c r="F861"/>
  <c r="F853"/>
  <c r="F746"/>
  <c r="F702"/>
  <c r="F644"/>
  <c r="F598"/>
  <c r="F951"/>
  <c r="F872"/>
  <c r="F842"/>
  <c r="F782"/>
  <c r="F710"/>
  <c r="F578"/>
  <c r="F552"/>
  <c r="F948"/>
  <c r="F904"/>
  <c r="F804"/>
  <c r="F772"/>
  <c r="F709"/>
  <c r="F556"/>
  <c r="F933"/>
  <c r="F912"/>
  <c r="F856"/>
  <c r="F771"/>
  <c r="F699"/>
  <c r="F653"/>
  <c r="F560"/>
  <c r="F973"/>
  <c r="F918"/>
  <c r="F885"/>
  <c r="F852"/>
  <c r="F706"/>
  <c r="F672"/>
  <c r="F604"/>
  <c r="F624"/>
  <c r="F960"/>
  <c r="F880"/>
  <c r="F876"/>
  <c r="F785"/>
  <c r="F723"/>
  <c r="F635"/>
  <c r="F567"/>
  <c r="F957"/>
  <c r="F881"/>
  <c r="F830"/>
  <c r="F779"/>
  <c r="F691"/>
  <c r="F568"/>
  <c r="F562"/>
  <c r="F968"/>
  <c r="F834"/>
  <c r="F835"/>
  <c r="F700"/>
  <c r="F684"/>
  <c r="F651"/>
  <c r="F601"/>
  <c r="F928"/>
  <c r="F893"/>
  <c r="F810"/>
  <c r="F717"/>
  <c r="F677"/>
  <c r="F616"/>
  <c r="F564"/>
  <c r="F941"/>
  <c r="F898"/>
  <c r="F812"/>
  <c r="F759"/>
  <c r="F698"/>
  <c r="F566"/>
  <c r="F615"/>
  <c r="F979"/>
  <c r="F867"/>
  <c r="F841"/>
  <c r="F768"/>
  <c r="F680"/>
  <c r="F619"/>
  <c r="E53" i="29"/>
  <c r="E537" i="49"/>
  <c r="F537"/>
  <c r="L539"/>
  <c r="K539"/>
  <c r="J539"/>
  <c r="E536"/>
  <c r="F536"/>
  <c r="D53" i="29"/>
  <c r="Q9" i="49"/>
  <c r="B5"/>
  <c r="B6" s="1"/>
  <c r="J6"/>
  <c r="L6"/>
  <c r="K6"/>
  <c r="Q12"/>
  <c r="F5"/>
  <c r="F505"/>
  <c r="F518"/>
  <c r="F511"/>
  <c r="F503"/>
  <c r="F525"/>
  <c r="F489"/>
  <c r="F507"/>
  <c r="F492"/>
  <c r="F526"/>
  <c r="F479"/>
  <c r="F477"/>
  <c r="F517"/>
  <c r="F483"/>
  <c r="F484"/>
  <c r="F474"/>
  <c r="F471"/>
  <c r="E5"/>
  <c r="F512"/>
  <c r="F468"/>
  <c r="F520"/>
  <c r="F470"/>
  <c r="F467"/>
  <c r="F515"/>
  <c r="F521"/>
  <c r="F466"/>
  <c r="F482"/>
  <c r="F494"/>
  <c r="F491"/>
  <c r="F475"/>
  <c r="F500"/>
  <c r="F495"/>
  <c r="F496"/>
  <c r="F486"/>
  <c r="F524"/>
  <c r="F497"/>
  <c r="F473"/>
  <c r="F485"/>
  <c r="F481"/>
  <c r="F519"/>
  <c r="F469"/>
  <c r="F480"/>
  <c r="F514"/>
  <c r="F502"/>
  <c r="F522"/>
  <c r="F493"/>
  <c r="F504"/>
  <c r="F506"/>
  <c r="F516"/>
  <c r="F499"/>
  <c r="F529"/>
  <c r="F501"/>
  <c r="F488"/>
  <c r="F498"/>
  <c r="F487"/>
  <c r="F513"/>
  <c r="F476"/>
  <c r="F490"/>
  <c r="F478"/>
  <c r="F510"/>
  <c r="F527"/>
  <c r="F528"/>
  <c r="F509"/>
  <c r="F472"/>
  <c r="F523"/>
  <c r="F508"/>
  <c r="F385"/>
  <c r="F270"/>
  <c r="F262"/>
  <c r="F194"/>
  <c r="F131"/>
  <c r="F63"/>
  <c r="F404"/>
  <c r="F315"/>
  <c r="F313"/>
  <c r="F230"/>
  <c r="F143"/>
  <c r="F78"/>
  <c r="F416"/>
  <c r="F394"/>
  <c r="F338"/>
  <c r="F310"/>
  <c r="F209"/>
  <c r="F117"/>
  <c r="F445"/>
  <c r="F395"/>
  <c r="F279"/>
  <c r="F240"/>
  <c r="F235"/>
  <c r="F138"/>
  <c r="F75"/>
  <c r="F85"/>
  <c r="F34"/>
  <c r="F458"/>
  <c r="F401"/>
  <c r="F275"/>
  <c r="F268"/>
  <c r="F212"/>
  <c r="F137"/>
  <c r="F71"/>
  <c r="F411"/>
  <c r="F374"/>
  <c r="F261"/>
  <c r="F295"/>
  <c r="F190"/>
  <c r="F147"/>
  <c r="F423"/>
  <c r="F414"/>
  <c r="F361"/>
  <c r="F332"/>
  <c r="F239"/>
  <c r="F129"/>
  <c r="F459"/>
  <c r="F415"/>
  <c r="F284"/>
  <c r="F251"/>
  <c r="F177"/>
  <c r="F165"/>
  <c r="F93"/>
  <c r="F55"/>
  <c r="F36"/>
  <c r="F447"/>
  <c r="F422"/>
  <c r="F370"/>
  <c r="F236"/>
  <c r="F231"/>
  <c r="F122"/>
  <c r="F112"/>
  <c r="F440"/>
  <c r="F333"/>
  <c r="F325"/>
  <c r="F180"/>
  <c r="F167"/>
  <c r="F97"/>
  <c r="F446"/>
  <c r="F441"/>
  <c r="F330"/>
  <c r="F309"/>
  <c r="F184"/>
  <c r="F139"/>
  <c r="F81"/>
  <c r="F426"/>
  <c r="F308"/>
  <c r="F297"/>
  <c r="F237"/>
  <c r="F162"/>
  <c r="F68"/>
  <c r="F19"/>
  <c r="F30"/>
  <c r="F40"/>
  <c r="F386"/>
  <c r="F346"/>
  <c r="F355"/>
  <c r="F202"/>
  <c r="F121"/>
  <c r="F57"/>
  <c r="F463"/>
  <c r="F428"/>
  <c r="F291"/>
  <c r="F305"/>
  <c r="F222"/>
  <c r="F123"/>
  <c r="F101"/>
  <c r="F399"/>
  <c r="F345"/>
  <c r="F347"/>
  <c r="F191"/>
  <c r="F154"/>
  <c r="F66"/>
  <c r="F405"/>
  <c r="F273"/>
  <c r="F359"/>
  <c r="F201"/>
  <c r="F125"/>
  <c r="F79"/>
  <c r="F41"/>
  <c r="F72"/>
  <c r="F31"/>
  <c r="F427"/>
  <c r="F312"/>
  <c r="F302"/>
  <c r="F175"/>
  <c r="F152"/>
  <c r="F110"/>
  <c r="F406"/>
  <c r="F360"/>
  <c r="F351"/>
  <c r="F281"/>
  <c r="F179"/>
  <c r="F142"/>
  <c r="F465"/>
  <c r="F383"/>
  <c r="F283"/>
  <c r="F256"/>
  <c r="F204"/>
  <c r="F148"/>
  <c r="F60"/>
  <c r="F391"/>
  <c r="F350"/>
  <c r="F272"/>
  <c r="F228"/>
  <c r="F140"/>
  <c r="F80"/>
  <c r="F44"/>
  <c r="F50"/>
  <c r="F454"/>
  <c r="F375"/>
  <c r="F321"/>
  <c r="F323"/>
  <c r="F181"/>
  <c r="F166"/>
  <c r="F89"/>
  <c r="F455"/>
  <c r="F442"/>
  <c r="F304"/>
  <c r="F336"/>
  <c r="F208"/>
  <c r="F126"/>
  <c r="F64"/>
  <c r="F378"/>
  <c r="F289"/>
  <c r="F264"/>
  <c r="F218"/>
  <c r="F149"/>
  <c r="F77"/>
  <c r="F389"/>
  <c r="F357"/>
  <c r="F326"/>
  <c r="F238"/>
  <c r="F150"/>
  <c r="F102"/>
  <c r="F45"/>
  <c r="F73"/>
  <c r="F25"/>
  <c r="F413"/>
  <c r="F290"/>
  <c r="F286"/>
  <c r="F225"/>
  <c r="F159"/>
  <c r="F92"/>
  <c r="F431"/>
  <c r="F410"/>
  <c r="F267"/>
  <c r="F299"/>
  <c r="F213"/>
  <c r="F164"/>
  <c r="F76"/>
  <c r="F437"/>
  <c r="F376"/>
  <c r="F263"/>
  <c r="F254"/>
  <c r="F168"/>
  <c r="F86"/>
  <c r="F439"/>
  <c r="F377"/>
  <c r="F252"/>
  <c r="F206"/>
  <c r="F205"/>
  <c r="F114"/>
  <c r="F95"/>
  <c r="F42"/>
  <c r="F21"/>
  <c r="F430"/>
  <c r="F337"/>
  <c r="F329"/>
  <c r="F227"/>
  <c r="F197"/>
  <c r="F109"/>
  <c r="F444"/>
  <c r="F418"/>
  <c r="F342"/>
  <c r="F365"/>
  <c r="F245"/>
  <c r="F124"/>
  <c r="F98"/>
  <c r="F407"/>
  <c r="F382"/>
  <c r="F300"/>
  <c r="F277"/>
  <c r="F182"/>
  <c r="F107"/>
  <c r="F433"/>
  <c r="F320"/>
  <c r="F343"/>
  <c r="F244"/>
  <c r="F183"/>
  <c r="F70"/>
  <c r="F22"/>
  <c r="F37"/>
  <c r="F26"/>
  <c r="F392"/>
  <c r="F353"/>
  <c r="F364"/>
  <c r="F207"/>
  <c r="F130"/>
  <c r="F61"/>
  <c r="F450"/>
  <c r="F435"/>
  <c r="F296"/>
  <c r="F314"/>
  <c r="F243"/>
  <c r="F132"/>
  <c r="F91"/>
  <c r="F409"/>
  <c r="F318"/>
  <c r="F292"/>
  <c r="F241"/>
  <c r="F146"/>
  <c r="F88"/>
  <c r="F412"/>
  <c r="F293"/>
  <c r="F271"/>
  <c r="F211"/>
  <c r="F155"/>
  <c r="F100"/>
  <c r="F56"/>
  <c r="F24"/>
  <c r="F29"/>
  <c r="F396"/>
  <c r="F369"/>
  <c r="F317"/>
  <c r="F214"/>
  <c r="F178"/>
  <c r="F96"/>
  <c r="F457"/>
  <c r="F380"/>
  <c r="F266"/>
  <c r="F259"/>
  <c r="F195"/>
  <c r="F156"/>
  <c r="F94"/>
  <c r="F419"/>
  <c r="F324"/>
  <c r="F301"/>
  <c r="F248"/>
  <c r="F163"/>
  <c r="F99"/>
  <c r="F420"/>
  <c r="F303"/>
  <c r="F276"/>
  <c r="F224"/>
  <c r="F158"/>
  <c r="F115"/>
  <c r="F54"/>
  <c r="F20"/>
  <c r="F33"/>
  <c r="F373"/>
  <c r="F331"/>
  <c r="F340"/>
  <c r="F193"/>
  <c r="F118"/>
  <c r="F116"/>
  <c r="F453"/>
  <c r="F381"/>
  <c r="F328"/>
  <c r="F352"/>
  <c r="F221"/>
  <c r="F170"/>
  <c r="F87"/>
  <c r="F443"/>
  <c r="F429"/>
  <c r="F257"/>
  <c r="F348"/>
  <c r="F172"/>
  <c r="F151"/>
  <c r="F461"/>
  <c r="F372"/>
  <c r="F316"/>
  <c r="F260"/>
  <c r="F187"/>
  <c r="F127"/>
  <c r="F111"/>
  <c r="F23"/>
  <c r="F39"/>
  <c r="F456"/>
  <c r="F379"/>
  <c r="F258"/>
  <c r="F247"/>
  <c r="F246"/>
  <c r="F141"/>
  <c r="F53"/>
  <c r="F398"/>
  <c r="F287"/>
  <c r="F307"/>
  <c r="F217"/>
  <c r="F133"/>
  <c r="F62"/>
  <c r="F452"/>
  <c r="F438"/>
  <c r="F278"/>
  <c r="F250"/>
  <c r="F186"/>
  <c r="F136"/>
  <c r="F448"/>
  <c r="F390"/>
  <c r="F274"/>
  <c r="F219"/>
  <c r="F229"/>
  <c r="F120"/>
  <c r="F51"/>
  <c r="F59"/>
  <c r="F46"/>
  <c r="F436"/>
  <c r="F371"/>
  <c r="F339"/>
  <c r="F233"/>
  <c r="F216"/>
  <c r="F160"/>
  <c r="F449"/>
  <c r="F434"/>
  <c r="F255"/>
  <c r="F253"/>
  <c r="F176"/>
  <c r="F145"/>
  <c r="F106"/>
  <c r="F408"/>
  <c r="F356"/>
  <c r="F362"/>
  <c r="F210"/>
  <c r="F157"/>
  <c r="F69"/>
  <c r="F417"/>
  <c r="F341"/>
  <c r="F358"/>
  <c r="F185"/>
  <c r="F188"/>
  <c r="F83"/>
  <c r="F48"/>
  <c r="F47"/>
  <c r="F18"/>
  <c r="F451"/>
  <c r="F402"/>
  <c r="F354"/>
  <c r="F199"/>
  <c r="F226"/>
  <c r="F144"/>
  <c r="F84"/>
  <c r="F425"/>
  <c r="F327"/>
  <c r="F319"/>
  <c r="F174"/>
  <c r="F153"/>
  <c r="F90"/>
  <c r="F432"/>
  <c r="F366"/>
  <c r="F249"/>
  <c r="F223"/>
  <c r="F161"/>
  <c r="F82"/>
  <c r="F424"/>
  <c r="F367"/>
  <c r="F363"/>
  <c r="F198"/>
  <c r="F196"/>
  <c r="F108"/>
  <c r="F74"/>
  <c r="F38"/>
  <c r="F27"/>
  <c r="F403"/>
  <c r="F269"/>
  <c r="F322"/>
  <c r="F220"/>
  <c r="F189"/>
  <c r="F103"/>
  <c r="F464"/>
  <c r="F387"/>
  <c r="F282"/>
  <c r="F285"/>
  <c r="F203"/>
  <c r="F119"/>
  <c r="F58"/>
  <c r="F462"/>
  <c r="F388"/>
  <c r="F306"/>
  <c r="F280"/>
  <c r="F242"/>
  <c r="F171"/>
  <c r="F113"/>
  <c r="F400"/>
  <c r="F368"/>
  <c r="F344"/>
  <c r="F192"/>
  <c r="F135"/>
  <c r="F52"/>
  <c r="F35"/>
  <c r="F49"/>
  <c r="F28"/>
  <c r="F421"/>
  <c r="F294"/>
  <c r="F298"/>
  <c r="F234"/>
  <c r="F169"/>
  <c r="F105"/>
  <c r="F397"/>
  <c r="F349"/>
  <c r="F335"/>
  <c r="F232"/>
  <c r="F173"/>
  <c r="F104"/>
  <c r="F460"/>
  <c r="F393"/>
  <c r="F311"/>
  <c r="F288"/>
  <c r="F200"/>
  <c r="F128"/>
  <c r="F65"/>
  <c r="F384"/>
  <c r="F334"/>
  <c r="F265"/>
  <c r="F215"/>
  <c r="F134"/>
  <c r="F67"/>
  <c r="F32"/>
  <c r="F43"/>
  <c r="F4"/>
  <c r="E4"/>
  <c r="M11"/>
  <c r="M10"/>
  <c r="F3"/>
  <c r="E3"/>
  <c r="AC41" i="12"/>
  <c r="AC44" s="1"/>
  <c r="Z18"/>
  <c r="B60" i="48"/>
  <c r="B64"/>
  <c r="B57"/>
  <c r="B62"/>
  <c r="B58"/>
  <c r="B61"/>
  <c r="B59"/>
  <c r="B63"/>
  <c r="B20"/>
  <c r="B21"/>
  <c r="B19"/>
  <c r="B22"/>
  <c r="B23"/>
  <c r="B24"/>
  <c r="B17"/>
  <c r="B18"/>
  <c r="C41" i="12"/>
  <c r="B46" i="48"/>
  <c r="B6"/>
  <c r="C64" i="29"/>
  <c r="B68" i="48"/>
  <c r="B64" i="29"/>
  <c r="B53"/>
  <c r="B56" s="1"/>
  <c r="C53"/>
  <c r="B45" i="48"/>
  <c r="B28"/>
  <c r="B5"/>
  <c r="AD21" i="12"/>
  <c r="AU21"/>
  <c r="U21"/>
  <c r="I21"/>
  <c r="AI21"/>
  <c r="AO21"/>
  <c r="O21"/>
  <c r="W21"/>
  <c r="C27" i="30"/>
  <c r="G26"/>
  <c r="C26"/>
  <c r="C25"/>
  <c r="C24"/>
  <c r="C23"/>
  <c r="C22"/>
  <c r="C21"/>
  <c r="C20"/>
  <c r="C19"/>
  <c r="C18"/>
  <c r="C17"/>
  <c r="C16"/>
  <c r="C15"/>
  <c r="C14"/>
  <c r="C227" i="29"/>
  <c r="B227"/>
  <c r="B182"/>
  <c r="E62"/>
  <c r="C182"/>
  <c r="Z41" i="12" l="1"/>
  <c r="E64" i="29"/>
  <c r="C44" i="12"/>
  <c r="B228" i="29"/>
  <c r="E179"/>
  <c r="D179" s="1"/>
  <c r="C179" s="1"/>
  <c r="B4" i="48"/>
  <c r="E6" s="1"/>
  <c r="C228" i="29"/>
  <c r="B44" i="48"/>
  <c r="E48" s="1"/>
  <c r="H21" i="12"/>
  <c r="AH21"/>
  <c r="C13" i="30"/>
  <c r="N10" s="1"/>
  <c r="C10"/>
  <c r="N9" s="1"/>
  <c r="C9"/>
  <c r="N8" s="1"/>
  <c r="N7" s="1"/>
  <c r="N6"/>
  <c r="C6"/>
  <c r="D62" i="29"/>
  <c r="D64" l="1"/>
  <c r="Z44" i="12"/>
  <c r="E8" i="48"/>
  <c r="E12"/>
  <c r="E52"/>
  <c r="E7"/>
  <c r="E46"/>
  <c r="E13"/>
  <c r="E10"/>
  <c r="B179" i="29"/>
  <c r="AG21" i="12"/>
  <c r="E51" i="48"/>
  <c r="E53"/>
  <c r="E47"/>
  <c r="E50"/>
  <c r="E9"/>
  <c r="G21" i="12"/>
  <c r="E49" i="48"/>
  <c r="C5" i="30"/>
  <c r="C4"/>
  <c r="N3"/>
  <c r="N5" s="1"/>
  <c r="C3"/>
  <c r="N2" s="1"/>
  <c r="E54" i="48" l="1"/>
  <c r="Z21" i="12"/>
  <c r="H19" i="26" l="1"/>
  <c r="B59" i="29" s="1"/>
  <c r="B207" s="1"/>
  <c r="B210" s="1"/>
  <c r="B215" s="1"/>
  <c r="E11" i="48"/>
  <c r="E14" s="1"/>
  <c r="E26"/>
  <c r="E189" i="29"/>
  <c r="E190" s="1"/>
  <c r="E192" s="1"/>
  <c r="L605" i="49" s="1"/>
  <c r="D189" i="29"/>
  <c r="D190" s="1"/>
  <c r="D192" s="1"/>
  <c r="L24" i="49" s="1"/>
  <c r="C189" i="29"/>
  <c r="C229" s="1"/>
  <c r="C231" s="1"/>
  <c r="E239" s="1"/>
  <c r="B189"/>
  <c r="B190" s="1"/>
  <c r="B192" s="1"/>
  <c r="B3" i="49" s="1"/>
  <c r="J551"/>
  <c r="K551" s="1"/>
  <c r="J552"/>
  <c r="K552" s="1"/>
  <c r="J553"/>
  <c r="K553" s="1"/>
  <c r="J559"/>
  <c r="K559" s="1"/>
  <c r="J560"/>
  <c r="K560" s="1"/>
  <c r="J561"/>
  <c r="K561" s="1"/>
  <c r="J567"/>
  <c r="K567" s="1"/>
  <c r="J568"/>
  <c r="K568" s="1"/>
  <c r="J569"/>
  <c r="K569" s="1"/>
  <c r="J575"/>
  <c r="K575" s="1"/>
  <c r="J576"/>
  <c r="K576" s="1"/>
  <c r="J577"/>
  <c r="K577" s="1"/>
  <c r="J583"/>
  <c r="K583" s="1"/>
  <c r="J584"/>
  <c r="K584" s="1"/>
  <c r="J591"/>
  <c r="K591" s="1"/>
  <c r="J592"/>
  <c r="K592" s="1"/>
  <c r="J599"/>
  <c r="K599" s="1"/>
  <c r="J600"/>
  <c r="K600" s="1"/>
  <c r="J607"/>
  <c r="K607" s="1"/>
  <c r="J608"/>
  <c r="K608" s="1"/>
  <c r="J615"/>
  <c r="K615" s="1"/>
  <c r="J623"/>
  <c r="K623" s="1"/>
  <c r="J631"/>
  <c r="K631" s="1"/>
  <c r="J639"/>
  <c r="K639" s="1"/>
  <c r="J679"/>
  <c r="K679" s="1"/>
  <c r="J680"/>
  <c r="K680" s="1"/>
  <c r="J687"/>
  <c r="K687" s="1"/>
  <c r="J688"/>
  <c r="K688" s="1"/>
  <c r="J695"/>
  <c r="K695" s="1"/>
  <c r="J696"/>
  <c r="K696" s="1"/>
  <c r="J703"/>
  <c r="K703" s="1"/>
  <c r="J704"/>
  <c r="K704" s="1"/>
  <c r="J711"/>
  <c r="K711" s="1"/>
  <c r="J719"/>
  <c r="K719" s="1"/>
  <c r="J727"/>
  <c r="K727" s="1"/>
  <c r="J735"/>
  <c r="K735" s="1"/>
  <c r="J807"/>
  <c r="K807" s="1"/>
  <c r="J815"/>
  <c r="K815" s="1"/>
  <c r="J823"/>
  <c r="K823" s="1"/>
  <c r="J831"/>
  <c r="K831" s="1"/>
  <c r="J18"/>
  <c r="K18" s="1"/>
  <c r="J19"/>
  <c r="K19" s="1"/>
  <c r="J20"/>
  <c r="K20" s="1"/>
  <c r="J26"/>
  <c r="K26" s="1"/>
  <c r="J27"/>
  <c r="K27" s="1"/>
  <c r="J28"/>
  <c r="K28" s="1"/>
  <c r="J34"/>
  <c r="K34" s="1"/>
  <c r="J35"/>
  <c r="K35" s="1"/>
  <c r="J36"/>
  <c r="K36" s="1"/>
  <c r="J42"/>
  <c r="K42" s="1"/>
  <c r="J43"/>
  <c r="K43" s="1"/>
  <c r="J44"/>
  <c r="K44" s="1"/>
  <c r="J50"/>
  <c r="K50" s="1"/>
  <c r="J51"/>
  <c r="K51" s="1"/>
  <c r="J58"/>
  <c r="K58" s="1"/>
  <c r="C59"/>
  <c r="D59" s="1"/>
  <c r="J59" s="1"/>
  <c r="K59" s="1"/>
  <c r="J66"/>
  <c r="K66" s="1"/>
  <c r="J67"/>
  <c r="K67" s="1"/>
  <c r="J74"/>
  <c r="K74" s="1"/>
  <c r="J75"/>
  <c r="K75" s="1"/>
  <c r="J82"/>
  <c r="K82" s="1"/>
  <c r="J90"/>
  <c r="K90" s="1"/>
  <c r="J98"/>
  <c r="K98" s="1"/>
  <c r="J106"/>
  <c r="K106" s="1"/>
  <c r="J146"/>
  <c r="K146" s="1"/>
  <c r="J147"/>
  <c r="K147" s="1"/>
  <c r="J154"/>
  <c r="K154" s="1"/>
  <c r="J155"/>
  <c r="K155" s="1"/>
  <c r="J162"/>
  <c r="K162" s="1"/>
  <c r="J163"/>
  <c r="K163" s="1"/>
  <c r="J170"/>
  <c r="K170" s="1"/>
  <c r="J171"/>
  <c r="K171" s="1"/>
  <c r="J178"/>
  <c r="K178" s="1"/>
  <c r="J186"/>
  <c r="K186" s="1"/>
  <c r="J194"/>
  <c r="K194" s="1"/>
  <c r="J202"/>
  <c r="K202" s="1"/>
  <c r="J274"/>
  <c r="K274" s="1"/>
  <c r="J282"/>
  <c r="K282" s="1"/>
  <c r="J290"/>
  <c r="K290" s="1"/>
  <c r="J298"/>
  <c r="K298" s="1"/>
  <c r="B117" i="29"/>
  <c r="D117"/>
  <c r="J13" i="49"/>
  <c r="K13" s="1"/>
  <c r="E117" i="29"/>
  <c r="J546" i="49"/>
  <c r="K546" s="1"/>
  <c r="C117" i="29"/>
  <c r="D59" l="1"/>
  <c r="E59"/>
  <c r="B229"/>
  <c r="B231" s="1"/>
  <c r="D239" s="1"/>
  <c r="E59" i="49"/>
  <c r="L637"/>
  <c r="M637" s="1"/>
  <c r="L698"/>
  <c r="M698" s="1"/>
  <c r="L469"/>
  <c r="L848"/>
  <c r="M848" s="1"/>
  <c r="L405"/>
  <c r="L341"/>
  <c r="L912"/>
  <c r="M912" s="1"/>
  <c r="L976"/>
  <c r="M976" s="1"/>
  <c r="L1040"/>
  <c r="M1040" s="1"/>
  <c r="L784"/>
  <c r="M784" s="1"/>
  <c r="L517"/>
  <c r="L453"/>
  <c r="L389"/>
  <c r="L325"/>
  <c r="L485"/>
  <c r="L421"/>
  <c r="L357"/>
  <c r="L501"/>
  <c r="L437"/>
  <c r="L373"/>
  <c r="L309"/>
  <c r="L246"/>
  <c r="L1056"/>
  <c r="M1056" s="1"/>
  <c r="L992"/>
  <c r="M992" s="1"/>
  <c r="L928"/>
  <c r="M928" s="1"/>
  <c r="L864"/>
  <c r="M864" s="1"/>
  <c r="L800"/>
  <c r="M800" s="1"/>
  <c r="L736"/>
  <c r="M736" s="1"/>
  <c r="L715"/>
  <c r="M715" s="1"/>
  <c r="L692"/>
  <c r="M692" s="1"/>
  <c r="L1008"/>
  <c r="M1008" s="1"/>
  <c r="L944"/>
  <c r="M944" s="1"/>
  <c r="L880"/>
  <c r="M880" s="1"/>
  <c r="L752"/>
  <c r="M752" s="1"/>
  <c r="L686"/>
  <c r="M686" s="1"/>
  <c r="L648"/>
  <c r="M648" s="1"/>
  <c r="L1024"/>
  <c r="M1024" s="1"/>
  <c r="L960"/>
  <c r="M960" s="1"/>
  <c r="L896"/>
  <c r="M896" s="1"/>
  <c r="L832"/>
  <c r="M832" s="1"/>
  <c r="L811"/>
  <c r="M811" s="1"/>
  <c r="L768"/>
  <c r="M768" s="1"/>
  <c r="L704"/>
  <c r="M704" s="1"/>
  <c r="L664"/>
  <c r="M664" s="1"/>
  <c r="L1060"/>
  <c r="M1060" s="1"/>
  <c r="L1028"/>
  <c r="M1028" s="1"/>
  <c r="L1012"/>
  <c r="M1012" s="1"/>
  <c r="L980"/>
  <c r="M980" s="1"/>
  <c r="L948"/>
  <c r="M948" s="1"/>
  <c r="L932"/>
  <c r="M932" s="1"/>
  <c r="L916"/>
  <c r="M916" s="1"/>
  <c r="L900"/>
  <c r="M900" s="1"/>
  <c r="L884"/>
  <c r="M884" s="1"/>
  <c r="L868"/>
  <c r="M868" s="1"/>
  <c r="L852"/>
  <c r="M852" s="1"/>
  <c r="L836"/>
  <c r="M836" s="1"/>
  <c r="L825"/>
  <c r="M825" s="1"/>
  <c r="L804"/>
  <c r="M804" s="1"/>
  <c r="L788"/>
  <c r="M788" s="1"/>
  <c r="L772"/>
  <c r="M772" s="1"/>
  <c r="L756"/>
  <c r="M756" s="1"/>
  <c r="L740"/>
  <c r="M740" s="1"/>
  <c r="L729"/>
  <c r="M729" s="1"/>
  <c r="L708"/>
  <c r="L702"/>
  <c r="M702" s="1"/>
  <c r="L679"/>
  <c r="M679" s="1"/>
  <c r="L668"/>
  <c r="M668" s="1"/>
  <c r="L652"/>
  <c r="M652" s="1"/>
  <c r="L1044"/>
  <c r="M1044" s="1"/>
  <c r="L964"/>
  <c r="M964" s="1"/>
  <c r="L1048"/>
  <c r="M1048" s="1"/>
  <c r="L1032"/>
  <c r="M1032" s="1"/>
  <c r="L1016"/>
  <c r="M1016" s="1"/>
  <c r="L1000"/>
  <c r="M1000" s="1"/>
  <c r="L984"/>
  <c r="M984" s="1"/>
  <c r="L968"/>
  <c r="M968" s="1"/>
  <c r="L952"/>
  <c r="M952" s="1"/>
  <c r="L936"/>
  <c r="M936" s="1"/>
  <c r="L920"/>
  <c r="M920" s="1"/>
  <c r="L904"/>
  <c r="M904" s="1"/>
  <c r="L888"/>
  <c r="M888" s="1"/>
  <c r="L872"/>
  <c r="M872" s="1"/>
  <c r="L856"/>
  <c r="L840"/>
  <c r="M840" s="1"/>
  <c r="L829"/>
  <c r="M829" s="1"/>
  <c r="L818"/>
  <c r="M818" s="1"/>
  <c r="L792"/>
  <c r="M792" s="1"/>
  <c r="L776"/>
  <c r="M776" s="1"/>
  <c r="L760"/>
  <c r="M760" s="1"/>
  <c r="L744"/>
  <c r="M744" s="1"/>
  <c r="L733"/>
  <c r="M733" s="1"/>
  <c r="L722"/>
  <c r="M722" s="1"/>
  <c r="L695"/>
  <c r="M695" s="1"/>
  <c r="L672"/>
  <c r="M672" s="1"/>
  <c r="L656"/>
  <c r="M656" s="1"/>
  <c r="L640"/>
  <c r="M640" s="1"/>
  <c r="L996"/>
  <c r="M996" s="1"/>
  <c r="L1052"/>
  <c r="M1052" s="1"/>
  <c r="L1036"/>
  <c r="M1036" s="1"/>
  <c r="L1020"/>
  <c r="M1020" s="1"/>
  <c r="L1004"/>
  <c r="M1004" s="1"/>
  <c r="L988"/>
  <c r="M988" s="1"/>
  <c r="L972"/>
  <c r="M972" s="1"/>
  <c r="L956"/>
  <c r="M956" s="1"/>
  <c r="L940"/>
  <c r="M940" s="1"/>
  <c r="L924"/>
  <c r="M924" s="1"/>
  <c r="L908"/>
  <c r="M908" s="1"/>
  <c r="L892"/>
  <c r="M892" s="1"/>
  <c r="L876"/>
  <c r="M876" s="1"/>
  <c r="L860"/>
  <c r="M860" s="1"/>
  <c r="L844"/>
  <c r="M844" s="1"/>
  <c r="L822"/>
  <c r="M822" s="1"/>
  <c r="L807"/>
  <c r="M807" s="1"/>
  <c r="L796"/>
  <c r="M796" s="1"/>
  <c r="L780"/>
  <c r="M780" s="1"/>
  <c r="L764"/>
  <c r="M764" s="1"/>
  <c r="L748"/>
  <c r="M748" s="1"/>
  <c r="L726"/>
  <c r="M726" s="1"/>
  <c r="L711"/>
  <c r="M711" s="1"/>
  <c r="L688"/>
  <c r="M688" s="1"/>
  <c r="L682"/>
  <c r="M682" s="1"/>
  <c r="L676"/>
  <c r="M676" s="1"/>
  <c r="L660"/>
  <c r="M660" s="1"/>
  <c r="L644"/>
  <c r="M644" s="1"/>
  <c r="L521"/>
  <c r="L505"/>
  <c r="L489"/>
  <c r="L473"/>
  <c r="L457"/>
  <c r="L441"/>
  <c r="L425"/>
  <c r="L409"/>
  <c r="L393"/>
  <c r="L377"/>
  <c r="L361"/>
  <c r="L345"/>
  <c r="L329"/>
  <c r="L313"/>
  <c r="L288"/>
  <c r="L262"/>
  <c r="L1061"/>
  <c r="M1061" s="1"/>
  <c r="L1057"/>
  <c r="M1057" s="1"/>
  <c r="L1053"/>
  <c r="M1053" s="1"/>
  <c r="L1049"/>
  <c r="L1045"/>
  <c r="M1045" s="1"/>
  <c r="L1041"/>
  <c r="M1041" s="1"/>
  <c r="L1037"/>
  <c r="M1037" s="1"/>
  <c r="L1033"/>
  <c r="M1033" s="1"/>
  <c r="L1029"/>
  <c r="M1029" s="1"/>
  <c r="L1025"/>
  <c r="M1025" s="1"/>
  <c r="L1021"/>
  <c r="M1021" s="1"/>
  <c r="L1017"/>
  <c r="M1017" s="1"/>
  <c r="L1013"/>
  <c r="M1013" s="1"/>
  <c r="L1009"/>
  <c r="M1009" s="1"/>
  <c r="L1005"/>
  <c r="M1005" s="1"/>
  <c r="L1001"/>
  <c r="M1001" s="1"/>
  <c r="L997"/>
  <c r="M997" s="1"/>
  <c r="L993"/>
  <c r="M993" s="1"/>
  <c r="L989"/>
  <c r="M989" s="1"/>
  <c r="L985"/>
  <c r="M985" s="1"/>
  <c r="L981"/>
  <c r="M981" s="1"/>
  <c r="L977"/>
  <c r="M977" s="1"/>
  <c r="L973"/>
  <c r="M973" s="1"/>
  <c r="L969"/>
  <c r="M969" s="1"/>
  <c r="L965"/>
  <c r="M965" s="1"/>
  <c r="L961"/>
  <c r="M961" s="1"/>
  <c r="L957"/>
  <c r="M957" s="1"/>
  <c r="L953"/>
  <c r="M953" s="1"/>
  <c r="L949"/>
  <c r="M949" s="1"/>
  <c r="L945"/>
  <c r="M945" s="1"/>
  <c r="L941"/>
  <c r="M941" s="1"/>
  <c r="L937"/>
  <c r="M937" s="1"/>
  <c r="L933"/>
  <c r="M933" s="1"/>
  <c r="L929"/>
  <c r="M929" s="1"/>
  <c r="L925"/>
  <c r="M925" s="1"/>
  <c r="L921"/>
  <c r="M921" s="1"/>
  <c r="L917"/>
  <c r="M917" s="1"/>
  <c r="L913"/>
  <c r="M913" s="1"/>
  <c r="L909"/>
  <c r="L905"/>
  <c r="M905" s="1"/>
  <c r="L901"/>
  <c r="M901" s="1"/>
  <c r="L897"/>
  <c r="M897" s="1"/>
  <c r="L893"/>
  <c r="M893" s="1"/>
  <c r="L889"/>
  <c r="M889" s="1"/>
  <c r="L885"/>
  <c r="M885" s="1"/>
  <c r="L881"/>
  <c r="M881" s="1"/>
  <c r="L877"/>
  <c r="M877" s="1"/>
  <c r="L873"/>
  <c r="M873" s="1"/>
  <c r="L869"/>
  <c r="M869" s="1"/>
  <c r="L865"/>
  <c r="M865" s="1"/>
  <c r="L861"/>
  <c r="M861" s="1"/>
  <c r="L857"/>
  <c r="M857" s="1"/>
  <c r="L853"/>
  <c r="M853" s="1"/>
  <c r="L849"/>
  <c r="M849" s="1"/>
  <c r="L845"/>
  <c r="M845" s="1"/>
  <c r="L841"/>
  <c r="M841" s="1"/>
  <c r="L837"/>
  <c r="M837" s="1"/>
  <c r="L833"/>
  <c r="M833" s="1"/>
  <c r="L830"/>
  <c r="M830" s="1"/>
  <c r="L826"/>
  <c r="M826" s="1"/>
  <c r="L819"/>
  <c r="M819" s="1"/>
  <c r="L815"/>
  <c r="M815" s="1"/>
  <c r="L812"/>
  <c r="M812" s="1"/>
  <c r="L808"/>
  <c r="M808" s="1"/>
  <c r="L805"/>
  <c r="M805" s="1"/>
  <c r="L801"/>
  <c r="M801" s="1"/>
  <c r="L797"/>
  <c r="M797" s="1"/>
  <c r="L793"/>
  <c r="M793" s="1"/>
  <c r="L789"/>
  <c r="M789" s="1"/>
  <c r="L785"/>
  <c r="M785" s="1"/>
  <c r="L781"/>
  <c r="M781" s="1"/>
  <c r="L777"/>
  <c r="M777" s="1"/>
  <c r="L773"/>
  <c r="M773" s="1"/>
  <c r="L769"/>
  <c r="M769" s="1"/>
  <c r="L765"/>
  <c r="M765" s="1"/>
  <c r="L761"/>
  <c r="M761" s="1"/>
  <c r="L757"/>
  <c r="M757" s="1"/>
  <c r="L753"/>
  <c r="M753" s="1"/>
  <c r="L749"/>
  <c r="M749" s="1"/>
  <c r="L745"/>
  <c r="M745" s="1"/>
  <c r="L741"/>
  <c r="M741" s="1"/>
  <c r="L737"/>
  <c r="M737" s="1"/>
  <c r="L734"/>
  <c r="M734" s="1"/>
  <c r="L730"/>
  <c r="M730" s="1"/>
  <c r="L723"/>
  <c r="M723" s="1"/>
  <c r="L719"/>
  <c r="M719" s="1"/>
  <c r="L716"/>
  <c r="M716" s="1"/>
  <c r="L712"/>
  <c r="M712" s="1"/>
  <c r="L709"/>
  <c r="M709" s="1"/>
  <c r="L705"/>
  <c r="M705" s="1"/>
  <c r="L699"/>
  <c r="M699" s="1"/>
  <c r="L693"/>
  <c r="M693" s="1"/>
  <c r="L689"/>
  <c r="M689" s="1"/>
  <c r="L683"/>
  <c r="M683" s="1"/>
  <c r="L677"/>
  <c r="M677" s="1"/>
  <c r="L673"/>
  <c r="M673" s="1"/>
  <c r="L669"/>
  <c r="M669" s="1"/>
  <c r="L665"/>
  <c r="M665" s="1"/>
  <c r="L661"/>
  <c r="M661" s="1"/>
  <c r="L657"/>
  <c r="M657" s="1"/>
  <c r="L653"/>
  <c r="M653" s="1"/>
  <c r="L649"/>
  <c r="M649" s="1"/>
  <c r="L645"/>
  <c r="M645" s="1"/>
  <c r="L641"/>
  <c r="M641" s="1"/>
  <c r="L638"/>
  <c r="M638" s="1"/>
  <c r="L626"/>
  <c r="M626" s="1"/>
  <c r="L525"/>
  <c r="L509"/>
  <c r="L493"/>
  <c r="L477"/>
  <c r="L461"/>
  <c r="L445"/>
  <c r="L429"/>
  <c r="L413"/>
  <c r="L397"/>
  <c r="L381"/>
  <c r="L365"/>
  <c r="L349"/>
  <c r="L333"/>
  <c r="L317"/>
  <c r="L1062"/>
  <c r="M1062" s="1"/>
  <c r="L1058"/>
  <c r="M1058" s="1"/>
  <c r="L1054"/>
  <c r="M1054" s="1"/>
  <c r="L1050"/>
  <c r="M1050" s="1"/>
  <c r="L1046"/>
  <c r="M1046" s="1"/>
  <c r="L1042"/>
  <c r="M1042" s="1"/>
  <c r="L1038"/>
  <c r="M1038" s="1"/>
  <c r="L1034"/>
  <c r="M1034" s="1"/>
  <c r="L1030"/>
  <c r="M1030" s="1"/>
  <c r="L1026"/>
  <c r="M1026" s="1"/>
  <c r="L1022"/>
  <c r="M1022" s="1"/>
  <c r="L1018"/>
  <c r="M1018" s="1"/>
  <c r="L1014"/>
  <c r="M1014" s="1"/>
  <c r="L1010"/>
  <c r="M1010" s="1"/>
  <c r="L1006"/>
  <c r="M1006" s="1"/>
  <c r="L1002"/>
  <c r="M1002" s="1"/>
  <c r="L998"/>
  <c r="M998" s="1"/>
  <c r="L994"/>
  <c r="M994" s="1"/>
  <c r="L990"/>
  <c r="M990" s="1"/>
  <c r="L986"/>
  <c r="M986" s="1"/>
  <c r="L982"/>
  <c r="M982" s="1"/>
  <c r="L978"/>
  <c r="M978" s="1"/>
  <c r="L974"/>
  <c r="M974" s="1"/>
  <c r="L970"/>
  <c r="M970" s="1"/>
  <c r="L966"/>
  <c r="M966" s="1"/>
  <c r="L962"/>
  <c r="M962" s="1"/>
  <c r="L958"/>
  <c r="M958" s="1"/>
  <c r="L954"/>
  <c r="M954" s="1"/>
  <c r="L950"/>
  <c r="M950" s="1"/>
  <c r="L946"/>
  <c r="M946" s="1"/>
  <c r="L942"/>
  <c r="M942" s="1"/>
  <c r="L938"/>
  <c r="M938" s="1"/>
  <c r="L934"/>
  <c r="M934" s="1"/>
  <c r="L930"/>
  <c r="M930" s="1"/>
  <c r="L926"/>
  <c r="M926" s="1"/>
  <c r="L922"/>
  <c r="M922" s="1"/>
  <c r="L918"/>
  <c r="M918" s="1"/>
  <c r="L914"/>
  <c r="M914" s="1"/>
  <c r="L910"/>
  <c r="M910" s="1"/>
  <c r="L906"/>
  <c r="M906" s="1"/>
  <c r="L902"/>
  <c r="M902" s="1"/>
  <c r="L898"/>
  <c r="M898" s="1"/>
  <c r="L894"/>
  <c r="M894" s="1"/>
  <c r="L890"/>
  <c r="M890" s="1"/>
  <c r="L886"/>
  <c r="M886" s="1"/>
  <c r="L882"/>
  <c r="M882" s="1"/>
  <c r="L878"/>
  <c r="M878" s="1"/>
  <c r="L874"/>
  <c r="M874" s="1"/>
  <c r="L870"/>
  <c r="M870" s="1"/>
  <c r="L866"/>
  <c r="M866" s="1"/>
  <c r="L862"/>
  <c r="M862" s="1"/>
  <c r="L858"/>
  <c r="M858" s="1"/>
  <c r="L854"/>
  <c r="M854" s="1"/>
  <c r="L850"/>
  <c r="M850" s="1"/>
  <c r="L846"/>
  <c r="M846" s="1"/>
  <c r="L842"/>
  <c r="M842" s="1"/>
  <c r="L838"/>
  <c r="M838" s="1"/>
  <c r="L834"/>
  <c r="M834" s="1"/>
  <c r="L827"/>
  <c r="M827" s="1"/>
  <c r="L823"/>
  <c r="M823" s="1"/>
  <c r="L820"/>
  <c r="M820" s="1"/>
  <c r="L816"/>
  <c r="M816" s="1"/>
  <c r="L813"/>
  <c r="M813" s="1"/>
  <c r="L809"/>
  <c r="M809" s="1"/>
  <c r="L806"/>
  <c r="M806" s="1"/>
  <c r="L802"/>
  <c r="M802" s="1"/>
  <c r="L798"/>
  <c r="M798" s="1"/>
  <c r="L794"/>
  <c r="M794" s="1"/>
  <c r="L790"/>
  <c r="M790" s="1"/>
  <c r="L786"/>
  <c r="M786" s="1"/>
  <c r="L782"/>
  <c r="M782" s="1"/>
  <c r="L778"/>
  <c r="M778" s="1"/>
  <c r="L774"/>
  <c r="M774" s="1"/>
  <c r="L770"/>
  <c r="M770" s="1"/>
  <c r="L766"/>
  <c r="M766" s="1"/>
  <c r="L762"/>
  <c r="M762" s="1"/>
  <c r="L758"/>
  <c r="M758" s="1"/>
  <c r="L754"/>
  <c r="M754" s="1"/>
  <c r="L750"/>
  <c r="M750" s="1"/>
  <c r="L746"/>
  <c r="M746" s="1"/>
  <c r="L742"/>
  <c r="M742" s="1"/>
  <c r="L738"/>
  <c r="M738" s="1"/>
  <c r="L731"/>
  <c r="M731" s="1"/>
  <c r="L727"/>
  <c r="M727" s="1"/>
  <c r="L724"/>
  <c r="L720"/>
  <c r="M720" s="1"/>
  <c r="L717"/>
  <c r="M717" s="1"/>
  <c r="L713"/>
  <c r="M713" s="1"/>
  <c r="L710"/>
  <c r="M710" s="1"/>
  <c r="L706"/>
  <c r="M706" s="1"/>
  <c r="L703"/>
  <c r="M703" s="1"/>
  <c r="L700"/>
  <c r="M700" s="1"/>
  <c r="L696"/>
  <c r="M696" s="1"/>
  <c r="L694"/>
  <c r="M694" s="1"/>
  <c r="L690"/>
  <c r="M690" s="1"/>
  <c r="L687"/>
  <c r="M687" s="1"/>
  <c r="L684"/>
  <c r="M684" s="1"/>
  <c r="L680"/>
  <c r="M680" s="1"/>
  <c r="L678"/>
  <c r="M678" s="1"/>
  <c r="L674"/>
  <c r="M674" s="1"/>
  <c r="L670"/>
  <c r="M670" s="1"/>
  <c r="L666"/>
  <c r="M666" s="1"/>
  <c r="L662"/>
  <c r="M662" s="1"/>
  <c r="L658"/>
  <c r="M658" s="1"/>
  <c r="L654"/>
  <c r="M654" s="1"/>
  <c r="L650"/>
  <c r="M650" s="1"/>
  <c r="L646"/>
  <c r="M646" s="1"/>
  <c r="L642"/>
  <c r="M642" s="1"/>
  <c r="L612"/>
  <c r="M612" s="1"/>
  <c r="L529"/>
  <c r="L513"/>
  <c r="L497"/>
  <c r="L481"/>
  <c r="L465"/>
  <c r="L449"/>
  <c r="L433"/>
  <c r="L417"/>
  <c r="L401"/>
  <c r="L385"/>
  <c r="L369"/>
  <c r="L353"/>
  <c r="L337"/>
  <c r="L321"/>
  <c r="L277"/>
  <c r="L206"/>
  <c r="L1059"/>
  <c r="M1059" s="1"/>
  <c r="L1055"/>
  <c r="M1055" s="1"/>
  <c r="L1051"/>
  <c r="M1051" s="1"/>
  <c r="L1047"/>
  <c r="M1047" s="1"/>
  <c r="L1043"/>
  <c r="M1043" s="1"/>
  <c r="L1039"/>
  <c r="M1039" s="1"/>
  <c r="L1035"/>
  <c r="M1035" s="1"/>
  <c r="L1031"/>
  <c r="M1031" s="1"/>
  <c r="L1027"/>
  <c r="M1027" s="1"/>
  <c r="L1023"/>
  <c r="M1023" s="1"/>
  <c r="L1019"/>
  <c r="M1019" s="1"/>
  <c r="L1015"/>
  <c r="M1015" s="1"/>
  <c r="L1011"/>
  <c r="M1011" s="1"/>
  <c r="L1007"/>
  <c r="M1007" s="1"/>
  <c r="L1003"/>
  <c r="M1003" s="1"/>
  <c r="L999"/>
  <c r="M999" s="1"/>
  <c r="L995"/>
  <c r="M995" s="1"/>
  <c r="L991"/>
  <c r="M991" s="1"/>
  <c r="L987"/>
  <c r="M987" s="1"/>
  <c r="L983"/>
  <c r="M983" s="1"/>
  <c r="L979"/>
  <c r="M979" s="1"/>
  <c r="L975"/>
  <c r="M975" s="1"/>
  <c r="L971"/>
  <c r="M971" s="1"/>
  <c r="L967"/>
  <c r="M967" s="1"/>
  <c r="L963"/>
  <c r="M963" s="1"/>
  <c r="L959"/>
  <c r="M959" s="1"/>
  <c r="L955"/>
  <c r="M955" s="1"/>
  <c r="L951"/>
  <c r="M951" s="1"/>
  <c r="L947"/>
  <c r="M947" s="1"/>
  <c r="L943"/>
  <c r="M943" s="1"/>
  <c r="L939"/>
  <c r="M939" s="1"/>
  <c r="L935"/>
  <c r="M935" s="1"/>
  <c r="L931"/>
  <c r="M931" s="1"/>
  <c r="L927"/>
  <c r="M927" s="1"/>
  <c r="L923"/>
  <c r="M923" s="1"/>
  <c r="L919"/>
  <c r="M919" s="1"/>
  <c r="L915"/>
  <c r="M915" s="1"/>
  <c r="L911"/>
  <c r="M911" s="1"/>
  <c r="L907"/>
  <c r="M907" s="1"/>
  <c r="L903"/>
  <c r="M903" s="1"/>
  <c r="L899"/>
  <c r="M899" s="1"/>
  <c r="L895"/>
  <c r="M895" s="1"/>
  <c r="L891"/>
  <c r="M891" s="1"/>
  <c r="L887"/>
  <c r="M887" s="1"/>
  <c r="L883"/>
  <c r="M883" s="1"/>
  <c r="L879"/>
  <c r="M879" s="1"/>
  <c r="L875"/>
  <c r="M875" s="1"/>
  <c r="L871"/>
  <c r="M871" s="1"/>
  <c r="L867"/>
  <c r="M867" s="1"/>
  <c r="L863"/>
  <c r="M863" s="1"/>
  <c r="L859"/>
  <c r="M859" s="1"/>
  <c r="L855"/>
  <c r="M855" s="1"/>
  <c r="L851"/>
  <c r="M851" s="1"/>
  <c r="L847"/>
  <c r="M847" s="1"/>
  <c r="L843"/>
  <c r="M843" s="1"/>
  <c r="L839"/>
  <c r="M839" s="1"/>
  <c r="L835"/>
  <c r="M835" s="1"/>
  <c r="L831"/>
  <c r="M831" s="1"/>
  <c r="L828"/>
  <c r="M828" s="1"/>
  <c r="L824"/>
  <c r="M824" s="1"/>
  <c r="L821"/>
  <c r="M821" s="1"/>
  <c r="L817"/>
  <c r="M817" s="1"/>
  <c r="L814"/>
  <c r="M814" s="1"/>
  <c r="L810"/>
  <c r="M810" s="1"/>
  <c r="L803"/>
  <c r="M803" s="1"/>
  <c r="L799"/>
  <c r="M799" s="1"/>
  <c r="L795"/>
  <c r="M795" s="1"/>
  <c r="L791"/>
  <c r="M791" s="1"/>
  <c r="L787"/>
  <c r="M787" s="1"/>
  <c r="L783"/>
  <c r="M783" s="1"/>
  <c r="L779"/>
  <c r="M779" s="1"/>
  <c r="L775"/>
  <c r="M775" s="1"/>
  <c r="L771"/>
  <c r="M771" s="1"/>
  <c r="L767"/>
  <c r="M767" s="1"/>
  <c r="L763"/>
  <c r="M763" s="1"/>
  <c r="L759"/>
  <c r="M759" s="1"/>
  <c r="L755"/>
  <c r="M755" s="1"/>
  <c r="L751"/>
  <c r="M751" s="1"/>
  <c r="L747"/>
  <c r="M747" s="1"/>
  <c r="L743"/>
  <c r="M743" s="1"/>
  <c r="L739"/>
  <c r="M739" s="1"/>
  <c r="L735"/>
  <c r="M735" s="1"/>
  <c r="L732"/>
  <c r="M732" s="1"/>
  <c r="L728"/>
  <c r="M728" s="1"/>
  <c r="L725"/>
  <c r="M725" s="1"/>
  <c r="L721"/>
  <c r="M721" s="1"/>
  <c r="L718"/>
  <c r="M718" s="1"/>
  <c r="L714"/>
  <c r="M714" s="1"/>
  <c r="L707"/>
  <c r="M707" s="1"/>
  <c r="L701"/>
  <c r="M701" s="1"/>
  <c r="L697"/>
  <c r="M697" s="1"/>
  <c r="L691"/>
  <c r="M691" s="1"/>
  <c r="L685"/>
  <c r="M685" s="1"/>
  <c r="L681"/>
  <c r="M681" s="1"/>
  <c r="L675"/>
  <c r="M675" s="1"/>
  <c r="L671"/>
  <c r="M671" s="1"/>
  <c r="L667"/>
  <c r="M667" s="1"/>
  <c r="L663"/>
  <c r="M663" s="1"/>
  <c r="L659"/>
  <c r="M659" s="1"/>
  <c r="L655"/>
  <c r="M655" s="1"/>
  <c r="L651"/>
  <c r="M651" s="1"/>
  <c r="L647"/>
  <c r="M647" s="1"/>
  <c r="L643"/>
  <c r="M643" s="1"/>
  <c r="L639"/>
  <c r="M639" s="1"/>
  <c r="L633"/>
  <c r="M633" s="1"/>
  <c r="L606"/>
  <c r="M606" s="1"/>
  <c r="L526"/>
  <c r="L522"/>
  <c r="L518"/>
  <c r="L514"/>
  <c r="L510"/>
  <c r="L506"/>
  <c r="L502"/>
  <c r="L498"/>
  <c r="L494"/>
  <c r="L490"/>
  <c r="L486"/>
  <c r="L482"/>
  <c r="L478"/>
  <c r="L474"/>
  <c r="L470"/>
  <c r="L466"/>
  <c r="L462"/>
  <c r="L458"/>
  <c r="L454"/>
  <c r="L450"/>
  <c r="L446"/>
  <c r="L442"/>
  <c r="L438"/>
  <c r="L434"/>
  <c r="L430"/>
  <c r="L426"/>
  <c r="L422"/>
  <c r="L418"/>
  <c r="L414"/>
  <c r="L410"/>
  <c r="L406"/>
  <c r="L402"/>
  <c r="L398"/>
  <c r="L394"/>
  <c r="L390"/>
  <c r="L386"/>
  <c r="L382"/>
  <c r="L378"/>
  <c r="L374"/>
  <c r="L370"/>
  <c r="L366"/>
  <c r="L362"/>
  <c r="L358"/>
  <c r="L354"/>
  <c r="L350"/>
  <c r="L346"/>
  <c r="L342"/>
  <c r="L338"/>
  <c r="L334"/>
  <c r="L330"/>
  <c r="L326"/>
  <c r="L322"/>
  <c r="L318"/>
  <c r="L314"/>
  <c r="L310"/>
  <c r="L298"/>
  <c r="L281"/>
  <c r="L266"/>
  <c r="L250"/>
  <c r="L222"/>
  <c r="L192"/>
  <c r="L527"/>
  <c r="L523"/>
  <c r="L519"/>
  <c r="L515"/>
  <c r="L511"/>
  <c r="L507"/>
  <c r="L503"/>
  <c r="L499"/>
  <c r="L495"/>
  <c r="L491"/>
  <c r="L487"/>
  <c r="L483"/>
  <c r="L479"/>
  <c r="L475"/>
  <c r="L471"/>
  <c r="L467"/>
  <c r="L463"/>
  <c r="L459"/>
  <c r="L455"/>
  <c r="L451"/>
  <c r="L447"/>
  <c r="L443"/>
  <c r="L439"/>
  <c r="L435"/>
  <c r="L431"/>
  <c r="L427"/>
  <c r="L423"/>
  <c r="L419"/>
  <c r="L415"/>
  <c r="L411"/>
  <c r="L407"/>
  <c r="L403"/>
  <c r="L399"/>
  <c r="L395"/>
  <c r="L391"/>
  <c r="L387"/>
  <c r="L383"/>
  <c r="L379"/>
  <c r="L375"/>
  <c r="L371"/>
  <c r="L367"/>
  <c r="L363"/>
  <c r="L359"/>
  <c r="L355"/>
  <c r="L351"/>
  <c r="L347"/>
  <c r="L343"/>
  <c r="L339"/>
  <c r="L335"/>
  <c r="L331"/>
  <c r="L327"/>
  <c r="L323"/>
  <c r="L319"/>
  <c r="L315"/>
  <c r="L311"/>
  <c r="L302"/>
  <c r="L291"/>
  <c r="L270"/>
  <c r="L254"/>
  <c r="L234"/>
  <c r="L528"/>
  <c r="L524"/>
  <c r="L520"/>
  <c r="L516"/>
  <c r="L512"/>
  <c r="L508"/>
  <c r="L504"/>
  <c r="L500"/>
  <c r="L496"/>
  <c r="L492"/>
  <c r="L488"/>
  <c r="L484"/>
  <c r="L480"/>
  <c r="L476"/>
  <c r="L472"/>
  <c r="L468"/>
  <c r="L464"/>
  <c r="L460"/>
  <c r="L456"/>
  <c r="L452"/>
  <c r="L448"/>
  <c r="L444"/>
  <c r="L440"/>
  <c r="L436"/>
  <c r="L432"/>
  <c r="L428"/>
  <c r="L424"/>
  <c r="L420"/>
  <c r="L416"/>
  <c r="L412"/>
  <c r="L408"/>
  <c r="L404"/>
  <c r="L400"/>
  <c r="L396"/>
  <c r="L392"/>
  <c r="L388"/>
  <c r="L384"/>
  <c r="L380"/>
  <c r="L376"/>
  <c r="L372"/>
  <c r="L368"/>
  <c r="L364"/>
  <c r="L360"/>
  <c r="L356"/>
  <c r="L352"/>
  <c r="L348"/>
  <c r="L344"/>
  <c r="L340"/>
  <c r="L336"/>
  <c r="L332"/>
  <c r="L328"/>
  <c r="L324"/>
  <c r="L320"/>
  <c r="L316"/>
  <c r="L312"/>
  <c r="L306"/>
  <c r="L295"/>
  <c r="L284"/>
  <c r="L258"/>
  <c r="L242"/>
  <c r="L238"/>
  <c r="L214"/>
  <c r="L630"/>
  <c r="M630" s="1"/>
  <c r="L615"/>
  <c r="M615" s="1"/>
  <c r="L195"/>
  <c r="L181"/>
  <c r="L150"/>
  <c r="L619"/>
  <c r="M619" s="1"/>
  <c r="L608"/>
  <c r="M608" s="1"/>
  <c r="L230"/>
  <c r="L136"/>
  <c r="L218"/>
  <c r="L202"/>
  <c r="L185"/>
  <c r="L144"/>
  <c r="L112"/>
  <c r="L92"/>
  <c r="L80"/>
  <c r="L634"/>
  <c r="M634" s="1"/>
  <c r="L627"/>
  <c r="M627" s="1"/>
  <c r="L623"/>
  <c r="M623" s="1"/>
  <c r="L620"/>
  <c r="M620" s="1"/>
  <c r="L616"/>
  <c r="M616" s="1"/>
  <c r="L613"/>
  <c r="M613" s="1"/>
  <c r="L609"/>
  <c r="M609" s="1"/>
  <c r="L174"/>
  <c r="L164"/>
  <c r="L120"/>
  <c r="L56"/>
  <c r="L635"/>
  <c r="M635" s="1"/>
  <c r="L631"/>
  <c r="M631" s="1"/>
  <c r="L628"/>
  <c r="M628" s="1"/>
  <c r="L624"/>
  <c r="M624" s="1"/>
  <c r="L621"/>
  <c r="M621" s="1"/>
  <c r="L617"/>
  <c r="M617" s="1"/>
  <c r="L614"/>
  <c r="M614" s="1"/>
  <c r="L610"/>
  <c r="M610" s="1"/>
  <c r="L607"/>
  <c r="M607" s="1"/>
  <c r="L226"/>
  <c r="L210"/>
  <c r="L199"/>
  <c r="L188"/>
  <c r="L168"/>
  <c r="L158"/>
  <c r="L128"/>
  <c r="L99"/>
  <c r="L87"/>
  <c r="L49"/>
  <c r="L636"/>
  <c r="M636" s="1"/>
  <c r="L632"/>
  <c r="M632" s="1"/>
  <c r="L629"/>
  <c r="M629" s="1"/>
  <c r="L625"/>
  <c r="M625" s="1"/>
  <c r="L622"/>
  <c r="M622" s="1"/>
  <c r="L618"/>
  <c r="M618" s="1"/>
  <c r="L611"/>
  <c r="M611" s="1"/>
  <c r="L307"/>
  <c r="L303"/>
  <c r="L299"/>
  <c r="L296"/>
  <c r="L292"/>
  <c r="L289"/>
  <c r="L285"/>
  <c r="L278"/>
  <c r="L274"/>
  <c r="L271"/>
  <c r="L267"/>
  <c r="L263"/>
  <c r="L259"/>
  <c r="L255"/>
  <c r="L251"/>
  <c r="L247"/>
  <c r="L243"/>
  <c r="L239"/>
  <c r="L235"/>
  <c r="L231"/>
  <c r="L227"/>
  <c r="L223"/>
  <c r="L219"/>
  <c r="L215"/>
  <c r="L211"/>
  <c r="L207"/>
  <c r="L203"/>
  <c r="L200"/>
  <c r="L196"/>
  <c r="L193"/>
  <c r="L189"/>
  <c r="L182"/>
  <c r="L178"/>
  <c r="L175"/>
  <c r="L171"/>
  <c r="L169"/>
  <c r="L165"/>
  <c r="L162"/>
  <c r="L159"/>
  <c r="L155"/>
  <c r="L152"/>
  <c r="L138"/>
  <c r="L130"/>
  <c r="L122"/>
  <c r="L114"/>
  <c r="L106"/>
  <c r="L101"/>
  <c r="L94"/>
  <c r="L89"/>
  <c r="L308"/>
  <c r="L304"/>
  <c r="L300"/>
  <c r="L297"/>
  <c r="L293"/>
  <c r="L286"/>
  <c r="L282"/>
  <c r="L279"/>
  <c r="L275"/>
  <c r="L272"/>
  <c r="L268"/>
  <c r="L264"/>
  <c r="L260"/>
  <c r="L256"/>
  <c r="L252"/>
  <c r="L248"/>
  <c r="L244"/>
  <c r="L240"/>
  <c r="L236"/>
  <c r="L232"/>
  <c r="L228"/>
  <c r="L224"/>
  <c r="L220"/>
  <c r="L216"/>
  <c r="L212"/>
  <c r="L208"/>
  <c r="L204"/>
  <c r="L201"/>
  <c r="L197"/>
  <c r="L190"/>
  <c r="L186"/>
  <c r="L183"/>
  <c r="L179"/>
  <c r="L176"/>
  <c r="L172"/>
  <c r="L166"/>
  <c r="L160"/>
  <c r="L156"/>
  <c r="L140"/>
  <c r="L132"/>
  <c r="L124"/>
  <c r="L116"/>
  <c r="L108"/>
  <c r="L103"/>
  <c r="L96"/>
  <c r="L83"/>
  <c r="L76"/>
  <c r="L68"/>
  <c r="L305"/>
  <c r="L301"/>
  <c r="L294"/>
  <c r="L290"/>
  <c r="L287"/>
  <c r="L283"/>
  <c r="L280"/>
  <c r="L276"/>
  <c r="L273"/>
  <c r="L269"/>
  <c r="L265"/>
  <c r="L261"/>
  <c r="L257"/>
  <c r="L253"/>
  <c r="L249"/>
  <c r="L245"/>
  <c r="L241"/>
  <c r="L237"/>
  <c r="L233"/>
  <c r="L229"/>
  <c r="L225"/>
  <c r="L221"/>
  <c r="L217"/>
  <c r="L213"/>
  <c r="L209"/>
  <c r="L205"/>
  <c r="L198"/>
  <c r="L194"/>
  <c r="L191"/>
  <c r="L187"/>
  <c r="L184"/>
  <c r="L180"/>
  <c r="L177"/>
  <c r="L173"/>
  <c r="L170"/>
  <c r="L167"/>
  <c r="L163"/>
  <c r="L161"/>
  <c r="L157"/>
  <c r="L154"/>
  <c r="L148"/>
  <c r="L142"/>
  <c r="L134"/>
  <c r="L126"/>
  <c r="L118"/>
  <c r="L110"/>
  <c r="L105"/>
  <c r="L90"/>
  <c r="L85"/>
  <c r="L78"/>
  <c r="L72"/>
  <c r="L62"/>
  <c r="L52"/>
  <c r="L153"/>
  <c r="L149"/>
  <c r="L146"/>
  <c r="L143"/>
  <c r="L139"/>
  <c r="L135"/>
  <c r="L131"/>
  <c r="L127"/>
  <c r="L123"/>
  <c r="L119"/>
  <c r="L115"/>
  <c r="L111"/>
  <c r="L107"/>
  <c r="L104"/>
  <c r="L100"/>
  <c r="L97"/>
  <c r="L93"/>
  <c r="L86"/>
  <c r="L82"/>
  <c r="L79"/>
  <c r="L75"/>
  <c r="L73"/>
  <c r="L69"/>
  <c r="L66"/>
  <c r="L63"/>
  <c r="L59"/>
  <c r="L57"/>
  <c r="L53"/>
  <c r="L28"/>
  <c r="C59" i="29"/>
  <c r="L70" i="49"/>
  <c r="L64"/>
  <c r="L60"/>
  <c r="L54"/>
  <c r="L50"/>
  <c r="L46"/>
  <c r="L151"/>
  <c r="L147"/>
  <c r="L145"/>
  <c r="L141"/>
  <c r="L137"/>
  <c r="L133"/>
  <c r="L129"/>
  <c r="L125"/>
  <c r="L121"/>
  <c r="L117"/>
  <c r="L113"/>
  <c r="L109"/>
  <c r="L102"/>
  <c r="L98"/>
  <c r="L95"/>
  <c r="L91"/>
  <c r="L88"/>
  <c r="L84"/>
  <c r="L81"/>
  <c r="L77"/>
  <c r="L74"/>
  <c r="L71"/>
  <c r="L67"/>
  <c r="L65"/>
  <c r="L61"/>
  <c r="L58"/>
  <c r="L55"/>
  <c r="L48"/>
  <c r="L42"/>
  <c r="C190" i="29"/>
  <c r="C192" s="1"/>
  <c r="B536" i="49" s="1"/>
  <c r="M708"/>
  <c r="M724"/>
  <c r="M856"/>
  <c r="M1049"/>
  <c r="M605"/>
  <c r="M909"/>
  <c r="L51"/>
  <c r="L47"/>
  <c r="L43"/>
  <c r="L36"/>
  <c r="L32"/>
  <c r="L21"/>
  <c r="L25"/>
  <c r="L29"/>
  <c r="L33"/>
  <c r="L37"/>
  <c r="L19"/>
  <c r="L22"/>
  <c r="L26"/>
  <c r="L30"/>
  <c r="L34"/>
  <c r="L20"/>
  <c r="L23"/>
  <c r="L27"/>
  <c r="L31"/>
  <c r="L35"/>
  <c r="L39"/>
  <c r="L45"/>
  <c r="L41"/>
  <c r="L40"/>
  <c r="L18"/>
  <c r="L44"/>
  <c r="L38"/>
  <c r="L554"/>
  <c r="L558"/>
  <c r="L562"/>
  <c r="L566"/>
  <c r="L570"/>
  <c r="L574"/>
  <c r="L578"/>
  <c r="L582"/>
  <c r="L586"/>
  <c r="L590"/>
  <c r="L594"/>
  <c r="L598"/>
  <c r="L602"/>
  <c r="L551"/>
  <c r="L552"/>
  <c r="L555"/>
  <c r="L559"/>
  <c r="L563"/>
  <c r="L567"/>
  <c r="L571"/>
  <c r="L575"/>
  <c r="L579"/>
  <c r="L583"/>
  <c r="L587"/>
  <c r="L591"/>
  <c r="L595"/>
  <c r="L599"/>
  <c r="L603"/>
  <c r="L553"/>
  <c r="L556"/>
  <c r="L560"/>
  <c r="L564"/>
  <c r="L568"/>
  <c r="L572"/>
  <c r="L576"/>
  <c r="L580"/>
  <c r="L584"/>
  <c r="L588"/>
  <c r="L592"/>
  <c r="L596"/>
  <c r="L600"/>
  <c r="L604"/>
  <c r="L557"/>
  <c r="L561"/>
  <c r="L565"/>
  <c r="L569"/>
  <c r="L573"/>
  <c r="L577"/>
  <c r="L581"/>
  <c r="L585"/>
  <c r="L589"/>
  <c r="L593"/>
  <c r="L597"/>
  <c r="L601"/>
  <c r="E56" i="29"/>
  <c r="E57" s="1"/>
  <c r="B547" i="49" s="1"/>
  <c r="D56" i="29"/>
  <c r="D57" s="1"/>
  <c r="B14" i="49" s="1"/>
  <c r="C56" i="29"/>
  <c r="C57" s="1"/>
  <c r="B57"/>
  <c r="B537" i="49"/>
  <c r="K536"/>
  <c r="E30" i="48"/>
  <c r="J548" i="49"/>
  <c r="E126" i="29"/>
  <c r="B13" i="49"/>
  <c r="J8"/>
  <c r="B4"/>
  <c r="B546"/>
  <c r="M89" i="48"/>
  <c r="M90"/>
  <c r="M88"/>
  <c r="M91"/>
  <c r="M92"/>
  <c r="M93"/>
  <c r="M95"/>
  <c r="M94"/>
  <c r="M96"/>
  <c r="H4" i="26"/>
  <c r="H5"/>
  <c r="H6"/>
  <c r="H7"/>
  <c r="H8"/>
  <c r="H9"/>
  <c r="H10"/>
  <c r="H11"/>
  <c r="H12"/>
  <c r="H13"/>
  <c r="H14"/>
  <c r="H15"/>
  <c r="H16"/>
  <c r="H17"/>
  <c r="H18"/>
  <c r="H21"/>
  <c r="H22"/>
  <c r="H25"/>
  <c r="H27"/>
  <c r="H29"/>
  <c r="H30"/>
  <c r="H33"/>
  <c r="H34"/>
  <c r="H36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20"/>
  <c r="H23"/>
  <c r="H24"/>
  <c r="H26"/>
  <c r="H28"/>
  <c r="H31"/>
  <c r="H32"/>
  <c r="H35"/>
  <c r="H37"/>
  <c r="H38"/>
  <c r="H39"/>
  <c r="H40"/>
  <c r="H41"/>
  <c r="H42"/>
  <c r="H43"/>
  <c r="H44"/>
  <c r="H45"/>
  <c r="H46"/>
  <c r="H47"/>
  <c r="H48"/>
  <c r="H49"/>
  <c r="H50"/>
  <c r="H51"/>
  <c r="H52"/>
  <c r="M42" i="49" l="1"/>
  <c r="N42" s="1"/>
  <c r="M61"/>
  <c r="N61" s="1"/>
  <c r="M74"/>
  <c r="N74" s="1"/>
  <c r="M88"/>
  <c r="N88" s="1"/>
  <c r="M102"/>
  <c r="N102" s="1"/>
  <c r="M121"/>
  <c r="N121" s="1"/>
  <c r="M137"/>
  <c r="N137" s="1"/>
  <c r="M151"/>
  <c r="N151" s="1"/>
  <c r="M60"/>
  <c r="N60" s="1"/>
  <c r="M28"/>
  <c r="N28" s="1"/>
  <c r="M63"/>
  <c r="N63" s="1"/>
  <c r="M75"/>
  <c r="N75" s="1"/>
  <c r="M93"/>
  <c r="N93" s="1"/>
  <c r="M107"/>
  <c r="N107" s="1"/>
  <c r="M123"/>
  <c r="N123" s="1"/>
  <c r="M139"/>
  <c r="N139" s="1"/>
  <c r="M153"/>
  <c r="N153" s="1"/>
  <c r="M78"/>
  <c r="N78" s="1"/>
  <c r="M110"/>
  <c r="N110" s="1"/>
  <c r="M142"/>
  <c r="N142" s="1"/>
  <c r="M161"/>
  <c r="N161" s="1"/>
  <c r="M173"/>
  <c r="N173" s="1"/>
  <c r="M187"/>
  <c r="N187" s="1"/>
  <c r="M205"/>
  <c r="N205" s="1"/>
  <c r="M221"/>
  <c r="N221" s="1"/>
  <c r="M237"/>
  <c r="N237" s="1"/>
  <c r="M253"/>
  <c r="N253" s="1"/>
  <c r="M269"/>
  <c r="N269" s="1"/>
  <c r="M283"/>
  <c r="N283" s="1"/>
  <c r="M301"/>
  <c r="N301" s="1"/>
  <c r="M83"/>
  <c r="N83" s="1"/>
  <c r="M116"/>
  <c r="N116" s="1"/>
  <c r="M156"/>
  <c r="N156" s="1"/>
  <c r="M176"/>
  <c r="N176" s="1"/>
  <c r="M190"/>
  <c r="N190" s="1"/>
  <c r="M208"/>
  <c r="N208" s="1"/>
  <c r="M224"/>
  <c r="N224" s="1"/>
  <c r="M240"/>
  <c r="N240" s="1"/>
  <c r="M256"/>
  <c r="N256" s="1"/>
  <c r="M272"/>
  <c r="N272" s="1"/>
  <c r="M286"/>
  <c r="N286" s="1"/>
  <c r="M304"/>
  <c r="N304" s="1"/>
  <c r="M101"/>
  <c r="N101" s="1"/>
  <c r="M130"/>
  <c r="N130" s="1"/>
  <c r="M159"/>
  <c r="N159" s="1"/>
  <c r="M171"/>
  <c r="N171" s="1"/>
  <c r="M189"/>
  <c r="N189" s="1"/>
  <c r="M203"/>
  <c r="N203" s="1"/>
  <c r="M219"/>
  <c r="N219" s="1"/>
  <c r="M235"/>
  <c r="N235" s="1"/>
  <c r="M251"/>
  <c r="N251" s="1"/>
  <c r="M267"/>
  <c r="N267" s="1"/>
  <c r="M285"/>
  <c r="N285" s="1"/>
  <c r="M299"/>
  <c r="N299" s="1"/>
  <c r="M99"/>
  <c r="N99" s="1"/>
  <c r="M188"/>
  <c r="N188" s="1"/>
  <c r="M174"/>
  <c r="N174" s="1"/>
  <c r="M80"/>
  <c r="N80" s="1"/>
  <c r="M185"/>
  <c r="N185" s="1"/>
  <c r="M230"/>
  <c r="N230" s="1"/>
  <c r="M181"/>
  <c r="N181" s="1"/>
  <c r="M214"/>
  <c r="N214" s="1"/>
  <c r="M284"/>
  <c r="N284" s="1"/>
  <c r="M316"/>
  <c r="N316" s="1"/>
  <c r="M332"/>
  <c r="N332" s="1"/>
  <c r="M348"/>
  <c r="N348" s="1"/>
  <c r="M364"/>
  <c r="N364" s="1"/>
  <c r="M380"/>
  <c r="N380" s="1"/>
  <c r="M396"/>
  <c r="N396" s="1"/>
  <c r="M412"/>
  <c r="N412" s="1"/>
  <c r="M428"/>
  <c r="N428" s="1"/>
  <c r="M444"/>
  <c r="N444" s="1"/>
  <c r="M460"/>
  <c r="N460" s="1"/>
  <c r="M476"/>
  <c r="N476" s="1"/>
  <c r="M492"/>
  <c r="N492" s="1"/>
  <c r="M508"/>
  <c r="N508" s="1"/>
  <c r="M524"/>
  <c r="N524" s="1"/>
  <c r="M270"/>
  <c r="N270" s="1"/>
  <c r="M315"/>
  <c r="N315" s="1"/>
  <c r="M331"/>
  <c r="N331" s="1"/>
  <c r="M347"/>
  <c r="N347" s="1"/>
  <c r="M363"/>
  <c r="N363" s="1"/>
  <c r="M379"/>
  <c r="N379" s="1"/>
  <c r="M395"/>
  <c r="N395" s="1"/>
  <c r="M411"/>
  <c r="N411" s="1"/>
  <c r="M427"/>
  <c r="N427" s="1"/>
  <c r="M443"/>
  <c r="N443" s="1"/>
  <c r="M459"/>
  <c r="N459" s="1"/>
  <c r="M475"/>
  <c r="N475" s="1"/>
  <c r="M491"/>
  <c r="N491" s="1"/>
  <c r="M507"/>
  <c r="N507" s="1"/>
  <c r="M523"/>
  <c r="N523" s="1"/>
  <c r="M250"/>
  <c r="N250" s="1"/>
  <c r="M310"/>
  <c r="N310" s="1"/>
  <c r="M326"/>
  <c r="N326" s="1"/>
  <c r="M342"/>
  <c r="N342" s="1"/>
  <c r="M358"/>
  <c r="N358" s="1"/>
  <c r="M374"/>
  <c r="N374" s="1"/>
  <c r="M390"/>
  <c r="N390" s="1"/>
  <c r="M406"/>
  <c r="N406" s="1"/>
  <c r="M422"/>
  <c r="N422" s="1"/>
  <c r="M438"/>
  <c r="N438" s="1"/>
  <c r="M454"/>
  <c r="N454" s="1"/>
  <c r="M470"/>
  <c r="N470" s="1"/>
  <c r="M486"/>
  <c r="N486" s="1"/>
  <c r="M502"/>
  <c r="N502" s="1"/>
  <c r="M518"/>
  <c r="N518" s="1"/>
  <c r="M337"/>
  <c r="N337" s="1"/>
  <c r="M401"/>
  <c r="N401" s="1"/>
  <c r="M465"/>
  <c r="N465" s="1"/>
  <c r="M529"/>
  <c r="N529" s="1"/>
  <c r="M349"/>
  <c r="N349" s="1"/>
  <c r="M413"/>
  <c r="N413" s="1"/>
  <c r="M477"/>
  <c r="N477" s="1"/>
  <c r="M313"/>
  <c r="N313" s="1"/>
  <c r="M377"/>
  <c r="N377" s="1"/>
  <c r="M441"/>
  <c r="N441" s="1"/>
  <c r="M505"/>
  <c r="N505" s="1"/>
  <c r="L12"/>
  <c r="L11"/>
  <c r="L13"/>
  <c r="L10"/>
  <c r="M64"/>
  <c r="N64" s="1"/>
  <c r="M387"/>
  <c r="N387" s="1"/>
  <c r="M172"/>
  <c r="N172" s="1"/>
  <c r="M182"/>
  <c r="N182" s="1"/>
  <c r="N733"/>
  <c r="N909"/>
  <c r="N965"/>
  <c r="N1037"/>
  <c r="N842"/>
  <c r="N808"/>
  <c r="N605"/>
  <c r="N642"/>
  <c r="N721"/>
  <c r="N861"/>
  <c r="N775"/>
  <c r="N1023"/>
  <c r="N891"/>
  <c r="N953"/>
  <c r="N1017"/>
  <c r="N922"/>
  <c r="N828"/>
  <c r="N722"/>
  <c r="N659"/>
  <c r="N939"/>
  <c r="N1003"/>
  <c r="N647"/>
  <c r="N657"/>
  <c r="N799"/>
  <c r="N831"/>
  <c r="N895"/>
  <c r="N1044"/>
  <c r="N616"/>
  <c r="N663"/>
  <c r="N751"/>
  <c r="N783"/>
  <c r="N943"/>
  <c r="N959"/>
  <c r="N1007"/>
  <c r="N1055"/>
  <c r="N646"/>
  <c r="N662"/>
  <c r="N782"/>
  <c r="N827"/>
  <c r="N713"/>
  <c r="N625"/>
  <c r="N669"/>
  <c r="N747"/>
  <c r="N1047"/>
  <c r="N654"/>
  <c r="N957"/>
  <c r="N674"/>
  <c r="N875"/>
  <c r="N698"/>
  <c r="N777"/>
  <c r="N888"/>
  <c r="N937"/>
  <c r="N1001"/>
  <c r="N1061"/>
  <c r="N1002"/>
  <c r="N878"/>
  <c r="N829"/>
  <c r="N794"/>
  <c r="N845"/>
  <c r="N1036"/>
  <c r="N844"/>
  <c r="N809"/>
  <c r="N699"/>
  <c r="N695"/>
  <c r="N797"/>
  <c r="N889"/>
  <c r="N1005"/>
  <c r="N661"/>
  <c r="N761"/>
  <c r="N1018"/>
  <c r="N892"/>
  <c r="N856"/>
  <c r="N812"/>
  <c r="N836"/>
  <c r="N628"/>
  <c r="N900"/>
  <c r="N764"/>
  <c r="N724"/>
  <c r="N884"/>
  <c r="N779"/>
  <c r="N880"/>
  <c r="N955"/>
  <c r="N1019"/>
  <c r="N627"/>
  <c r="N711"/>
  <c r="N749"/>
  <c r="N871"/>
  <c r="N925"/>
  <c r="N997"/>
  <c r="N1053"/>
  <c r="N727"/>
  <c r="N970"/>
  <c r="N857"/>
  <c r="N762"/>
  <c r="N697"/>
  <c r="N940"/>
  <c r="N772"/>
  <c r="N732"/>
  <c r="N650"/>
  <c r="N1057"/>
  <c r="M234"/>
  <c r="N234" s="1"/>
  <c r="M469"/>
  <c r="N469" s="1"/>
  <c r="M76"/>
  <c r="N76" s="1"/>
  <c r="M340"/>
  <c r="N340" s="1"/>
  <c r="M86"/>
  <c r="N86" s="1"/>
  <c r="M292"/>
  <c r="N292" s="1"/>
  <c r="M498"/>
  <c r="N498" s="1"/>
  <c r="M329"/>
  <c r="N329" s="1"/>
  <c r="M204"/>
  <c r="N204" s="1"/>
  <c r="M375"/>
  <c r="N375" s="1"/>
  <c r="M236"/>
  <c r="N236" s="1"/>
  <c r="M424"/>
  <c r="N424" s="1"/>
  <c r="M501"/>
  <c r="N501" s="1"/>
  <c r="M437"/>
  <c r="N437" s="1"/>
  <c r="M485"/>
  <c r="N485" s="1"/>
  <c r="M517"/>
  <c r="N517" s="1"/>
  <c r="M132"/>
  <c r="N132" s="1"/>
  <c r="M388"/>
  <c r="N388" s="1"/>
  <c r="M134"/>
  <c r="N134" s="1"/>
  <c r="M462"/>
  <c r="N462" s="1"/>
  <c r="M66"/>
  <c r="N66" s="1"/>
  <c r="N851"/>
  <c r="N754"/>
  <c r="N962"/>
  <c r="N849"/>
  <c r="N924"/>
  <c r="M84"/>
  <c r="N84" s="1"/>
  <c r="M98"/>
  <c r="N98" s="1"/>
  <c r="M54"/>
  <c r="N54" s="1"/>
  <c r="M104"/>
  <c r="N104" s="1"/>
  <c r="M198"/>
  <c r="N198" s="1"/>
  <c r="M140"/>
  <c r="N140" s="1"/>
  <c r="M252"/>
  <c r="N252" s="1"/>
  <c r="M268"/>
  <c r="N268" s="1"/>
  <c r="M282"/>
  <c r="N282" s="1"/>
  <c r="M300"/>
  <c r="N300" s="1"/>
  <c r="M94"/>
  <c r="N94" s="1"/>
  <c r="M263"/>
  <c r="N263" s="1"/>
  <c r="M296"/>
  <c r="N296" s="1"/>
  <c r="M144"/>
  <c r="N144" s="1"/>
  <c r="M150"/>
  <c r="N150" s="1"/>
  <c r="M312"/>
  <c r="N312" s="1"/>
  <c r="M328"/>
  <c r="N328" s="1"/>
  <c r="M392"/>
  <c r="N392" s="1"/>
  <c r="M472"/>
  <c r="N472" s="1"/>
  <c r="M327"/>
  <c r="N327" s="1"/>
  <c r="M391"/>
  <c r="N391" s="1"/>
  <c r="M418"/>
  <c r="N418" s="1"/>
  <c r="M434"/>
  <c r="N434" s="1"/>
  <c r="M466"/>
  <c r="N466" s="1"/>
  <c r="M461"/>
  <c r="N461" s="1"/>
  <c r="M421"/>
  <c r="N421" s="1"/>
  <c r="N635"/>
  <c r="N633"/>
  <c r="N707"/>
  <c r="N739"/>
  <c r="N755"/>
  <c r="N771"/>
  <c r="N787"/>
  <c r="N803"/>
  <c r="N835"/>
  <c r="N666"/>
  <c r="N694"/>
  <c r="N786"/>
  <c r="N850"/>
  <c r="N898"/>
  <c r="N930"/>
  <c r="N994"/>
  <c r="N1026"/>
  <c r="N881"/>
  <c r="N1041"/>
  <c r="N679"/>
  <c r="N868"/>
  <c r="N1028"/>
  <c r="N864"/>
  <c r="M69"/>
  <c r="N69" s="1"/>
  <c r="N611"/>
  <c r="N629"/>
  <c r="N617"/>
  <c r="N631"/>
  <c r="N735"/>
  <c r="N767"/>
  <c r="N847"/>
  <c r="N863"/>
  <c r="N879"/>
  <c r="N911"/>
  <c r="N927"/>
  <c r="N975"/>
  <c r="N991"/>
  <c r="N1039"/>
  <c r="N678"/>
  <c r="N690"/>
  <c r="N703"/>
  <c r="N717"/>
  <c r="N731"/>
  <c r="N813"/>
  <c r="N846"/>
  <c r="N862"/>
  <c r="N645"/>
  <c r="N677"/>
  <c r="N716"/>
  <c r="N765"/>
  <c r="N781"/>
  <c r="N877"/>
  <c r="N893"/>
  <c r="N941"/>
  <c r="N973"/>
  <c r="N989"/>
  <c r="N1021"/>
  <c r="N780"/>
  <c r="N908"/>
  <c r="N668"/>
  <c r="N729"/>
  <c r="N788"/>
  <c r="N852"/>
  <c r="N916"/>
  <c r="N686"/>
  <c r="N848"/>
  <c r="M108"/>
  <c r="N108" s="1"/>
  <c r="M227"/>
  <c r="N227" s="1"/>
  <c r="M376"/>
  <c r="N376" s="1"/>
  <c r="M468"/>
  <c r="N468" s="1"/>
  <c r="M490"/>
  <c r="N490" s="1"/>
  <c r="M220"/>
  <c r="N220" s="1"/>
  <c r="M324"/>
  <c r="N324" s="1"/>
  <c r="M383"/>
  <c r="N383" s="1"/>
  <c r="M339"/>
  <c r="N339" s="1"/>
  <c r="M361"/>
  <c r="N361" s="1"/>
  <c r="M164"/>
  <c r="N164" s="1"/>
  <c r="M259"/>
  <c r="N259" s="1"/>
  <c r="M404"/>
  <c r="N404" s="1"/>
  <c r="M500"/>
  <c r="N500" s="1"/>
  <c r="M166"/>
  <c r="N166" s="1"/>
  <c r="M446"/>
  <c r="N446" s="1"/>
  <c r="M184"/>
  <c r="N184" s="1"/>
  <c r="M178"/>
  <c r="N178" s="1"/>
  <c r="M258"/>
  <c r="N258" s="1"/>
  <c r="J15"/>
  <c r="N675"/>
  <c r="N763"/>
  <c r="N795"/>
  <c r="N807"/>
  <c r="N823"/>
  <c r="N923"/>
  <c r="N987"/>
  <c r="M100"/>
  <c r="N100" s="1"/>
  <c r="M307"/>
  <c r="N307" s="1"/>
  <c r="M372"/>
  <c r="N372" s="1"/>
  <c r="N673"/>
  <c r="N901"/>
  <c r="N1029"/>
  <c r="M62"/>
  <c r="N62" s="1"/>
  <c r="M158"/>
  <c r="N158" s="1"/>
  <c r="M206"/>
  <c r="N206" s="1"/>
  <c r="M430"/>
  <c r="N430" s="1"/>
  <c r="M494"/>
  <c r="N494" s="1"/>
  <c r="M371"/>
  <c r="N371" s="1"/>
  <c r="N658"/>
  <c r="N691"/>
  <c r="N859"/>
  <c r="M510"/>
  <c r="N510" s="1"/>
  <c r="N745"/>
  <c r="N811"/>
  <c r="N921"/>
  <c r="N985"/>
  <c r="N1051"/>
  <c r="M146"/>
  <c r="N146" s="1"/>
  <c r="M103"/>
  <c r="N103" s="1"/>
  <c r="N986"/>
  <c r="N938"/>
  <c r="N778"/>
  <c r="N730"/>
  <c r="N652"/>
  <c r="N840"/>
  <c r="N688"/>
  <c r="N948"/>
  <c r="N822"/>
  <c r="N748"/>
  <c r="N708"/>
  <c r="M68"/>
  <c r="N68" s="1"/>
  <c r="M196"/>
  <c r="N196" s="1"/>
  <c r="M323"/>
  <c r="N323" s="1"/>
  <c r="M436"/>
  <c r="N436" s="1"/>
  <c r="M360"/>
  <c r="N360" s="1"/>
  <c r="M126"/>
  <c r="N126" s="1"/>
  <c r="M276"/>
  <c r="N276" s="1"/>
  <c r="M514"/>
  <c r="N514" s="1"/>
  <c r="M359"/>
  <c r="N359" s="1"/>
  <c r="M450"/>
  <c r="N450" s="1"/>
  <c r="M338"/>
  <c r="N338" s="1"/>
  <c r="N700"/>
  <c r="N1049"/>
  <c r="N643"/>
  <c r="N687"/>
  <c r="N843"/>
  <c r="N907"/>
  <c r="N971"/>
  <c r="N1035"/>
  <c r="M24"/>
  <c r="N24" s="1"/>
  <c r="M180"/>
  <c r="N180" s="1"/>
  <c r="M210"/>
  <c r="N210" s="1"/>
  <c r="M243"/>
  <c r="N243" s="1"/>
  <c r="M291"/>
  <c r="N291" s="1"/>
  <c r="M356"/>
  <c r="N356" s="1"/>
  <c r="M420"/>
  <c r="N420" s="1"/>
  <c r="M452"/>
  <c r="N452" s="1"/>
  <c r="M484"/>
  <c r="N484" s="1"/>
  <c r="M528"/>
  <c r="N528" s="1"/>
  <c r="N619"/>
  <c r="N641"/>
  <c r="N682"/>
  <c r="N715"/>
  <c r="N933"/>
  <c r="M414"/>
  <c r="N414" s="1"/>
  <c r="M478"/>
  <c r="N478" s="1"/>
  <c r="N613"/>
  <c r="N637"/>
  <c r="N743"/>
  <c r="N615"/>
  <c r="N793"/>
  <c r="N905"/>
  <c r="N969"/>
  <c r="N1033"/>
  <c r="M435"/>
  <c r="N435" s="1"/>
  <c r="M306"/>
  <c r="N306" s="1"/>
  <c r="N1034"/>
  <c r="N954"/>
  <c r="N906"/>
  <c r="N873"/>
  <c r="N826"/>
  <c r="N746"/>
  <c r="N890"/>
  <c r="N841"/>
  <c r="N718"/>
  <c r="N825"/>
  <c r="N756"/>
  <c r="N618"/>
  <c r="N632"/>
  <c r="N607"/>
  <c r="N621"/>
  <c r="N620"/>
  <c r="N651"/>
  <c r="N667"/>
  <c r="N685"/>
  <c r="N725"/>
  <c r="N821"/>
  <c r="N867"/>
  <c r="N883"/>
  <c r="N899"/>
  <c r="N915"/>
  <c r="N931"/>
  <c r="N947"/>
  <c r="N963"/>
  <c r="N979"/>
  <c r="N995"/>
  <c r="N1011"/>
  <c r="N1027"/>
  <c r="N1043"/>
  <c r="N1059"/>
  <c r="N738"/>
  <c r="N770"/>
  <c r="N802"/>
  <c r="N882"/>
  <c r="N914"/>
  <c r="N946"/>
  <c r="N978"/>
  <c r="N1010"/>
  <c r="N649"/>
  <c r="N665"/>
  <c r="N683"/>
  <c r="N719"/>
  <c r="N737"/>
  <c r="N753"/>
  <c r="N769"/>
  <c r="N785"/>
  <c r="N801"/>
  <c r="N815"/>
  <c r="N897"/>
  <c r="N913"/>
  <c r="N929"/>
  <c r="N945"/>
  <c r="N961"/>
  <c r="N977"/>
  <c r="N993"/>
  <c r="N1009"/>
  <c r="N1025"/>
  <c r="N796"/>
  <c r="N1052"/>
  <c r="N872"/>
  <c r="N740"/>
  <c r="N804"/>
  <c r="N932"/>
  <c r="N692"/>
  <c r="M141"/>
  <c r="N141" s="1"/>
  <c r="M136"/>
  <c r="N136" s="1"/>
  <c r="M247"/>
  <c r="N247" s="1"/>
  <c r="M311"/>
  <c r="N311" s="1"/>
  <c r="M416"/>
  <c r="N416" s="1"/>
  <c r="M456"/>
  <c r="N456" s="1"/>
  <c r="M504"/>
  <c r="N504" s="1"/>
  <c r="M288"/>
  <c r="N288" s="1"/>
  <c r="M458"/>
  <c r="N458" s="1"/>
  <c r="M58"/>
  <c r="N58" s="1"/>
  <c r="M90"/>
  <c r="N90" s="1"/>
  <c r="M170"/>
  <c r="N170" s="1"/>
  <c r="M216"/>
  <c r="N216" s="1"/>
  <c r="M248"/>
  <c r="N248" s="1"/>
  <c r="M280"/>
  <c r="N280" s="1"/>
  <c r="M426"/>
  <c r="N426" s="1"/>
  <c r="M522"/>
  <c r="N522" s="1"/>
  <c r="M147"/>
  <c r="N147" s="1"/>
  <c r="M115"/>
  <c r="N115" s="1"/>
  <c r="M49"/>
  <c r="N49" s="1"/>
  <c r="M333"/>
  <c r="N333" s="1"/>
  <c r="M451"/>
  <c r="N451" s="1"/>
  <c r="M167"/>
  <c r="N167" s="1"/>
  <c r="M513"/>
  <c r="N513" s="1"/>
  <c r="M366"/>
  <c r="N366" s="1"/>
  <c r="M334"/>
  <c r="N334" s="1"/>
  <c r="M290"/>
  <c r="N290" s="1"/>
  <c r="M265"/>
  <c r="N265" s="1"/>
  <c r="M242"/>
  <c r="N242" s="1"/>
  <c r="M77"/>
  <c r="N77" s="1"/>
  <c r="M73"/>
  <c r="N73" s="1"/>
  <c r="M135"/>
  <c r="N135" s="1"/>
  <c r="M183"/>
  <c r="N183" s="1"/>
  <c r="M117"/>
  <c r="N117" s="1"/>
  <c r="M133"/>
  <c r="N133" s="1"/>
  <c r="M119"/>
  <c r="N119" s="1"/>
  <c r="M149"/>
  <c r="N149" s="1"/>
  <c r="M157"/>
  <c r="N157" s="1"/>
  <c r="M217"/>
  <c r="N217" s="1"/>
  <c r="M294"/>
  <c r="N294" s="1"/>
  <c r="M169"/>
  <c r="N169" s="1"/>
  <c r="M278"/>
  <c r="N278" s="1"/>
  <c r="M87"/>
  <c r="N87" s="1"/>
  <c r="M254"/>
  <c r="N254" s="1"/>
  <c r="M407"/>
  <c r="N407" s="1"/>
  <c r="M423"/>
  <c r="N423" s="1"/>
  <c r="M439"/>
  <c r="N439" s="1"/>
  <c r="M455"/>
  <c r="N455" s="1"/>
  <c r="M471"/>
  <c r="N471" s="1"/>
  <c r="M487"/>
  <c r="N487" s="1"/>
  <c r="M503"/>
  <c r="N503" s="1"/>
  <c r="M222"/>
  <c r="N222" s="1"/>
  <c r="M386"/>
  <c r="N386" s="1"/>
  <c r="M385"/>
  <c r="N385" s="1"/>
  <c r="M449"/>
  <c r="N449" s="1"/>
  <c r="M397"/>
  <c r="N397" s="1"/>
  <c r="M525"/>
  <c r="N525" s="1"/>
  <c r="M425"/>
  <c r="N425" s="1"/>
  <c r="M489"/>
  <c r="N489" s="1"/>
  <c r="M120"/>
  <c r="N120" s="1"/>
  <c r="M168"/>
  <c r="N168" s="1"/>
  <c r="M200"/>
  <c r="N200" s="1"/>
  <c r="M231"/>
  <c r="N231" s="1"/>
  <c r="M295"/>
  <c r="N295" s="1"/>
  <c r="M343"/>
  <c r="N343" s="1"/>
  <c r="M408"/>
  <c r="N408" s="1"/>
  <c r="M448"/>
  <c r="N448" s="1"/>
  <c r="M488"/>
  <c r="N488" s="1"/>
  <c r="M526"/>
  <c r="N526" s="1"/>
  <c r="M402"/>
  <c r="N402" s="1"/>
  <c r="M48"/>
  <c r="N48" s="1"/>
  <c r="M82"/>
  <c r="N82" s="1"/>
  <c r="M122"/>
  <c r="N122" s="1"/>
  <c r="M162"/>
  <c r="N162" s="1"/>
  <c r="M194"/>
  <c r="N194" s="1"/>
  <c r="M355"/>
  <c r="N355" s="1"/>
  <c r="M516"/>
  <c r="N516" s="1"/>
  <c r="M467"/>
  <c r="N467" s="1"/>
  <c r="M195"/>
  <c r="N195" s="1"/>
  <c r="M155"/>
  <c r="N155" s="1"/>
  <c r="M91"/>
  <c r="N91" s="1"/>
  <c r="M59"/>
  <c r="N59" s="1"/>
  <c r="M370"/>
  <c r="N370" s="1"/>
  <c r="M483"/>
  <c r="N483" s="1"/>
  <c r="M213"/>
  <c r="N213" s="1"/>
  <c r="M354"/>
  <c r="N354" s="1"/>
  <c r="M519"/>
  <c r="N519" s="1"/>
  <c r="M445"/>
  <c r="N445" s="1"/>
  <c r="M405"/>
  <c r="N405" s="1"/>
  <c r="M345"/>
  <c r="N345" s="1"/>
  <c r="M321"/>
  <c r="N321" s="1"/>
  <c r="M297"/>
  <c r="N297" s="1"/>
  <c r="M274"/>
  <c r="N274" s="1"/>
  <c r="M249"/>
  <c r="N249" s="1"/>
  <c r="M226"/>
  <c r="N226" s="1"/>
  <c r="M57"/>
  <c r="N57" s="1"/>
  <c r="M109"/>
  <c r="N109" s="1"/>
  <c r="M165"/>
  <c r="N165" s="1"/>
  <c r="M55"/>
  <c r="N55" s="1"/>
  <c r="M81"/>
  <c r="N81" s="1"/>
  <c r="M95"/>
  <c r="N95" s="1"/>
  <c r="M113"/>
  <c r="N113" s="1"/>
  <c r="M129"/>
  <c r="N129" s="1"/>
  <c r="M145"/>
  <c r="N145" s="1"/>
  <c r="M50"/>
  <c r="N50" s="1"/>
  <c r="M70"/>
  <c r="N70" s="1"/>
  <c r="M229"/>
  <c r="N229" s="1"/>
  <c r="M245"/>
  <c r="N245" s="1"/>
  <c r="M261"/>
  <c r="N261" s="1"/>
  <c r="M201"/>
  <c r="N201" s="1"/>
  <c r="M89"/>
  <c r="N89" s="1"/>
  <c r="M211"/>
  <c r="N211" s="1"/>
  <c r="M218"/>
  <c r="N218" s="1"/>
  <c r="M302"/>
  <c r="N302" s="1"/>
  <c r="M515"/>
  <c r="N515" s="1"/>
  <c r="M318"/>
  <c r="N318" s="1"/>
  <c r="M382"/>
  <c r="N382" s="1"/>
  <c r="M398"/>
  <c r="N398" s="1"/>
  <c r="M277"/>
  <c r="N277" s="1"/>
  <c r="M369"/>
  <c r="N369" s="1"/>
  <c r="M433"/>
  <c r="N433" s="1"/>
  <c r="M497"/>
  <c r="N497" s="1"/>
  <c r="M317"/>
  <c r="N317" s="1"/>
  <c r="M381"/>
  <c r="N381" s="1"/>
  <c r="M509"/>
  <c r="N509" s="1"/>
  <c r="M262"/>
  <c r="N262" s="1"/>
  <c r="M409"/>
  <c r="N409" s="1"/>
  <c r="M473"/>
  <c r="N473" s="1"/>
  <c r="M72"/>
  <c r="N72" s="1"/>
  <c r="M112"/>
  <c r="N112" s="1"/>
  <c r="M152"/>
  <c r="N152" s="1"/>
  <c r="M192"/>
  <c r="N192" s="1"/>
  <c r="M215"/>
  <c r="N215" s="1"/>
  <c r="M279"/>
  <c r="N279" s="1"/>
  <c r="M440"/>
  <c r="N440" s="1"/>
  <c r="M480"/>
  <c r="N480" s="1"/>
  <c r="M520"/>
  <c r="N520" s="1"/>
  <c r="M344"/>
  <c r="N344" s="1"/>
  <c r="M46"/>
  <c r="N46" s="1"/>
  <c r="M114"/>
  <c r="N114" s="1"/>
  <c r="M154"/>
  <c r="N154" s="1"/>
  <c r="M186"/>
  <c r="N186" s="1"/>
  <c r="M232"/>
  <c r="N232" s="1"/>
  <c r="M264"/>
  <c r="N264" s="1"/>
  <c r="M482"/>
  <c r="N482" s="1"/>
  <c r="M163"/>
  <c r="N163" s="1"/>
  <c r="M131"/>
  <c r="N131" s="1"/>
  <c r="M67"/>
  <c r="N67" s="1"/>
  <c r="M419"/>
  <c r="N419" s="1"/>
  <c r="M499"/>
  <c r="N499" s="1"/>
  <c r="M71"/>
  <c r="N71" s="1"/>
  <c r="M403"/>
  <c r="N403" s="1"/>
  <c r="M453"/>
  <c r="N453" s="1"/>
  <c r="M350"/>
  <c r="N350" s="1"/>
  <c r="M322"/>
  <c r="N322" s="1"/>
  <c r="M298"/>
  <c r="N298" s="1"/>
  <c r="M281"/>
  <c r="N281" s="1"/>
  <c r="M233"/>
  <c r="N233" s="1"/>
  <c r="M105"/>
  <c r="N105" s="1"/>
  <c r="M65"/>
  <c r="N65" s="1"/>
  <c r="M125"/>
  <c r="N125" s="1"/>
  <c r="M53"/>
  <c r="N53" s="1"/>
  <c r="M79"/>
  <c r="N79" s="1"/>
  <c r="M97"/>
  <c r="N97" s="1"/>
  <c r="M111"/>
  <c r="N111" s="1"/>
  <c r="M127"/>
  <c r="N127" s="1"/>
  <c r="M143"/>
  <c r="N143" s="1"/>
  <c r="M52"/>
  <c r="N52" s="1"/>
  <c r="M85"/>
  <c r="N85" s="1"/>
  <c r="M118"/>
  <c r="N118" s="1"/>
  <c r="M148"/>
  <c r="N148" s="1"/>
  <c r="M177"/>
  <c r="N177" s="1"/>
  <c r="M191"/>
  <c r="N191" s="1"/>
  <c r="M209"/>
  <c r="N209" s="1"/>
  <c r="M225"/>
  <c r="N225" s="1"/>
  <c r="M241"/>
  <c r="N241" s="1"/>
  <c r="M257"/>
  <c r="N257" s="1"/>
  <c r="M273"/>
  <c r="N273" s="1"/>
  <c r="M287"/>
  <c r="N287" s="1"/>
  <c r="M305"/>
  <c r="N305" s="1"/>
  <c r="M96"/>
  <c r="N96" s="1"/>
  <c r="M124"/>
  <c r="N124" s="1"/>
  <c r="M160"/>
  <c r="N160" s="1"/>
  <c r="M179"/>
  <c r="N179" s="1"/>
  <c r="M197"/>
  <c r="N197" s="1"/>
  <c r="M212"/>
  <c r="N212" s="1"/>
  <c r="M228"/>
  <c r="N228" s="1"/>
  <c r="M244"/>
  <c r="N244" s="1"/>
  <c r="M260"/>
  <c r="N260" s="1"/>
  <c r="M275"/>
  <c r="N275" s="1"/>
  <c r="M293"/>
  <c r="N293" s="1"/>
  <c r="M308"/>
  <c r="N308" s="1"/>
  <c r="M106"/>
  <c r="N106" s="1"/>
  <c r="M138"/>
  <c r="N138" s="1"/>
  <c r="M175"/>
  <c r="N175" s="1"/>
  <c r="M193"/>
  <c r="N193" s="1"/>
  <c r="M207"/>
  <c r="N207" s="1"/>
  <c r="M223"/>
  <c r="N223" s="1"/>
  <c r="M239"/>
  <c r="N239" s="1"/>
  <c r="M255"/>
  <c r="N255" s="1"/>
  <c r="M271"/>
  <c r="N271" s="1"/>
  <c r="M289"/>
  <c r="N289" s="1"/>
  <c r="M303"/>
  <c r="N303" s="1"/>
  <c r="M128"/>
  <c r="N128" s="1"/>
  <c r="M199"/>
  <c r="N199" s="1"/>
  <c r="M56"/>
  <c r="N56" s="1"/>
  <c r="M92"/>
  <c r="N92" s="1"/>
  <c r="M202"/>
  <c r="N202" s="1"/>
  <c r="M238"/>
  <c r="N238" s="1"/>
  <c r="M320"/>
  <c r="N320" s="1"/>
  <c r="M336"/>
  <c r="N336" s="1"/>
  <c r="M352"/>
  <c r="N352" s="1"/>
  <c r="M368"/>
  <c r="N368" s="1"/>
  <c r="M384"/>
  <c r="N384" s="1"/>
  <c r="M400"/>
  <c r="N400" s="1"/>
  <c r="M432"/>
  <c r="N432" s="1"/>
  <c r="M464"/>
  <c r="N464" s="1"/>
  <c r="M496"/>
  <c r="N496" s="1"/>
  <c r="M512"/>
  <c r="N512" s="1"/>
  <c r="M319"/>
  <c r="N319" s="1"/>
  <c r="M335"/>
  <c r="N335" s="1"/>
  <c r="M351"/>
  <c r="N351" s="1"/>
  <c r="M367"/>
  <c r="N367" s="1"/>
  <c r="M399"/>
  <c r="N399" s="1"/>
  <c r="M415"/>
  <c r="N415" s="1"/>
  <c r="M431"/>
  <c r="N431" s="1"/>
  <c r="M447"/>
  <c r="N447" s="1"/>
  <c r="M463"/>
  <c r="N463" s="1"/>
  <c r="M479"/>
  <c r="N479" s="1"/>
  <c r="M495"/>
  <c r="N495" s="1"/>
  <c r="M511"/>
  <c r="N511" s="1"/>
  <c r="M527"/>
  <c r="N527" s="1"/>
  <c r="M266"/>
  <c r="N266" s="1"/>
  <c r="M314"/>
  <c r="N314" s="1"/>
  <c r="M330"/>
  <c r="N330" s="1"/>
  <c r="M346"/>
  <c r="N346" s="1"/>
  <c r="M362"/>
  <c r="N362" s="1"/>
  <c r="M378"/>
  <c r="N378" s="1"/>
  <c r="M394"/>
  <c r="N394" s="1"/>
  <c r="M410"/>
  <c r="N410" s="1"/>
  <c r="M442"/>
  <c r="N442" s="1"/>
  <c r="M474"/>
  <c r="N474" s="1"/>
  <c r="M506"/>
  <c r="N506" s="1"/>
  <c r="M353"/>
  <c r="N353" s="1"/>
  <c r="M417"/>
  <c r="N417" s="1"/>
  <c r="M481"/>
  <c r="N481" s="1"/>
  <c r="M365"/>
  <c r="N365" s="1"/>
  <c r="M429"/>
  <c r="N429" s="1"/>
  <c r="M493"/>
  <c r="N493" s="1"/>
  <c r="M393"/>
  <c r="N393" s="1"/>
  <c r="M457"/>
  <c r="N457" s="1"/>
  <c r="M521"/>
  <c r="N521" s="1"/>
  <c r="M246"/>
  <c r="N246" s="1"/>
  <c r="M309"/>
  <c r="N309" s="1"/>
  <c r="M325"/>
  <c r="N325" s="1"/>
  <c r="M373"/>
  <c r="N373" s="1"/>
  <c r="M357"/>
  <c r="N357" s="1"/>
  <c r="M389"/>
  <c r="N389" s="1"/>
  <c r="M341"/>
  <c r="N341" s="1"/>
  <c r="N606"/>
  <c r="N624"/>
  <c r="N609"/>
  <c r="N623"/>
  <c r="N608"/>
  <c r="N639"/>
  <c r="N655"/>
  <c r="N671"/>
  <c r="N714"/>
  <c r="N759"/>
  <c r="N791"/>
  <c r="N810"/>
  <c r="N824"/>
  <c r="N839"/>
  <c r="N855"/>
  <c r="N887"/>
  <c r="N903"/>
  <c r="N919"/>
  <c r="N935"/>
  <c r="N951"/>
  <c r="N967"/>
  <c r="N983"/>
  <c r="N999"/>
  <c r="N1015"/>
  <c r="N1031"/>
  <c r="N612"/>
  <c r="N670"/>
  <c r="N684"/>
  <c r="N696"/>
  <c r="N742"/>
  <c r="N806"/>
  <c r="N820"/>
  <c r="N854"/>
  <c r="N1046"/>
  <c r="N1062"/>
  <c r="N653"/>
  <c r="N709"/>
  <c r="N723"/>
  <c r="N741"/>
  <c r="N757"/>
  <c r="N773"/>
  <c r="N789"/>
  <c r="N805"/>
  <c r="N819"/>
  <c r="N917"/>
  <c r="N949"/>
  <c r="N981"/>
  <c r="N1013"/>
  <c r="N1045"/>
  <c r="N610"/>
  <c r="N638"/>
  <c r="N792"/>
  <c r="N912"/>
  <c r="N964"/>
  <c r="N726"/>
  <c r="N980"/>
  <c r="N860"/>
  <c r="N996"/>
  <c r="N760"/>
  <c r="N944"/>
  <c r="N1016"/>
  <c r="N693"/>
  <c r="N744"/>
  <c r="N776"/>
  <c r="N818"/>
  <c r="N896"/>
  <c r="N928"/>
  <c r="N956"/>
  <c r="N972"/>
  <c r="N988"/>
  <c r="N1004"/>
  <c r="N1040"/>
  <c r="N689"/>
  <c r="N736"/>
  <c r="N768"/>
  <c r="N800"/>
  <c r="N876"/>
  <c r="N920"/>
  <c r="N952"/>
  <c r="N968"/>
  <c r="N984"/>
  <c r="N1000"/>
  <c r="N1032"/>
  <c r="N814"/>
  <c r="N672"/>
  <c r="N634"/>
  <c r="N704"/>
  <c r="N752"/>
  <c r="N784"/>
  <c r="N832"/>
  <c r="N904"/>
  <c r="N936"/>
  <c r="N960"/>
  <c r="N976"/>
  <c r="N992"/>
  <c r="N1012"/>
  <c r="N1060"/>
  <c r="N626"/>
  <c r="N648"/>
  <c r="N1008"/>
  <c r="N1024"/>
  <c r="N1056"/>
  <c r="N644"/>
  <c r="N664"/>
  <c r="N728"/>
  <c r="N622"/>
  <c r="N706"/>
  <c r="N758"/>
  <c r="N798"/>
  <c r="N858"/>
  <c r="N886"/>
  <c r="N918"/>
  <c r="N950"/>
  <c r="N982"/>
  <c r="N1014"/>
  <c r="N1042"/>
  <c r="N614"/>
  <c r="N734"/>
  <c r="N853"/>
  <c r="N1020"/>
  <c r="N1048"/>
  <c r="N640"/>
  <c r="N660"/>
  <c r="N702"/>
  <c r="N701"/>
  <c r="N750"/>
  <c r="N790"/>
  <c r="N838"/>
  <c r="N874"/>
  <c r="N910"/>
  <c r="N942"/>
  <c r="N974"/>
  <c r="N1006"/>
  <c r="N1038"/>
  <c r="N1058"/>
  <c r="N712"/>
  <c r="N837"/>
  <c r="N885"/>
  <c r="C207" i="29"/>
  <c r="C210" s="1"/>
  <c r="N630" i="49"/>
  <c r="N656"/>
  <c r="N676"/>
  <c r="N817"/>
  <c r="N681"/>
  <c r="N720"/>
  <c r="N774"/>
  <c r="N834"/>
  <c r="N870"/>
  <c r="N902"/>
  <c r="N934"/>
  <c r="N966"/>
  <c r="N998"/>
  <c r="N1030"/>
  <c r="N1054"/>
  <c r="N705"/>
  <c r="N833"/>
  <c r="N869"/>
  <c r="N636"/>
  <c r="N710"/>
  <c r="N766"/>
  <c r="N816"/>
  <c r="N866"/>
  <c r="N894"/>
  <c r="N926"/>
  <c r="N958"/>
  <c r="N990"/>
  <c r="N1022"/>
  <c r="N1050"/>
  <c r="N680"/>
  <c r="N830"/>
  <c r="N865"/>
  <c r="M597"/>
  <c r="M581"/>
  <c r="M565"/>
  <c r="M600"/>
  <c r="M584"/>
  <c r="M568"/>
  <c r="M553"/>
  <c r="M591"/>
  <c r="M575"/>
  <c r="M559"/>
  <c r="M602"/>
  <c r="M586"/>
  <c r="M570"/>
  <c r="M554"/>
  <c r="M44"/>
  <c r="M45"/>
  <c r="M27"/>
  <c r="M30"/>
  <c r="M37"/>
  <c r="M21"/>
  <c r="M36"/>
  <c r="M47"/>
  <c r="M601"/>
  <c r="M585"/>
  <c r="M569"/>
  <c r="M604"/>
  <c r="M588"/>
  <c r="M572"/>
  <c r="M556"/>
  <c r="M595"/>
  <c r="M579"/>
  <c r="M563"/>
  <c r="M551"/>
  <c r="M590"/>
  <c r="M574"/>
  <c r="M558"/>
  <c r="M38"/>
  <c r="M18"/>
  <c r="M41"/>
  <c r="M31"/>
  <c r="M34"/>
  <c r="M19"/>
  <c r="M25"/>
  <c r="M32"/>
  <c r="M589"/>
  <c r="M573"/>
  <c r="M557"/>
  <c r="M592"/>
  <c r="M576"/>
  <c r="M560"/>
  <c r="M599"/>
  <c r="M583"/>
  <c r="M567"/>
  <c r="M552"/>
  <c r="M594"/>
  <c r="M578"/>
  <c r="M562"/>
  <c r="M40"/>
  <c r="M35"/>
  <c r="M20"/>
  <c r="M22"/>
  <c r="M29"/>
  <c r="M43"/>
  <c r="M593"/>
  <c r="M577"/>
  <c r="M561"/>
  <c r="M596"/>
  <c r="M580"/>
  <c r="M564"/>
  <c r="M603"/>
  <c r="M587"/>
  <c r="M571"/>
  <c r="M555"/>
  <c r="M598"/>
  <c r="M582"/>
  <c r="M566"/>
  <c r="M39"/>
  <c r="M23"/>
  <c r="M26"/>
  <c r="M33"/>
  <c r="M51"/>
  <c r="C215" i="29"/>
  <c r="N51" i="49" l="1"/>
  <c r="N26"/>
  <c r="N39"/>
  <c r="N582"/>
  <c r="N555"/>
  <c r="N587"/>
  <c r="N564"/>
  <c r="N596"/>
  <c r="N577"/>
  <c r="N25"/>
  <c r="N34"/>
  <c r="N41"/>
  <c r="N38"/>
  <c r="N36"/>
  <c r="N37"/>
  <c r="N27"/>
  <c r="N44"/>
  <c r="N570"/>
  <c r="N602"/>
  <c r="N575"/>
  <c r="N553"/>
  <c r="N584"/>
  <c r="N565"/>
  <c r="N597"/>
  <c r="N43"/>
  <c r="N22"/>
  <c r="N35"/>
  <c r="N562"/>
  <c r="N594"/>
  <c r="N567"/>
  <c r="N599"/>
  <c r="N576"/>
  <c r="N557"/>
  <c r="N589"/>
  <c r="N558"/>
  <c r="N590"/>
  <c r="N563"/>
  <c r="N595"/>
  <c r="N572"/>
  <c r="N604"/>
  <c r="N585"/>
  <c r="N33"/>
  <c r="N23"/>
  <c r="N566"/>
  <c r="N598"/>
  <c r="N571"/>
  <c r="N603"/>
  <c r="N580"/>
  <c r="N561"/>
  <c r="N593"/>
  <c r="N32"/>
  <c r="N19"/>
  <c r="N31"/>
  <c r="N18"/>
  <c r="N47"/>
  <c r="N21"/>
  <c r="N30"/>
  <c r="N45"/>
  <c r="N554"/>
  <c r="N586"/>
  <c r="N559"/>
  <c r="N591"/>
  <c r="N568"/>
  <c r="N600"/>
  <c r="N581"/>
  <c r="N29"/>
  <c r="N20"/>
  <c r="N40"/>
  <c r="N578"/>
  <c r="N552"/>
  <c r="N583"/>
  <c r="N560"/>
  <c r="N592"/>
  <c r="N573"/>
  <c r="N574"/>
  <c r="N551"/>
  <c r="N579"/>
  <c r="N556"/>
  <c r="N588"/>
  <c r="N569"/>
  <c r="N601"/>
  <c r="C1" i="31"/>
  <c r="D63"/>
  <c r="D3" s="1"/>
  <c r="B4" i="29" s="1"/>
  <c r="I4" s="1"/>
  <c r="A67" i="31"/>
  <c r="D67"/>
  <c r="D68"/>
  <c r="D69"/>
  <c r="D70"/>
  <c r="D71"/>
  <c r="D73"/>
  <c r="C63"/>
  <c r="C3" s="1"/>
  <c r="B3" i="29" s="1"/>
  <c r="I3" s="1"/>
  <c r="C67" i="31"/>
  <c r="C68"/>
  <c r="C69"/>
  <c r="C70"/>
  <c r="C71"/>
  <c r="C73"/>
  <c r="C31" i="29"/>
  <c r="C32"/>
  <c r="C37" l="1"/>
  <c r="C38" s="1"/>
  <c r="C118" s="1"/>
  <c r="C119" s="1"/>
  <c r="H3"/>
  <c r="B31"/>
  <c r="C68"/>
  <c r="C70" l="1"/>
  <c r="C79" s="1"/>
  <c r="C113" s="1"/>
  <c r="C63"/>
  <c r="C67"/>
  <c r="C115" l="1"/>
  <c r="B69" i="48" s="1"/>
  <c r="C114" i="29"/>
  <c r="B43" i="48" s="1"/>
  <c r="C69" i="29"/>
  <c r="C74"/>
  <c r="C76"/>
  <c r="F46" i="48" l="1"/>
  <c r="G46"/>
  <c r="F52"/>
  <c r="H51"/>
  <c r="K53"/>
  <c r="F47"/>
  <c r="H50"/>
  <c r="K52"/>
  <c r="H48"/>
  <c r="F50"/>
  <c r="H53"/>
  <c r="L51"/>
  <c r="H52"/>
  <c r="F49"/>
  <c r="G49"/>
  <c r="F48"/>
  <c r="H47"/>
  <c r="J50"/>
  <c r="F45"/>
  <c r="G50"/>
  <c r="J53"/>
  <c r="F53"/>
  <c r="H49"/>
  <c r="K51"/>
  <c r="G52"/>
  <c r="M52"/>
  <c r="G48"/>
  <c r="G51"/>
  <c r="I52"/>
  <c r="I49"/>
  <c r="J49"/>
  <c r="M53"/>
  <c r="K50"/>
  <c r="G53"/>
  <c r="J52"/>
  <c r="N53"/>
  <c r="N55" s="1"/>
  <c r="J51"/>
  <c r="G47"/>
  <c r="I48"/>
  <c r="L53"/>
  <c r="F51"/>
  <c r="I51"/>
  <c r="L52"/>
  <c r="I53"/>
  <c r="I50"/>
  <c r="B63" i="29"/>
  <c r="C193"/>
  <c r="C194" s="1"/>
  <c r="B67"/>
  <c r="C196"/>
  <c r="B71" l="1"/>
  <c r="K55" i="48"/>
  <c r="M55"/>
  <c r="C78" i="29"/>
  <c r="C80" s="1"/>
  <c r="C82" s="1"/>
  <c r="C84" s="1"/>
  <c r="H55" i="48"/>
  <c r="G55"/>
  <c r="I55"/>
  <c r="J55"/>
  <c r="F55"/>
  <c r="L55"/>
  <c r="C128" i="29"/>
  <c r="F56" i="48" l="1"/>
  <c r="C211" i="29" s="1"/>
  <c r="C87"/>
  <c r="C98"/>
  <c r="C100" s="1"/>
  <c r="C88"/>
  <c r="C83"/>
  <c r="C86" s="1"/>
  <c r="C95"/>
  <c r="C130"/>
  <c r="C139" s="1"/>
  <c r="C173" s="1"/>
  <c r="C174" s="1"/>
  <c r="B56" i="48" s="1"/>
  <c r="C127" i="29"/>
  <c r="C104" l="1"/>
  <c r="C90"/>
  <c r="C92" s="1"/>
  <c r="C99"/>
  <c r="C101" s="1"/>
  <c r="C109" s="1"/>
  <c r="C89"/>
  <c r="C85"/>
  <c r="C93" s="1"/>
  <c r="C103"/>
  <c r="C111"/>
  <c r="F63" i="48"/>
  <c r="F67"/>
  <c r="G62"/>
  <c r="G66"/>
  <c r="H66"/>
  <c r="I67"/>
  <c r="J65"/>
  <c r="J69"/>
  <c r="K68"/>
  <c r="L68"/>
  <c r="M69"/>
  <c r="F64"/>
  <c r="F68"/>
  <c r="G67"/>
  <c r="H67"/>
  <c r="I68"/>
  <c r="F62"/>
  <c r="F66"/>
  <c r="G65"/>
  <c r="G69"/>
  <c r="H65"/>
  <c r="H69"/>
  <c r="I66"/>
  <c r="J68"/>
  <c r="K67"/>
  <c r="L67"/>
  <c r="M68"/>
  <c r="K69"/>
  <c r="F61"/>
  <c r="F65"/>
  <c r="F69"/>
  <c r="G64"/>
  <c r="G68"/>
  <c r="H64"/>
  <c r="H68"/>
  <c r="I65"/>
  <c r="I69"/>
  <c r="J67"/>
  <c r="K66"/>
  <c r="N69"/>
  <c r="N71" s="1"/>
  <c r="G63"/>
  <c r="H63"/>
  <c r="I64"/>
  <c r="J66"/>
  <c r="L69"/>
  <c r="C129" i="29"/>
  <c r="C134"/>
  <c r="C136"/>
  <c r="C106" l="1"/>
  <c r="M71" i="48"/>
  <c r="C102" i="29"/>
  <c r="C91"/>
  <c r="C94" s="1"/>
  <c r="C96" s="1"/>
  <c r="C105"/>
  <c r="C107" s="1"/>
  <c r="H71" i="48"/>
  <c r="F71"/>
  <c r="L71"/>
  <c r="I71"/>
  <c r="K71"/>
  <c r="J71"/>
  <c r="G71"/>
  <c r="C138" i="29"/>
  <c r="C140" s="1"/>
  <c r="C158" s="1"/>
  <c r="E32"/>
  <c r="C108" l="1"/>
  <c r="C110" s="1"/>
  <c r="F77" i="48"/>
  <c r="H77"/>
  <c r="G77"/>
  <c r="I77"/>
  <c r="L77"/>
  <c r="E77"/>
  <c r="K77"/>
  <c r="C160" i="29"/>
  <c r="C164"/>
  <c r="C159"/>
  <c r="C163"/>
  <c r="C171"/>
  <c r="M77" i="48"/>
  <c r="C142" i="29"/>
  <c r="F72" i="48"/>
  <c r="C212" i="29" s="1"/>
  <c r="J77" i="48"/>
  <c r="E31" i="29"/>
  <c r="E68"/>
  <c r="C112" l="1"/>
  <c r="C214" s="1"/>
  <c r="C220" s="1"/>
  <c r="E70"/>
  <c r="E79" s="1"/>
  <c r="E113" s="1"/>
  <c r="E114" s="1"/>
  <c r="J571" i="49" s="1"/>
  <c r="K571" s="1"/>
  <c r="U13" i="48"/>
  <c r="U14" s="1"/>
  <c r="U15" s="1"/>
  <c r="U16" s="1"/>
  <c r="U17" s="1"/>
  <c r="U18" s="1"/>
  <c r="U19" s="1"/>
  <c r="U20" s="1"/>
  <c r="U21" s="1"/>
  <c r="U22" s="1"/>
  <c r="U23" s="1"/>
  <c r="U24" s="1"/>
  <c r="C166" i="29"/>
  <c r="C165"/>
  <c r="C144"/>
  <c r="C148"/>
  <c r="C143"/>
  <c r="C147"/>
  <c r="C155"/>
  <c r="C161"/>
  <c r="C169" s="1"/>
  <c r="C162"/>
  <c r="E37"/>
  <c r="C219" l="1"/>
  <c r="J664" i="49"/>
  <c r="K664" s="1"/>
  <c r="J625"/>
  <c r="K625" s="1"/>
  <c r="J586"/>
  <c r="K586" s="1"/>
  <c r="J672"/>
  <c r="K672" s="1"/>
  <c r="J641"/>
  <c r="K641" s="1"/>
  <c r="J594"/>
  <c r="K594" s="1"/>
  <c r="J682"/>
  <c r="K682" s="1"/>
  <c r="J648"/>
  <c r="K648" s="1"/>
  <c r="J602"/>
  <c r="K602" s="1"/>
  <c r="J563"/>
  <c r="K563" s="1"/>
  <c r="J656"/>
  <c r="K656" s="1"/>
  <c r="J610"/>
  <c r="K610" s="1"/>
  <c r="J579"/>
  <c r="K579" s="1"/>
  <c r="J554"/>
  <c r="K554" s="1"/>
  <c r="J632"/>
  <c r="K632" s="1"/>
  <c r="J683"/>
  <c r="K683" s="1"/>
  <c r="J665"/>
  <c r="K665" s="1"/>
  <c r="J657"/>
  <c r="K657" s="1"/>
  <c r="J649"/>
  <c r="K649" s="1"/>
  <c r="J642"/>
  <c r="K642" s="1"/>
  <c r="J626"/>
  <c r="K626" s="1"/>
  <c r="J611"/>
  <c r="K611" s="1"/>
  <c r="J603"/>
  <c r="K603" s="1"/>
  <c r="J595"/>
  <c r="K595" s="1"/>
  <c r="J587"/>
  <c r="K587" s="1"/>
  <c r="J580"/>
  <c r="K580" s="1"/>
  <c r="J564"/>
  <c r="K564" s="1"/>
  <c r="J555"/>
  <c r="K555" s="1"/>
  <c r="J633"/>
  <c r="K633" s="1"/>
  <c r="J673"/>
  <c r="K673" s="1"/>
  <c r="J562"/>
  <c r="K562" s="1"/>
  <c r="J674"/>
  <c r="K674" s="1"/>
  <c r="J666"/>
  <c r="K666" s="1"/>
  <c r="J658"/>
  <c r="K658" s="1"/>
  <c r="J650"/>
  <c r="K650" s="1"/>
  <c r="J643"/>
  <c r="K643" s="1"/>
  <c r="J627"/>
  <c r="K627" s="1"/>
  <c r="J612"/>
  <c r="K612" s="1"/>
  <c r="J604"/>
  <c r="K604" s="1"/>
  <c r="J596"/>
  <c r="K596" s="1"/>
  <c r="J588"/>
  <c r="K588" s="1"/>
  <c r="J581"/>
  <c r="K581" s="1"/>
  <c r="J565"/>
  <c r="K565" s="1"/>
  <c r="J556"/>
  <c r="K556" s="1"/>
  <c r="J634"/>
  <c r="K634" s="1"/>
  <c r="J618"/>
  <c r="K618" s="1"/>
  <c r="J681"/>
  <c r="K681" s="1"/>
  <c r="J671"/>
  <c r="K671" s="1"/>
  <c r="J663"/>
  <c r="K663" s="1"/>
  <c r="J655"/>
  <c r="K655" s="1"/>
  <c r="J647"/>
  <c r="K647" s="1"/>
  <c r="J640"/>
  <c r="K640" s="1"/>
  <c r="J624"/>
  <c r="K624" s="1"/>
  <c r="J609"/>
  <c r="K609" s="1"/>
  <c r="J601"/>
  <c r="K601" s="1"/>
  <c r="J593"/>
  <c r="K593" s="1"/>
  <c r="J585"/>
  <c r="K585" s="1"/>
  <c r="J578"/>
  <c r="K578" s="1"/>
  <c r="J557"/>
  <c r="K557" s="1"/>
  <c r="J635"/>
  <c r="K635" s="1"/>
  <c r="J619"/>
  <c r="K619" s="1"/>
  <c r="J572"/>
  <c r="K572" s="1"/>
  <c r="J573"/>
  <c r="K573" s="1"/>
  <c r="J616"/>
  <c r="K616" s="1"/>
  <c r="J570"/>
  <c r="K570" s="1"/>
  <c r="J617"/>
  <c r="K617" s="1"/>
  <c r="J691"/>
  <c r="K691" s="1"/>
  <c r="J705"/>
  <c r="K705" s="1"/>
  <c r="J713"/>
  <c r="K713" s="1"/>
  <c r="J722"/>
  <c r="K722" s="1"/>
  <c r="J736"/>
  <c r="K736" s="1"/>
  <c r="J744"/>
  <c r="K744" s="1"/>
  <c r="J753"/>
  <c r="K753" s="1"/>
  <c r="J767"/>
  <c r="K767" s="1"/>
  <c r="J776"/>
  <c r="K776" s="1"/>
  <c r="J792"/>
  <c r="K792" s="1"/>
  <c r="J809"/>
  <c r="K809" s="1"/>
  <c r="J818"/>
  <c r="K818" s="1"/>
  <c r="J832"/>
  <c r="K832" s="1"/>
  <c r="J840"/>
  <c r="K840" s="1"/>
  <c r="J849"/>
  <c r="K849" s="1"/>
  <c r="J863"/>
  <c r="K863" s="1"/>
  <c r="J872"/>
  <c r="K872" s="1"/>
  <c r="J888"/>
  <c r="K888" s="1"/>
  <c r="J911"/>
  <c r="K911" s="1"/>
  <c r="J936"/>
  <c r="K936" s="1"/>
  <c r="J945"/>
  <c r="K945" s="1"/>
  <c r="J959"/>
  <c r="K959" s="1"/>
  <c r="J968"/>
  <c r="K968" s="1"/>
  <c r="J690"/>
  <c r="K690" s="1"/>
  <c r="J699"/>
  <c r="K699" s="1"/>
  <c r="J712"/>
  <c r="K712" s="1"/>
  <c r="J721"/>
  <c r="K721" s="1"/>
  <c r="J730"/>
  <c r="K730" s="1"/>
  <c r="J743"/>
  <c r="K743" s="1"/>
  <c r="J752"/>
  <c r="K752" s="1"/>
  <c r="J761"/>
  <c r="K761" s="1"/>
  <c r="J775"/>
  <c r="K775" s="1"/>
  <c r="J791"/>
  <c r="K791" s="1"/>
  <c r="J808"/>
  <c r="K808" s="1"/>
  <c r="J817"/>
  <c r="K817" s="1"/>
  <c r="J826"/>
  <c r="K826" s="1"/>
  <c r="J839"/>
  <c r="K839" s="1"/>
  <c r="J848"/>
  <c r="K848" s="1"/>
  <c r="J857"/>
  <c r="K857" s="1"/>
  <c r="J871"/>
  <c r="K871" s="1"/>
  <c r="J887"/>
  <c r="K887" s="1"/>
  <c r="J903"/>
  <c r="K903" s="1"/>
  <c r="J935"/>
  <c r="K935" s="1"/>
  <c r="J944"/>
  <c r="K944" s="1"/>
  <c r="J953"/>
  <c r="K953" s="1"/>
  <c r="J967"/>
  <c r="K967" s="1"/>
  <c r="J983"/>
  <c r="K983" s="1"/>
  <c r="J999"/>
  <c r="K999" s="1"/>
  <c r="J689"/>
  <c r="K689" s="1"/>
  <c r="J698"/>
  <c r="K698" s="1"/>
  <c r="J707"/>
  <c r="K707" s="1"/>
  <c r="J720"/>
  <c r="K720" s="1"/>
  <c r="J729"/>
  <c r="K729" s="1"/>
  <c r="J738"/>
  <c r="K738" s="1"/>
  <c r="J751"/>
  <c r="K751" s="1"/>
  <c r="J760"/>
  <c r="K760" s="1"/>
  <c r="J769"/>
  <c r="K769" s="1"/>
  <c r="J784"/>
  <c r="K784" s="1"/>
  <c r="J800"/>
  <c r="K800" s="1"/>
  <c r="J816"/>
  <c r="K816" s="1"/>
  <c r="J825"/>
  <c r="K825" s="1"/>
  <c r="J834"/>
  <c r="K834" s="1"/>
  <c r="J847"/>
  <c r="K847" s="1"/>
  <c r="J856"/>
  <c r="K856" s="1"/>
  <c r="J865"/>
  <c r="K865" s="1"/>
  <c r="J880"/>
  <c r="K880" s="1"/>
  <c r="J896"/>
  <c r="K896" s="1"/>
  <c r="J927"/>
  <c r="K927" s="1"/>
  <c r="J943"/>
  <c r="K943" s="1"/>
  <c r="J952"/>
  <c r="K952" s="1"/>
  <c r="J961"/>
  <c r="K961" s="1"/>
  <c r="J976"/>
  <c r="K976" s="1"/>
  <c r="J992"/>
  <c r="K992" s="1"/>
  <c r="J1023"/>
  <c r="K1023" s="1"/>
  <c r="J1007"/>
  <c r="K1007" s="1"/>
  <c r="J697"/>
  <c r="K697" s="1"/>
  <c r="J706"/>
  <c r="K706" s="1"/>
  <c r="J714"/>
  <c r="K714" s="1"/>
  <c r="J728"/>
  <c r="K728" s="1"/>
  <c r="J737"/>
  <c r="K737" s="1"/>
  <c r="J745"/>
  <c r="K745" s="1"/>
  <c r="J759"/>
  <c r="K759" s="1"/>
  <c r="J768"/>
  <c r="K768" s="1"/>
  <c r="J783"/>
  <c r="K783" s="1"/>
  <c r="J799"/>
  <c r="K799" s="1"/>
  <c r="J810"/>
  <c r="K810" s="1"/>
  <c r="J824"/>
  <c r="K824" s="1"/>
  <c r="J833"/>
  <c r="K833" s="1"/>
  <c r="J841"/>
  <c r="K841" s="1"/>
  <c r="J855"/>
  <c r="K855" s="1"/>
  <c r="J864"/>
  <c r="K864" s="1"/>
  <c r="J879"/>
  <c r="K879" s="1"/>
  <c r="J895"/>
  <c r="K895" s="1"/>
  <c r="J919"/>
  <c r="K919" s="1"/>
  <c r="J937"/>
  <c r="K937" s="1"/>
  <c r="J951"/>
  <c r="K951" s="1"/>
  <c r="J960"/>
  <c r="K960" s="1"/>
  <c r="J975"/>
  <c r="K975" s="1"/>
  <c r="J991"/>
  <c r="K991" s="1"/>
  <c r="J1015"/>
  <c r="K1015" s="1"/>
  <c r="J984"/>
  <c r="K984" s="1"/>
  <c r="J694"/>
  <c r="K694" s="1"/>
  <c r="J785"/>
  <c r="K785" s="1"/>
  <c r="J920"/>
  <c r="K920" s="1"/>
  <c r="J1039"/>
  <c r="K1039" s="1"/>
  <c r="J793"/>
  <c r="K793" s="1"/>
  <c r="J889"/>
  <c r="K889" s="1"/>
  <c r="J985"/>
  <c r="K985" s="1"/>
  <c r="J1031"/>
  <c r="K1031" s="1"/>
  <c r="J1008"/>
  <c r="K1008" s="1"/>
  <c r="J1055"/>
  <c r="K1055" s="1"/>
  <c r="J904"/>
  <c r="K904" s="1"/>
  <c r="J684"/>
  <c r="K684" s="1"/>
  <c r="J692"/>
  <c r="K692" s="1"/>
  <c r="J700"/>
  <c r="K700" s="1"/>
  <c r="J708"/>
  <c r="K708" s="1"/>
  <c r="J715"/>
  <c r="K715" s="1"/>
  <c r="J723"/>
  <c r="K723" s="1"/>
  <c r="J731"/>
  <c r="K731" s="1"/>
  <c r="J739"/>
  <c r="K739" s="1"/>
  <c r="J746"/>
  <c r="K746" s="1"/>
  <c r="J754"/>
  <c r="K754" s="1"/>
  <c r="J762"/>
  <c r="K762" s="1"/>
  <c r="J770"/>
  <c r="K770" s="1"/>
  <c r="J801"/>
  <c r="K801" s="1"/>
  <c r="J811"/>
  <c r="K811" s="1"/>
  <c r="J819"/>
  <c r="K819" s="1"/>
  <c r="J827"/>
  <c r="K827" s="1"/>
  <c r="J835"/>
  <c r="K835" s="1"/>
  <c r="J842"/>
  <c r="K842" s="1"/>
  <c r="J850"/>
  <c r="K850" s="1"/>
  <c r="J858"/>
  <c r="K858" s="1"/>
  <c r="J866"/>
  <c r="K866" s="1"/>
  <c r="J897"/>
  <c r="K897" s="1"/>
  <c r="J912"/>
  <c r="K912" s="1"/>
  <c r="J928"/>
  <c r="K928" s="1"/>
  <c r="J938"/>
  <c r="K938" s="1"/>
  <c r="J946"/>
  <c r="K946" s="1"/>
  <c r="J954"/>
  <c r="K954" s="1"/>
  <c r="J962"/>
  <c r="K962" s="1"/>
  <c r="J993"/>
  <c r="K993" s="1"/>
  <c r="J1024"/>
  <c r="K1024" s="1"/>
  <c r="J1047"/>
  <c r="K1047" s="1"/>
  <c r="J1000"/>
  <c r="K1000" s="1"/>
  <c r="J777"/>
  <c r="K777" s="1"/>
  <c r="J873"/>
  <c r="K873" s="1"/>
  <c r="J969"/>
  <c r="K969" s="1"/>
  <c r="J881"/>
  <c r="K881" s="1"/>
  <c r="J977"/>
  <c r="K977" s="1"/>
  <c r="J1016"/>
  <c r="K1016" s="1"/>
  <c r="J589"/>
  <c r="K589" s="1"/>
  <c r="J637"/>
  <c r="K637" s="1"/>
  <c r="J653"/>
  <c r="K653" s="1"/>
  <c r="J1021"/>
  <c r="K1021" s="1"/>
  <c r="J757"/>
  <c r="K757" s="1"/>
  <c r="J970"/>
  <c r="K970" s="1"/>
  <c r="J916"/>
  <c r="K916" s="1"/>
  <c r="J1048"/>
  <c r="K1048" s="1"/>
  <c r="J891"/>
  <c r="K891" s="1"/>
  <c r="J788"/>
  <c r="K788" s="1"/>
  <c r="J1041"/>
  <c r="K1041" s="1"/>
  <c r="J789"/>
  <c r="K789" s="1"/>
  <c r="J605"/>
  <c r="K605" s="1"/>
  <c r="J1051"/>
  <c r="K1051" s="1"/>
  <c r="J982"/>
  <c r="K982" s="1"/>
  <c r="J907"/>
  <c r="K907" s="1"/>
  <c r="J794"/>
  <c r="K794" s="1"/>
  <c r="J1056"/>
  <c r="K1056" s="1"/>
  <c r="J949"/>
  <c r="K949" s="1"/>
  <c r="J846"/>
  <c r="K846" s="1"/>
  <c r="J725"/>
  <c r="K725" s="1"/>
  <c r="J939"/>
  <c r="K939" s="1"/>
  <c r="J821"/>
  <c r="K821" s="1"/>
  <c r="J1033"/>
  <c r="K1033" s="1"/>
  <c r="J901"/>
  <c r="K901" s="1"/>
  <c r="J1054"/>
  <c r="K1054" s="1"/>
  <c r="J669"/>
  <c r="K669" s="1"/>
  <c r="J628"/>
  <c r="K628" s="1"/>
  <c r="J1045"/>
  <c r="K1045" s="1"/>
  <c r="J1002"/>
  <c r="K1002" s="1"/>
  <c r="J915"/>
  <c r="K915" s="1"/>
  <c r="J828"/>
  <c r="K828" s="1"/>
  <c r="J1042"/>
  <c r="K1042" s="1"/>
  <c r="J986"/>
  <c r="K986" s="1"/>
  <c r="J875"/>
  <c r="K875" s="1"/>
  <c r="J763"/>
  <c r="K763" s="1"/>
  <c r="J972"/>
  <c r="K972" s="1"/>
  <c r="J854"/>
  <c r="K854" s="1"/>
  <c r="J726"/>
  <c r="K726" s="1"/>
  <c r="J925"/>
  <c r="K925" s="1"/>
  <c r="J661"/>
  <c r="K661" s="1"/>
  <c r="J677"/>
  <c r="K677" s="1"/>
  <c r="J645"/>
  <c r="K645" s="1"/>
  <c r="J620"/>
  <c r="K620" s="1"/>
  <c r="J1006"/>
  <c r="K1006" s="1"/>
  <c r="J934"/>
  <c r="K934" s="1"/>
  <c r="J853"/>
  <c r="K853" s="1"/>
  <c r="J724"/>
  <c r="K724" s="1"/>
  <c r="J1022"/>
  <c r="K1022" s="1"/>
  <c r="J892"/>
  <c r="K892" s="1"/>
  <c r="J780"/>
  <c r="K780" s="1"/>
  <c r="J1027"/>
  <c r="K1027" s="1"/>
  <c r="J878"/>
  <c r="K878" s="1"/>
  <c r="J750"/>
  <c r="K750" s="1"/>
  <c r="J966"/>
  <c r="K966" s="1"/>
  <c r="J1053"/>
  <c r="K1053" s="1"/>
  <c r="J942"/>
  <c r="K942" s="1"/>
  <c r="J852"/>
  <c r="K852" s="1"/>
  <c r="J994"/>
  <c r="K994" s="1"/>
  <c r="J894"/>
  <c r="K894" s="1"/>
  <c r="J822"/>
  <c r="K822" s="1"/>
  <c r="J646"/>
  <c r="K646" s="1"/>
  <c r="J606"/>
  <c r="K606" s="1"/>
  <c r="J590"/>
  <c r="K590" s="1"/>
  <c r="J638"/>
  <c r="K638" s="1"/>
  <c r="J621"/>
  <c r="K621" s="1"/>
  <c r="J1058"/>
  <c r="K1058" s="1"/>
  <c r="J1059"/>
  <c r="K1059" s="1"/>
  <c r="J1025"/>
  <c r="K1025" s="1"/>
  <c r="J1009"/>
  <c r="K1009" s="1"/>
  <c r="J1003"/>
  <c r="K1003" s="1"/>
  <c r="J987"/>
  <c r="K987" s="1"/>
  <c r="J974"/>
  <c r="K974" s="1"/>
  <c r="J948"/>
  <c r="K948" s="1"/>
  <c r="J921"/>
  <c r="K921" s="1"/>
  <c r="J908"/>
  <c r="K908" s="1"/>
  <c r="J899"/>
  <c r="K899" s="1"/>
  <c r="J862"/>
  <c r="K862" s="1"/>
  <c r="J830"/>
  <c r="K830" s="1"/>
  <c r="J796"/>
  <c r="K796" s="1"/>
  <c r="J766"/>
  <c r="K766" s="1"/>
  <c r="J733"/>
  <c r="K733" s="1"/>
  <c r="J1061"/>
  <c r="K1061" s="1"/>
  <c r="J1060"/>
  <c r="K1060" s="1"/>
  <c r="J1049"/>
  <c r="K1049" s="1"/>
  <c r="J1026"/>
  <c r="K1026" s="1"/>
  <c r="J988"/>
  <c r="K988" s="1"/>
  <c r="J957"/>
  <c r="K957" s="1"/>
  <c r="J922"/>
  <c r="K922" s="1"/>
  <c r="J900"/>
  <c r="K900" s="1"/>
  <c r="J876"/>
  <c r="K876" s="1"/>
  <c r="J859"/>
  <c r="K859" s="1"/>
  <c r="J797"/>
  <c r="K797" s="1"/>
  <c r="J781"/>
  <c r="K781" s="1"/>
  <c r="J771"/>
  <c r="K771" s="1"/>
  <c r="J741"/>
  <c r="K741" s="1"/>
  <c r="J1057"/>
  <c r="K1057" s="1"/>
  <c r="J1032"/>
  <c r="K1032" s="1"/>
  <c r="J980"/>
  <c r="K980" s="1"/>
  <c r="J940"/>
  <c r="K940" s="1"/>
  <c r="J917"/>
  <c r="K917" s="1"/>
  <c r="J882"/>
  <c r="K882" s="1"/>
  <c r="J860"/>
  <c r="K860" s="1"/>
  <c r="J829"/>
  <c r="K829" s="1"/>
  <c r="J798"/>
  <c r="K798" s="1"/>
  <c r="J755"/>
  <c r="K755" s="1"/>
  <c r="J732"/>
  <c r="K732" s="1"/>
  <c r="J693"/>
  <c r="K693" s="1"/>
  <c r="J1034"/>
  <c r="K1034" s="1"/>
  <c r="J1062"/>
  <c r="K1062" s="1"/>
  <c r="J998"/>
  <c r="K998" s="1"/>
  <c r="J973"/>
  <c r="K973" s="1"/>
  <c r="J947"/>
  <c r="K947" s="1"/>
  <c r="J929"/>
  <c r="K929" s="1"/>
  <c r="J898"/>
  <c r="K898" s="1"/>
  <c r="J861"/>
  <c r="K861" s="1"/>
  <c r="J837"/>
  <c r="K837" s="1"/>
  <c r="J803"/>
  <c r="K803" s="1"/>
  <c r="J678"/>
  <c r="K678" s="1"/>
  <c r="J654"/>
  <c r="K654" s="1"/>
  <c r="J675"/>
  <c r="K675" s="1"/>
  <c r="J667"/>
  <c r="K667" s="1"/>
  <c r="J659"/>
  <c r="K659" s="1"/>
  <c r="J651"/>
  <c r="K651" s="1"/>
  <c r="J630"/>
  <c r="K630" s="1"/>
  <c r="J613"/>
  <c r="K613" s="1"/>
  <c r="J597"/>
  <c r="K597" s="1"/>
  <c r="J566"/>
  <c r="K566" s="1"/>
  <c r="J558"/>
  <c r="K558" s="1"/>
  <c r="J622"/>
  <c r="K622" s="1"/>
  <c r="J1044"/>
  <c r="K1044" s="1"/>
  <c r="J1011"/>
  <c r="K1011" s="1"/>
  <c r="J1029"/>
  <c r="K1029" s="1"/>
  <c r="J1010"/>
  <c r="K1010" s="1"/>
  <c r="J1004"/>
  <c r="K1004" s="1"/>
  <c r="J995"/>
  <c r="K995" s="1"/>
  <c r="J978"/>
  <c r="K978" s="1"/>
  <c r="J956"/>
  <c r="K956" s="1"/>
  <c r="J926"/>
  <c r="K926" s="1"/>
  <c r="J909"/>
  <c r="K909" s="1"/>
  <c r="J905"/>
  <c r="K905" s="1"/>
  <c r="J870"/>
  <c r="K870" s="1"/>
  <c r="J838"/>
  <c r="K838" s="1"/>
  <c r="J804"/>
  <c r="K804" s="1"/>
  <c r="J774"/>
  <c r="K774" s="1"/>
  <c r="J740"/>
  <c r="K740" s="1"/>
  <c r="J702"/>
  <c r="K702" s="1"/>
  <c r="J1020"/>
  <c r="K1020" s="1"/>
  <c r="J1050"/>
  <c r="K1050" s="1"/>
  <c r="J1030"/>
  <c r="K1030" s="1"/>
  <c r="J996"/>
  <c r="K996" s="1"/>
  <c r="J965"/>
  <c r="K965" s="1"/>
  <c r="J923"/>
  <c r="K923" s="1"/>
  <c r="J913"/>
  <c r="K913" s="1"/>
  <c r="J883"/>
  <c r="K883" s="1"/>
  <c r="J867"/>
  <c r="K867" s="1"/>
  <c r="J805"/>
  <c r="K805" s="1"/>
  <c r="J782"/>
  <c r="K782" s="1"/>
  <c r="J778"/>
  <c r="K778" s="1"/>
  <c r="J749"/>
  <c r="K749" s="1"/>
  <c r="J685"/>
  <c r="K685" s="1"/>
  <c r="J1036"/>
  <c r="K1036" s="1"/>
  <c r="J989"/>
  <c r="K989" s="1"/>
  <c r="J950"/>
  <c r="K950" s="1"/>
  <c r="J924"/>
  <c r="K924" s="1"/>
  <c r="J884"/>
  <c r="K884" s="1"/>
  <c r="J868"/>
  <c r="K868" s="1"/>
  <c r="J836"/>
  <c r="K836" s="1"/>
  <c r="J802"/>
  <c r="K802" s="1"/>
  <c r="J764"/>
  <c r="K764" s="1"/>
  <c r="J734"/>
  <c r="K734" s="1"/>
  <c r="J710"/>
  <c r="K710" s="1"/>
  <c r="J1037"/>
  <c r="K1037" s="1"/>
  <c r="J1014"/>
  <c r="K1014" s="1"/>
  <c r="J1018"/>
  <c r="K1018" s="1"/>
  <c r="J981"/>
  <c r="K981" s="1"/>
  <c r="J955"/>
  <c r="K955" s="1"/>
  <c r="J933"/>
  <c r="K933" s="1"/>
  <c r="J902"/>
  <c r="K902" s="1"/>
  <c r="J869"/>
  <c r="K869" s="1"/>
  <c r="J843"/>
  <c r="K843" s="1"/>
  <c r="J812"/>
  <c r="K812" s="1"/>
  <c r="J747"/>
  <c r="K747" s="1"/>
  <c r="J790"/>
  <c r="K790" s="1"/>
  <c r="J670"/>
  <c r="K670" s="1"/>
  <c r="J662"/>
  <c r="K662" s="1"/>
  <c r="J629"/>
  <c r="K629" s="1"/>
  <c r="J676"/>
  <c r="K676" s="1"/>
  <c r="J668"/>
  <c r="K668" s="1"/>
  <c r="J660"/>
  <c r="K660" s="1"/>
  <c r="J652"/>
  <c r="K652" s="1"/>
  <c r="J644"/>
  <c r="K644" s="1"/>
  <c r="J614"/>
  <c r="K614" s="1"/>
  <c r="J598"/>
  <c r="K598" s="1"/>
  <c r="J582"/>
  <c r="K582" s="1"/>
  <c r="J636"/>
  <c r="K636" s="1"/>
  <c r="J574"/>
  <c r="K574" s="1"/>
  <c r="J1017"/>
  <c r="K1017" s="1"/>
  <c r="J1046"/>
  <c r="K1046" s="1"/>
  <c r="J1012"/>
  <c r="K1012" s="1"/>
  <c r="J1005"/>
  <c r="K1005" s="1"/>
  <c r="J1001"/>
  <c r="K1001" s="1"/>
  <c r="J979"/>
  <c r="K979" s="1"/>
  <c r="J964"/>
  <c r="K964" s="1"/>
  <c r="J930"/>
  <c r="K930" s="1"/>
  <c r="J910"/>
  <c r="K910" s="1"/>
  <c r="J906"/>
  <c r="K906" s="1"/>
  <c r="J886"/>
  <c r="K886" s="1"/>
  <c r="J845"/>
  <c r="K845" s="1"/>
  <c r="J814"/>
  <c r="K814" s="1"/>
  <c r="J787"/>
  <c r="K787" s="1"/>
  <c r="J748"/>
  <c r="K748" s="1"/>
  <c r="J718"/>
  <c r="K718" s="1"/>
  <c r="J1035"/>
  <c r="K1035" s="1"/>
  <c r="J1052"/>
  <c r="K1052" s="1"/>
  <c r="J1043"/>
  <c r="K1043" s="1"/>
  <c r="J1013"/>
  <c r="K1013" s="1"/>
  <c r="J971"/>
  <c r="K971" s="1"/>
  <c r="J931"/>
  <c r="K931" s="1"/>
  <c r="J914"/>
  <c r="K914" s="1"/>
  <c r="J890"/>
  <c r="K890" s="1"/>
  <c r="J874"/>
  <c r="K874" s="1"/>
  <c r="J820"/>
  <c r="K820" s="1"/>
  <c r="J786"/>
  <c r="K786" s="1"/>
  <c r="J779"/>
  <c r="K779" s="1"/>
  <c r="J758"/>
  <c r="K758" s="1"/>
  <c r="J709"/>
  <c r="K709" s="1"/>
  <c r="J1038"/>
  <c r="K1038" s="1"/>
  <c r="J997"/>
  <c r="K997" s="1"/>
  <c r="J958"/>
  <c r="K958" s="1"/>
  <c r="J932"/>
  <c r="K932" s="1"/>
  <c r="J893"/>
  <c r="K893" s="1"/>
  <c r="J877"/>
  <c r="K877" s="1"/>
  <c r="J851"/>
  <c r="K851" s="1"/>
  <c r="J806"/>
  <c r="K806" s="1"/>
  <c r="J772"/>
  <c r="K772" s="1"/>
  <c r="J742"/>
  <c r="K742" s="1"/>
  <c r="J716"/>
  <c r="K716" s="1"/>
  <c r="J1040"/>
  <c r="K1040" s="1"/>
  <c r="J1019"/>
  <c r="K1019" s="1"/>
  <c r="J1028"/>
  <c r="K1028" s="1"/>
  <c r="J990"/>
  <c r="K990" s="1"/>
  <c r="J963"/>
  <c r="K963" s="1"/>
  <c r="J941"/>
  <c r="K941" s="1"/>
  <c r="J918"/>
  <c r="K918" s="1"/>
  <c r="J885"/>
  <c r="K885" s="1"/>
  <c r="J844"/>
  <c r="K844" s="1"/>
  <c r="J813"/>
  <c r="K813" s="1"/>
  <c r="J765"/>
  <c r="K765" s="1"/>
  <c r="J795"/>
  <c r="K795" s="1"/>
  <c r="J717"/>
  <c r="K717" s="1"/>
  <c r="J773"/>
  <c r="K773" s="1"/>
  <c r="J701"/>
  <c r="K701" s="1"/>
  <c r="J686"/>
  <c r="K686" s="1"/>
  <c r="J756"/>
  <c r="K756" s="1"/>
  <c r="P622"/>
  <c r="Q651"/>
  <c r="Q585"/>
  <c r="O617"/>
  <c r="P685"/>
  <c r="Q647"/>
  <c r="P680"/>
  <c r="O679"/>
  <c r="Q652"/>
  <c r="Q648"/>
  <c r="O621"/>
  <c r="Q589"/>
  <c r="P679"/>
  <c r="O681"/>
  <c r="O647"/>
  <c r="P648"/>
  <c r="Q553"/>
  <c r="Q653"/>
  <c r="Q649"/>
  <c r="P557"/>
  <c r="O685"/>
  <c r="O651"/>
  <c r="Q618"/>
  <c r="O584"/>
  <c r="P652"/>
  <c r="R652" s="1"/>
  <c r="P587"/>
  <c r="O551"/>
  <c r="Q654"/>
  <c r="Q650"/>
  <c r="P618"/>
  <c r="Q555"/>
  <c r="Q622"/>
  <c r="O588"/>
  <c r="O555"/>
  <c r="O622"/>
  <c r="O618"/>
  <c r="Q590"/>
  <c r="Q586"/>
  <c r="P558"/>
  <c r="P554"/>
  <c r="P619"/>
  <c r="P615"/>
  <c r="Q556"/>
  <c r="O686"/>
  <c r="O682"/>
  <c r="O652"/>
  <c r="O648"/>
  <c r="Q619"/>
  <c r="Q615"/>
  <c r="O589"/>
  <c r="O585"/>
  <c r="P653"/>
  <c r="P649"/>
  <c r="P588"/>
  <c r="P584"/>
  <c r="O556"/>
  <c r="Q552"/>
  <c r="P551"/>
  <c r="Q681"/>
  <c r="O619"/>
  <c r="O615"/>
  <c r="Q587"/>
  <c r="O583"/>
  <c r="P555"/>
  <c r="P620"/>
  <c r="P616"/>
  <c r="P583"/>
  <c r="Q557"/>
  <c r="O683"/>
  <c r="Q679"/>
  <c r="O653"/>
  <c r="O649"/>
  <c r="Q620"/>
  <c r="Q616"/>
  <c r="O590"/>
  <c r="O586"/>
  <c r="P654"/>
  <c r="P650"/>
  <c r="P589"/>
  <c r="P585"/>
  <c r="O557"/>
  <c r="O553"/>
  <c r="P553"/>
  <c r="Q551"/>
  <c r="O620"/>
  <c r="O616"/>
  <c r="Q588"/>
  <c r="Q584"/>
  <c r="P556"/>
  <c r="P621"/>
  <c r="P617"/>
  <c r="Q558"/>
  <c r="Q554"/>
  <c r="O684"/>
  <c r="O680"/>
  <c r="O654"/>
  <c r="O650"/>
  <c r="Q621"/>
  <c r="Q617"/>
  <c r="O587"/>
  <c r="Q583"/>
  <c r="P651"/>
  <c r="R651" s="1"/>
  <c r="S651" s="1"/>
  <c r="P647"/>
  <c r="P590"/>
  <c r="P586"/>
  <c r="O558"/>
  <c r="O554"/>
  <c r="P552"/>
  <c r="O552"/>
  <c r="P682"/>
  <c r="P681"/>
  <c r="P686"/>
  <c r="Q711"/>
  <c r="P712"/>
  <c r="P716"/>
  <c r="Q717"/>
  <c r="O718"/>
  <c r="O743"/>
  <c r="O744"/>
  <c r="O745"/>
  <c r="O746"/>
  <c r="P748"/>
  <c r="Q749"/>
  <c r="O750"/>
  <c r="P775"/>
  <c r="P776"/>
  <c r="P777"/>
  <c r="Q778"/>
  <c r="O779"/>
  <c r="P781"/>
  <c r="Q782"/>
  <c r="O809"/>
  <c r="O810"/>
  <c r="O811"/>
  <c r="P813"/>
  <c r="Q814"/>
  <c r="Q839"/>
  <c r="Q840"/>
  <c r="Q841"/>
  <c r="Q842"/>
  <c r="O843"/>
  <c r="P845"/>
  <c r="Q846"/>
  <c r="O871"/>
  <c r="O872"/>
  <c r="O873"/>
  <c r="P875"/>
  <c r="Q876"/>
  <c r="O877"/>
  <c r="P903"/>
  <c r="P904"/>
  <c r="Q905"/>
  <c r="O906"/>
  <c r="P908"/>
  <c r="Q909"/>
  <c r="O910"/>
  <c r="O935"/>
  <c r="O936"/>
  <c r="O937"/>
  <c r="O938"/>
  <c r="P940"/>
  <c r="Q941"/>
  <c r="O942"/>
  <c r="P970"/>
  <c r="Q971"/>
  <c r="O972"/>
  <c r="P974"/>
  <c r="P999"/>
  <c r="P1000"/>
  <c r="Q1001"/>
  <c r="O1002"/>
  <c r="P1004"/>
  <c r="Q1005"/>
  <c r="O1006"/>
  <c r="O1031"/>
  <c r="P1033"/>
  <c r="Q1034"/>
  <c r="O1035"/>
  <c r="P1037"/>
  <c r="Q1038"/>
  <c r="Q680"/>
  <c r="Q683"/>
  <c r="Q685"/>
  <c r="P711"/>
  <c r="O713"/>
  <c r="O714"/>
  <c r="O715"/>
  <c r="P717"/>
  <c r="Q718"/>
  <c r="Q743"/>
  <c r="Q744"/>
  <c r="Q745"/>
  <c r="Q746"/>
  <c r="O747"/>
  <c r="P749"/>
  <c r="Q750"/>
  <c r="P778"/>
  <c r="Q779"/>
  <c r="O780"/>
  <c r="P782"/>
  <c r="O807"/>
  <c r="O808"/>
  <c r="Q809"/>
  <c r="Q810"/>
  <c r="Q811"/>
  <c r="O812"/>
  <c r="P814"/>
  <c r="P839"/>
  <c r="P840"/>
  <c r="P841"/>
  <c r="P842"/>
  <c r="Q843"/>
  <c r="O844"/>
  <c r="P846"/>
  <c r="Q871"/>
  <c r="Q872"/>
  <c r="Q873"/>
  <c r="O874"/>
  <c r="P876"/>
  <c r="Q877"/>
  <c r="O878"/>
  <c r="P905"/>
  <c r="Q906"/>
  <c r="O907"/>
  <c r="P909"/>
  <c r="Q910"/>
  <c r="Q935"/>
  <c r="Q936"/>
  <c r="Q937"/>
  <c r="Q938"/>
  <c r="O939"/>
  <c r="P941"/>
  <c r="Q942"/>
  <c r="O967"/>
  <c r="O968"/>
  <c r="O969"/>
  <c r="P971"/>
  <c r="Q972"/>
  <c r="O973"/>
  <c r="P1001"/>
  <c r="Q1002"/>
  <c r="O1003"/>
  <c r="P1005"/>
  <c r="Q1006"/>
  <c r="Q1031"/>
  <c r="O1032"/>
  <c r="P1034"/>
  <c r="Q1035"/>
  <c r="O1036"/>
  <c r="P1038"/>
  <c r="P683"/>
  <c r="Q684"/>
  <c r="O712"/>
  <c r="Q713"/>
  <c r="Q714"/>
  <c r="Q715"/>
  <c r="O716"/>
  <c r="P718"/>
  <c r="P743"/>
  <c r="P744"/>
  <c r="P745"/>
  <c r="P746"/>
  <c r="Q747"/>
  <c r="O748"/>
  <c r="P750"/>
  <c r="O775"/>
  <c r="O776"/>
  <c r="O777"/>
  <c r="P779"/>
  <c r="Q780"/>
  <c r="O781"/>
  <c r="Q807"/>
  <c r="Q808"/>
  <c r="P809"/>
  <c r="P810"/>
  <c r="P811"/>
  <c r="Q812"/>
  <c r="O813"/>
  <c r="P843"/>
  <c r="Q844"/>
  <c r="O845"/>
  <c r="P871"/>
  <c r="P872"/>
  <c r="P873"/>
  <c r="Q874"/>
  <c r="O875"/>
  <c r="P877"/>
  <c r="Q878"/>
  <c r="O903"/>
  <c r="O904"/>
  <c r="P906"/>
  <c r="Q907"/>
  <c r="O908"/>
  <c r="P910"/>
  <c r="P935"/>
  <c r="P936"/>
  <c r="P937"/>
  <c r="P938"/>
  <c r="Q939"/>
  <c r="O940"/>
  <c r="P942"/>
  <c r="Q967"/>
  <c r="Q968"/>
  <c r="Q969"/>
  <c r="O970"/>
  <c r="P972"/>
  <c r="Q973"/>
  <c r="O974"/>
  <c r="O999"/>
  <c r="O1000"/>
  <c r="P1002"/>
  <c r="Q1003"/>
  <c r="O1004"/>
  <c r="P1006"/>
  <c r="P1031"/>
  <c r="Q1032"/>
  <c r="O1033"/>
  <c r="P1035"/>
  <c r="Q1036"/>
  <c r="O1037"/>
  <c r="Q682"/>
  <c r="P684"/>
  <c r="Q686"/>
  <c r="O711"/>
  <c r="Q712"/>
  <c r="P713"/>
  <c r="P714"/>
  <c r="R714" s="1"/>
  <c r="P715"/>
  <c r="Q716"/>
  <c r="O717"/>
  <c r="P747"/>
  <c r="Q748"/>
  <c r="O749"/>
  <c r="Q775"/>
  <c r="Q776"/>
  <c r="Q777"/>
  <c r="O778"/>
  <c r="P780"/>
  <c r="Q781"/>
  <c r="O782"/>
  <c r="P807"/>
  <c r="P808"/>
  <c r="P812"/>
  <c r="Q813"/>
  <c r="O814"/>
  <c r="O839"/>
  <c r="O840"/>
  <c r="O841"/>
  <c r="O842"/>
  <c r="P844"/>
  <c r="Q845"/>
  <c r="O846"/>
  <c r="P874"/>
  <c r="Q875"/>
  <c r="O876"/>
  <c r="P878"/>
  <c r="Q903"/>
  <c r="Q904"/>
  <c r="O905"/>
  <c r="P907"/>
  <c r="Q908"/>
  <c r="O909"/>
  <c r="P939"/>
  <c r="Q940"/>
  <c r="O941"/>
  <c r="P967"/>
  <c r="P968"/>
  <c r="P969"/>
  <c r="Q970"/>
  <c r="O971"/>
  <c r="P973"/>
  <c r="Q974"/>
  <c r="Q999"/>
  <c r="Q1000"/>
  <c r="O1001"/>
  <c r="P1003"/>
  <c r="Q1004"/>
  <c r="O1005"/>
  <c r="P1032"/>
  <c r="Q1033"/>
  <c r="O1034"/>
  <c r="P1036"/>
  <c r="Q1037"/>
  <c r="O1038"/>
  <c r="R620"/>
  <c r="S620" s="1"/>
  <c r="R616"/>
  <c r="C149" i="29"/>
  <c r="C150"/>
  <c r="E38"/>
  <c r="E118" s="1"/>
  <c r="E119" s="1"/>
  <c r="J543" i="49" s="1"/>
  <c r="C145" i="29"/>
  <c r="C153" s="1"/>
  <c r="C146"/>
  <c r="E78" i="48"/>
  <c r="E63" i="29"/>
  <c r="E67"/>
  <c r="R715" i="49" l="1"/>
  <c r="S715" s="1"/>
  <c r="T715" s="1"/>
  <c r="R713"/>
  <c r="S713" s="1"/>
  <c r="T713" s="1"/>
  <c r="R585"/>
  <c r="S585" s="1"/>
  <c r="T585" s="1"/>
  <c r="R648"/>
  <c r="S648" s="1"/>
  <c r="T648" s="1"/>
  <c r="R589"/>
  <c r="R809"/>
  <c r="R556"/>
  <c r="S556" s="1"/>
  <c r="T556" s="1"/>
  <c r="R649"/>
  <c r="S649" s="1"/>
  <c r="T649" s="1"/>
  <c r="R782"/>
  <c r="S782" s="1"/>
  <c r="T782" s="1"/>
  <c r="R584"/>
  <c r="S584" s="1"/>
  <c r="T584" s="1"/>
  <c r="R778"/>
  <c r="S778" s="1"/>
  <c r="T778" s="1"/>
  <c r="R654"/>
  <c r="S654" s="1"/>
  <c r="T654" s="1"/>
  <c r="R876"/>
  <c r="S876" s="1"/>
  <c r="T876" s="1"/>
  <c r="R552"/>
  <c r="S552" s="1"/>
  <c r="T552" s="1"/>
  <c r="R590"/>
  <c r="S590" s="1"/>
  <c r="U590" s="1"/>
  <c r="V590" s="1"/>
  <c r="R844"/>
  <c r="S844" s="1"/>
  <c r="T844" s="1"/>
  <c r="R684"/>
  <c r="S684" s="1"/>
  <c r="T684" s="1"/>
  <c r="R650"/>
  <c r="S650" s="1"/>
  <c r="T650" s="1"/>
  <c r="R810"/>
  <c r="S810" s="1"/>
  <c r="T810" s="1"/>
  <c r="R588"/>
  <c r="S588" s="1"/>
  <c r="T588" s="1"/>
  <c r="R586"/>
  <c r="S586" s="1"/>
  <c r="U586" s="1"/>
  <c r="V586" s="1"/>
  <c r="R653"/>
  <c r="S653" s="1"/>
  <c r="T653" s="1"/>
  <c r="R647"/>
  <c r="S647" s="1"/>
  <c r="T647" s="1"/>
  <c r="S652"/>
  <c r="T652" s="1"/>
  <c r="S589"/>
  <c r="T589" s="1"/>
  <c r="R551"/>
  <c r="S551" s="1"/>
  <c r="T551" s="1"/>
  <c r="R812"/>
  <c r="S812" s="1"/>
  <c r="T812" s="1"/>
  <c r="R1005"/>
  <c r="S1005" s="1"/>
  <c r="R811"/>
  <c r="S811" s="1"/>
  <c r="T811" s="1"/>
  <c r="R779"/>
  <c r="S779" s="1"/>
  <c r="T779" s="1"/>
  <c r="R1001"/>
  <c r="S1001" s="1"/>
  <c r="R941"/>
  <c r="S941" s="1"/>
  <c r="R618"/>
  <c r="S618" s="1"/>
  <c r="T618" s="1"/>
  <c r="R622"/>
  <c r="S622" s="1"/>
  <c r="T622" s="1"/>
  <c r="S616"/>
  <c r="T616" s="1"/>
  <c r="R557"/>
  <c r="S557" s="1"/>
  <c r="T557" s="1"/>
  <c r="R587"/>
  <c r="S587" s="1"/>
  <c r="T587" s="1"/>
  <c r="R807"/>
  <c r="S807" s="1"/>
  <c r="T807" s="1"/>
  <c r="S714"/>
  <c r="T714" s="1"/>
  <c r="R1006"/>
  <c r="S1006" s="1"/>
  <c r="T1006" s="1"/>
  <c r="R967"/>
  <c r="S967" s="1"/>
  <c r="T967" s="1"/>
  <c r="R938"/>
  <c r="S938" s="1"/>
  <c r="T938" s="1"/>
  <c r="R871"/>
  <c r="S871" s="1"/>
  <c r="T871" s="1"/>
  <c r="R1034"/>
  <c r="S1034" s="1"/>
  <c r="R874"/>
  <c r="S874" s="1"/>
  <c r="T874" s="1"/>
  <c r="S809"/>
  <c r="T809" s="1"/>
  <c r="R744"/>
  <c r="S744" s="1"/>
  <c r="T744" s="1"/>
  <c r="R971"/>
  <c r="S971" s="1"/>
  <c r="R842"/>
  <c r="S842" s="1"/>
  <c r="T842" s="1"/>
  <c r="R814"/>
  <c r="S814" s="1"/>
  <c r="T814" s="1"/>
  <c r="R711"/>
  <c r="S711" s="1"/>
  <c r="R972"/>
  <c r="S972" s="1"/>
  <c r="T972" s="1"/>
  <c r="R942"/>
  <c r="S942" s="1"/>
  <c r="T942" s="1"/>
  <c r="R937"/>
  <c r="S937" s="1"/>
  <c r="T937" s="1"/>
  <c r="R1038"/>
  <c r="S1038" s="1"/>
  <c r="R681"/>
  <c r="S681" s="1"/>
  <c r="T681" s="1"/>
  <c r="R878"/>
  <c r="S878" s="1"/>
  <c r="R780"/>
  <c r="S780" s="1"/>
  <c r="T780" s="1"/>
  <c r="R1031"/>
  <c r="S1031" s="1"/>
  <c r="T1031" s="1"/>
  <c r="R906"/>
  <c r="S906" s="1"/>
  <c r="T906" s="1"/>
  <c r="R843"/>
  <c r="S843" s="1"/>
  <c r="T843" s="1"/>
  <c r="R743"/>
  <c r="S743" s="1"/>
  <c r="T743" s="1"/>
  <c r="R846"/>
  <c r="S846" s="1"/>
  <c r="T846" s="1"/>
  <c r="R841"/>
  <c r="S841" s="1"/>
  <c r="R718"/>
  <c r="S718" s="1"/>
  <c r="T718" s="1"/>
  <c r="R905"/>
  <c r="S905" s="1"/>
  <c r="R717"/>
  <c r="S717" s="1"/>
  <c r="T717" s="1"/>
  <c r="R553"/>
  <c r="S553" s="1"/>
  <c r="T553" s="1"/>
  <c r="R1003"/>
  <c r="S1003" s="1"/>
  <c r="T1003" s="1"/>
  <c r="R973"/>
  <c r="S973" s="1"/>
  <c r="T973" s="1"/>
  <c r="R968"/>
  <c r="S968" s="1"/>
  <c r="T968" s="1"/>
  <c r="R935"/>
  <c r="S935" s="1"/>
  <c r="T935" s="1"/>
  <c r="R877"/>
  <c r="S877" s="1"/>
  <c r="T877" s="1"/>
  <c r="R872"/>
  <c r="S872" s="1"/>
  <c r="T872" s="1"/>
  <c r="R685"/>
  <c r="S685" s="1"/>
  <c r="T685" s="1"/>
  <c r="R747"/>
  <c r="S747" s="1"/>
  <c r="T747" s="1"/>
  <c r="R750"/>
  <c r="S750" s="1"/>
  <c r="R745"/>
  <c r="S745" s="1"/>
  <c r="T745" s="1"/>
  <c r="R683"/>
  <c r="S683" s="1"/>
  <c r="T683" s="1"/>
  <c r="R839"/>
  <c r="S839" s="1"/>
  <c r="R1036"/>
  <c r="S1036" s="1"/>
  <c r="T1036" s="1"/>
  <c r="R1002"/>
  <c r="S1002" s="1"/>
  <c r="T1002" s="1"/>
  <c r="R749"/>
  <c r="S749" s="1"/>
  <c r="T749" s="1"/>
  <c r="R555"/>
  <c r="S555" s="1"/>
  <c r="T555" s="1"/>
  <c r="R679"/>
  <c r="S679" s="1"/>
  <c r="T679" s="1"/>
  <c r="R936"/>
  <c r="S936" s="1"/>
  <c r="T936" s="1"/>
  <c r="R873"/>
  <c r="S873" s="1"/>
  <c r="T873" s="1"/>
  <c r="R1035"/>
  <c r="S1035" s="1"/>
  <c r="T1035" s="1"/>
  <c r="R910"/>
  <c r="S910" s="1"/>
  <c r="T910" s="1"/>
  <c r="R746"/>
  <c r="S746" s="1"/>
  <c r="T746" s="1"/>
  <c r="R840"/>
  <c r="S840" s="1"/>
  <c r="T840" s="1"/>
  <c r="R680"/>
  <c r="S680" s="1"/>
  <c r="T680" s="1"/>
  <c r="R909"/>
  <c r="S909" s="1"/>
  <c r="T909" s="1"/>
  <c r="R969"/>
  <c r="S969" s="1"/>
  <c r="T969" s="1"/>
  <c r="R939"/>
  <c r="S939" s="1"/>
  <c r="T939" s="1"/>
  <c r="R907"/>
  <c r="S907" s="1"/>
  <c r="T907" s="1"/>
  <c r="R1032"/>
  <c r="S1032" s="1"/>
  <c r="T1032" s="1"/>
  <c r="R617"/>
  <c r="S617" s="1"/>
  <c r="T617" s="1"/>
  <c r="R583"/>
  <c r="S583" s="1"/>
  <c r="T583" s="1"/>
  <c r="R619"/>
  <c r="S619" s="1"/>
  <c r="T619" s="1"/>
  <c r="R615"/>
  <c r="S615" s="1"/>
  <c r="T615" s="1"/>
  <c r="R558"/>
  <c r="S558" s="1"/>
  <c r="T558" s="1"/>
  <c r="R621"/>
  <c r="S621" s="1"/>
  <c r="T621" s="1"/>
  <c r="R554"/>
  <c r="S554" s="1"/>
  <c r="T554" s="1"/>
  <c r="R777"/>
  <c r="S777" s="1"/>
  <c r="T777" s="1"/>
  <c r="R748"/>
  <c r="S748" s="1"/>
  <c r="T748" s="1"/>
  <c r="R808"/>
  <c r="S808" s="1"/>
  <c r="T808" s="1"/>
  <c r="R940"/>
  <c r="S940" s="1"/>
  <c r="R908"/>
  <c r="S908" s="1"/>
  <c r="T908" s="1"/>
  <c r="R903"/>
  <c r="S903" s="1"/>
  <c r="R712"/>
  <c r="S712" s="1"/>
  <c r="T712" s="1"/>
  <c r="R686"/>
  <c r="S686" s="1"/>
  <c r="T686" s="1"/>
  <c r="R1037"/>
  <c r="S1037" s="1"/>
  <c r="R1004"/>
  <c r="S1004" s="1"/>
  <c r="R999"/>
  <c r="S999" s="1"/>
  <c r="R974"/>
  <c r="S974" s="1"/>
  <c r="R904"/>
  <c r="S904" s="1"/>
  <c r="T904" s="1"/>
  <c r="R845"/>
  <c r="S845" s="1"/>
  <c r="R775"/>
  <c r="S775" s="1"/>
  <c r="R716"/>
  <c r="S716" s="1"/>
  <c r="T716" s="1"/>
  <c r="R1033"/>
  <c r="S1033" s="1"/>
  <c r="R1000"/>
  <c r="S1000" s="1"/>
  <c r="R970"/>
  <c r="S970" s="1"/>
  <c r="R875"/>
  <c r="S875" s="1"/>
  <c r="T875" s="1"/>
  <c r="R813"/>
  <c r="S813" s="1"/>
  <c r="R781"/>
  <c r="S781" s="1"/>
  <c r="R776"/>
  <c r="S776" s="1"/>
  <c r="T776" s="1"/>
  <c r="R682"/>
  <c r="S682" s="1"/>
  <c r="T682" s="1"/>
  <c r="U651"/>
  <c r="V651" s="1"/>
  <c r="T651"/>
  <c r="T620"/>
  <c r="U620"/>
  <c r="V620" s="1"/>
  <c r="E69" i="29"/>
  <c r="E74"/>
  <c r="E76"/>
  <c r="U585" i="49" l="1"/>
  <c r="V585" s="1"/>
  <c r="U584"/>
  <c r="V584" s="1"/>
  <c r="U552"/>
  <c r="V552" s="1"/>
  <c r="U618"/>
  <c r="V618" s="1"/>
  <c r="T590"/>
  <c r="T586"/>
  <c r="U556"/>
  <c r="V556" s="1"/>
  <c r="U616"/>
  <c r="V616" s="1"/>
  <c r="U684"/>
  <c r="V684" s="1"/>
  <c r="U652"/>
  <c r="V652" s="1"/>
  <c r="U588"/>
  <c r="V588" s="1"/>
  <c r="U650"/>
  <c r="V650" s="1"/>
  <c r="U647"/>
  <c r="V647" s="1"/>
  <c r="U812"/>
  <c r="V812" s="1"/>
  <c r="U653"/>
  <c r="V653" s="1"/>
  <c r="U589"/>
  <c r="V589" s="1"/>
  <c r="U779"/>
  <c r="V779" s="1"/>
  <c r="U685"/>
  <c r="V685" s="1"/>
  <c r="U780"/>
  <c r="V780" s="1"/>
  <c r="U973"/>
  <c r="V973" s="1"/>
  <c r="U649"/>
  <c r="V649" s="1"/>
  <c r="U551"/>
  <c r="V551" s="1"/>
  <c r="U844"/>
  <c r="V844" s="1"/>
  <c r="U871"/>
  <c r="V871" s="1"/>
  <c r="U937"/>
  <c r="V937" s="1"/>
  <c r="U809"/>
  <c r="V809" s="1"/>
  <c r="U810"/>
  <c r="V810" s="1"/>
  <c r="U808"/>
  <c r="V808" s="1"/>
  <c r="U553"/>
  <c r="V553" s="1"/>
  <c r="U713"/>
  <c r="V713" s="1"/>
  <c r="U906"/>
  <c r="V906" s="1"/>
  <c r="U714"/>
  <c r="V714" s="1"/>
  <c r="U843"/>
  <c r="V843" s="1"/>
  <c r="U648"/>
  <c r="V648" s="1"/>
  <c r="U938"/>
  <c r="V938" s="1"/>
  <c r="U583"/>
  <c r="V583" s="1"/>
  <c r="U876"/>
  <c r="V876" s="1"/>
  <c r="U718"/>
  <c r="V718" s="1"/>
  <c r="U1006"/>
  <c r="V1006" s="1"/>
  <c r="U807"/>
  <c r="V807" s="1"/>
  <c r="U874"/>
  <c r="V874" s="1"/>
  <c r="U680"/>
  <c r="V680" s="1"/>
  <c r="U907"/>
  <c r="V907" s="1"/>
  <c r="U942"/>
  <c r="V942" s="1"/>
  <c r="U910"/>
  <c r="V910" s="1"/>
  <c r="U746"/>
  <c r="V746" s="1"/>
  <c r="U621"/>
  <c r="V621" s="1"/>
  <c r="U744"/>
  <c r="V744" s="1"/>
  <c r="U587"/>
  <c r="V587" s="1"/>
  <c r="U743"/>
  <c r="V743" s="1"/>
  <c r="U683"/>
  <c r="V683" s="1"/>
  <c r="U967"/>
  <c r="V967" s="1"/>
  <c r="U811"/>
  <c r="V811" s="1"/>
  <c r="T878"/>
  <c r="U878"/>
  <c r="V878" s="1"/>
  <c r="U748"/>
  <c r="V748" s="1"/>
  <c r="U873"/>
  <c r="V873" s="1"/>
  <c r="U968"/>
  <c r="V968" s="1"/>
  <c r="U712"/>
  <c r="V712" s="1"/>
  <c r="U557"/>
  <c r="V557" s="1"/>
  <c r="U972"/>
  <c r="V972" s="1"/>
  <c r="U939"/>
  <c r="V939" s="1"/>
  <c r="U777"/>
  <c r="V777" s="1"/>
  <c r="U679"/>
  <c r="V679" s="1"/>
  <c r="U877"/>
  <c r="V877" s="1"/>
  <c r="U1002"/>
  <c r="V1002" s="1"/>
  <c r="U1031"/>
  <c r="V1031" s="1"/>
  <c r="U619"/>
  <c r="V619" s="1"/>
  <c r="U681"/>
  <c r="V681" s="1"/>
  <c r="U716"/>
  <c r="V716" s="1"/>
  <c r="U715"/>
  <c r="V715" s="1"/>
  <c r="U1003"/>
  <c r="V1003" s="1"/>
  <c r="U1036"/>
  <c r="V1036" s="1"/>
  <c r="U747"/>
  <c r="V747" s="1"/>
  <c r="U842"/>
  <c r="V842" s="1"/>
  <c r="U969"/>
  <c r="V969" s="1"/>
  <c r="U1032"/>
  <c r="V1032" s="1"/>
  <c r="U936"/>
  <c r="V936" s="1"/>
  <c r="U935"/>
  <c r="V935" s="1"/>
  <c r="U682"/>
  <c r="V682" s="1"/>
  <c r="U686"/>
  <c r="V686" s="1"/>
  <c r="U558"/>
  <c r="V558" s="1"/>
  <c r="U617"/>
  <c r="V617" s="1"/>
  <c r="T750"/>
  <c r="U750"/>
  <c r="V750" s="1"/>
  <c r="U908"/>
  <c r="V908" s="1"/>
  <c r="U872"/>
  <c r="V872" s="1"/>
  <c r="U814"/>
  <c r="V814" s="1"/>
  <c r="U654"/>
  <c r="V654" s="1"/>
  <c r="U622"/>
  <c r="V622" s="1"/>
  <c r="U554"/>
  <c r="V554" s="1"/>
  <c r="U555"/>
  <c r="V555" s="1"/>
  <c r="U904"/>
  <c r="V904" s="1"/>
  <c r="U745"/>
  <c r="V745" s="1"/>
  <c r="U615"/>
  <c r="V615" s="1"/>
  <c r="U1035"/>
  <c r="V1035" s="1"/>
  <c r="U875"/>
  <c r="V875" s="1"/>
  <c r="U749"/>
  <c r="V749" s="1"/>
  <c r="U776"/>
  <c r="V776" s="1"/>
  <c r="U717"/>
  <c r="V717" s="1"/>
  <c r="U782"/>
  <c r="V782" s="1"/>
  <c r="U846"/>
  <c r="V846" s="1"/>
  <c r="U778"/>
  <c r="V778" s="1"/>
  <c r="U840"/>
  <c r="V840" s="1"/>
  <c r="U909"/>
  <c r="V909" s="1"/>
  <c r="T974"/>
  <c r="U974"/>
  <c r="V974" s="1"/>
  <c r="T711"/>
  <c r="U711"/>
  <c r="V711" s="1"/>
  <c r="T905"/>
  <c r="U905"/>
  <c r="V905" s="1"/>
  <c r="T903"/>
  <c r="U903"/>
  <c r="V903" s="1"/>
  <c r="T813"/>
  <c r="U813"/>
  <c r="V813" s="1"/>
  <c r="T1033"/>
  <c r="U1033"/>
  <c r="V1033" s="1"/>
  <c r="T1037"/>
  <c r="U1037"/>
  <c r="V1037" s="1"/>
  <c r="T971"/>
  <c r="U971"/>
  <c r="V971" s="1"/>
  <c r="T1038"/>
  <c r="U1038"/>
  <c r="V1038" s="1"/>
  <c r="T781"/>
  <c r="U781"/>
  <c r="V781" s="1"/>
  <c r="T1000"/>
  <c r="U1000"/>
  <c r="V1000" s="1"/>
  <c r="T1005"/>
  <c r="U1005"/>
  <c r="V1005" s="1"/>
  <c r="T845"/>
  <c r="U845"/>
  <c r="V845" s="1"/>
  <c r="T1004"/>
  <c r="U1004"/>
  <c r="V1004" s="1"/>
  <c r="T941"/>
  <c r="U941"/>
  <c r="V941" s="1"/>
  <c r="T940"/>
  <c r="U940"/>
  <c r="V940" s="1"/>
  <c r="T1034"/>
  <c r="U1034"/>
  <c r="V1034" s="1"/>
  <c r="T970"/>
  <c r="U970"/>
  <c r="V970" s="1"/>
  <c r="T839"/>
  <c r="U839"/>
  <c r="V839" s="1"/>
  <c r="T775"/>
  <c r="U775"/>
  <c r="V775" s="1"/>
  <c r="T999"/>
  <c r="U999"/>
  <c r="V999" s="1"/>
  <c r="T841"/>
  <c r="U841"/>
  <c r="V841" s="1"/>
  <c r="T1001"/>
  <c r="U1001"/>
  <c r="V1001" s="1"/>
  <c r="E77" i="29"/>
  <c r="E78" s="1"/>
  <c r="E127"/>
  <c r="E129" l="1"/>
  <c r="E134"/>
  <c r="E136"/>
  <c r="E137" l="1"/>
  <c r="E138" s="1"/>
  <c r="J544" i="49"/>
  <c r="D31" i="29"/>
  <c r="D37" l="1"/>
  <c r="D38" l="1"/>
  <c r="D118" s="1"/>
  <c r="D119" s="1"/>
  <c r="J10" i="49" s="1"/>
  <c r="H4" i="29"/>
  <c r="B32"/>
  <c r="D63" l="1"/>
  <c r="B128"/>
  <c r="B68"/>
  <c r="D32"/>
  <c r="D67"/>
  <c r="D71" l="1"/>
  <c r="B70"/>
  <c r="B79" s="1"/>
  <c r="B113" s="1"/>
  <c r="B130"/>
  <c r="B139" s="1"/>
  <c r="B173" s="1"/>
  <c r="B174" s="1"/>
  <c r="B16" i="48" s="1"/>
  <c r="D69" i="29"/>
  <c r="D74"/>
  <c r="D76"/>
  <c r="D68"/>
  <c r="D70" l="1"/>
  <c r="D79" s="1"/>
  <c r="D113" s="1"/>
  <c r="D114" s="1"/>
  <c r="J49" i="49" s="1"/>
  <c r="K49" s="1"/>
  <c r="B114" i="29"/>
  <c r="B3" i="48" s="1"/>
  <c r="B115" i="29"/>
  <c r="B29" i="48" s="1"/>
  <c r="K29"/>
  <c r="F24"/>
  <c r="I27"/>
  <c r="G26"/>
  <c r="I26"/>
  <c r="H24"/>
  <c r="M28"/>
  <c r="F22"/>
  <c r="I25"/>
  <c r="L29"/>
  <c r="F25"/>
  <c r="L28"/>
  <c r="G27"/>
  <c r="H27"/>
  <c r="G22"/>
  <c r="H26"/>
  <c r="G24"/>
  <c r="K26"/>
  <c r="G29"/>
  <c r="H29"/>
  <c r="K27"/>
  <c r="F21"/>
  <c r="I28"/>
  <c r="G23"/>
  <c r="H23"/>
  <c r="J29"/>
  <c r="F27"/>
  <c r="K28"/>
  <c r="J26"/>
  <c r="G25"/>
  <c r="H25"/>
  <c r="J27"/>
  <c r="G28"/>
  <c r="H28"/>
  <c r="N29"/>
  <c r="N31" s="1"/>
  <c r="F28"/>
  <c r="J25"/>
  <c r="F23"/>
  <c r="J28"/>
  <c r="I24"/>
  <c r="L27"/>
  <c r="F26"/>
  <c r="I29"/>
  <c r="M29"/>
  <c r="F29"/>
  <c r="D77" i="29"/>
  <c r="D78" s="1"/>
  <c r="D127"/>
  <c r="J177" i="49" l="1"/>
  <c r="K177" s="1"/>
  <c r="D131" i="29"/>
  <c r="J432" i="49"/>
  <c r="K432" s="1"/>
  <c r="J351"/>
  <c r="K351" s="1"/>
  <c r="J499"/>
  <c r="K499" s="1"/>
  <c r="J246"/>
  <c r="K246" s="1"/>
  <c r="J263"/>
  <c r="K263" s="1"/>
  <c r="J382"/>
  <c r="K382" s="1"/>
  <c r="J481"/>
  <c r="K481" s="1"/>
  <c r="J303"/>
  <c r="K303" s="1"/>
  <c r="J461"/>
  <c r="K461" s="1"/>
  <c r="J225"/>
  <c r="K225" s="1"/>
  <c r="J372"/>
  <c r="K372" s="1"/>
  <c r="J376"/>
  <c r="K376" s="1"/>
  <c r="J528"/>
  <c r="K528" s="1"/>
  <c r="J281"/>
  <c r="K281" s="1"/>
  <c r="J390"/>
  <c r="K390" s="1"/>
  <c r="J384"/>
  <c r="K384" s="1"/>
  <c r="J289"/>
  <c r="K289" s="1"/>
  <c r="J353"/>
  <c r="K353" s="1"/>
  <c r="J487"/>
  <c r="K487" s="1"/>
  <c r="J523"/>
  <c r="K523" s="1"/>
  <c r="J247"/>
  <c r="K247" s="1"/>
  <c r="J160"/>
  <c r="K160" s="1"/>
  <c r="J383"/>
  <c r="K383" s="1"/>
  <c r="J97"/>
  <c r="K97" s="1"/>
  <c r="J319"/>
  <c r="K319" s="1"/>
  <c r="J105"/>
  <c r="K105" s="1"/>
  <c r="J261"/>
  <c r="K261" s="1"/>
  <c r="J511"/>
  <c r="K511" s="1"/>
  <c r="J272"/>
  <c r="K272" s="1"/>
  <c r="J520"/>
  <c r="K520" s="1"/>
  <c r="J430"/>
  <c r="K430" s="1"/>
  <c r="J510"/>
  <c r="K510" s="1"/>
  <c r="J397"/>
  <c r="K397" s="1"/>
  <c r="J524"/>
  <c r="K524" s="1"/>
  <c r="J89"/>
  <c r="K89" s="1"/>
  <c r="J253"/>
  <c r="K253" s="1"/>
  <c r="J417"/>
  <c r="K417" s="1"/>
  <c r="J200"/>
  <c r="K200" s="1"/>
  <c r="J264"/>
  <c r="K264" s="1"/>
  <c r="J457"/>
  <c r="K457" s="1"/>
  <c r="J153"/>
  <c r="K153" s="1"/>
  <c r="J222"/>
  <c r="K222" s="1"/>
  <c r="J468"/>
  <c r="K468" s="1"/>
  <c r="J465"/>
  <c r="K465" s="1"/>
  <c r="J328"/>
  <c r="K328" s="1"/>
  <c r="J437"/>
  <c r="K437" s="1"/>
  <c r="J280"/>
  <c r="K280" s="1"/>
  <c r="J495"/>
  <c r="K495" s="1"/>
  <c r="J438"/>
  <c r="K438" s="1"/>
  <c r="J137"/>
  <c r="K137" s="1"/>
  <c r="J488"/>
  <c r="K488" s="1"/>
  <c r="J207"/>
  <c r="K207" s="1"/>
  <c r="J120"/>
  <c r="K120" s="1"/>
  <c r="J526"/>
  <c r="K526" s="1"/>
  <c r="J262"/>
  <c r="K262" s="1"/>
  <c r="J257"/>
  <c r="K257" s="1"/>
  <c r="J448"/>
  <c r="K448" s="1"/>
  <c r="J357"/>
  <c r="K357" s="1"/>
  <c r="J360"/>
  <c r="K360" s="1"/>
  <c r="J505"/>
  <c r="K505" s="1"/>
  <c r="J329"/>
  <c r="K329" s="1"/>
  <c r="J377"/>
  <c r="K377" s="1"/>
  <c r="J352"/>
  <c r="K352" s="1"/>
  <c r="J453"/>
  <c r="K453" s="1"/>
  <c r="J502"/>
  <c r="K502" s="1"/>
  <c r="J439"/>
  <c r="K439" s="1"/>
  <c r="J388"/>
  <c r="K388" s="1"/>
  <c r="J501"/>
  <c r="K501" s="1"/>
  <c r="J215"/>
  <c r="K215" s="1"/>
  <c r="J214"/>
  <c r="K214" s="1"/>
  <c r="J103"/>
  <c r="K103" s="1"/>
  <c r="J233"/>
  <c r="K233" s="1"/>
  <c r="J128"/>
  <c r="K128" s="1"/>
  <c r="J345"/>
  <c r="K345" s="1"/>
  <c r="J423"/>
  <c r="K423" s="1"/>
  <c r="J374"/>
  <c r="K374" s="1"/>
  <c r="J342"/>
  <c r="K342" s="1"/>
  <c r="J504"/>
  <c r="K504" s="1"/>
  <c r="J143"/>
  <c r="K143" s="1"/>
  <c r="J126"/>
  <c r="K126" s="1"/>
  <c r="J65"/>
  <c r="K65" s="1"/>
  <c r="J193"/>
  <c r="K193" s="1"/>
  <c r="J72"/>
  <c r="K72" s="1"/>
  <c r="J232"/>
  <c r="K232" s="1"/>
  <c r="J489"/>
  <c r="K489" s="1"/>
  <c r="J518"/>
  <c r="K518" s="1"/>
  <c r="J464"/>
  <c r="K464" s="1"/>
  <c r="J425"/>
  <c r="K425" s="1"/>
  <c r="J529"/>
  <c r="K529" s="1"/>
  <c r="J231"/>
  <c r="K231" s="1"/>
  <c r="J230"/>
  <c r="K230" s="1"/>
  <c r="J121"/>
  <c r="K121" s="1"/>
  <c r="J245"/>
  <c r="K245" s="1"/>
  <c r="J176"/>
  <c r="K176" s="1"/>
  <c r="J255"/>
  <c r="K255" s="1"/>
  <c r="J407"/>
  <c r="K407" s="1"/>
  <c r="J456"/>
  <c r="K456" s="1"/>
  <c r="J56"/>
  <c r="K56" s="1"/>
  <c r="J519"/>
  <c r="K519" s="1"/>
  <c r="J441"/>
  <c r="K441" s="1"/>
  <c r="J470"/>
  <c r="K470" s="1"/>
  <c r="J400"/>
  <c r="K400" s="1"/>
  <c r="J406"/>
  <c r="K406" s="1"/>
  <c r="J431"/>
  <c r="K431" s="1"/>
  <c r="J473"/>
  <c r="K473" s="1"/>
  <c r="J424"/>
  <c r="K424" s="1"/>
  <c r="J344"/>
  <c r="K344" s="1"/>
  <c r="J415"/>
  <c r="K415" s="1"/>
  <c r="J335"/>
  <c r="K335" s="1"/>
  <c r="J508"/>
  <c r="K508" s="1"/>
  <c r="J380"/>
  <c r="K380" s="1"/>
  <c r="J479"/>
  <c r="K479" s="1"/>
  <c r="J295"/>
  <c r="K295" s="1"/>
  <c r="J391"/>
  <c r="K391" s="1"/>
  <c r="J477"/>
  <c r="K477" s="1"/>
  <c r="J287"/>
  <c r="K287" s="1"/>
  <c r="J398"/>
  <c r="K398" s="1"/>
  <c r="J512"/>
  <c r="K512" s="1"/>
  <c r="J349"/>
  <c r="K349" s="1"/>
  <c r="J449"/>
  <c r="K449" s="1"/>
  <c r="J321"/>
  <c r="K321" s="1"/>
  <c r="J445"/>
  <c r="K445" s="1"/>
  <c r="J366"/>
  <c r="K366" s="1"/>
  <c r="J447"/>
  <c r="K447" s="1"/>
  <c r="J389"/>
  <c r="K389" s="1"/>
  <c r="J358"/>
  <c r="K358" s="1"/>
  <c r="J507"/>
  <c r="K507" s="1"/>
  <c r="J185"/>
  <c r="K185" s="1"/>
  <c r="J134"/>
  <c r="K134" s="1"/>
  <c r="J73"/>
  <c r="K73" s="1"/>
  <c r="J199"/>
  <c r="K199" s="1"/>
  <c r="J80"/>
  <c r="K80" s="1"/>
  <c r="J240"/>
  <c r="K240" s="1"/>
  <c r="J350"/>
  <c r="K350" s="1"/>
  <c r="J313"/>
  <c r="K313" s="1"/>
  <c r="J273"/>
  <c r="K273" s="1"/>
  <c r="J463"/>
  <c r="K463" s="1"/>
  <c r="J111"/>
  <c r="K111" s="1"/>
  <c r="J25"/>
  <c r="K25" s="1"/>
  <c r="J270"/>
  <c r="K270" s="1"/>
  <c r="J161"/>
  <c r="K161" s="1"/>
  <c r="J265"/>
  <c r="K265" s="1"/>
  <c r="J192"/>
  <c r="K192" s="1"/>
  <c r="J401"/>
  <c r="K401" s="1"/>
  <c r="J476"/>
  <c r="K476" s="1"/>
  <c r="J408"/>
  <c r="K408" s="1"/>
  <c r="J373"/>
  <c r="K373" s="1"/>
  <c r="J525"/>
  <c r="K525" s="1"/>
  <c r="J201"/>
  <c r="K201" s="1"/>
  <c r="J184"/>
  <c r="K184" s="1"/>
  <c r="J87"/>
  <c r="K87" s="1"/>
  <c r="J217"/>
  <c r="K217" s="1"/>
  <c r="J144"/>
  <c r="K144" s="1"/>
  <c r="J95"/>
  <c r="K95" s="1"/>
  <c r="J446"/>
  <c r="K446" s="1"/>
  <c r="J385"/>
  <c r="K385" s="1"/>
  <c r="J104"/>
  <c r="K104" s="1"/>
  <c r="J361"/>
  <c r="K361" s="1"/>
  <c r="J365"/>
  <c r="K365" s="1"/>
  <c r="J513"/>
  <c r="K513" s="1"/>
  <c r="J297"/>
  <c r="K297" s="1"/>
  <c r="J326"/>
  <c r="K326" s="1"/>
  <c r="J494"/>
  <c r="K494" s="1"/>
  <c r="J527"/>
  <c r="K527" s="1"/>
  <c r="J472"/>
  <c r="K472" s="1"/>
  <c r="J341"/>
  <c r="K341" s="1"/>
  <c r="J500"/>
  <c r="K500" s="1"/>
  <c r="J336"/>
  <c r="K336" s="1"/>
  <c r="J497"/>
  <c r="K497" s="1"/>
  <c r="J440"/>
  <c r="K440" s="1"/>
  <c r="J311"/>
  <c r="K311" s="1"/>
  <c r="J399"/>
  <c r="K399" s="1"/>
  <c r="J485"/>
  <c r="K485" s="1"/>
  <c r="J310"/>
  <c r="K310" s="1"/>
  <c r="J305"/>
  <c r="K305" s="1"/>
  <c r="J396"/>
  <c r="K396" s="1"/>
  <c r="J480"/>
  <c r="K480" s="1"/>
  <c r="J304"/>
  <c r="K304" s="1"/>
  <c r="J409"/>
  <c r="K409" s="1"/>
  <c r="J515"/>
  <c r="K515" s="1"/>
  <c r="J359"/>
  <c r="K359" s="1"/>
  <c r="J455"/>
  <c r="K455" s="1"/>
  <c r="J327"/>
  <c r="K327" s="1"/>
  <c r="J369"/>
  <c r="K369" s="1"/>
  <c r="J462"/>
  <c r="K462" s="1"/>
  <c r="J496"/>
  <c r="K496" s="1"/>
  <c r="J381"/>
  <c r="K381" s="1"/>
  <c r="J493"/>
  <c r="K493" s="1"/>
  <c r="J318"/>
  <c r="K318" s="1"/>
  <c r="J422"/>
  <c r="K422" s="1"/>
  <c r="J279"/>
  <c r="K279" s="1"/>
  <c r="J416"/>
  <c r="K416" s="1"/>
  <c r="J516"/>
  <c r="K516" s="1"/>
  <c r="J375"/>
  <c r="K375" s="1"/>
  <c r="J334"/>
  <c r="K334" s="1"/>
  <c r="J296"/>
  <c r="K296" s="1"/>
  <c r="J478"/>
  <c r="K478" s="1"/>
  <c r="J119"/>
  <c r="K119" s="1"/>
  <c r="J88"/>
  <c r="K88" s="1"/>
  <c r="J33"/>
  <c r="K33" s="1"/>
  <c r="J169"/>
  <c r="K169" s="1"/>
  <c r="J269"/>
  <c r="K269" s="1"/>
  <c r="J208"/>
  <c r="K208" s="1"/>
  <c r="J503"/>
  <c r="K503" s="1"/>
  <c r="J521"/>
  <c r="K521" s="1"/>
  <c r="J469"/>
  <c r="K469" s="1"/>
  <c r="J433"/>
  <c r="K433" s="1"/>
  <c r="J41"/>
  <c r="K41" s="1"/>
  <c r="J239"/>
  <c r="K239" s="1"/>
  <c r="J238"/>
  <c r="K238" s="1"/>
  <c r="J129"/>
  <c r="K129" s="1"/>
  <c r="J249"/>
  <c r="K249" s="1"/>
  <c r="J152"/>
  <c r="K152" s="1"/>
  <c r="J320"/>
  <c r="K320" s="1"/>
  <c r="J414"/>
  <c r="K414" s="1"/>
  <c r="J368"/>
  <c r="K368" s="1"/>
  <c r="J337"/>
  <c r="K337" s="1"/>
  <c r="J492"/>
  <c r="K492" s="1"/>
  <c r="J135"/>
  <c r="K135" s="1"/>
  <c r="J118"/>
  <c r="K118" s="1"/>
  <c r="J57"/>
  <c r="K57" s="1"/>
  <c r="J183"/>
  <c r="K183" s="1"/>
  <c r="J64"/>
  <c r="K64" s="1"/>
  <c r="J271"/>
  <c r="K271" s="1"/>
  <c r="J168"/>
  <c r="K168" s="1"/>
  <c r="J113"/>
  <c r="K113" s="1"/>
  <c r="J209"/>
  <c r="K209" s="1"/>
  <c r="J112"/>
  <c r="K112" s="1"/>
  <c r="J256"/>
  <c r="K256" s="1"/>
  <c r="J454"/>
  <c r="K454" s="1"/>
  <c r="J145"/>
  <c r="K145" s="1"/>
  <c r="J509"/>
  <c r="K509" s="1"/>
  <c r="J223"/>
  <c r="K223" s="1"/>
  <c r="J136"/>
  <c r="K136" s="1"/>
  <c r="J367"/>
  <c r="K367" s="1"/>
  <c r="J81"/>
  <c r="K81" s="1"/>
  <c r="J343"/>
  <c r="K343" s="1"/>
  <c r="J127"/>
  <c r="K127" s="1"/>
  <c r="J312"/>
  <c r="K312" s="1"/>
  <c r="J224"/>
  <c r="K224" s="1"/>
  <c r="J484"/>
  <c r="K484" s="1"/>
  <c r="J254"/>
  <c r="K254" s="1"/>
  <c r="J471"/>
  <c r="K471" s="1"/>
  <c r="J517"/>
  <c r="K517" s="1"/>
  <c r="J241"/>
  <c r="K241" s="1"/>
  <c r="J392"/>
  <c r="K392" s="1"/>
  <c r="J142"/>
  <c r="K142" s="1"/>
  <c r="J248"/>
  <c r="K248" s="1"/>
  <c r="J393"/>
  <c r="K393" s="1"/>
  <c r="J486"/>
  <c r="K486" s="1"/>
  <c r="J191"/>
  <c r="K191" s="1"/>
  <c r="J96"/>
  <c r="K96" s="1"/>
  <c r="J216"/>
  <c r="K216" s="1"/>
  <c r="I31" i="48"/>
  <c r="J158" i="49"/>
  <c r="K158" s="1"/>
  <c r="J179"/>
  <c r="K179" s="1"/>
  <c r="J195"/>
  <c r="K195" s="1"/>
  <c r="J205"/>
  <c r="K205" s="1"/>
  <c r="J212"/>
  <c r="K212" s="1"/>
  <c r="J220"/>
  <c r="K220" s="1"/>
  <c r="J228"/>
  <c r="K228" s="1"/>
  <c r="J236"/>
  <c r="K236" s="1"/>
  <c r="J244"/>
  <c r="K244" s="1"/>
  <c r="J258"/>
  <c r="K258" s="1"/>
  <c r="J267"/>
  <c r="K267" s="1"/>
  <c r="J277"/>
  <c r="K277" s="1"/>
  <c r="J285"/>
  <c r="K285" s="1"/>
  <c r="J293"/>
  <c r="K293" s="1"/>
  <c r="J301"/>
  <c r="K301" s="1"/>
  <c r="J308"/>
  <c r="K308" s="1"/>
  <c r="J316"/>
  <c r="K316" s="1"/>
  <c r="J324"/>
  <c r="K324" s="1"/>
  <c r="J332"/>
  <c r="K332" s="1"/>
  <c r="J340"/>
  <c r="K340" s="1"/>
  <c r="J354"/>
  <c r="K354" s="1"/>
  <c r="J363"/>
  <c r="K363" s="1"/>
  <c r="J378"/>
  <c r="K378" s="1"/>
  <c r="J394"/>
  <c r="K394" s="1"/>
  <c r="J404"/>
  <c r="K404" s="1"/>
  <c r="J428"/>
  <c r="K428" s="1"/>
  <c r="J459"/>
  <c r="K459" s="1"/>
  <c r="J339"/>
  <c r="K339" s="1"/>
  <c r="J387"/>
  <c r="K387" s="1"/>
  <c r="J427"/>
  <c r="K427" s="1"/>
  <c r="J458"/>
  <c r="K458" s="1"/>
  <c r="J150"/>
  <c r="K150" s="1"/>
  <c r="J174"/>
  <c r="K174" s="1"/>
  <c r="J189"/>
  <c r="K189" s="1"/>
  <c r="J204"/>
  <c r="K204" s="1"/>
  <c r="J211"/>
  <c r="K211" s="1"/>
  <c r="J219"/>
  <c r="K219" s="1"/>
  <c r="J227"/>
  <c r="K227" s="1"/>
  <c r="J235"/>
  <c r="K235" s="1"/>
  <c r="J243"/>
  <c r="K243" s="1"/>
  <c r="J252"/>
  <c r="K252" s="1"/>
  <c r="J266"/>
  <c r="K266" s="1"/>
  <c r="J276"/>
  <c r="K276" s="1"/>
  <c r="J284"/>
  <c r="K284" s="1"/>
  <c r="J292"/>
  <c r="K292" s="1"/>
  <c r="J300"/>
  <c r="K300" s="1"/>
  <c r="J307"/>
  <c r="K307" s="1"/>
  <c r="J315"/>
  <c r="K315" s="1"/>
  <c r="J323"/>
  <c r="K323" s="1"/>
  <c r="J362"/>
  <c r="K362" s="1"/>
  <c r="J419"/>
  <c r="K419" s="1"/>
  <c r="J467"/>
  <c r="K467" s="1"/>
  <c r="J140"/>
  <c r="K140" s="1"/>
  <c r="J172"/>
  <c r="K172" s="1"/>
  <c r="J187"/>
  <c r="K187" s="1"/>
  <c r="J203"/>
  <c r="K203" s="1"/>
  <c r="J210"/>
  <c r="K210" s="1"/>
  <c r="J218"/>
  <c r="K218" s="1"/>
  <c r="J226"/>
  <c r="K226" s="1"/>
  <c r="J234"/>
  <c r="K234" s="1"/>
  <c r="J242"/>
  <c r="K242" s="1"/>
  <c r="J251"/>
  <c r="K251" s="1"/>
  <c r="J260"/>
  <c r="K260" s="1"/>
  <c r="J275"/>
  <c r="K275" s="1"/>
  <c r="J283"/>
  <c r="K283" s="1"/>
  <c r="J291"/>
  <c r="K291" s="1"/>
  <c r="J299"/>
  <c r="K299" s="1"/>
  <c r="J306"/>
  <c r="K306" s="1"/>
  <c r="J314"/>
  <c r="K314" s="1"/>
  <c r="J322"/>
  <c r="K322" s="1"/>
  <c r="J330"/>
  <c r="K330" s="1"/>
  <c r="J338"/>
  <c r="K338" s="1"/>
  <c r="J347"/>
  <c r="K347" s="1"/>
  <c r="J356"/>
  <c r="K356" s="1"/>
  <c r="J370"/>
  <c r="K370" s="1"/>
  <c r="J386"/>
  <c r="K386" s="1"/>
  <c r="J402"/>
  <c r="K402" s="1"/>
  <c r="J410"/>
  <c r="K410" s="1"/>
  <c r="J418"/>
  <c r="K418" s="1"/>
  <c r="J426"/>
  <c r="K426" s="1"/>
  <c r="J434"/>
  <c r="K434" s="1"/>
  <c r="J443"/>
  <c r="K443" s="1"/>
  <c r="J452"/>
  <c r="K452" s="1"/>
  <c r="J466"/>
  <c r="K466" s="1"/>
  <c r="J482"/>
  <c r="K482" s="1"/>
  <c r="J498"/>
  <c r="K498" s="1"/>
  <c r="J412"/>
  <c r="K412" s="1"/>
  <c r="J436"/>
  <c r="K436" s="1"/>
  <c r="J490"/>
  <c r="K490" s="1"/>
  <c r="J331"/>
  <c r="K331" s="1"/>
  <c r="J371"/>
  <c r="K371" s="1"/>
  <c r="J411"/>
  <c r="K411" s="1"/>
  <c r="J444"/>
  <c r="K444" s="1"/>
  <c r="J506"/>
  <c r="K506" s="1"/>
  <c r="J132"/>
  <c r="K132" s="1"/>
  <c r="J166"/>
  <c r="K166" s="1"/>
  <c r="J181"/>
  <c r="K181" s="1"/>
  <c r="J197"/>
  <c r="K197" s="1"/>
  <c r="J206"/>
  <c r="K206" s="1"/>
  <c r="J213"/>
  <c r="K213" s="1"/>
  <c r="J221"/>
  <c r="K221" s="1"/>
  <c r="J229"/>
  <c r="K229" s="1"/>
  <c r="J237"/>
  <c r="K237" s="1"/>
  <c r="J250"/>
  <c r="K250" s="1"/>
  <c r="J259"/>
  <c r="K259" s="1"/>
  <c r="J268"/>
  <c r="K268" s="1"/>
  <c r="J278"/>
  <c r="K278" s="1"/>
  <c r="J286"/>
  <c r="K286" s="1"/>
  <c r="J294"/>
  <c r="K294" s="1"/>
  <c r="J302"/>
  <c r="K302" s="1"/>
  <c r="J309"/>
  <c r="K309" s="1"/>
  <c r="J317"/>
  <c r="K317" s="1"/>
  <c r="J325"/>
  <c r="K325" s="1"/>
  <c r="J333"/>
  <c r="K333" s="1"/>
  <c r="J346"/>
  <c r="K346" s="1"/>
  <c r="J355"/>
  <c r="K355" s="1"/>
  <c r="J364"/>
  <c r="K364" s="1"/>
  <c r="J379"/>
  <c r="K379" s="1"/>
  <c r="J395"/>
  <c r="K395" s="1"/>
  <c r="J405"/>
  <c r="K405" s="1"/>
  <c r="J413"/>
  <c r="K413" s="1"/>
  <c r="J421"/>
  <c r="K421" s="1"/>
  <c r="J429"/>
  <c r="K429" s="1"/>
  <c r="J442"/>
  <c r="K442" s="1"/>
  <c r="J451"/>
  <c r="K451" s="1"/>
  <c r="J460"/>
  <c r="K460" s="1"/>
  <c r="J475"/>
  <c r="K475" s="1"/>
  <c r="J491"/>
  <c r="K491" s="1"/>
  <c r="J522"/>
  <c r="K522" s="1"/>
  <c r="J420"/>
  <c r="K420" s="1"/>
  <c r="J450"/>
  <c r="K450" s="1"/>
  <c r="J474"/>
  <c r="K474" s="1"/>
  <c r="J514"/>
  <c r="K514" s="1"/>
  <c r="J348"/>
  <c r="K348" s="1"/>
  <c r="J403"/>
  <c r="K403" s="1"/>
  <c r="J435"/>
  <c r="K435" s="1"/>
  <c r="J483"/>
  <c r="K483" s="1"/>
  <c r="J116"/>
  <c r="K116" s="1"/>
  <c r="J93"/>
  <c r="K93" s="1"/>
  <c r="J173"/>
  <c r="K173" s="1"/>
  <c r="J139"/>
  <c r="K139" s="1"/>
  <c r="J108"/>
  <c r="K108" s="1"/>
  <c r="J198"/>
  <c r="K198" s="1"/>
  <c r="J167"/>
  <c r="K167" s="1"/>
  <c r="J133"/>
  <c r="K133" s="1"/>
  <c r="J102"/>
  <c r="K102" s="1"/>
  <c r="J164"/>
  <c r="K164" s="1"/>
  <c r="J99"/>
  <c r="K99" s="1"/>
  <c r="J55"/>
  <c r="K55" s="1"/>
  <c r="J61"/>
  <c r="K61" s="1"/>
  <c r="J175"/>
  <c r="K175" s="1"/>
  <c r="J138"/>
  <c r="K138" s="1"/>
  <c r="J48"/>
  <c r="K48" s="1"/>
  <c r="J52"/>
  <c r="K52" s="1"/>
  <c r="J124"/>
  <c r="K124" s="1"/>
  <c r="J85"/>
  <c r="K85" s="1"/>
  <c r="J180"/>
  <c r="K180" s="1"/>
  <c r="J149"/>
  <c r="K149" s="1"/>
  <c r="J141"/>
  <c r="K141" s="1"/>
  <c r="J76"/>
  <c r="K76" s="1"/>
  <c r="J31"/>
  <c r="K31" s="1"/>
  <c r="J109"/>
  <c r="K109" s="1"/>
  <c r="J188"/>
  <c r="K188" s="1"/>
  <c r="J157"/>
  <c r="K157" s="1"/>
  <c r="J123"/>
  <c r="K123" s="1"/>
  <c r="J92"/>
  <c r="K92" s="1"/>
  <c r="J182"/>
  <c r="K182" s="1"/>
  <c r="J151"/>
  <c r="K151" s="1"/>
  <c r="J117"/>
  <c r="K117" s="1"/>
  <c r="J86"/>
  <c r="K86" s="1"/>
  <c r="J148"/>
  <c r="K148" s="1"/>
  <c r="J114"/>
  <c r="K114" s="1"/>
  <c r="J83"/>
  <c r="K83" s="1"/>
  <c r="J70"/>
  <c r="K70" s="1"/>
  <c r="J62"/>
  <c r="K62" s="1"/>
  <c r="J32"/>
  <c r="K32" s="1"/>
  <c r="J39"/>
  <c r="K39" s="1"/>
  <c r="J60"/>
  <c r="K60" s="1"/>
  <c r="J29"/>
  <c r="K29" s="1"/>
  <c r="J46"/>
  <c r="K46" s="1"/>
  <c r="J63"/>
  <c r="K63" s="1"/>
  <c r="J23"/>
  <c r="K23" s="1"/>
  <c r="J30"/>
  <c r="K30" s="1"/>
  <c r="J84"/>
  <c r="K84" s="1"/>
  <c r="J79"/>
  <c r="K79" s="1"/>
  <c r="J71"/>
  <c r="K71" s="1"/>
  <c r="J21"/>
  <c r="K21" s="1"/>
  <c r="J101"/>
  <c r="K101" s="1"/>
  <c r="J196"/>
  <c r="K196" s="1"/>
  <c r="J165"/>
  <c r="K165" s="1"/>
  <c r="J131"/>
  <c r="K131" s="1"/>
  <c r="J100"/>
  <c r="K100" s="1"/>
  <c r="J190"/>
  <c r="K190" s="1"/>
  <c r="J159"/>
  <c r="K159" s="1"/>
  <c r="J125"/>
  <c r="K125" s="1"/>
  <c r="J94"/>
  <c r="K94" s="1"/>
  <c r="J156"/>
  <c r="K156" s="1"/>
  <c r="J122"/>
  <c r="K122" s="1"/>
  <c r="J91"/>
  <c r="K91" s="1"/>
  <c r="J77"/>
  <c r="K77" s="1"/>
  <c r="J69"/>
  <c r="K69" s="1"/>
  <c r="J24"/>
  <c r="K24" s="1"/>
  <c r="J47"/>
  <c r="K47" s="1"/>
  <c r="J68"/>
  <c r="K68" s="1"/>
  <c r="J37"/>
  <c r="K37" s="1"/>
  <c r="J53"/>
  <c r="K53" s="1"/>
  <c r="J130"/>
  <c r="K130" s="1"/>
  <c r="J78"/>
  <c r="K78" s="1"/>
  <c r="J54"/>
  <c r="K54" s="1"/>
  <c r="J45"/>
  <c r="K45" s="1"/>
  <c r="J115"/>
  <c r="K115" s="1"/>
  <c r="J110"/>
  <c r="K110" s="1"/>
  <c r="J107"/>
  <c r="K107" s="1"/>
  <c r="J40"/>
  <c r="K40" s="1"/>
  <c r="J38"/>
  <c r="K38" s="1"/>
  <c r="J22"/>
  <c r="K22" s="1"/>
  <c r="J288"/>
  <c r="K288" s="1"/>
  <c r="F31" i="48"/>
  <c r="K31"/>
  <c r="G7"/>
  <c r="N13"/>
  <c r="N15" s="1"/>
  <c r="K11"/>
  <c r="G9"/>
  <c r="K10"/>
  <c r="G10"/>
  <c r="I11"/>
  <c r="L13"/>
  <c r="I9"/>
  <c r="F7"/>
  <c r="F8"/>
  <c r="M12"/>
  <c r="J13"/>
  <c r="H13"/>
  <c r="L12"/>
  <c r="H9"/>
  <c r="J11"/>
  <c r="G8"/>
  <c r="I13"/>
  <c r="G11"/>
  <c r="F11"/>
  <c r="F9"/>
  <c r="L11"/>
  <c r="I12"/>
  <c r="H10"/>
  <c r="G12"/>
  <c r="I8"/>
  <c r="K13"/>
  <c r="G13"/>
  <c r="J12"/>
  <c r="H7"/>
  <c r="F12"/>
  <c r="F10"/>
  <c r="J10"/>
  <c r="I10"/>
  <c r="H8"/>
  <c r="J9"/>
  <c r="M13"/>
  <c r="H12"/>
  <c r="K12"/>
  <c r="H11"/>
  <c r="F13"/>
  <c r="F5"/>
  <c r="G31"/>
  <c r="M31"/>
  <c r="G6"/>
  <c r="F6"/>
  <c r="L31"/>
  <c r="J31"/>
  <c r="H31"/>
  <c r="D129" i="29"/>
  <c r="D134"/>
  <c r="D136"/>
  <c r="L15" i="48" l="1"/>
  <c r="G15"/>
  <c r="J15"/>
  <c r="K15"/>
  <c r="F15"/>
  <c r="H15"/>
  <c r="I15"/>
  <c r="M15"/>
  <c r="D137" i="29"/>
  <c r="D138" s="1"/>
  <c r="J11" i="49"/>
  <c r="B37" i="29"/>
  <c r="B38" s="1"/>
  <c r="B118" s="1"/>
  <c r="B119" s="1"/>
  <c r="B69"/>
  <c r="B74"/>
  <c r="B76"/>
  <c r="F16" i="48" l="1"/>
  <c r="B211" i="29" s="1"/>
  <c r="F37" i="48"/>
  <c r="M37"/>
  <c r="L37"/>
  <c r="H37"/>
  <c r="J37"/>
  <c r="K37"/>
  <c r="G37"/>
  <c r="E37"/>
  <c r="I37"/>
  <c r="B78" i="29"/>
  <c r="B80" s="1"/>
  <c r="B82" s="1"/>
  <c r="B193"/>
  <c r="B194" s="1"/>
  <c r="B196"/>
  <c r="R13" i="48" l="1"/>
  <c r="R14" s="1"/>
  <c r="R15" s="1"/>
  <c r="R16" s="1"/>
  <c r="R17" s="1"/>
  <c r="R18" s="1"/>
  <c r="R19" s="1"/>
  <c r="R20" s="1"/>
  <c r="R21" s="1"/>
  <c r="R22" s="1"/>
  <c r="R23" s="1"/>
  <c r="R24" s="1"/>
  <c r="E38"/>
  <c r="B84" i="29"/>
  <c r="B88"/>
  <c r="B83"/>
  <c r="B87"/>
  <c r="B95"/>
  <c r="B98"/>
  <c r="B99" s="1"/>
  <c r="F32" i="48"/>
  <c r="B212" i="29" s="1"/>
  <c r="B127"/>
  <c r="B131" l="1"/>
  <c r="B90"/>
  <c r="B104"/>
  <c r="B103"/>
  <c r="B100"/>
  <c r="B101" s="1"/>
  <c r="B109" s="1"/>
  <c r="B111"/>
  <c r="B86"/>
  <c r="B85"/>
  <c r="B93" s="1"/>
  <c r="B89"/>
  <c r="B129"/>
  <c r="B134"/>
  <c r="B136"/>
  <c r="B92" l="1"/>
  <c r="B102"/>
  <c r="B105"/>
  <c r="B107" s="1"/>
  <c r="B106"/>
  <c r="B91"/>
  <c r="B138"/>
  <c r="B140" s="1"/>
  <c r="B142" s="1"/>
  <c r="C151"/>
  <c r="R25" i="48"/>
  <c r="R26" s="1"/>
  <c r="R27" s="1"/>
  <c r="C152" i="29"/>
  <c r="U25" i="48"/>
  <c r="C168" i="29"/>
  <c r="C167"/>
  <c r="J52" i="26"/>
  <c r="J29"/>
  <c r="J56"/>
  <c r="J26"/>
  <c r="J21"/>
  <c r="J44"/>
  <c r="J15"/>
  <c r="J27"/>
  <c r="J41"/>
  <c r="J19"/>
  <c r="J42"/>
  <c r="J78"/>
  <c r="J62"/>
  <c r="J25"/>
  <c r="J6"/>
  <c r="J77"/>
  <c r="J20"/>
  <c r="J16"/>
  <c r="J75"/>
  <c r="J7"/>
  <c r="J11"/>
  <c r="J67"/>
  <c r="J47"/>
  <c r="J68"/>
  <c r="J32"/>
  <c r="J35"/>
  <c r="J34"/>
  <c r="J22"/>
  <c r="J46"/>
  <c r="J23"/>
  <c r="J66"/>
  <c r="J33"/>
  <c r="J10"/>
  <c r="J28"/>
  <c r="J49"/>
  <c r="J53"/>
  <c r="J4"/>
  <c r="J76"/>
  <c r="J12"/>
  <c r="J71"/>
  <c r="J48"/>
  <c r="J8"/>
  <c r="J36"/>
  <c r="J24"/>
  <c r="J64"/>
  <c r="J51"/>
  <c r="J30"/>
  <c r="J50"/>
  <c r="J31"/>
  <c r="J70"/>
  <c r="J54"/>
  <c r="J14"/>
  <c r="J45"/>
  <c r="J65"/>
  <c r="J57"/>
  <c r="J9"/>
  <c r="J60"/>
  <c r="J43"/>
  <c r="J18"/>
  <c r="J72"/>
  <c r="J39"/>
  <c r="J63"/>
  <c r="J55"/>
  <c r="J59"/>
  <c r="J40"/>
  <c r="J73"/>
  <c r="J37"/>
  <c r="J38"/>
  <c r="J74"/>
  <c r="J58"/>
  <c r="J17"/>
  <c r="J5"/>
  <c r="J69"/>
  <c r="J61"/>
  <c r="J13"/>
  <c r="I40"/>
  <c r="I69"/>
  <c r="I10"/>
  <c r="I60"/>
  <c r="I29"/>
  <c r="I4"/>
  <c r="I72"/>
  <c r="I28"/>
  <c r="I77"/>
  <c r="I20"/>
  <c r="I62"/>
  <c r="I12"/>
  <c r="I51"/>
  <c r="I32"/>
  <c r="I67"/>
  <c r="I34"/>
  <c r="I9"/>
  <c r="I42"/>
  <c r="I66"/>
  <c r="I15"/>
  <c r="I53"/>
  <c r="I26"/>
  <c r="I65"/>
  <c r="I7"/>
  <c r="I44"/>
  <c r="I56"/>
  <c r="I52"/>
  <c r="I57"/>
  <c r="I68"/>
  <c r="I78"/>
  <c r="I17"/>
  <c r="I19"/>
  <c r="I39"/>
  <c r="I71"/>
  <c r="I55"/>
  <c r="I13"/>
  <c r="I25"/>
  <c r="I70"/>
  <c r="I35"/>
  <c r="I49"/>
  <c r="I30"/>
  <c r="I41"/>
  <c r="I45"/>
  <c r="I61"/>
  <c r="I21"/>
  <c r="I16"/>
  <c r="I36"/>
  <c r="I23"/>
  <c r="I54"/>
  <c r="I5"/>
  <c r="I43"/>
  <c r="I75"/>
  <c r="I59"/>
  <c r="I18"/>
  <c r="I74"/>
  <c r="I31"/>
  <c r="I14"/>
  <c r="I64"/>
  <c r="I48"/>
  <c r="I76"/>
  <c r="I6"/>
  <c r="I22"/>
  <c r="I37"/>
  <c r="I73"/>
  <c r="I11"/>
  <c r="I46"/>
  <c r="I58"/>
  <c r="I8"/>
  <c r="I47"/>
  <c r="I24"/>
  <c r="I63"/>
  <c r="I27"/>
  <c r="I50"/>
  <c r="I38"/>
  <c r="I33"/>
  <c r="N77" i="48"/>
  <c r="N37"/>
  <c r="O55"/>
  <c r="O71"/>
  <c r="O31"/>
  <c r="O15"/>
  <c r="K531" i="49"/>
  <c r="C221" i="29"/>
  <c r="AM22" i="12"/>
  <c r="K1064" i="49"/>
  <c r="C175" i="29"/>
  <c r="B221"/>
  <c r="M22" i="12"/>
  <c r="B175" i="29"/>
  <c r="M45" i="12"/>
  <c r="B7" i="49"/>
  <c r="D115" i="29"/>
  <c r="AM45" i="12"/>
  <c r="E115" i="29"/>
  <c r="B540" i="49"/>
  <c r="E63" i="31"/>
  <c r="E3" s="1"/>
  <c r="B6" i="29" s="1"/>
  <c r="I6" s="1"/>
  <c r="E67" i="31"/>
  <c r="E68"/>
  <c r="E69"/>
  <c r="E70"/>
  <c r="E71"/>
  <c r="E73"/>
  <c r="E34" i="29"/>
  <c r="C34"/>
  <c r="C170" l="1"/>
  <c r="C172" s="1"/>
  <c r="Q559" i="49"/>
  <c r="P623"/>
  <c r="P665"/>
  <c r="Q656"/>
  <c r="P568"/>
  <c r="Q626"/>
  <c r="Q594"/>
  <c r="Q623"/>
  <c r="O591"/>
  <c r="Q570"/>
  <c r="P633"/>
  <c r="O663"/>
  <c r="O625"/>
  <c r="Q591"/>
  <c r="P664"/>
  <c r="P601"/>
  <c r="P634"/>
  <c r="P914"/>
  <c r="P1050"/>
  <c r="P722"/>
  <c r="P818"/>
  <c r="P986"/>
  <c r="P1018"/>
  <c r="P602"/>
  <c r="Q696"/>
  <c r="O720"/>
  <c r="O753"/>
  <c r="Q783"/>
  <c r="O815"/>
  <c r="Q848"/>
  <c r="Q856"/>
  <c r="O912"/>
  <c r="O944"/>
  <c r="Q985"/>
  <c r="O1007"/>
  <c r="O1017"/>
  <c r="O1040"/>
  <c r="P697"/>
  <c r="Q721"/>
  <c r="Q729"/>
  <c r="Q754"/>
  <c r="P783"/>
  <c r="O791"/>
  <c r="Q817"/>
  <c r="Q825"/>
  <c r="Q855"/>
  <c r="O881"/>
  <c r="Q890"/>
  <c r="O913"/>
  <c r="Q944"/>
  <c r="O952"/>
  <c r="O975"/>
  <c r="P984"/>
  <c r="Q1007"/>
  <c r="P1016"/>
  <c r="P1039"/>
  <c r="Q1048"/>
  <c r="P687"/>
  <c r="P721"/>
  <c r="R721" s="1"/>
  <c r="P752"/>
  <c r="Q761"/>
  <c r="Q791"/>
  <c r="P817"/>
  <c r="Q880"/>
  <c r="P911"/>
  <c r="Q922"/>
  <c r="P943"/>
  <c r="Q952"/>
  <c r="Q977"/>
  <c r="P1008"/>
  <c r="P1048"/>
  <c r="Q695"/>
  <c r="P727"/>
  <c r="O784"/>
  <c r="P793"/>
  <c r="P824"/>
  <c r="O847"/>
  <c r="O857"/>
  <c r="Q882"/>
  <c r="O919"/>
  <c r="P976"/>
  <c r="O984"/>
  <c r="P1009"/>
  <c r="Q1042"/>
  <c r="P563"/>
  <c r="P659"/>
  <c r="Q571"/>
  <c r="O602"/>
  <c r="Q635"/>
  <c r="O666"/>
  <c r="Q563"/>
  <c r="Q595"/>
  <c r="Q627"/>
  <c r="Q659"/>
  <c r="P731"/>
  <c r="Q700"/>
  <c r="O731"/>
  <c r="Q764"/>
  <c r="P755"/>
  <c r="O698"/>
  <c r="Q731"/>
  <c r="O762"/>
  <c r="O794"/>
  <c r="Q827"/>
  <c r="P787"/>
  <c r="Q851"/>
  <c r="O883"/>
  <c r="O915"/>
  <c r="O947"/>
  <c r="P819"/>
  <c r="P883"/>
  <c r="O978"/>
  <c r="Q979"/>
  <c r="Q631"/>
  <c r="O664"/>
  <c r="O559"/>
  <c r="Q664"/>
  <c r="Q657"/>
  <c r="Q593"/>
  <c r="Q568"/>
  <c r="Q602"/>
  <c r="O569"/>
  <c r="O656"/>
  <c r="O623"/>
  <c r="P657"/>
  <c r="P593"/>
  <c r="O631"/>
  <c r="O599"/>
  <c r="P560"/>
  <c r="Q687"/>
  <c r="Q624"/>
  <c r="Q592"/>
  <c r="P591"/>
  <c r="Q634"/>
  <c r="O600"/>
  <c r="Q567"/>
  <c r="Q562"/>
  <c r="P882"/>
  <c r="P1042"/>
  <c r="P858"/>
  <c r="P786"/>
  <c r="P946"/>
  <c r="P954"/>
  <c r="P626"/>
  <c r="P695"/>
  <c r="O752"/>
  <c r="O825"/>
  <c r="Q847"/>
  <c r="O855"/>
  <c r="Q889"/>
  <c r="O911"/>
  <c r="O921"/>
  <c r="O943"/>
  <c r="Q984"/>
  <c r="Q1016"/>
  <c r="Q1039"/>
  <c r="P696"/>
  <c r="R696" s="1"/>
  <c r="O719"/>
  <c r="O728"/>
  <c r="Q753"/>
  <c r="O761"/>
  <c r="Q786"/>
  <c r="Q816"/>
  <c r="O824"/>
  <c r="P849"/>
  <c r="O880"/>
  <c r="P889"/>
  <c r="Q912"/>
  <c r="Q921"/>
  <c r="Q943"/>
  <c r="O951"/>
  <c r="P983"/>
  <c r="P1015"/>
  <c r="P1047"/>
  <c r="O695"/>
  <c r="Q720"/>
  <c r="P729"/>
  <c r="P751"/>
  <c r="Q760"/>
  <c r="P816"/>
  <c r="P825"/>
  <c r="R825" s="1"/>
  <c r="P855"/>
  <c r="R855" s="1"/>
  <c r="Q879"/>
  <c r="P921"/>
  <c r="Q951"/>
  <c r="Q976"/>
  <c r="P1007"/>
  <c r="Q1018"/>
  <c r="Q1041"/>
  <c r="Q690"/>
  <c r="P720"/>
  <c r="P761"/>
  <c r="O783"/>
  <c r="P792"/>
  <c r="P823"/>
  <c r="O856"/>
  <c r="P881"/>
  <c r="O889"/>
  <c r="Q914"/>
  <c r="P953"/>
  <c r="P975"/>
  <c r="O983"/>
  <c r="O1016"/>
  <c r="P1041"/>
  <c r="Q1050"/>
  <c r="P627"/>
  <c r="O563"/>
  <c r="O595"/>
  <c r="O627"/>
  <c r="O659"/>
  <c r="P635"/>
  <c r="O571"/>
  <c r="Q604"/>
  <c r="O635"/>
  <c r="Q668"/>
  <c r="Q699"/>
  <c r="O730"/>
  <c r="Q763"/>
  <c r="P723"/>
  <c r="O691"/>
  <c r="O723"/>
  <c r="O755"/>
  <c r="O787"/>
  <c r="O819"/>
  <c r="O851"/>
  <c r="O827"/>
  <c r="O882"/>
  <c r="O914"/>
  <c r="O946"/>
  <c r="P795"/>
  <c r="Q820"/>
  <c r="Q859"/>
  <c r="P859"/>
  <c r="P923"/>
  <c r="P1019"/>
  <c r="Q955"/>
  <c r="O987"/>
  <c r="O1019"/>
  <c r="O1051"/>
  <c r="Q1051"/>
  <c r="P955"/>
  <c r="Q1043"/>
  <c r="P915"/>
  <c r="Q987"/>
  <c r="P1051"/>
  <c r="Q980"/>
  <c r="O1047"/>
  <c r="P562"/>
  <c r="P667"/>
  <c r="Q636"/>
  <c r="Q596"/>
  <c r="Q691"/>
  <c r="P691"/>
  <c r="O699"/>
  <c r="O795"/>
  <c r="O858"/>
  <c r="O890"/>
  <c r="P851"/>
  <c r="R851" s="1"/>
  <c r="Q891"/>
  <c r="O979"/>
  <c r="O1043"/>
  <c r="Q1012"/>
  <c r="P1011"/>
  <c r="Q947"/>
  <c r="O1010"/>
  <c r="Q884"/>
  <c r="Q1052"/>
  <c r="O592"/>
  <c r="P567"/>
  <c r="O568"/>
  <c r="Q665"/>
  <c r="Q625"/>
  <c r="Q658"/>
  <c r="Q601"/>
  <c r="O655"/>
  <c r="P592"/>
  <c r="R592" s="1"/>
  <c r="S592" s="1"/>
  <c r="P631"/>
  <c r="Q560"/>
  <c r="O665"/>
  <c r="Q632"/>
  <c r="O593"/>
  <c r="P559"/>
  <c r="P624"/>
  <c r="R624" s="1"/>
  <c r="O560"/>
  <c r="O657"/>
  <c r="O624"/>
  <c r="P663"/>
  <c r="P600"/>
  <c r="O632"/>
  <c r="Q600"/>
  <c r="O567"/>
  <c r="P794"/>
  <c r="P1010"/>
  <c r="P850"/>
  <c r="P754"/>
  <c r="P890"/>
  <c r="R890" s="1"/>
  <c r="P922"/>
  <c r="P658"/>
  <c r="P689"/>
  <c r="Q698"/>
  <c r="O729"/>
  <c r="O751"/>
  <c r="Q785"/>
  <c r="O817"/>
  <c r="Q850"/>
  <c r="Q858"/>
  <c r="Q888"/>
  <c r="Q920"/>
  <c r="Q983"/>
  <c r="Q1015"/>
  <c r="O1048"/>
  <c r="O687"/>
  <c r="O727"/>
  <c r="Q752"/>
  <c r="O760"/>
  <c r="P785"/>
  <c r="O793"/>
  <c r="Q815"/>
  <c r="O823"/>
  <c r="P848"/>
  <c r="P857"/>
  <c r="O879"/>
  <c r="P888"/>
  <c r="R888" s="1"/>
  <c r="Q911"/>
  <c r="P920"/>
  <c r="Q946"/>
  <c r="O977"/>
  <c r="Q986"/>
  <c r="O1009"/>
  <c r="O1041"/>
  <c r="O689"/>
  <c r="Q719"/>
  <c r="Q728"/>
  <c r="Q759"/>
  <c r="Q793"/>
  <c r="P815"/>
  <c r="Q824"/>
  <c r="Q913"/>
  <c r="P945"/>
  <c r="Q954"/>
  <c r="Q975"/>
  <c r="P1017"/>
  <c r="P1040"/>
  <c r="Q689"/>
  <c r="O697"/>
  <c r="P719"/>
  <c r="P760"/>
  <c r="R760" s="1"/>
  <c r="S760" s="1"/>
  <c r="P791"/>
  <c r="O849"/>
  <c r="P880"/>
  <c r="O888"/>
  <c r="P913"/>
  <c r="P952"/>
  <c r="Q978"/>
  <c r="O1015"/>
  <c r="O1039"/>
  <c r="P1049"/>
  <c r="P603"/>
  <c r="O562"/>
  <c r="O594"/>
  <c r="O626"/>
  <c r="O658"/>
  <c r="P571"/>
  <c r="R571" s="1"/>
  <c r="O570"/>
  <c r="Q603"/>
  <c r="O634"/>
  <c r="Q667"/>
  <c r="Q692"/>
  <c r="Q724"/>
  <c r="Q756"/>
  <c r="P699"/>
  <c r="O690"/>
  <c r="O722"/>
  <c r="O754"/>
  <c r="O786"/>
  <c r="O818"/>
  <c r="O850"/>
  <c r="Q819"/>
  <c r="O859"/>
  <c r="O891"/>
  <c r="O923"/>
  <c r="O955"/>
  <c r="Q788"/>
  <c r="Q852"/>
  <c r="Q796"/>
  <c r="Q916"/>
  <c r="P987"/>
  <c r="P947"/>
  <c r="O986"/>
  <c r="O1018"/>
  <c r="O1050"/>
  <c r="Q1020"/>
  <c r="Q948"/>
  <c r="Q1019"/>
  <c r="Q892"/>
  <c r="P1043"/>
  <c r="P977"/>
  <c r="R977" s="1"/>
  <c r="O985"/>
  <c r="Q1010"/>
  <c r="Q572"/>
  <c r="O667"/>
  <c r="Q628"/>
  <c r="Q723"/>
  <c r="P763"/>
  <c r="O763"/>
  <c r="Q795"/>
  <c r="O954"/>
  <c r="P827"/>
  <c r="R827" s="1"/>
  <c r="P979"/>
  <c r="R979" s="1"/>
  <c r="O1011"/>
  <c r="Q915"/>
  <c r="Q956"/>
  <c r="O826"/>
  <c r="P891"/>
  <c r="Q988"/>
  <c r="Q923"/>
  <c r="P570"/>
  <c r="Q655"/>
  <c r="Q663"/>
  <c r="O601"/>
  <c r="P599"/>
  <c r="Q666"/>
  <c r="O633"/>
  <c r="P656"/>
  <c r="R656" s="1"/>
  <c r="P569"/>
  <c r="Q569"/>
  <c r="P632"/>
  <c r="O561"/>
  <c r="Q633"/>
  <c r="Q599"/>
  <c r="P561"/>
  <c r="P625"/>
  <c r="R625" s="1"/>
  <c r="Q561"/>
  <c r="P655"/>
  <c r="R655" s="1"/>
  <c r="P690"/>
  <c r="P978"/>
  <c r="P698"/>
  <c r="P730"/>
  <c r="P826"/>
  <c r="P762"/>
  <c r="P666"/>
  <c r="P594"/>
  <c r="P688"/>
  <c r="Q697"/>
  <c r="O721"/>
  <c r="Q784"/>
  <c r="O816"/>
  <c r="Q849"/>
  <c r="Q857"/>
  <c r="Q887"/>
  <c r="Q919"/>
  <c r="O945"/>
  <c r="O1008"/>
  <c r="Q1047"/>
  <c r="Q722"/>
  <c r="Q730"/>
  <c r="Q751"/>
  <c r="O759"/>
  <c r="P784"/>
  <c r="O792"/>
  <c r="Q818"/>
  <c r="Q826"/>
  <c r="P847"/>
  <c r="P856"/>
  <c r="P887"/>
  <c r="P919"/>
  <c r="Q945"/>
  <c r="O953"/>
  <c r="O976"/>
  <c r="P985"/>
  <c r="R985" s="1"/>
  <c r="S985" s="1"/>
  <c r="Q1008"/>
  <c r="Q1017"/>
  <c r="Q1040"/>
  <c r="O1049"/>
  <c r="O688"/>
  <c r="Q727"/>
  <c r="P753"/>
  <c r="Q762"/>
  <c r="Q792"/>
  <c r="Q823"/>
  <c r="Q881"/>
  <c r="P912"/>
  <c r="P944"/>
  <c r="Q953"/>
  <c r="Q1009"/>
  <c r="Q1049"/>
  <c r="Q688"/>
  <c r="O696"/>
  <c r="P728"/>
  <c r="P759"/>
  <c r="R759" s="1"/>
  <c r="S759" s="1"/>
  <c r="O785"/>
  <c r="Q794"/>
  <c r="O848"/>
  <c r="P879"/>
  <c r="O887"/>
  <c r="O920"/>
  <c r="P951"/>
  <c r="R951" s="1"/>
  <c r="P595"/>
  <c r="O603"/>
  <c r="Q564"/>
  <c r="Q660"/>
  <c r="Q755"/>
  <c r="Q732"/>
  <c r="Q828"/>
  <c r="O922"/>
  <c r="Q787"/>
  <c r="Q924"/>
  <c r="Q1011"/>
  <c r="Q883"/>
  <c r="Q860"/>
  <c r="O1042"/>
  <c r="Q1044"/>
  <c r="R28" i="48"/>
  <c r="Q82" i="49"/>
  <c r="Q274"/>
  <c r="O402"/>
  <c r="P274"/>
  <c r="P146"/>
  <c r="O466"/>
  <c r="Q402"/>
  <c r="O210"/>
  <c r="Q466"/>
  <c r="O147"/>
  <c r="Q275"/>
  <c r="Q276"/>
  <c r="Q404"/>
  <c r="Q147"/>
  <c r="Q114"/>
  <c r="Q18"/>
  <c r="P306"/>
  <c r="Q306"/>
  <c r="O434"/>
  <c r="P178"/>
  <c r="P115"/>
  <c r="Q19"/>
  <c r="O371"/>
  <c r="P371"/>
  <c r="Q500"/>
  <c r="O243"/>
  <c r="P211"/>
  <c r="O178"/>
  <c r="P19"/>
  <c r="P83"/>
  <c r="Q148"/>
  <c r="Q52"/>
  <c r="Q21"/>
  <c r="O25"/>
  <c r="P57"/>
  <c r="Q86"/>
  <c r="O118"/>
  <c r="O150"/>
  <c r="O184"/>
  <c r="P217"/>
  <c r="P249"/>
  <c r="Q26"/>
  <c r="P56"/>
  <c r="O87"/>
  <c r="Q119"/>
  <c r="O149"/>
  <c r="Q185"/>
  <c r="P216"/>
  <c r="Q247"/>
  <c r="P22"/>
  <c r="Q54"/>
  <c r="Q88"/>
  <c r="P119"/>
  <c r="Q150"/>
  <c r="O182"/>
  <c r="O212"/>
  <c r="Q218"/>
  <c r="Q226"/>
  <c r="O248"/>
  <c r="P25"/>
  <c r="P54"/>
  <c r="P88"/>
  <c r="Q117"/>
  <c r="O151"/>
  <c r="P184"/>
  <c r="Q213"/>
  <c r="Q245"/>
  <c r="O276"/>
  <c r="Q282"/>
  <c r="O310"/>
  <c r="P345"/>
  <c r="O374"/>
  <c r="P409"/>
  <c r="O438"/>
  <c r="P473"/>
  <c r="O502"/>
  <c r="Q281"/>
  <c r="P308"/>
  <c r="O313"/>
  <c r="O341"/>
  <c r="Q375"/>
  <c r="P408"/>
  <c r="P436"/>
  <c r="O441"/>
  <c r="O469"/>
  <c r="Q503"/>
  <c r="P281"/>
  <c r="O308"/>
  <c r="Q314"/>
  <c r="O340"/>
  <c r="Q346"/>
  <c r="O372"/>
  <c r="Q378"/>
  <c r="O404"/>
  <c r="Q410"/>
  <c r="O436"/>
  <c r="Q442"/>
  <c r="O468"/>
  <c r="Q474"/>
  <c r="O500"/>
  <c r="Q506"/>
  <c r="P276"/>
  <c r="O281"/>
  <c r="Q309"/>
  <c r="Q341"/>
  <c r="Q373"/>
  <c r="Q405"/>
  <c r="Q437"/>
  <c r="Q469"/>
  <c r="Q501"/>
  <c r="Q338"/>
  <c r="P402"/>
  <c r="Q242"/>
  <c r="P466"/>
  <c r="P82"/>
  <c r="O339"/>
  <c r="P339"/>
  <c r="Q468"/>
  <c r="O211"/>
  <c r="Q180"/>
  <c r="O114"/>
  <c r="P370"/>
  <c r="Q370"/>
  <c r="O498"/>
  <c r="P242"/>
  <c r="R242" s="1"/>
  <c r="Q210"/>
  <c r="O146"/>
  <c r="O435"/>
  <c r="P435"/>
  <c r="Q371"/>
  <c r="Q308"/>
  <c r="Q51"/>
  <c r="Q115"/>
  <c r="P179"/>
  <c r="P147"/>
  <c r="Q212"/>
  <c r="Q116"/>
  <c r="P21"/>
  <c r="P24"/>
  <c r="Q56"/>
  <c r="O84"/>
  <c r="Q90"/>
  <c r="P117"/>
  <c r="R117" s="1"/>
  <c r="P149"/>
  <c r="P183"/>
  <c r="Q216"/>
  <c r="Q248"/>
  <c r="O24"/>
  <c r="Q55"/>
  <c r="P86"/>
  <c r="O117"/>
  <c r="P148"/>
  <c r="O153"/>
  <c r="O183"/>
  <c r="Q215"/>
  <c r="O245"/>
  <c r="Q34"/>
  <c r="O52"/>
  <c r="Q58"/>
  <c r="O86"/>
  <c r="Q118"/>
  <c r="Q130"/>
  <c r="O148"/>
  <c r="Q154"/>
  <c r="Q162"/>
  <c r="P181"/>
  <c r="Q194"/>
  <c r="O216"/>
  <c r="P247"/>
  <c r="R247" s="1"/>
  <c r="Q24"/>
  <c r="Q53"/>
  <c r="Q87"/>
  <c r="Q121"/>
  <c r="P150"/>
  <c r="Q183"/>
  <c r="Q217"/>
  <c r="Q249"/>
  <c r="O280"/>
  <c r="P309"/>
  <c r="Q344"/>
  <c r="P373"/>
  <c r="Q408"/>
  <c r="P437"/>
  <c r="Q472"/>
  <c r="P501"/>
  <c r="O279"/>
  <c r="P312"/>
  <c r="P340"/>
  <c r="O345"/>
  <c r="O373"/>
  <c r="Q407"/>
  <c r="P440"/>
  <c r="P468"/>
  <c r="O473"/>
  <c r="O501"/>
  <c r="Q280"/>
  <c r="Q290"/>
  <c r="O312"/>
  <c r="O344"/>
  <c r="O376"/>
  <c r="O408"/>
  <c r="O440"/>
  <c r="O472"/>
  <c r="O504"/>
  <c r="P280"/>
  <c r="Q313"/>
  <c r="Q345"/>
  <c r="Q377"/>
  <c r="Q409"/>
  <c r="Q441"/>
  <c r="Q473"/>
  <c r="Q505"/>
  <c r="O82"/>
  <c r="O274"/>
  <c r="P210"/>
  <c r="O338"/>
  <c r="O403"/>
  <c r="P403"/>
  <c r="Q307"/>
  <c r="P275"/>
  <c r="P243"/>
  <c r="O242"/>
  <c r="P434"/>
  <c r="Q434"/>
  <c r="Q339"/>
  <c r="O306"/>
  <c r="P50"/>
  <c r="Q244"/>
  <c r="O499"/>
  <c r="P499"/>
  <c r="Q499"/>
  <c r="Q372"/>
  <c r="O115"/>
  <c r="Q50"/>
  <c r="O18"/>
  <c r="O51"/>
  <c r="O83"/>
  <c r="Q20"/>
  <c r="O20"/>
  <c r="Q23"/>
  <c r="O54"/>
  <c r="O88"/>
  <c r="P121"/>
  <c r="P153"/>
  <c r="Q182"/>
  <c r="O214"/>
  <c r="O246"/>
  <c r="P23"/>
  <c r="O53"/>
  <c r="Q85"/>
  <c r="P116"/>
  <c r="O121"/>
  <c r="P152"/>
  <c r="P182"/>
  <c r="O213"/>
  <c r="P244"/>
  <c r="O249"/>
  <c r="Q25"/>
  <c r="O56"/>
  <c r="Q66"/>
  <c r="P85"/>
  <c r="Q98"/>
  <c r="O116"/>
  <c r="Q122"/>
  <c r="O152"/>
  <c r="P185"/>
  <c r="P215"/>
  <c r="R215" s="1"/>
  <c r="Q246"/>
  <c r="O22"/>
  <c r="Q57"/>
  <c r="O85"/>
  <c r="O119"/>
  <c r="Q149"/>
  <c r="O181"/>
  <c r="O215"/>
  <c r="O247"/>
  <c r="P279"/>
  <c r="P313"/>
  <c r="O342"/>
  <c r="P377"/>
  <c r="R377" s="1"/>
  <c r="O406"/>
  <c r="P441"/>
  <c r="R441" s="1"/>
  <c r="O470"/>
  <c r="P505"/>
  <c r="R505" s="1"/>
  <c r="P278"/>
  <c r="Q311"/>
  <c r="P344"/>
  <c r="P372"/>
  <c r="R372" s="1"/>
  <c r="S372" s="1"/>
  <c r="O377"/>
  <c r="O405"/>
  <c r="Q439"/>
  <c r="P472"/>
  <c r="P500"/>
  <c r="R500" s="1"/>
  <c r="O505"/>
  <c r="O278"/>
  <c r="P311"/>
  <c r="Q322"/>
  <c r="P343"/>
  <c r="Q354"/>
  <c r="P375"/>
  <c r="Q386"/>
  <c r="P407"/>
  <c r="Q418"/>
  <c r="P439"/>
  <c r="Q450"/>
  <c r="P471"/>
  <c r="Q482"/>
  <c r="P503"/>
  <c r="Q514"/>
  <c r="Q279"/>
  <c r="O311"/>
  <c r="O343"/>
  <c r="O375"/>
  <c r="O407"/>
  <c r="O439"/>
  <c r="O471"/>
  <c r="O503"/>
  <c r="O19"/>
  <c r="Q178"/>
  <c r="O275"/>
  <c r="P338"/>
  <c r="Q403"/>
  <c r="O467"/>
  <c r="P467"/>
  <c r="Q435"/>
  <c r="Q340"/>
  <c r="Q83"/>
  <c r="Q211"/>
  <c r="P498"/>
  <c r="Q498"/>
  <c r="Q467"/>
  <c r="O370"/>
  <c r="P114"/>
  <c r="Q243"/>
  <c r="P18"/>
  <c r="O307"/>
  <c r="P307"/>
  <c r="Q436"/>
  <c r="Q179"/>
  <c r="Q146"/>
  <c r="O50"/>
  <c r="O179"/>
  <c r="Q84"/>
  <c r="P51"/>
  <c r="R51" s="1"/>
  <c r="S51" s="1"/>
  <c r="P20"/>
  <c r="O21"/>
  <c r="P53"/>
  <c r="R53" s="1"/>
  <c r="P87"/>
  <c r="R87" s="1"/>
  <c r="S87" s="1"/>
  <c r="Q120"/>
  <c r="Q152"/>
  <c r="O180"/>
  <c r="Q186"/>
  <c r="P213"/>
  <c r="P245"/>
  <c r="Q22"/>
  <c r="P52"/>
  <c r="R52" s="1"/>
  <c r="O57"/>
  <c r="Q89"/>
  <c r="P120"/>
  <c r="Q151"/>
  <c r="Q181"/>
  <c r="P212"/>
  <c r="O217"/>
  <c r="P248"/>
  <c r="O23"/>
  <c r="P55"/>
  <c r="P89"/>
  <c r="O120"/>
  <c r="P151"/>
  <c r="Q184"/>
  <c r="Q214"/>
  <c r="O244"/>
  <c r="Q250"/>
  <c r="Q258"/>
  <c r="O55"/>
  <c r="P84"/>
  <c r="O89"/>
  <c r="P118"/>
  <c r="Q153"/>
  <c r="P180"/>
  <c r="R180" s="1"/>
  <c r="O185"/>
  <c r="P214"/>
  <c r="P246"/>
  <c r="Q278"/>
  <c r="Q312"/>
  <c r="P341"/>
  <c r="Q376"/>
  <c r="P405"/>
  <c r="Q440"/>
  <c r="P469"/>
  <c r="Q504"/>
  <c r="Q277"/>
  <c r="O309"/>
  <c r="Q343"/>
  <c r="P376"/>
  <c r="P404"/>
  <c r="O409"/>
  <c r="O437"/>
  <c r="Q471"/>
  <c r="P504"/>
  <c r="P277"/>
  <c r="Q310"/>
  <c r="Q342"/>
  <c r="Q374"/>
  <c r="Q406"/>
  <c r="Q438"/>
  <c r="Q470"/>
  <c r="Q502"/>
  <c r="O277"/>
  <c r="P310"/>
  <c r="R310" s="1"/>
  <c r="S310" s="1"/>
  <c r="P342"/>
  <c r="R342" s="1"/>
  <c r="S342" s="1"/>
  <c r="P374"/>
  <c r="R374" s="1"/>
  <c r="S374" s="1"/>
  <c r="P406"/>
  <c r="R406" s="1"/>
  <c r="S406" s="1"/>
  <c r="P438"/>
  <c r="P470"/>
  <c r="P502"/>
  <c r="R502" s="1"/>
  <c r="S502" s="1"/>
  <c r="C154" i="29"/>
  <c r="C156" s="1"/>
  <c r="U26" i="48"/>
  <c r="P578" i="49" s="1"/>
  <c r="P565"/>
  <c r="P598"/>
  <c r="P606"/>
  <c r="P611"/>
  <c r="O598"/>
  <c r="O605"/>
  <c r="O628"/>
  <c r="O670"/>
  <c r="P574"/>
  <c r="P636"/>
  <c r="O638"/>
  <c r="Q662"/>
  <c r="Q670"/>
  <c r="P734"/>
  <c r="Q694"/>
  <c r="Q702"/>
  <c r="Q726"/>
  <c r="O733"/>
  <c r="Q757"/>
  <c r="Q765"/>
  <c r="P692"/>
  <c r="P700"/>
  <c r="P725"/>
  <c r="P757"/>
  <c r="P765"/>
  <c r="O702"/>
  <c r="O725"/>
  <c r="Q733"/>
  <c r="O756"/>
  <c r="O790"/>
  <c r="O797"/>
  <c r="O820"/>
  <c r="P796"/>
  <c r="P828"/>
  <c r="O852"/>
  <c r="O886"/>
  <c r="O893"/>
  <c r="O916"/>
  <c r="O950"/>
  <c r="O957"/>
  <c r="P790"/>
  <c r="P821"/>
  <c r="Q797"/>
  <c r="O830"/>
  <c r="P820"/>
  <c r="P854"/>
  <c r="P862"/>
  <c r="P892"/>
  <c r="P925"/>
  <c r="P958"/>
  <c r="P981"/>
  <c r="P989"/>
  <c r="P1053"/>
  <c r="O982"/>
  <c r="O989"/>
  <c r="O1012"/>
  <c r="O1046"/>
  <c r="O1053"/>
  <c r="Q1045"/>
  <c r="P1021"/>
  <c r="P1052"/>
  <c r="P885"/>
  <c r="Q917"/>
  <c r="Q950"/>
  <c r="P1020"/>
  <c r="R1020" s="1"/>
  <c r="P1046"/>
  <c r="P564"/>
  <c r="P581"/>
  <c r="P597"/>
  <c r="P605"/>
  <c r="P630"/>
  <c r="P662"/>
  <c r="P670"/>
  <c r="O566"/>
  <c r="Q574"/>
  <c r="O597"/>
  <c r="O604"/>
  <c r="O662"/>
  <c r="O669"/>
  <c r="P573"/>
  <c r="O574"/>
  <c r="Q598"/>
  <c r="Q606"/>
  <c r="Q610"/>
  <c r="Q630"/>
  <c r="O637"/>
  <c r="Q661"/>
  <c r="Q669"/>
  <c r="P733"/>
  <c r="Q693"/>
  <c r="Q701"/>
  <c r="Q725"/>
  <c r="O732"/>
  <c r="P724"/>
  <c r="R724" s="1"/>
  <c r="P756"/>
  <c r="R756" s="1"/>
  <c r="P764"/>
  <c r="O694"/>
  <c r="O701"/>
  <c r="O705"/>
  <c r="O724"/>
  <c r="O766"/>
  <c r="O789"/>
  <c r="O796"/>
  <c r="O862"/>
  <c r="O885"/>
  <c r="O892"/>
  <c r="O926"/>
  <c r="O949"/>
  <c r="O956"/>
  <c r="Q789"/>
  <c r="P789"/>
  <c r="Q822"/>
  <c r="P829"/>
  <c r="Q854"/>
  <c r="Q862"/>
  <c r="P797"/>
  <c r="P853"/>
  <c r="P861"/>
  <c r="P956"/>
  <c r="P980"/>
  <c r="P988"/>
  <c r="P1013"/>
  <c r="P1045"/>
  <c r="P886"/>
  <c r="P918"/>
  <c r="P949"/>
  <c r="O981"/>
  <c r="O988"/>
  <c r="O1022"/>
  <c r="O1045"/>
  <c r="O1052"/>
  <c r="Q990"/>
  <c r="Q1022"/>
  <c r="P1014"/>
  <c r="P1044"/>
  <c r="P893"/>
  <c r="P901"/>
  <c r="Q925"/>
  <c r="Q958"/>
  <c r="Q982"/>
  <c r="Q1046"/>
  <c r="Q981"/>
  <c r="Q1013"/>
  <c r="P948"/>
  <c r="P575"/>
  <c r="P596"/>
  <c r="P604"/>
  <c r="P629"/>
  <c r="P661"/>
  <c r="P669"/>
  <c r="P677"/>
  <c r="O565"/>
  <c r="Q573"/>
  <c r="O596"/>
  <c r="O630"/>
  <c r="Q638"/>
  <c r="O661"/>
  <c r="O668"/>
  <c r="P572"/>
  <c r="P638"/>
  <c r="Q566"/>
  <c r="O573"/>
  <c r="Q597"/>
  <c r="Q605"/>
  <c r="Q629"/>
  <c r="O636"/>
  <c r="Q640"/>
  <c r="P732"/>
  <c r="R732" s="1"/>
  <c r="P694"/>
  <c r="P702"/>
  <c r="O693"/>
  <c r="O700"/>
  <c r="O739"/>
  <c r="O758"/>
  <c r="O765"/>
  <c r="O788"/>
  <c r="O822"/>
  <c r="Q830"/>
  <c r="Q790"/>
  <c r="P800"/>
  <c r="Q821"/>
  <c r="P830"/>
  <c r="O854"/>
  <c r="O861"/>
  <c r="O884"/>
  <c r="O918"/>
  <c r="O925"/>
  <c r="O948"/>
  <c r="Q798"/>
  <c r="O828"/>
  <c r="Q853"/>
  <c r="Q861"/>
  <c r="P852"/>
  <c r="R852" s="1"/>
  <c r="P860"/>
  <c r="Q886"/>
  <c r="Q918"/>
  <c r="Q949"/>
  <c r="P1012"/>
  <c r="Q885"/>
  <c r="P916"/>
  <c r="O980"/>
  <c r="O995"/>
  <c r="O1014"/>
  <c r="O1021"/>
  <c r="O1044"/>
  <c r="Q1053"/>
  <c r="P894"/>
  <c r="P926"/>
  <c r="P957"/>
  <c r="P566"/>
  <c r="P628"/>
  <c r="R628" s="1"/>
  <c r="P660"/>
  <c r="P668"/>
  <c r="O564"/>
  <c r="O606"/>
  <c r="O629"/>
  <c r="Q637"/>
  <c r="O660"/>
  <c r="P576"/>
  <c r="P637"/>
  <c r="Q565"/>
  <c r="O572"/>
  <c r="O576"/>
  <c r="O734"/>
  <c r="Q742"/>
  <c r="Q758"/>
  <c r="Q766"/>
  <c r="P693"/>
  <c r="P701"/>
  <c r="P726"/>
  <c r="P758"/>
  <c r="P766"/>
  <c r="O692"/>
  <c r="O726"/>
  <c r="Q734"/>
  <c r="O757"/>
  <c r="O764"/>
  <c r="O798"/>
  <c r="O802"/>
  <c r="O821"/>
  <c r="Q829"/>
  <c r="O829"/>
  <c r="O853"/>
  <c r="O860"/>
  <c r="O894"/>
  <c r="O917"/>
  <c r="O924"/>
  <c r="O958"/>
  <c r="P803"/>
  <c r="P798"/>
  <c r="P788"/>
  <c r="P822"/>
  <c r="P982"/>
  <c r="P990"/>
  <c r="P1022"/>
  <c r="Q894"/>
  <c r="Q926"/>
  <c r="Q957"/>
  <c r="O990"/>
  <c r="O1013"/>
  <c r="O1020"/>
  <c r="O1054"/>
  <c r="Q1014"/>
  <c r="Q893"/>
  <c r="P924"/>
  <c r="P963"/>
  <c r="Q1021"/>
  <c r="P1054"/>
  <c r="P884"/>
  <c r="P917"/>
  <c r="P950"/>
  <c r="Q989"/>
  <c r="Q997"/>
  <c r="Q1054"/>
  <c r="B94" i="29"/>
  <c r="B96" s="1"/>
  <c r="B108"/>
  <c r="B110" s="1"/>
  <c r="B112" s="1"/>
  <c r="B158"/>
  <c r="B159" s="1"/>
  <c r="B144"/>
  <c r="B148"/>
  <c r="B143"/>
  <c r="B147"/>
  <c r="B155"/>
  <c r="H6"/>
  <c r="D34"/>
  <c r="B34"/>
  <c r="R23" i="49" l="1"/>
  <c r="S23" s="1"/>
  <c r="R119"/>
  <c r="S119" s="1"/>
  <c r="R626"/>
  <c r="S626" s="1"/>
  <c r="R764"/>
  <c r="S764" s="1"/>
  <c r="R313"/>
  <c r="S313" s="1"/>
  <c r="T313" s="1"/>
  <c r="R472"/>
  <c r="S472" s="1"/>
  <c r="T472" s="1"/>
  <c r="R892"/>
  <c r="S892" s="1"/>
  <c r="R856"/>
  <c r="S856" s="1"/>
  <c r="T856" s="1"/>
  <c r="R594"/>
  <c r="S594" s="1"/>
  <c r="T594" s="1"/>
  <c r="R604"/>
  <c r="S604" s="1"/>
  <c r="U604" s="1"/>
  <c r="V604" s="1"/>
  <c r="R244"/>
  <c r="S244" s="1"/>
  <c r="R791"/>
  <c r="S791" s="1"/>
  <c r="T791" s="1"/>
  <c r="R848"/>
  <c r="S848" s="1"/>
  <c r="R922"/>
  <c r="S922" s="1"/>
  <c r="R591"/>
  <c r="S591" s="1"/>
  <c r="T591" s="1"/>
  <c r="R944"/>
  <c r="S944" s="1"/>
  <c r="U944" s="1"/>
  <c r="V944" s="1"/>
  <c r="R1007"/>
  <c r="S1007" s="1"/>
  <c r="U1007" s="1"/>
  <c r="V1007" s="1"/>
  <c r="R728"/>
  <c r="S728" s="1"/>
  <c r="T728" s="1"/>
  <c r="B214" i="29"/>
  <c r="B220" s="1"/>
  <c r="R947" i="49"/>
  <c r="S947" s="1"/>
  <c r="T947" s="1"/>
  <c r="R700"/>
  <c r="S700" s="1"/>
  <c r="C216" i="29"/>
  <c r="C224" s="1"/>
  <c r="C43" i="30" s="1"/>
  <c r="R631" i="49"/>
  <c r="S631" s="1"/>
  <c r="T631" s="1"/>
  <c r="R438"/>
  <c r="S438" s="1"/>
  <c r="U438" s="1"/>
  <c r="V438" s="1"/>
  <c r="R660"/>
  <c r="S660" s="1"/>
  <c r="R948"/>
  <c r="S948" s="1"/>
  <c r="R796"/>
  <c r="S796" s="1"/>
  <c r="R884"/>
  <c r="S884" s="1"/>
  <c r="T884" s="1"/>
  <c r="R1012"/>
  <c r="S1012" s="1"/>
  <c r="U1012" s="1"/>
  <c r="V1012" s="1"/>
  <c r="R860"/>
  <c r="S860" s="1"/>
  <c r="R636"/>
  <c r="S636" s="1"/>
  <c r="R916"/>
  <c r="S916" s="1"/>
  <c r="T916" s="1"/>
  <c r="R980"/>
  <c r="S980" s="1"/>
  <c r="R470"/>
  <c r="S470" s="1"/>
  <c r="T470" s="1"/>
  <c r="R956"/>
  <c r="S956" s="1"/>
  <c r="T956" s="1"/>
  <c r="R572"/>
  <c r="S572" s="1"/>
  <c r="R753"/>
  <c r="S753" s="1"/>
  <c r="U753" s="1"/>
  <c r="V753" s="1"/>
  <c r="R596"/>
  <c r="S596" s="1"/>
  <c r="T596" s="1"/>
  <c r="R788"/>
  <c r="S788" s="1"/>
  <c r="U788" s="1"/>
  <c r="V788" s="1"/>
  <c r="R924"/>
  <c r="S924" s="1"/>
  <c r="T924" s="1"/>
  <c r="R668"/>
  <c r="S668" s="1"/>
  <c r="U668" s="1"/>
  <c r="V668" s="1"/>
  <c r="R988"/>
  <c r="S988" s="1"/>
  <c r="R1052"/>
  <c r="S1052" s="1"/>
  <c r="R820"/>
  <c r="S820" s="1"/>
  <c r="U820" s="1"/>
  <c r="V820" s="1"/>
  <c r="S979"/>
  <c r="T979" s="1"/>
  <c r="R952"/>
  <c r="S952" s="1"/>
  <c r="T952" s="1"/>
  <c r="R567"/>
  <c r="S567" s="1"/>
  <c r="R729"/>
  <c r="S729" s="1"/>
  <c r="R695"/>
  <c r="S695" s="1"/>
  <c r="R1044"/>
  <c r="S1044" s="1"/>
  <c r="R595"/>
  <c r="S595" s="1"/>
  <c r="T595" s="1"/>
  <c r="R912"/>
  <c r="S912" s="1"/>
  <c r="T912" s="1"/>
  <c r="R880"/>
  <c r="S880" s="1"/>
  <c r="U880" s="1"/>
  <c r="V880" s="1"/>
  <c r="R847"/>
  <c r="S847" s="1"/>
  <c r="U847" s="1"/>
  <c r="V847" s="1"/>
  <c r="R987"/>
  <c r="S987" s="1"/>
  <c r="T987" s="1"/>
  <c r="R699"/>
  <c r="S699" s="1"/>
  <c r="U699" s="1"/>
  <c r="V699" s="1"/>
  <c r="S571"/>
  <c r="U571" s="1"/>
  <c r="V571" s="1"/>
  <c r="R1042"/>
  <c r="S1042" s="1"/>
  <c r="R694"/>
  <c r="S694" s="1"/>
  <c r="T694" s="1"/>
  <c r="S951"/>
  <c r="U951" s="1"/>
  <c r="V951" s="1"/>
  <c r="R879"/>
  <c r="S879" s="1"/>
  <c r="U879" s="1"/>
  <c r="V879" s="1"/>
  <c r="S655"/>
  <c r="U655" s="1"/>
  <c r="V655" s="1"/>
  <c r="R891"/>
  <c r="S891" s="1"/>
  <c r="T891" s="1"/>
  <c r="S656"/>
  <c r="U656" s="1"/>
  <c r="V656" s="1"/>
  <c r="R376"/>
  <c r="S376" s="1"/>
  <c r="T376" s="1"/>
  <c r="S732"/>
  <c r="T732" s="1"/>
  <c r="Q895"/>
  <c r="P770"/>
  <c r="Q996"/>
  <c r="Q927"/>
  <c r="Q864"/>
  <c r="O928"/>
  <c r="O703"/>
  <c r="O645"/>
  <c r="Q959"/>
  <c r="P991"/>
  <c r="P864"/>
  <c r="Q739"/>
  <c r="Q577"/>
  <c r="P607"/>
  <c r="Q1056"/>
  <c r="Q1058"/>
  <c r="P959"/>
  <c r="Q998"/>
  <c r="Q772"/>
  <c r="O837"/>
  <c r="Q774"/>
  <c r="O610"/>
  <c r="Q900"/>
  <c r="P1029"/>
  <c r="O1029"/>
  <c r="Q804"/>
  <c r="Q834"/>
  <c r="O773"/>
  <c r="O581"/>
  <c r="P609"/>
  <c r="Q964"/>
  <c r="Q965"/>
  <c r="Q929"/>
  <c r="Q1026"/>
  <c r="Q639"/>
  <c r="P612"/>
  <c r="O959"/>
  <c r="P739"/>
  <c r="Q609"/>
  <c r="P645"/>
  <c r="O992"/>
  <c r="P992"/>
  <c r="Q836"/>
  <c r="O835"/>
  <c r="R783"/>
  <c r="S783" s="1"/>
  <c r="R798"/>
  <c r="S798" s="1"/>
  <c r="T798" s="1"/>
  <c r="R150"/>
  <c r="S150" s="1"/>
  <c r="T150" s="1"/>
  <c r="Q960"/>
  <c r="Q1059"/>
  <c r="Q902"/>
  <c r="P927"/>
  <c r="Q832"/>
  <c r="Q1062"/>
  <c r="Q962"/>
  <c r="P897"/>
  <c r="Q1029"/>
  <c r="P1025"/>
  <c r="Q994"/>
  <c r="O1024"/>
  <c r="P960"/>
  <c r="R960" s="1"/>
  <c r="P863"/>
  <c r="O864"/>
  <c r="O772"/>
  <c r="O738"/>
  <c r="Q703"/>
  <c r="Q671"/>
  <c r="Q608"/>
  <c r="O671"/>
  <c r="O580"/>
  <c r="P672"/>
  <c r="P640"/>
  <c r="R640" s="1"/>
  <c r="P579"/>
  <c r="P1026"/>
  <c r="O1055"/>
  <c r="Q865"/>
  <c r="O933"/>
  <c r="O899"/>
  <c r="O865"/>
  <c r="O834"/>
  <c r="O799"/>
  <c r="O708"/>
  <c r="P771"/>
  <c r="P707"/>
  <c r="Q771"/>
  <c r="Q708"/>
  <c r="Q672"/>
  <c r="O676"/>
  <c r="O642"/>
  <c r="Q607"/>
  <c r="Q966"/>
  <c r="Q991"/>
  <c r="P1055"/>
  <c r="Q993"/>
  <c r="Q933"/>
  <c r="P1061"/>
  <c r="Q897"/>
  <c r="Q1030"/>
  <c r="O1060"/>
  <c r="P869"/>
  <c r="Q833"/>
  <c r="P802"/>
  <c r="O900"/>
  <c r="O866"/>
  <c r="O736"/>
  <c r="P736"/>
  <c r="Q673"/>
  <c r="O673"/>
  <c r="P674"/>
  <c r="P1028"/>
  <c r="Q932"/>
  <c r="S52"/>
  <c r="U52" s="1"/>
  <c r="V52" s="1"/>
  <c r="R503"/>
  <c r="S503" s="1"/>
  <c r="Q896"/>
  <c r="P1023"/>
  <c r="P932"/>
  <c r="P1056"/>
  <c r="O1028"/>
  <c r="O994"/>
  <c r="Q934"/>
  <c r="P1059"/>
  <c r="P867"/>
  <c r="P801"/>
  <c r="P832"/>
  <c r="O962"/>
  <c r="O868"/>
  <c r="P835"/>
  <c r="O833"/>
  <c r="O707"/>
  <c r="P706"/>
  <c r="Q770"/>
  <c r="R770" s="1"/>
  <c r="Q738"/>
  <c r="Q675"/>
  <c r="Q612"/>
  <c r="O675"/>
  <c r="O641"/>
  <c r="P676"/>
  <c r="P644"/>
  <c r="P608"/>
  <c r="P1057"/>
  <c r="Q1061"/>
  <c r="O1059"/>
  <c r="O1025"/>
  <c r="O991"/>
  <c r="Q928"/>
  <c r="P1027"/>
  <c r="P962"/>
  <c r="R962" s="1"/>
  <c r="P896"/>
  <c r="Q869"/>
  <c r="P834"/>
  <c r="Q806"/>
  <c r="O869"/>
  <c r="P837"/>
  <c r="O803"/>
  <c r="O769"/>
  <c r="O735"/>
  <c r="P735"/>
  <c r="Q678"/>
  <c r="Q735"/>
  <c r="Q676"/>
  <c r="O611"/>
  <c r="O577"/>
  <c r="P673"/>
  <c r="R673" s="1"/>
  <c r="P641"/>
  <c r="Q995"/>
  <c r="Q931"/>
  <c r="P928"/>
  <c r="Q1055"/>
  <c r="O1026"/>
  <c r="Q930"/>
  <c r="P931"/>
  <c r="Q866"/>
  <c r="P799"/>
  <c r="O831"/>
  <c r="O740"/>
  <c r="Q641"/>
  <c r="O639"/>
  <c r="Q1027"/>
  <c r="R213"/>
  <c r="S213" s="1"/>
  <c r="T213" s="1"/>
  <c r="R20"/>
  <c r="S20" s="1"/>
  <c r="T20" s="1"/>
  <c r="R468"/>
  <c r="S468" s="1"/>
  <c r="U468" s="1"/>
  <c r="V468" s="1"/>
  <c r="R501"/>
  <c r="S501" s="1"/>
  <c r="R373"/>
  <c r="S373" s="1"/>
  <c r="Q901"/>
  <c r="R901" s="1"/>
  <c r="O1058"/>
  <c r="O964"/>
  <c r="P994"/>
  <c r="R994" s="1"/>
  <c r="S994" s="1"/>
  <c r="Q837"/>
  <c r="Q868"/>
  <c r="O932"/>
  <c r="O898"/>
  <c r="Q799"/>
  <c r="O768"/>
  <c r="P738"/>
  <c r="Q707"/>
  <c r="Q643"/>
  <c r="Q580"/>
  <c r="Q576"/>
  <c r="R576" s="1"/>
  <c r="S576" s="1"/>
  <c r="Q1023"/>
  <c r="P1060"/>
  <c r="Q1028"/>
  <c r="O965"/>
  <c r="P895"/>
  <c r="P995"/>
  <c r="P929"/>
  <c r="P868"/>
  <c r="Q831"/>
  <c r="Q801"/>
  <c r="O963"/>
  <c r="O929"/>
  <c r="O895"/>
  <c r="O704"/>
  <c r="P767"/>
  <c r="Q767"/>
  <c r="Q704"/>
  <c r="Q644"/>
  <c r="Q613"/>
  <c r="Q581"/>
  <c r="R581" s="1"/>
  <c r="O672"/>
  <c r="P613"/>
  <c r="P580"/>
  <c r="R580" s="1"/>
  <c r="P1024"/>
  <c r="Q1025"/>
  <c r="O996"/>
  <c r="Q961"/>
  <c r="Q898"/>
  <c r="P996"/>
  <c r="P964"/>
  <c r="R964" s="1"/>
  <c r="P865"/>
  <c r="P805"/>
  <c r="O896"/>
  <c r="P768"/>
  <c r="Q578"/>
  <c r="R578" s="1"/>
  <c r="O993"/>
  <c r="R692"/>
  <c r="S692" s="1"/>
  <c r="R275"/>
  <c r="S275" s="1"/>
  <c r="R148"/>
  <c r="S148" s="1"/>
  <c r="R402"/>
  <c r="S402" s="1"/>
  <c r="T402" s="1"/>
  <c r="R698"/>
  <c r="S698" s="1"/>
  <c r="U698" s="1"/>
  <c r="V698" s="1"/>
  <c r="R828"/>
  <c r="S828" s="1"/>
  <c r="Q741"/>
  <c r="R114"/>
  <c r="S114" s="1"/>
  <c r="T114" s="1"/>
  <c r="R564"/>
  <c r="S564" s="1"/>
  <c r="R245"/>
  <c r="S245" s="1"/>
  <c r="U245" s="1"/>
  <c r="V245" s="1"/>
  <c r="R185"/>
  <c r="S185" s="1"/>
  <c r="R632"/>
  <c r="S632" s="1"/>
  <c r="R1045"/>
  <c r="S1045" s="1"/>
  <c r="T1045" s="1"/>
  <c r="O930"/>
  <c r="P831"/>
  <c r="O804"/>
  <c r="O770"/>
  <c r="P708"/>
  <c r="Q740"/>
  <c r="Q709"/>
  <c r="O608"/>
  <c r="Q992"/>
  <c r="P993"/>
  <c r="Q867"/>
  <c r="O931"/>
  <c r="O897"/>
  <c r="O863"/>
  <c r="O737"/>
  <c r="S977"/>
  <c r="T977" s="1"/>
  <c r="S825"/>
  <c r="U825" s="1"/>
  <c r="V825" s="1"/>
  <c r="Q768"/>
  <c r="O612"/>
  <c r="O578"/>
  <c r="P610"/>
  <c r="R610" s="1"/>
  <c r="P577"/>
  <c r="Q1060"/>
  <c r="P961"/>
  <c r="Q1024"/>
  <c r="O1027"/>
  <c r="Q800"/>
  <c r="R800" s="1"/>
  <c r="Q805"/>
  <c r="Q802"/>
  <c r="O901"/>
  <c r="O867"/>
  <c r="P804"/>
  <c r="O805"/>
  <c r="O741"/>
  <c r="O706"/>
  <c r="P737"/>
  <c r="Q773"/>
  <c r="R85"/>
  <c r="S85" s="1"/>
  <c r="T85" s="1"/>
  <c r="R19"/>
  <c r="S19" s="1"/>
  <c r="R882"/>
  <c r="S882" s="1"/>
  <c r="O1056"/>
  <c r="Q899"/>
  <c r="Q870"/>
  <c r="P836"/>
  <c r="O960"/>
  <c r="Q803"/>
  <c r="R803" s="1"/>
  <c r="O800"/>
  <c r="O709"/>
  <c r="P772"/>
  <c r="P740"/>
  <c r="P704"/>
  <c r="Q736"/>
  <c r="Q705"/>
  <c r="Q677"/>
  <c r="R677" s="1"/>
  <c r="Q645"/>
  <c r="Q614"/>
  <c r="Q582"/>
  <c r="O677"/>
  <c r="O643"/>
  <c r="P642"/>
  <c r="P1058"/>
  <c r="P930"/>
  <c r="O997"/>
  <c r="Q963"/>
  <c r="R963" s="1"/>
  <c r="P900"/>
  <c r="Q835"/>
  <c r="Q863"/>
  <c r="Q838"/>
  <c r="O961"/>
  <c r="O927"/>
  <c r="O832"/>
  <c r="Q710"/>
  <c r="R210"/>
  <c r="S210" s="1"/>
  <c r="R147"/>
  <c r="S147" s="1"/>
  <c r="T147" s="1"/>
  <c r="O613"/>
  <c r="R559"/>
  <c r="S559" s="1"/>
  <c r="U559" s="1"/>
  <c r="V559" s="1"/>
  <c r="R627"/>
  <c r="S627" s="1"/>
  <c r="U627" s="1"/>
  <c r="V627" s="1"/>
  <c r="R754"/>
  <c r="S754" s="1"/>
  <c r="R635"/>
  <c r="S635" s="1"/>
  <c r="P898"/>
  <c r="Q1057"/>
  <c r="O1061"/>
  <c r="P997"/>
  <c r="R997" s="1"/>
  <c r="P965"/>
  <c r="O771"/>
  <c r="P769"/>
  <c r="Q575"/>
  <c r="R575" s="1"/>
  <c r="O644"/>
  <c r="S625"/>
  <c r="U625" s="1"/>
  <c r="V625" s="1"/>
  <c r="R761"/>
  <c r="S761" s="1"/>
  <c r="R726"/>
  <c r="S726" s="1"/>
  <c r="R405"/>
  <c r="S405" s="1"/>
  <c r="T405" s="1"/>
  <c r="R338"/>
  <c r="S338" s="1"/>
  <c r="U338" s="1"/>
  <c r="V338" s="1"/>
  <c r="S855"/>
  <c r="T855" s="1"/>
  <c r="R1048"/>
  <c r="S1048" s="1"/>
  <c r="R562"/>
  <c r="S562" s="1"/>
  <c r="R733"/>
  <c r="S733" s="1"/>
  <c r="U733" s="1"/>
  <c r="V733" s="1"/>
  <c r="O579"/>
  <c r="R919"/>
  <c r="S919" s="1"/>
  <c r="U919" s="1"/>
  <c r="V919" s="1"/>
  <c r="R603"/>
  <c r="S603" s="1"/>
  <c r="R658"/>
  <c r="S658" s="1"/>
  <c r="R850"/>
  <c r="S850" s="1"/>
  <c r="S851"/>
  <c r="U851" s="1"/>
  <c r="V851" s="1"/>
  <c r="P709"/>
  <c r="Q611"/>
  <c r="R611" s="1"/>
  <c r="O609"/>
  <c r="O575"/>
  <c r="R54"/>
  <c r="S54" s="1"/>
  <c r="R404"/>
  <c r="S404" s="1"/>
  <c r="U404" s="1"/>
  <c r="V404" s="1"/>
  <c r="R146"/>
  <c r="S146" s="1"/>
  <c r="T146" s="1"/>
  <c r="R375"/>
  <c r="S375" s="1"/>
  <c r="S628"/>
  <c r="T628" s="1"/>
  <c r="R702"/>
  <c r="S702" s="1"/>
  <c r="R469"/>
  <c r="S469" s="1"/>
  <c r="T469" s="1"/>
  <c r="R341"/>
  <c r="S341" s="1"/>
  <c r="R21"/>
  <c r="S21" s="1"/>
  <c r="R466"/>
  <c r="S466" s="1"/>
  <c r="U466" s="1"/>
  <c r="V466" s="1"/>
  <c r="R690"/>
  <c r="S690" s="1"/>
  <c r="T690" s="1"/>
  <c r="R82"/>
  <c r="S82" s="1"/>
  <c r="R978"/>
  <c r="S978" s="1"/>
  <c r="U978" s="1"/>
  <c r="V978" s="1"/>
  <c r="S827"/>
  <c r="T827" s="1"/>
  <c r="R763"/>
  <c r="S763" s="1"/>
  <c r="U763" s="1"/>
  <c r="V763" s="1"/>
  <c r="R1043"/>
  <c r="S1043" s="1"/>
  <c r="T1043" s="1"/>
  <c r="R913"/>
  <c r="S913" s="1"/>
  <c r="T913" s="1"/>
  <c r="S890"/>
  <c r="U890" s="1"/>
  <c r="V890" s="1"/>
  <c r="R1041"/>
  <c r="S1041" s="1"/>
  <c r="R921"/>
  <c r="S921" s="1"/>
  <c r="T921" s="1"/>
  <c r="O1057"/>
  <c r="O1023"/>
  <c r="P899"/>
  <c r="P933"/>
  <c r="P866"/>
  <c r="P833"/>
  <c r="O836"/>
  <c r="O801"/>
  <c r="O767"/>
  <c r="P773"/>
  <c r="P741"/>
  <c r="P705"/>
  <c r="Q769"/>
  <c r="Q737"/>
  <c r="Q706"/>
  <c r="P703"/>
  <c r="Q646"/>
  <c r="O607"/>
  <c r="O640"/>
  <c r="P675"/>
  <c r="R593"/>
  <c r="S593" s="1"/>
  <c r="Q674"/>
  <c r="Q642"/>
  <c r="Q579"/>
  <c r="O674"/>
  <c r="P643"/>
  <c r="R785"/>
  <c r="S785" s="1"/>
  <c r="R816"/>
  <c r="S816" s="1"/>
  <c r="R118"/>
  <c r="S118" s="1"/>
  <c r="U118" s="1"/>
  <c r="V118" s="1"/>
  <c r="R55"/>
  <c r="S55" s="1"/>
  <c r="S53"/>
  <c r="U53" s="1"/>
  <c r="V53" s="1"/>
  <c r="R116"/>
  <c r="S116" s="1"/>
  <c r="R920"/>
  <c r="S920" s="1"/>
  <c r="R691"/>
  <c r="S691" s="1"/>
  <c r="T691" s="1"/>
  <c r="R1051"/>
  <c r="S1051" s="1"/>
  <c r="T1051" s="1"/>
  <c r="R955"/>
  <c r="S955" s="1"/>
  <c r="R859"/>
  <c r="S859" s="1"/>
  <c r="R719"/>
  <c r="S719" s="1"/>
  <c r="T719" s="1"/>
  <c r="R720"/>
  <c r="S720" s="1"/>
  <c r="U720" s="1"/>
  <c r="V720" s="1"/>
  <c r="R731"/>
  <c r="S731" s="1"/>
  <c r="T731" s="1"/>
  <c r="R817"/>
  <c r="S817" s="1"/>
  <c r="P671"/>
  <c r="R730"/>
  <c r="S730" s="1"/>
  <c r="U730" s="1"/>
  <c r="V730" s="1"/>
  <c r="P639"/>
  <c r="R887"/>
  <c r="S887" s="1"/>
  <c r="R666"/>
  <c r="S666" s="1"/>
  <c r="R569"/>
  <c r="S569" s="1"/>
  <c r="R599"/>
  <c r="S599" s="1"/>
  <c r="R1049"/>
  <c r="S1049" s="1"/>
  <c r="R857"/>
  <c r="S857" s="1"/>
  <c r="R1010"/>
  <c r="S1010" s="1"/>
  <c r="R667"/>
  <c r="S667" s="1"/>
  <c r="R975"/>
  <c r="S975" s="1"/>
  <c r="R881"/>
  <c r="S881" s="1"/>
  <c r="R1015"/>
  <c r="S1015" s="1"/>
  <c r="R849"/>
  <c r="S849" s="1"/>
  <c r="S696"/>
  <c r="R786"/>
  <c r="S786" s="1"/>
  <c r="R560"/>
  <c r="S560" s="1"/>
  <c r="R657"/>
  <c r="S657" s="1"/>
  <c r="R787"/>
  <c r="S787" s="1"/>
  <c r="R563"/>
  <c r="S563" s="1"/>
  <c r="R976"/>
  <c r="S976" s="1"/>
  <c r="R727"/>
  <c r="S727" s="1"/>
  <c r="R911"/>
  <c r="S911" s="1"/>
  <c r="R984"/>
  <c r="S984" s="1"/>
  <c r="R818"/>
  <c r="S818" s="1"/>
  <c r="R634"/>
  <c r="S634" s="1"/>
  <c r="R568"/>
  <c r="S568" s="1"/>
  <c r="T759"/>
  <c r="U759"/>
  <c r="V759" s="1"/>
  <c r="U985"/>
  <c r="V985" s="1"/>
  <c r="T985"/>
  <c r="R1017"/>
  <c r="S1017" s="1"/>
  <c r="R923"/>
  <c r="S923" s="1"/>
  <c r="R795"/>
  <c r="S795" s="1"/>
  <c r="R792"/>
  <c r="S792" s="1"/>
  <c r="R751"/>
  <c r="S751" s="1"/>
  <c r="R1047"/>
  <c r="S1047" s="1"/>
  <c r="R946"/>
  <c r="S946" s="1"/>
  <c r="R819"/>
  <c r="S819" s="1"/>
  <c r="R659"/>
  <c r="S659" s="1"/>
  <c r="R1008"/>
  <c r="S1008" s="1"/>
  <c r="R687"/>
  <c r="S687" s="1"/>
  <c r="R697"/>
  <c r="S697" s="1"/>
  <c r="R986"/>
  <c r="S986" s="1"/>
  <c r="R914"/>
  <c r="S914" s="1"/>
  <c r="R570"/>
  <c r="S570" s="1"/>
  <c r="R623"/>
  <c r="S623" s="1"/>
  <c r="T760"/>
  <c r="U760"/>
  <c r="V760" s="1"/>
  <c r="R784"/>
  <c r="S784" s="1"/>
  <c r="R688"/>
  <c r="S688" s="1"/>
  <c r="R826"/>
  <c r="S826" s="1"/>
  <c r="R561"/>
  <c r="S561" s="1"/>
  <c r="R1040"/>
  <c r="S1040" s="1"/>
  <c r="R945"/>
  <c r="S945" s="1"/>
  <c r="S888"/>
  <c r="R689"/>
  <c r="S689" s="1"/>
  <c r="R663"/>
  <c r="S663" s="1"/>
  <c r="S624"/>
  <c r="R1011"/>
  <c r="S1011" s="1"/>
  <c r="R915"/>
  <c r="S915" s="1"/>
  <c r="R1019"/>
  <c r="S1019" s="1"/>
  <c r="R723"/>
  <c r="S723" s="1"/>
  <c r="R823"/>
  <c r="S823" s="1"/>
  <c r="R889"/>
  <c r="S889" s="1"/>
  <c r="R954"/>
  <c r="S954" s="1"/>
  <c r="R883"/>
  <c r="S883" s="1"/>
  <c r="R755"/>
  <c r="S755" s="1"/>
  <c r="R1009"/>
  <c r="S1009" s="1"/>
  <c r="R793"/>
  <c r="S793" s="1"/>
  <c r="R943"/>
  <c r="S943" s="1"/>
  <c r="S721"/>
  <c r="R1016"/>
  <c r="S1016" s="1"/>
  <c r="R1018"/>
  <c r="S1018" s="1"/>
  <c r="R1050"/>
  <c r="S1050" s="1"/>
  <c r="R664"/>
  <c r="S664" s="1"/>
  <c r="R633"/>
  <c r="S633" s="1"/>
  <c r="R665"/>
  <c r="S665" s="1"/>
  <c r="T592"/>
  <c r="U592"/>
  <c r="V592" s="1"/>
  <c r="R121"/>
  <c r="S121" s="1"/>
  <c r="U121" s="1"/>
  <c r="V121" s="1"/>
  <c r="R762"/>
  <c r="S762" s="1"/>
  <c r="R815"/>
  <c r="S815" s="1"/>
  <c r="R794"/>
  <c r="S794" s="1"/>
  <c r="R600"/>
  <c r="S600" s="1"/>
  <c r="R953"/>
  <c r="S953" s="1"/>
  <c r="R983"/>
  <c r="S983" s="1"/>
  <c r="R858"/>
  <c r="S858" s="1"/>
  <c r="R824"/>
  <c r="S824" s="1"/>
  <c r="R752"/>
  <c r="S752" s="1"/>
  <c r="R1039"/>
  <c r="S1039" s="1"/>
  <c r="R602"/>
  <c r="S602" s="1"/>
  <c r="R722"/>
  <c r="S722" s="1"/>
  <c r="R601"/>
  <c r="S601" s="1"/>
  <c r="R18"/>
  <c r="S18" s="1"/>
  <c r="T18" s="1"/>
  <c r="R248"/>
  <c r="S248" s="1"/>
  <c r="T248" s="1"/>
  <c r="R307"/>
  <c r="S307" s="1"/>
  <c r="R950"/>
  <c r="S950" s="1"/>
  <c r="T950" s="1"/>
  <c r="R407"/>
  <c r="S407" s="1"/>
  <c r="S500"/>
  <c r="T500" s="1"/>
  <c r="R212"/>
  <c r="S212" s="1"/>
  <c r="T212" s="1"/>
  <c r="S441"/>
  <c r="T441" s="1"/>
  <c r="R86"/>
  <c r="S86" s="1"/>
  <c r="R276"/>
  <c r="S276" s="1"/>
  <c r="T276" s="1"/>
  <c r="R246"/>
  <c r="S246" s="1"/>
  <c r="T246" s="1"/>
  <c r="R344"/>
  <c r="S344" s="1"/>
  <c r="T344" s="1"/>
  <c r="R437"/>
  <c r="S437" s="1"/>
  <c r="R309"/>
  <c r="S309" s="1"/>
  <c r="R50"/>
  <c r="S50" s="1"/>
  <c r="R306"/>
  <c r="S306" s="1"/>
  <c r="R280"/>
  <c r="S280" s="1"/>
  <c r="U280" s="1"/>
  <c r="V280" s="1"/>
  <c r="R434"/>
  <c r="S434" s="1"/>
  <c r="T434" s="1"/>
  <c r="R693"/>
  <c r="S693" s="1"/>
  <c r="S852"/>
  <c r="U852" s="1"/>
  <c r="V852" s="1"/>
  <c r="R669"/>
  <c r="S669" s="1"/>
  <c r="T669" s="1"/>
  <c r="R662"/>
  <c r="S662" s="1"/>
  <c r="R277"/>
  <c r="S277" s="1"/>
  <c r="R151"/>
  <c r="S151" s="1"/>
  <c r="T151" s="1"/>
  <c r="R661"/>
  <c r="S661" s="1"/>
  <c r="T661" s="1"/>
  <c r="R498"/>
  <c r="S498" s="1"/>
  <c r="T498" s="1"/>
  <c r="R990"/>
  <c r="S990" s="1"/>
  <c r="R822"/>
  <c r="S822" s="1"/>
  <c r="U822" s="1"/>
  <c r="V822" s="1"/>
  <c r="R638"/>
  <c r="S638" s="1"/>
  <c r="S180"/>
  <c r="U180" s="1"/>
  <c r="V180" s="1"/>
  <c r="R84"/>
  <c r="S84" s="1"/>
  <c r="U84" s="1"/>
  <c r="V84" s="1"/>
  <c r="R214"/>
  <c r="S214" s="1"/>
  <c r="U214" s="1"/>
  <c r="V214" s="1"/>
  <c r="R566"/>
  <c r="S566" s="1"/>
  <c r="T566" s="1"/>
  <c r="R274"/>
  <c r="S274" s="1"/>
  <c r="R88"/>
  <c r="S88" s="1"/>
  <c r="B171" i="29"/>
  <c r="R183" i="49"/>
  <c r="S183" s="1"/>
  <c r="U183" s="1"/>
  <c r="V183" s="1"/>
  <c r="U502"/>
  <c r="V502" s="1"/>
  <c r="T502"/>
  <c r="U374"/>
  <c r="V374" s="1"/>
  <c r="T374"/>
  <c r="U87"/>
  <c r="V87" s="1"/>
  <c r="T87"/>
  <c r="U51"/>
  <c r="V51" s="1"/>
  <c r="T51"/>
  <c r="U372"/>
  <c r="V372" s="1"/>
  <c r="T372"/>
  <c r="R29" i="48"/>
  <c r="P30" i="49"/>
  <c r="Q38"/>
  <c r="P61"/>
  <c r="Q68"/>
  <c r="Q92"/>
  <c r="P99"/>
  <c r="Q124"/>
  <c r="Q132"/>
  <c r="P155"/>
  <c r="O162"/>
  <c r="O166"/>
  <c r="O190"/>
  <c r="Q198"/>
  <c r="O222"/>
  <c r="O230"/>
  <c r="O254"/>
  <c r="O262"/>
  <c r="P38"/>
  <c r="R38" s="1"/>
  <c r="O61"/>
  <c r="O69"/>
  <c r="P92"/>
  <c r="R92" s="1"/>
  <c r="Q101"/>
  <c r="P124"/>
  <c r="R124" s="1"/>
  <c r="P132"/>
  <c r="R132" s="1"/>
  <c r="O155"/>
  <c r="O163"/>
  <c r="P168"/>
  <c r="O189"/>
  <c r="P198"/>
  <c r="R198" s="1"/>
  <c r="O221"/>
  <c r="O229"/>
  <c r="P252"/>
  <c r="Q259"/>
  <c r="Q27"/>
  <c r="O36"/>
  <c r="O60"/>
  <c r="Q70"/>
  <c r="O92"/>
  <c r="P101"/>
  <c r="O124"/>
  <c r="P131"/>
  <c r="O156"/>
  <c r="O164"/>
  <c r="P187"/>
  <c r="Q196"/>
  <c r="O232"/>
  <c r="Q254"/>
  <c r="Q262"/>
  <c r="Q30"/>
  <c r="Q35"/>
  <c r="Q59"/>
  <c r="Q65"/>
  <c r="P70"/>
  <c r="R70" s="1"/>
  <c r="P94"/>
  <c r="Q99"/>
  <c r="P122"/>
  <c r="R122" s="1"/>
  <c r="O127"/>
  <c r="Q133"/>
  <c r="Q157"/>
  <c r="P162"/>
  <c r="R162" s="1"/>
  <c r="O167"/>
  <c r="P190"/>
  <c r="Q195"/>
  <c r="P218"/>
  <c r="R218" s="1"/>
  <c r="O223"/>
  <c r="Q229"/>
  <c r="P250"/>
  <c r="R250" s="1"/>
  <c r="O255"/>
  <c r="Q261"/>
  <c r="Q288"/>
  <c r="Q294"/>
  <c r="Q316"/>
  <c r="O322"/>
  <c r="Q328"/>
  <c r="O350"/>
  <c r="P357"/>
  <c r="Q380"/>
  <c r="O386"/>
  <c r="Q392"/>
  <c r="O414"/>
  <c r="P421"/>
  <c r="Q444"/>
  <c r="O450"/>
  <c r="Q456"/>
  <c r="O478"/>
  <c r="P485"/>
  <c r="Q508"/>
  <c r="O514"/>
  <c r="Q520"/>
  <c r="O285"/>
  <c r="Q293"/>
  <c r="Q319"/>
  <c r="O325"/>
  <c r="Q347"/>
  <c r="P352"/>
  <c r="Q359"/>
  <c r="P380"/>
  <c r="Q387"/>
  <c r="P392"/>
  <c r="R392" s="1"/>
  <c r="O413"/>
  <c r="P420"/>
  <c r="Q447"/>
  <c r="O453"/>
  <c r="Q475"/>
  <c r="P480"/>
  <c r="Q487"/>
  <c r="P508"/>
  <c r="R508" s="1"/>
  <c r="Q515"/>
  <c r="P520"/>
  <c r="R520" s="1"/>
  <c r="Q286"/>
  <c r="Q292"/>
  <c r="P319"/>
  <c r="R319" s="1"/>
  <c r="O324"/>
  <c r="P351"/>
  <c r="O356"/>
  <c r="P383"/>
  <c r="O388"/>
  <c r="P415"/>
  <c r="O420"/>
  <c r="P447"/>
  <c r="O452"/>
  <c r="P479"/>
  <c r="O484"/>
  <c r="P511"/>
  <c r="O516"/>
  <c r="O287"/>
  <c r="P292"/>
  <c r="P314"/>
  <c r="R314" s="1"/>
  <c r="O319"/>
  <c r="Q325"/>
  <c r="P346"/>
  <c r="R346" s="1"/>
  <c r="O351"/>
  <c r="Q357"/>
  <c r="P378"/>
  <c r="R378" s="1"/>
  <c r="O383"/>
  <c r="Q389"/>
  <c r="P410"/>
  <c r="R410" s="1"/>
  <c r="O415"/>
  <c r="Q421"/>
  <c r="P442"/>
  <c r="R442" s="1"/>
  <c r="O447"/>
  <c r="Q453"/>
  <c r="P474"/>
  <c r="R474" s="1"/>
  <c r="O479"/>
  <c r="Q485"/>
  <c r="P506"/>
  <c r="R506" s="1"/>
  <c r="O511"/>
  <c r="Q517"/>
  <c r="Q29"/>
  <c r="Q36"/>
  <c r="Q60"/>
  <c r="P67"/>
  <c r="O98"/>
  <c r="O122"/>
  <c r="O130"/>
  <c r="O154"/>
  <c r="O158"/>
  <c r="P165"/>
  <c r="P189"/>
  <c r="O196"/>
  <c r="P221"/>
  <c r="P229"/>
  <c r="R229" s="1"/>
  <c r="P253"/>
  <c r="P261"/>
  <c r="O30"/>
  <c r="Q37"/>
  <c r="P60"/>
  <c r="P68"/>
  <c r="R68" s="1"/>
  <c r="Q91"/>
  <c r="O99"/>
  <c r="Q123"/>
  <c r="Q131"/>
  <c r="Q159"/>
  <c r="Q167"/>
  <c r="P188"/>
  <c r="Q197"/>
  <c r="P220"/>
  <c r="P228"/>
  <c r="Q251"/>
  <c r="P256"/>
  <c r="Q263"/>
  <c r="P26"/>
  <c r="R26" s="1"/>
  <c r="O68"/>
  <c r="P91"/>
  <c r="Q100"/>
  <c r="P123"/>
  <c r="O186"/>
  <c r="Q200"/>
  <c r="Q222"/>
  <c r="Q230"/>
  <c r="O252"/>
  <c r="O260"/>
  <c r="Q28"/>
  <c r="P34"/>
  <c r="R34" s="1"/>
  <c r="P58"/>
  <c r="R58" s="1"/>
  <c r="O63"/>
  <c r="Q69"/>
  <c r="Q93"/>
  <c r="P98"/>
  <c r="R98" s="1"/>
  <c r="Q103"/>
  <c r="P126"/>
  <c r="O131"/>
  <c r="Q155"/>
  <c r="Q161"/>
  <c r="P166"/>
  <c r="Q189"/>
  <c r="P194"/>
  <c r="R194" s="1"/>
  <c r="Q199"/>
  <c r="P222"/>
  <c r="R222" s="1"/>
  <c r="O227"/>
  <c r="Q233"/>
  <c r="P254"/>
  <c r="O259"/>
  <c r="Q265"/>
  <c r="O286"/>
  <c r="O292"/>
  <c r="O314"/>
  <c r="Q320"/>
  <c r="O326"/>
  <c r="P349"/>
  <c r="Q356"/>
  <c r="O378"/>
  <c r="Q384"/>
  <c r="O390"/>
  <c r="P413"/>
  <c r="Q420"/>
  <c r="O442"/>
  <c r="Q448"/>
  <c r="O454"/>
  <c r="P477"/>
  <c r="Q484"/>
  <c r="O506"/>
  <c r="Q512"/>
  <c r="O518"/>
  <c r="P284"/>
  <c r="O291"/>
  <c r="Q297"/>
  <c r="O317"/>
  <c r="P324"/>
  <c r="Q351"/>
  <c r="O357"/>
  <c r="Q379"/>
  <c r="P384"/>
  <c r="R384" s="1"/>
  <c r="Q391"/>
  <c r="P412"/>
  <c r="Q419"/>
  <c r="P424"/>
  <c r="O445"/>
  <c r="P452"/>
  <c r="Q479"/>
  <c r="O485"/>
  <c r="Q507"/>
  <c r="P512"/>
  <c r="Q519"/>
  <c r="O284"/>
  <c r="Q296"/>
  <c r="Q318"/>
  <c r="P323"/>
  <c r="O328"/>
  <c r="Q350"/>
  <c r="P355"/>
  <c r="O360"/>
  <c r="Q382"/>
  <c r="P387"/>
  <c r="O392"/>
  <c r="Q414"/>
  <c r="P419"/>
  <c r="O424"/>
  <c r="Q446"/>
  <c r="P451"/>
  <c r="O456"/>
  <c r="Q478"/>
  <c r="P483"/>
  <c r="O488"/>
  <c r="Q510"/>
  <c r="P515"/>
  <c r="R515" s="1"/>
  <c r="O520"/>
  <c r="P286"/>
  <c r="R286" s="1"/>
  <c r="Q291"/>
  <c r="P296"/>
  <c r="R296" s="1"/>
  <c r="P318"/>
  <c r="R318" s="1"/>
  <c r="O323"/>
  <c r="Q329"/>
  <c r="P350"/>
  <c r="O355"/>
  <c r="Q361"/>
  <c r="P382"/>
  <c r="R382" s="1"/>
  <c r="O387"/>
  <c r="Q393"/>
  <c r="P414"/>
  <c r="R414" s="1"/>
  <c r="O419"/>
  <c r="Q425"/>
  <c r="P446"/>
  <c r="R446" s="1"/>
  <c r="O451"/>
  <c r="Q457"/>
  <c r="P478"/>
  <c r="R478" s="1"/>
  <c r="O483"/>
  <c r="Q489"/>
  <c r="P510"/>
  <c r="R510" s="1"/>
  <c r="O515"/>
  <c r="Q521"/>
  <c r="P28"/>
  <c r="P35"/>
  <c r="P59"/>
  <c r="O66"/>
  <c r="O70"/>
  <c r="O94"/>
  <c r="Q102"/>
  <c r="O126"/>
  <c r="O134"/>
  <c r="P157"/>
  <c r="R157" s="1"/>
  <c r="Q164"/>
  <c r="Q188"/>
  <c r="P195"/>
  <c r="Q220"/>
  <c r="Q228"/>
  <c r="Q252"/>
  <c r="Q260"/>
  <c r="P29"/>
  <c r="P36"/>
  <c r="O59"/>
  <c r="O67"/>
  <c r="P90"/>
  <c r="R90" s="1"/>
  <c r="Q95"/>
  <c r="Q127"/>
  <c r="Q135"/>
  <c r="O157"/>
  <c r="O165"/>
  <c r="Q187"/>
  <c r="O195"/>
  <c r="Q219"/>
  <c r="Q227"/>
  <c r="Q255"/>
  <c r="O261"/>
  <c r="Q31"/>
  <c r="O38"/>
  <c r="O90"/>
  <c r="P127"/>
  <c r="Q134"/>
  <c r="O160"/>
  <c r="P167"/>
  <c r="Q190"/>
  <c r="O198"/>
  <c r="O220"/>
  <c r="O228"/>
  <c r="P251"/>
  <c r="P259"/>
  <c r="P27"/>
  <c r="O32"/>
  <c r="Q39"/>
  <c r="P62"/>
  <c r="Q67"/>
  <c r="O91"/>
  <c r="Q97"/>
  <c r="O101"/>
  <c r="Q125"/>
  <c r="P130"/>
  <c r="R130" s="1"/>
  <c r="P154"/>
  <c r="R154" s="1"/>
  <c r="O159"/>
  <c r="Q165"/>
  <c r="O187"/>
  <c r="Q193"/>
  <c r="O197"/>
  <c r="Q221"/>
  <c r="P226"/>
  <c r="R226" s="1"/>
  <c r="O231"/>
  <c r="Q253"/>
  <c r="P258"/>
  <c r="R258" s="1"/>
  <c r="O263"/>
  <c r="P285"/>
  <c r="P291"/>
  <c r="R291" s="1"/>
  <c r="O296"/>
  <c r="O318"/>
  <c r="P325"/>
  <c r="R325" s="1"/>
  <c r="Q348"/>
  <c r="O354"/>
  <c r="Q360"/>
  <c r="O382"/>
  <c r="P389"/>
  <c r="Q412"/>
  <c r="O418"/>
  <c r="Q424"/>
  <c r="O446"/>
  <c r="P453"/>
  <c r="Q476"/>
  <c r="O482"/>
  <c r="Q488"/>
  <c r="O510"/>
  <c r="P517"/>
  <c r="Q283"/>
  <c r="P288"/>
  <c r="O295"/>
  <c r="P316"/>
  <c r="Q323"/>
  <c r="P328"/>
  <c r="O349"/>
  <c r="P356"/>
  <c r="R356" s="1"/>
  <c r="Q383"/>
  <c r="O389"/>
  <c r="Q411"/>
  <c r="P416"/>
  <c r="Q423"/>
  <c r="P444"/>
  <c r="Q451"/>
  <c r="P456"/>
  <c r="O477"/>
  <c r="P484"/>
  <c r="R484" s="1"/>
  <c r="Q511"/>
  <c r="O517"/>
  <c r="P283"/>
  <c r="O288"/>
  <c r="O294"/>
  <c r="O316"/>
  <c r="P327"/>
  <c r="O348"/>
  <c r="P359"/>
  <c r="R359" s="1"/>
  <c r="O380"/>
  <c r="P391"/>
  <c r="O412"/>
  <c r="P423"/>
  <c r="O444"/>
  <c r="P455"/>
  <c r="O476"/>
  <c r="P487"/>
  <c r="O508"/>
  <c r="P519"/>
  <c r="R519" s="1"/>
  <c r="Q285"/>
  <c r="P290"/>
  <c r="R290" s="1"/>
  <c r="Q295"/>
  <c r="Q317"/>
  <c r="P322"/>
  <c r="R322" s="1"/>
  <c r="O327"/>
  <c r="Q349"/>
  <c r="P354"/>
  <c r="R354" s="1"/>
  <c r="O359"/>
  <c r="Q381"/>
  <c r="P386"/>
  <c r="R386" s="1"/>
  <c r="O391"/>
  <c r="Q413"/>
  <c r="P418"/>
  <c r="R418" s="1"/>
  <c r="O423"/>
  <c r="Q445"/>
  <c r="P450"/>
  <c r="R450" s="1"/>
  <c r="S450" s="1"/>
  <c r="O455"/>
  <c r="Q477"/>
  <c r="P482"/>
  <c r="R482" s="1"/>
  <c r="O487"/>
  <c r="Q509"/>
  <c r="P514"/>
  <c r="R514" s="1"/>
  <c r="O519"/>
  <c r="O27"/>
  <c r="O34"/>
  <c r="O58"/>
  <c r="O62"/>
  <c r="P69"/>
  <c r="P93"/>
  <c r="O100"/>
  <c r="P125"/>
  <c r="P133"/>
  <c r="Q156"/>
  <c r="P163"/>
  <c r="O194"/>
  <c r="O218"/>
  <c r="O226"/>
  <c r="O250"/>
  <c r="O258"/>
  <c r="O28"/>
  <c r="O35"/>
  <c r="Q63"/>
  <c r="Q71"/>
  <c r="O93"/>
  <c r="P102"/>
  <c r="R102" s="1"/>
  <c r="O125"/>
  <c r="O133"/>
  <c r="P156"/>
  <c r="P164"/>
  <c r="R164" s="1"/>
  <c r="P186"/>
  <c r="R186" s="1"/>
  <c r="Q191"/>
  <c r="Q223"/>
  <c r="Q231"/>
  <c r="O253"/>
  <c r="P260"/>
  <c r="R260" s="1"/>
  <c r="O29"/>
  <c r="P37"/>
  <c r="Q62"/>
  <c r="O72"/>
  <c r="Q94"/>
  <c r="O102"/>
  <c r="Q126"/>
  <c r="O132"/>
  <c r="Q158"/>
  <c r="Q166"/>
  <c r="O188"/>
  <c r="P197"/>
  <c r="P219"/>
  <c r="R219" s="1"/>
  <c r="P227"/>
  <c r="R227" s="1"/>
  <c r="O264"/>
  <c r="O26"/>
  <c r="P31"/>
  <c r="R31" s="1"/>
  <c r="O37"/>
  <c r="Q61"/>
  <c r="P66"/>
  <c r="R66" s="1"/>
  <c r="O95"/>
  <c r="P100"/>
  <c r="O123"/>
  <c r="Q129"/>
  <c r="P134"/>
  <c r="P158"/>
  <c r="Q163"/>
  <c r="O191"/>
  <c r="P196"/>
  <c r="O219"/>
  <c r="Q225"/>
  <c r="P230"/>
  <c r="R230" s="1"/>
  <c r="O251"/>
  <c r="Q257"/>
  <c r="P262"/>
  <c r="Q284"/>
  <c r="O290"/>
  <c r="P295"/>
  <c r="P317"/>
  <c r="Q324"/>
  <c r="O346"/>
  <c r="Q352"/>
  <c r="O358"/>
  <c r="P381"/>
  <c r="Q388"/>
  <c r="O410"/>
  <c r="Q416"/>
  <c r="O422"/>
  <c r="P445"/>
  <c r="Q452"/>
  <c r="O474"/>
  <c r="Q480"/>
  <c r="O486"/>
  <c r="P509"/>
  <c r="R509" s="1"/>
  <c r="Q516"/>
  <c r="P282"/>
  <c r="R282" s="1"/>
  <c r="Q287"/>
  <c r="P294"/>
  <c r="Q315"/>
  <c r="P320"/>
  <c r="R320" s="1"/>
  <c r="Q327"/>
  <c r="P348"/>
  <c r="Q355"/>
  <c r="P360"/>
  <c r="O381"/>
  <c r="P388"/>
  <c r="Q415"/>
  <c r="O421"/>
  <c r="Q443"/>
  <c r="P448"/>
  <c r="R448" s="1"/>
  <c r="Q455"/>
  <c r="P476"/>
  <c r="Q483"/>
  <c r="P488"/>
  <c r="O509"/>
  <c r="P516"/>
  <c r="O282"/>
  <c r="P287"/>
  <c r="P293"/>
  <c r="P315"/>
  <c r="O320"/>
  <c r="Q326"/>
  <c r="P347"/>
  <c r="O352"/>
  <c r="Q358"/>
  <c r="P379"/>
  <c r="O384"/>
  <c r="Q390"/>
  <c r="P411"/>
  <c r="O416"/>
  <c r="Q422"/>
  <c r="P443"/>
  <c r="O448"/>
  <c r="Q454"/>
  <c r="P475"/>
  <c r="O480"/>
  <c r="Q486"/>
  <c r="P507"/>
  <c r="R507" s="1"/>
  <c r="O512"/>
  <c r="Q518"/>
  <c r="O283"/>
  <c r="Q289"/>
  <c r="O293"/>
  <c r="O315"/>
  <c r="Q321"/>
  <c r="P326"/>
  <c r="R326" s="1"/>
  <c r="O347"/>
  <c r="Q353"/>
  <c r="P358"/>
  <c r="O379"/>
  <c r="Q385"/>
  <c r="P390"/>
  <c r="O411"/>
  <c r="Q417"/>
  <c r="P422"/>
  <c r="O443"/>
  <c r="Q449"/>
  <c r="P454"/>
  <c r="R454" s="1"/>
  <c r="O475"/>
  <c r="Q481"/>
  <c r="P486"/>
  <c r="O507"/>
  <c r="Q513"/>
  <c r="P518"/>
  <c r="R518" s="1"/>
  <c r="S518" s="1"/>
  <c r="P255"/>
  <c r="O128"/>
  <c r="O71"/>
  <c r="P63"/>
  <c r="Q192"/>
  <c r="Q169"/>
  <c r="Q73"/>
  <c r="P231"/>
  <c r="Q104"/>
  <c r="P160"/>
  <c r="Q96"/>
  <c r="Q160"/>
  <c r="O31"/>
  <c r="Q232"/>
  <c r="P39"/>
  <c r="Q105"/>
  <c r="O200"/>
  <c r="P33"/>
  <c r="P73"/>
  <c r="P77"/>
  <c r="P97"/>
  <c r="P137"/>
  <c r="P169"/>
  <c r="P173"/>
  <c r="P193"/>
  <c r="P233"/>
  <c r="P265"/>
  <c r="O45"/>
  <c r="O65"/>
  <c r="O77"/>
  <c r="O97"/>
  <c r="O109"/>
  <c r="O129"/>
  <c r="O141"/>
  <c r="O161"/>
  <c r="O173"/>
  <c r="O193"/>
  <c r="O205"/>
  <c r="O225"/>
  <c r="O237"/>
  <c r="O257"/>
  <c r="O269"/>
  <c r="Q44"/>
  <c r="Q74"/>
  <c r="O108"/>
  <c r="Q138"/>
  <c r="Q174"/>
  <c r="O202"/>
  <c r="O236"/>
  <c r="Q266"/>
  <c r="O41"/>
  <c r="Q75"/>
  <c r="O139"/>
  <c r="O203"/>
  <c r="O267"/>
  <c r="Q300"/>
  <c r="Q332"/>
  <c r="Q364"/>
  <c r="Q396"/>
  <c r="Q428"/>
  <c r="Q460"/>
  <c r="Q492"/>
  <c r="Q524"/>
  <c r="O289"/>
  <c r="O301"/>
  <c r="O321"/>
  <c r="O333"/>
  <c r="O353"/>
  <c r="O365"/>
  <c r="O385"/>
  <c r="O397"/>
  <c r="O417"/>
  <c r="O429"/>
  <c r="O449"/>
  <c r="O461"/>
  <c r="O481"/>
  <c r="O493"/>
  <c r="O513"/>
  <c r="O525"/>
  <c r="O300"/>
  <c r="Q330"/>
  <c r="O364"/>
  <c r="Q394"/>
  <c r="O428"/>
  <c r="Q458"/>
  <c r="O492"/>
  <c r="Q522"/>
  <c r="O297"/>
  <c r="Q333"/>
  <c r="P362"/>
  <c r="Q397"/>
  <c r="P426"/>
  <c r="Q461"/>
  <c r="P490"/>
  <c r="Q525"/>
  <c r="O168"/>
  <c r="P264"/>
  <c r="O135"/>
  <c r="O256"/>
  <c r="P191"/>
  <c r="R191" s="1"/>
  <c r="S191" s="1"/>
  <c r="P232"/>
  <c r="P64"/>
  <c r="P263"/>
  <c r="R263" s="1"/>
  <c r="S263" s="1"/>
  <c r="O136"/>
  <c r="Q201"/>
  <c r="Q256"/>
  <c r="R256" s="1"/>
  <c r="P199"/>
  <c r="Q128"/>
  <c r="Q72"/>
  <c r="Q41"/>
  <c r="O104"/>
  <c r="P45"/>
  <c r="P65"/>
  <c r="Q76"/>
  <c r="P109"/>
  <c r="P129"/>
  <c r="R129" s="1"/>
  <c r="P141"/>
  <c r="P161"/>
  <c r="R161" s="1"/>
  <c r="Q172"/>
  <c r="P205"/>
  <c r="P225"/>
  <c r="P237"/>
  <c r="P257"/>
  <c r="P269"/>
  <c r="Q43"/>
  <c r="P76"/>
  <c r="P108"/>
  <c r="P140"/>
  <c r="P172"/>
  <c r="P204"/>
  <c r="P236"/>
  <c r="P268"/>
  <c r="P43"/>
  <c r="R43" s="1"/>
  <c r="P107"/>
  <c r="Q142"/>
  <c r="O172"/>
  <c r="P201"/>
  <c r="Q206"/>
  <c r="P235"/>
  <c r="Q270"/>
  <c r="Q45"/>
  <c r="P74"/>
  <c r="Q109"/>
  <c r="P138"/>
  <c r="Q173"/>
  <c r="O201"/>
  <c r="Q237"/>
  <c r="P266"/>
  <c r="Q298"/>
  <c r="O330"/>
  <c r="O362"/>
  <c r="O394"/>
  <c r="O426"/>
  <c r="O458"/>
  <c r="O490"/>
  <c r="O522"/>
  <c r="P300"/>
  <c r="P332"/>
  <c r="P364"/>
  <c r="P396"/>
  <c r="P428"/>
  <c r="P460"/>
  <c r="P492"/>
  <c r="P524"/>
  <c r="P299"/>
  <c r="Q334"/>
  <c r="P363"/>
  <c r="Q398"/>
  <c r="P427"/>
  <c r="Q462"/>
  <c r="P491"/>
  <c r="Q526"/>
  <c r="O331"/>
  <c r="O395"/>
  <c r="O459"/>
  <c r="O523"/>
  <c r="P32"/>
  <c r="P136"/>
  <c r="Q33"/>
  <c r="O96"/>
  <c r="P192"/>
  <c r="R192" s="1"/>
  <c r="P200"/>
  <c r="P104"/>
  <c r="P159"/>
  <c r="O64"/>
  <c r="Q32"/>
  <c r="Q264"/>
  <c r="Q64"/>
  <c r="Q224"/>
  <c r="O39"/>
  <c r="Q136"/>
  <c r="P96"/>
  <c r="O44"/>
  <c r="P75"/>
  <c r="Q108"/>
  <c r="Q140"/>
  <c r="P171"/>
  <c r="Q204"/>
  <c r="Q236"/>
  <c r="Q268"/>
  <c r="P42"/>
  <c r="O75"/>
  <c r="Q107"/>
  <c r="Q139"/>
  <c r="O171"/>
  <c r="Q203"/>
  <c r="Q235"/>
  <c r="Q267"/>
  <c r="O42"/>
  <c r="Q78"/>
  <c r="O106"/>
  <c r="O140"/>
  <c r="Q170"/>
  <c r="O204"/>
  <c r="Q234"/>
  <c r="O268"/>
  <c r="P44"/>
  <c r="O107"/>
  <c r="Q171"/>
  <c r="O235"/>
  <c r="P289"/>
  <c r="P329"/>
  <c r="P361"/>
  <c r="P393"/>
  <c r="P425"/>
  <c r="P457"/>
  <c r="P489"/>
  <c r="P521"/>
  <c r="Q299"/>
  <c r="Q331"/>
  <c r="Q363"/>
  <c r="Q395"/>
  <c r="Q427"/>
  <c r="Q459"/>
  <c r="Q491"/>
  <c r="Q523"/>
  <c r="O298"/>
  <c r="O332"/>
  <c r="Q362"/>
  <c r="O396"/>
  <c r="Q426"/>
  <c r="O460"/>
  <c r="Q490"/>
  <c r="O524"/>
  <c r="Q301"/>
  <c r="P330"/>
  <c r="Q365"/>
  <c r="P394"/>
  <c r="Q429"/>
  <c r="P458"/>
  <c r="Q493"/>
  <c r="P522"/>
  <c r="O40"/>
  <c r="P223"/>
  <c r="P95"/>
  <c r="P224"/>
  <c r="O224"/>
  <c r="P135"/>
  <c r="Q40"/>
  <c r="O199"/>
  <c r="Q137"/>
  <c r="P40"/>
  <c r="O192"/>
  <c r="P71"/>
  <c r="R71" s="1"/>
  <c r="O103"/>
  <c r="P103"/>
  <c r="R103" s="1"/>
  <c r="Q168"/>
  <c r="P128"/>
  <c r="R128" s="1"/>
  <c r="P72"/>
  <c r="R72" s="1"/>
  <c r="Q42"/>
  <c r="O74"/>
  <c r="Q106"/>
  <c r="O138"/>
  <c r="O170"/>
  <c r="Q202"/>
  <c r="O234"/>
  <c r="O266"/>
  <c r="O33"/>
  <c r="O73"/>
  <c r="P106"/>
  <c r="O137"/>
  <c r="O169"/>
  <c r="P202"/>
  <c r="O233"/>
  <c r="O265"/>
  <c r="P41"/>
  <c r="Q46"/>
  <c r="O76"/>
  <c r="P105"/>
  <c r="Q110"/>
  <c r="P139"/>
  <c r="P203"/>
  <c r="Q238"/>
  <c r="P267"/>
  <c r="O43"/>
  <c r="Q77"/>
  <c r="O105"/>
  <c r="Q141"/>
  <c r="P170"/>
  <c r="Q205"/>
  <c r="P234"/>
  <c r="Q269"/>
  <c r="P301"/>
  <c r="P321"/>
  <c r="P333"/>
  <c r="R333" s="1"/>
  <c r="P353"/>
  <c r="P365"/>
  <c r="R365" s="1"/>
  <c r="P385"/>
  <c r="P397"/>
  <c r="P417"/>
  <c r="R417" s="1"/>
  <c r="P429"/>
  <c r="P449"/>
  <c r="P461"/>
  <c r="P481"/>
  <c r="P493"/>
  <c r="R493" s="1"/>
  <c r="P513"/>
  <c r="P525"/>
  <c r="P298"/>
  <c r="O329"/>
  <c r="O361"/>
  <c r="O393"/>
  <c r="O425"/>
  <c r="O457"/>
  <c r="O489"/>
  <c r="O521"/>
  <c r="P297"/>
  <c r="Q302"/>
  <c r="P331"/>
  <c r="Q366"/>
  <c r="P395"/>
  <c r="Q430"/>
  <c r="P459"/>
  <c r="Q494"/>
  <c r="P523"/>
  <c r="O299"/>
  <c r="O363"/>
  <c r="O427"/>
  <c r="O491"/>
  <c r="R504"/>
  <c r="S504" s="1"/>
  <c r="R467"/>
  <c r="S467" s="1"/>
  <c r="R439"/>
  <c r="S439" s="1"/>
  <c r="R311"/>
  <c r="S311" s="1"/>
  <c r="S505"/>
  <c r="S377"/>
  <c r="R153"/>
  <c r="S153" s="1"/>
  <c r="R440"/>
  <c r="S440" s="1"/>
  <c r="R340"/>
  <c r="S340" s="1"/>
  <c r="R149"/>
  <c r="S149" s="1"/>
  <c r="R25"/>
  <c r="S25" s="1"/>
  <c r="R216"/>
  <c r="S216" s="1"/>
  <c r="R217"/>
  <c r="S217" s="1"/>
  <c r="R371"/>
  <c r="S371" s="1"/>
  <c r="R178"/>
  <c r="S178" s="1"/>
  <c r="U406"/>
  <c r="V406" s="1"/>
  <c r="T406"/>
  <c r="R278"/>
  <c r="S278" s="1"/>
  <c r="R279"/>
  <c r="S279" s="1"/>
  <c r="R152"/>
  <c r="S152" s="1"/>
  <c r="R243"/>
  <c r="S243" s="1"/>
  <c r="S247"/>
  <c r="R435"/>
  <c r="S435" s="1"/>
  <c r="S242"/>
  <c r="R339"/>
  <c r="S339" s="1"/>
  <c r="R409"/>
  <c r="S409" s="1"/>
  <c r="R184"/>
  <c r="S184" s="1"/>
  <c r="R249"/>
  <c r="S249" s="1"/>
  <c r="R115"/>
  <c r="S115" s="1"/>
  <c r="U310"/>
  <c r="V310" s="1"/>
  <c r="T310"/>
  <c r="R471"/>
  <c r="S471" s="1"/>
  <c r="R343"/>
  <c r="S343" s="1"/>
  <c r="R182"/>
  <c r="S182" s="1"/>
  <c r="R499"/>
  <c r="S499" s="1"/>
  <c r="R403"/>
  <c r="S403" s="1"/>
  <c r="R181"/>
  <c r="S181" s="1"/>
  <c r="R179"/>
  <c r="S179" s="1"/>
  <c r="R370"/>
  <c r="S370" s="1"/>
  <c r="R408"/>
  <c r="S408" s="1"/>
  <c r="R308"/>
  <c r="S308" s="1"/>
  <c r="R22"/>
  <c r="S22" s="1"/>
  <c r="R83"/>
  <c r="S83" s="1"/>
  <c r="U342"/>
  <c r="V342" s="1"/>
  <c r="T342"/>
  <c r="R89"/>
  <c r="S89" s="1"/>
  <c r="R120"/>
  <c r="S120" s="1"/>
  <c r="S215"/>
  <c r="R312"/>
  <c r="S312" s="1"/>
  <c r="S117"/>
  <c r="R24"/>
  <c r="S24" s="1"/>
  <c r="R281"/>
  <c r="S281" s="1"/>
  <c r="R436"/>
  <c r="S436" s="1"/>
  <c r="R473"/>
  <c r="S473" s="1"/>
  <c r="R345"/>
  <c r="S345" s="1"/>
  <c r="R56"/>
  <c r="S56" s="1"/>
  <c r="R57"/>
  <c r="S57" s="1"/>
  <c r="R211"/>
  <c r="S211" s="1"/>
  <c r="R765"/>
  <c r="S765" s="1"/>
  <c r="R1022"/>
  <c r="S1022" s="1"/>
  <c r="T1022" s="1"/>
  <c r="S756"/>
  <c r="U756" s="1"/>
  <c r="V756" s="1"/>
  <c r="R982"/>
  <c r="S982" s="1"/>
  <c r="U982" s="1"/>
  <c r="V982" s="1"/>
  <c r="R797"/>
  <c r="S797" s="1"/>
  <c r="U797" s="1"/>
  <c r="V797" s="1"/>
  <c r="R670"/>
  <c r="S670" s="1"/>
  <c r="T670" s="1"/>
  <c r="R757"/>
  <c r="S757" s="1"/>
  <c r="R701"/>
  <c r="S701" s="1"/>
  <c r="T701" s="1"/>
  <c r="R917"/>
  <c r="S917" s="1"/>
  <c r="T917" s="1"/>
  <c r="R758"/>
  <c r="S758" s="1"/>
  <c r="U758" s="1"/>
  <c r="V758" s="1"/>
  <c r="R830"/>
  <c r="S830" s="1"/>
  <c r="T830" s="1"/>
  <c r="U27" i="48"/>
  <c r="U28" s="1"/>
  <c r="U29" s="1"/>
  <c r="U30" s="1"/>
  <c r="U31" s="1"/>
  <c r="U32" s="1"/>
  <c r="U33" s="1"/>
  <c r="U34" s="1"/>
  <c r="U35" s="1"/>
  <c r="U36" s="1"/>
  <c r="U37" s="1"/>
  <c r="U38" s="1"/>
  <c r="U39" s="1"/>
  <c r="U40" s="1"/>
  <c r="U41" s="1"/>
  <c r="U42" s="1"/>
  <c r="U43" s="1"/>
  <c r="U44" s="1"/>
  <c r="U45" s="1"/>
  <c r="U46" s="1"/>
  <c r="U47" s="1"/>
  <c r="U48" s="1"/>
  <c r="U49" s="1"/>
  <c r="U50" s="1"/>
  <c r="U51" s="1"/>
  <c r="U52" s="1"/>
  <c r="U53" s="1"/>
  <c r="U54" s="1"/>
  <c r="U55" s="1"/>
  <c r="U56" s="1"/>
  <c r="U57" s="1"/>
  <c r="U58" s="1"/>
  <c r="U59" s="1"/>
  <c r="U60" s="1"/>
  <c r="U61" s="1"/>
  <c r="U62" s="1"/>
  <c r="U63" s="1"/>
  <c r="U64" s="1"/>
  <c r="U65" s="1"/>
  <c r="U66" s="1"/>
  <c r="U67" s="1"/>
  <c r="U68" s="1"/>
  <c r="U69" s="1"/>
  <c r="U70" s="1"/>
  <c r="U71" s="1"/>
  <c r="U72" s="1"/>
  <c r="U73" s="1"/>
  <c r="U74" s="1"/>
  <c r="U75" s="1"/>
  <c r="U76" s="1"/>
  <c r="U77" s="1"/>
  <c r="U78" s="1"/>
  <c r="U79" s="1"/>
  <c r="U80" s="1"/>
  <c r="U81" s="1"/>
  <c r="U82" s="1"/>
  <c r="U83" s="1"/>
  <c r="U84" s="1"/>
  <c r="U85" s="1"/>
  <c r="U86" s="1"/>
  <c r="U87" s="1"/>
  <c r="U88" s="1"/>
  <c r="U89" s="1"/>
  <c r="U90" s="1"/>
  <c r="U91" s="1"/>
  <c r="U92" s="1"/>
  <c r="U93" s="1"/>
  <c r="U94" s="1"/>
  <c r="U95" s="1"/>
  <c r="U96" s="1"/>
  <c r="U97" s="1"/>
  <c r="U98" s="1"/>
  <c r="U99" s="1"/>
  <c r="U100" s="1"/>
  <c r="U101" s="1"/>
  <c r="U102" s="1"/>
  <c r="U103" s="1"/>
  <c r="U104" s="1"/>
  <c r="U105" s="1"/>
  <c r="U106" s="1"/>
  <c r="U107" s="1"/>
  <c r="U108" s="1"/>
  <c r="U109" s="1"/>
  <c r="U110" s="1"/>
  <c r="U111" s="1"/>
  <c r="U112" s="1"/>
  <c r="P582" i="49"/>
  <c r="O678"/>
  <c r="O710"/>
  <c r="P838"/>
  <c r="P870"/>
  <c r="P614"/>
  <c r="P646"/>
  <c r="O582"/>
  <c r="O774"/>
  <c r="O870"/>
  <c r="O934"/>
  <c r="O966"/>
  <c r="O1030"/>
  <c r="P1030"/>
  <c r="O646"/>
  <c r="P678"/>
  <c r="O838"/>
  <c r="P902"/>
  <c r="P934"/>
  <c r="O614"/>
  <c r="P710"/>
  <c r="P742"/>
  <c r="R742" s="1"/>
  <c r="P774"/>
  <c r="O742"/>
  <c r="O806"/>
  <c r="O902"/>
  <c r="P806"/>
  <c r="P966"/>
  <c r="P998"/>
  <c r="O998"/>
  <c r="O1062"/>
  <c r="P1062"/>
  <c r="R637"/>
  <c r="S637" s="1"/>
  <c r="R918"/>
  <c r="S918" s="1"/>
  <c r="R1013"/>
  <c r="S1013" s="1"/>
  <c r="R853"/>
  <c r="S853" s="1"/>
  <c r="R789"/>
  <c r="S789" s="1"/>
  <c r="R597"/>
  <c r="S597" s="1"/>
  <c r="S1020"/>
  <c r="R1053"/>
  <c r="S1053" s="1"/>
  <c r="R981"/>
  <c r="S981" s="1"/>
  <c r="R925"/>
  <c r="S925" s="1"/>
  <c r="R862"/>
  <c r="S862" s="1"/>
  <c r="R606"/>
  <c r="S606" s="1"/>
  <c r="R894"/>
  <c r="S894" s="1"/>
  <c r="R629"/>
  <c r="S629" s="1"/>
  <c r="R861"/>
  <c r="S861" s="1"/>
  <c r="R573"/>
  <c r="S573" s="1"/>
  <c r="R605"/>
  <c r="S605" s="1"/>
  <c r="R1046"/>
  <c r="S1046" s="1"/>
  <c r="R885"/>
  <c r="S885" s="1"/>
  <c r="R989"/>
  <c r="S989" s="1"/>
  <c r="R821"/>
  <c r="S821" s="1"/>
  <c r="R574"/>
  <c r="S574" s="1"/>
  <c r="R565"/>
  <c r="S565" s="1"/>
  <c r="R766"/>
  <c r="S766" s="1"/>
  <c r="R926"/>
  <c r="S926" s="1"/>
  <c r="R893"/>
  <c r="S893" s="1"/>
  <c r="R949"/>
  <c r="S949" s="1"/>
  <c r="R886"/>
  <c r="S886" s="1"/>
  <c r="S724"/>
  <c r="R958"/>
  <c r="S958" s="1"/>
  <c r="R734"/>
  <c r="S734" s="1"/>
  <c r="R1054"/>
  <c r="S1054" s="1"/>
  <c r="R957"/>
  <c r="S957" s="1"/>
  <c r="R1014"/>
  <c r="S1014" s="1"/>
  <c r="R829"/>
  <c r="S829" s="1"/>
  <c r="R630"/>
  <c r="S630" s="1"/>
  <c r="R1021"/>
  <c r="S1021" s="1"/>
  <c r="R854"/>
  <c r="S854" s="1"/>
  <c r="R790"/>
  <c r="S790" s="1"/>
  <c r="R725"/>
  <c r="S725" s="1"/>
  <c r="R598"/>
  <c r="S598" s="1"/>
  <c r="B163" i="29"/>
  <c r="B164"/>
  <c r="B160"/>
  <c r="B150"/>
  <c r="B149"/>
  <c r="B145"/>
  <c r="B153" s="1"/>
  <c r="B146"/>
  <c r="D193"/>
  <c r="D194" s="1"/>
  <c r="D196"/>
  <c r="J2" i="49"/>
  <c r="R959" l="1"/>
  <c r="S959" s="1"/>
  <c r="U959" s="1"/>
  <c r="V959" s="1"/>
  <c r="R350"/>
  <c r="S350" s="1"/>
  <c r="T350" s="1"/>
  <c r="R76"/>
  <c r="S76" s="1"/>
  <c r="R512"/>
  <c r="S512" s="1"/>
  <c r="S484"/>
  <c r="U484" s="1"/>
  <c r="V484" s="1"/>
  <c r="R283"/>
  <c r="S283" s="1"/>
  <c r="R461"/>
  <c r="S461" s="1"/>
  <c r="T461" s="1"/>
  <c r="R380"/>
  <c r="S380" s="1"/>
  <c r="R486"/>
  <c r="S486" s="1"/>
  <c r="U486" s="1"/>
  <c r="V486" s="1"/>
  <c r="S482"/>
  <c r="U482" s="1"/>
  <c r="V482" s="1"/>
  <c r="U856"/>
  <c r="V856" s="1"/>
  <c r="R292"/>
  <c r="S292" s="1"/>
  <c r="C232" i="29"/>
  <c r="C44" i="30" s="1"/>
  <c r="U791" i="49"/>
  <c r="V791" s="1"/>
  <c r="U591"/>
  <c r="V591" s="1"/>
  <c r="T1007"/>
  <c r="U979"/>
  <c r="V979" s="1"/>
  <c r="S610"/>
  <c r="U610" s="1"/>
  <c r="V610" s="1"/>
  <c r="R60"/>
  <c r="S60" s="1"/>
  <c r="T60" s="1"/>
  <c r="R202"/>
  <c r="S202" s="1"/>
  <c r="T202" s="1"/>
  <c r="T571"/>
  <c r="R806"/>
  <c r="S806" s="1"/>
  <c r="T806" s="1"/>
  <c r="T438"/>
  <c r="U728"/>
  <c r="V728" s="1"/>
  <c r="R41"/>
  <c r="S41" s="1"/>
  <c r="T41" s="1"/>
  <c r="R646"/>
  <c r="S646" s="1"/>
  <c r="U628"/>
  <c r="V628" s="1"/>
  <c r="R645"/>
  <c r="S645" s="1"/>
  <c r="T645" s="1"/>
  <c r="R358"/>
  <c r="S358" s="1"/>
  <c r="T358" s="1"/>
  <c r="B219" i="29"/>
  <c r="U952" i="49"/>
  <c r="V952" s="1"/>
  <c r="U470"/>
  <c r="V470" s="1"/>
  <c r="R934"/>
  <c r="S934" s="1"/>
  <c r="T934" s="1"/>
  <c r="R642"/>
  <c r="S642" s="1"/>
  <c r="T642" s="1"/>
  <c r="R422"/>
  <c r="S422" s="1"/>
  <c r="T422" s="1"/>
  <c r="T753"/>
  <c r="R998"/>
  <c r="S998" s="1"/>
  <c r="T998" s="1"/>
  <c r="T466"/>
  <c r="T656"/>
  <c r="T880"/>
  <c r="R902"/>
  <c r="S902" s="1"/>
  <c r="R804"/>
  <c r="S804" s="1"/>
  <c r="U804" s="1"/>
  <c r="V804" s="1"/>
  <c r="U595"/>
  <c r="V595" s="1"/>
  <c r="U912"/>
  <c r="V912" s="1"/>
  <c r="R609"/>
  <c r="S609" s="1"/>
  <c r="U609" s="1"/>
  <c r="V609" s="1"/>
  <c r="R992"/>
  <c r="S992" s="1"/>
  <c r="R607"/>
  <c r="S607" s="1"/>
  <c r="U607" s="1"/>
  <c r="V607" s="1"/>
  <c r="U313"/>
  <c r="V313" s="1"/>
  <c r="R838"/>
  <c r="S838" s="1"/>
  <c r="U838" s="1"/>
  <c r="V838" s="1"/>
  <c r="R1029"/>
  <c r="S1029" s="1"/>
  <c r="T655"/>
  <c r="U732"/>
  <c r="V732" s="1"/>
  <c r="S611"/>
  <c r="U611" s="1"/>
  <c r="V611" s="1"/>
  <c r="R106"/>
  <c r="S106" s="1"/>
  <c r="U106" s="1"/>
  <c r="V106" s="1"/>
  <c r="R869"/>
  <c r="S869" s="1"/>
  <c r="R641"/>
  <c r="S641" s="1"/>
  <c r="T641" s="1"/>
  <c r="R865"/>
  <c r="S865" s="1"/>
  <c r="T865" s="1"/>
  <c r="R608"/>
  <c r="S608" s="1"/>
  <c r="R836"/>
  <c r="S836" s="1"/>
  <c r="R772"/>
  <c r="S772" s="1"/>
  <c r="T772" s="1"/>
  <c r="U150"/>
  <c r="V150" s="1"/>
  <c r="T879"/>
  <c r="R900"/>
  <c r="S900" s="1"/>
  <c r="T900" s="1"/>
  <c r="U924"/>
  <c r="V924" s="1"/>
  <c r="R639"/>
  <c r="S639" s="1"/>
  <c r="R929"/>
  <c r="S929" s="1"/>
  <c r="T929" s="1"/>
  <c r="R864"/>
  <c r="S864" s="1"/>
  <c r="U864" s="1"/>
  <c r="V864" s="1"/>
  <c r="U114"/>
  <c r="V114" s="1"/>
  <c r="R774"/>
  <c r="S774" s="1"/>
  <c r="T774" s="1"/>
  <c r="T951"/>
  <c r="R1062"/>
  <c r="S1062" s="1"/>
  <c r="U1062" s="1"/>
  <c r="V1062" s="1"/>
  <c r="S580"/>
  <c r="U580" s="1"/>
  <c r="V580" s="1"/>
  <c r="R1059"/>
  <c r="S1059" s="1"/>
  <c r="R740"/>
  <c r="S740" s="1"/>
  <c r="U740" s="1"/>
  <c r="V740" s="1"/>
  <c r="U916"/>
  <c r="V916" s="1"/>
  <c r="T852"/>
  <c r="R582"/>
  <c r="S582" s="1"/>
  <c r="U950"/>
  <c r="V950" s="1"/>
  <c r="U344"/>
  <c r="V344" s="1"/>
  <c r="R866"/>
  <c r="S866" s="1"/>
  <c r="U866" s="1"/>
  <c r="V866" s="1"/>
  <c r="R1061"/>
  <c r="S1061" s="1"/>
  <c r="R1056"/>
  <c r="S1056" s="1"/>
  <c r="R899"/>
  <c r="S899" s="1"/>
  <c r="U899" s="1"/>
  <c r="V899" s="1"/>
  <c r="R613"/>
  <c r="S613" s="1"/>
  <c r="R799"/>
  <c r="S799" s="1"/>
  <c r="T799" s="1"/>
  <c r="R837"/>
  <c r="S837" s="1"/>
  <c r="T837" s="1"/>
  <c r="R675"/>
  <c r="S675" s="1"/>
  <c r="S960"/>
  <c r="T960" s="1"/>
  <c r="R832"/>
  <c r="S832" s="1"/>
  <c r="R965"/>
  <c r="S965" s="1"/>
  <c r="R1058"/>
  <c r="S1058" s="1"/>
  <c r="T1058" s="1"/>
  <c r="R927"/>
  <c r="S927" s="1"/>
  <c r="U927" s="1"/>
  <c r="V927" s="1"/>
  <c r="T118"/>
  <c r="T468"/>
  <c r="R612"/>
  <c r="S612" s="1"/>
  <c r="R739"/>
  <c r="S739" s="1"/>
  <c r="T739" s="1"/>
  <c r="U921"/>
  <c r="V921" s="1"/>
  <c r="U891"/>
  <c r="V891" s="1"/>
  <c r="R834"/>
  <c r="S834" s="1"/>
  <c r="U834" s="1"/>
  <c r="V834" s="1"/>
  <c r="T52"/>
  <c r="R996"/>
  <c r="S996" s="1"/>
  <c r="R707"/>
  <c r="S707" s="1"/>
  <c r="S673"/>
  <c r="U673" s="1"/>
  <c r="V673" s="1"/>
  <c r="R703"/>
  <c r="S703" s="1"/>
  <c r="T703" s="1"/>
  <c r="R995"/>
  <c r="S995" s="1"/>
  <c r="T995" s="1"/>
  <c r="R577"/>
  <c r="S577" s="1"/>
  <c r="T577" s="1"/>
  <c r="R706"/>
  <c r="S706" s="1"/>
  <c r="T706" s="1"/>
  <c r="T825"/>
  <c r="R643"/>
  <c r="S643" s="1"/>
  <c r="U643" s="1"/>
  <c r="V643" s="1"/>
  <c r="R773"/>
  <c r="S773" s="1"/>
  <c r="T773" s="1"/>
  <c r="U212"/>
  <c r="V212" s="1"/>
  <c r="U434"/>
  <c r="V434" s="1"/>
  <c r="U1043"/>
  <c r="V1043" s="1"/>
  <c r="U947"/>
  <c r="V947" s="1"/>
  <c r="R991"/>
  <c r="S991" s="1"/>
  <c r="U991" s="1"/>
  <c r="V991" s="1"/>
  <c r="R710"/>
  <c r="S710" s="1"/>
  <c r="T710" s="1"/>
  <c r="R614"/>
  <c r="S614" s="1"/>
  <c r="T53"/>
  <c r="R1026"/>
  <c r="S1026" s="1"/>
  <c r="R741"/>
  <c r="S741" s="1"/>
  <c r="S963"/>
  <c r="U963" s="1"/>
  <c r="V963" s="1"/>
  <c r="R895"/>
  <c r="S895" s="1"/>
  <c r="R928"/>
  <c r="S928" s="1"/>
  <c r="U928" s="1"/>
  <c r="V928" s="1"/>
  <c r="S962"/>
  <c r="T962" s="1"/>
  <c r="R579"/>
  <c r="S579" s="1"/>
  <c r="R1055"/>
  <c r="S1055" s="1"/>
  <c r="R674"/>
  <c r="S674" s="1"/>
  <c r="U674" s="1"/>
  <c r="V674" s="1"/>
  <c r="R833"/>
  <c r="S833" s="1"/>
  <c r="T833" s="1"/>
  <c r="S581"/>
  <c r="U581" s="1"/>
  <c r="V581" s="1"/>
  <c r="R737"/>
  <c r="S737" s="1"/>
  <c r="R704"/>
  <c r="S704" s="1"/>
  <c r="U704" s="1"/>
  <c r="V704" s="1"/>
  <c r="T559"/>
  <c r="U913"/>
  <c r="V913" s="1"/>
  <c r="R868"/>
  <c r="S868" s="1"/>
  <c r="U868" s="1"/>
  <c r="V868" s="1"/>
  <c r="R961"/>
  <c r="S961" s="1"/>
  <c r="R831"/>
  <c r="S831" s="1"/>
  <c r="S770"/>
  <c r="T770" s="1"/>
  <c r="R801"/>
  <c r="S801" s="1"/>
  <c r="T801" s="1"/>
  <c r="R1023"/>
  <c r="S1023" s="1"/>
  <c r="T1023" s="1"/>
  <c r="R933"/>
  <c r="S933" s="1"/>
  <c r="U933" s="1"/>
  <c r="V933" s="1"/>
  <c r="T373"/>
  <c r="U373"/>
  <c r="V373" s="1"/>
  <c r="S578"/>
  <c r="U578" s="1"/>
  <c r="V578" s="1"/>
  <c r="U669"/>
  <c r="V669" s="1"/>
  <c r="R870"/>
  <c r="S870" s="1"/>
  <c r="T870" s="1"/>
  <c r="U469"/>
  <c r="V469" s="1"/>
  <c r="S997"/>
  <c r="U997" s="1"/>
  <c r="V997" s="1"/>
  <c r="S800"/>
  <c r="T800" s="1"/>
  <c r="R835"/>
  <c r="S835" s="1"/>
  <c r="U835" s="1"/>
  <c r="V835" s="1"/>
  <c r="R966"/>
  <c r="S966" s="1"/>
  <c r="T966" s="1"/>
  <c r="U631"/>
  <c r="V631" s="1"/>
  <c r="R671"/>
  <c r="S671" s="1"/>
  <c r="U671" s="1"/>
  <c r="V671" s="1"/>
  <c r="T404"/>
  <c r="U731"/>
  <c r="V731" s="1"/>
  <c r="R390"/>
  <c r="S390" s="1"/>
  <c r="T390" s="1"/>
  <c r="R1060"/>
  <c r="S1060" s="1"/>
  <c r="U1060" s="1"/>
  <c r="V1060" s="1"/>
  <c r="R932"/>
  <c r="S932" s="1"/>
  <c r="U932" s="1"/>
  <c r="V932" s="1"/>
  <c r="T890"/>
  <c r="U827"/>
  <c r="V827" s="1"/>
  <c r="T847"/>
  <c r="U594"/>
  <c r="V594" s="1"/>
  <c r="T698"/>
  <c r="R768"/>
  <c r="S768" s="1"/>
  <c r="T768" s="1"/>
  <c r="R738"/>
  <c r="S738" s="1"/>
  <c r="U738" s="1"/>
  <c r="V738" s="1"/>
  <c r="U690"/>
  <c r="V690" s="1"/>
  <c r="R1057"/>
  <c r="S1057" s="1"/>
  <c r="T1057" s="1"/>
  <c r="T702"/>
  <c r="U702"/>
  <c r="V702" s="1"/>
  <c r="R73"/>
  <c r="S73" s="1"/>
  <c r="T978"/>
  <c r="U977"/>
  <c r="V977" s="1"/>
  <c r="U402"/>
  <c r="V402" s="1"/>
  <c r="T944"/>
  <c r="R931"/>
  <c r="S931" s="1"/>
  <c r="R705"/>
  <c r="S705" s="1"/>
  <c r="U705" s="1"/>
  <c r="V705" s="1"/>
  <c r="R805"/>
  <c r="S805" s="1"/>
  <c r="T805" s="1"/>
  <c r="R898"/>
  <c r="S898" s="1"/>
  <c r="U898" s="1"/>
  <c r="V898" s="1"/>
  <c r="R930"/>
  <c r="S930" s="1"/>
  <c r="T930" s="1"/>
  <c r="R1027"/>
  <c r="S1027" s="1"/>
  <c r="U1027" s="1"/>
  <c r="V1027" s="1"/>
  <c r="R644"/>
  <c r="S644" s="1"/>
  <c r="T644" s="1"/>
  <c r="R867"/>
  <c r="S867" s="1"/>
  <c r="T867" s="1"/>
  <c r="R896"/>
  <c r="S896" s="1"/>
  <c r="U896" s="1"/>
  <c r="V896" s="1"/>
  <c r="R1028"/>
  <c r="S1028" s="1"/>
  <c r="T1028" s="1"/>
  <c r="R736"/>
  <c r="S736" s="1"/>
  <c r="U736" s="1"/>
  <c r="V736" s="1"/>
  <c r="R802"/>
  <c r="S802" s="1"/>
  <c r="U802" s="1"/>
  <c r="V802" s="1"/>
  <c r="R993"/>
  <c r="S993" s="1"/>
  <c r="U993" s="1"/>
  <c r="V993" s="1"/>
  <c r="R708"/>
  <c r="S708" s="1"/>
  <c r="T708" s="1"/>
  <c r="R863"/>
  <c r="S863" s="1"/>
  <c r="T863" s="1"/>
  <c r="R1025"/>
  <c r="S1025" s="1"/>
  <c r="U1025" s="1"/>
  <c r="V1025" s="1"/>
  <c r="U210"/>
  <c r="V210" s="1"/>
  <c r="T210"/>
  <c r="U632"/>
  <c r="V632" s="1"/>
  <c r="T632"/>
  <c r="U501"/>
  <c r="V501" s="1"/>
  <c r="T501"/>
  <c r="S964"/>
  <c r="T964" s="1"/>
  <c r="S901"/>
  <c r="T901" s="1"/>
  <c r="R1030"/>
  <c r="S1030" s="1"/>
  <c r="S640"/>
  <c r="U640" s="1"/>
  <c r="V640" s="1"/>
  <c r="U246"/>
  <c r="V246" s="1"/>
  <c r="U987"/>
  <c r="V987" s="1"/>
  <c r="R709"/>
  <c r="S709" s="1"/>
  <c r="T709" s="1"/>
  <c r="S803"/>
  <c r="T803" s="1"/>
  <c r="U441"/>
  <c r="V441" s="1"/>
  <c r="U405"/>
  <c r="V405" s="1"/>
  <c r="T625"/>
  <c r="T851"/>
  <c r="T919"/>
  <c r="R678"/>
  <c r="S678" s="1"/>
  <c r="U678" s="1"/>
  <c r="V678" s="1"/>
  <c r="R1024"/>
  <c r="S1024" s="1"/>
  <c r="U1024" s="1"/>
  <c r="V1024" s="1"/>
  <c r="R771"/>
  <c r="S771" s="1"/>
  <c r="R897"/>
  <c r="S897" s="1"/>
  <c r="U897" s="1"/>
  <c r="V897" s="1"/>
  <c r="R767"/>
  <c r="S767" s="1"/>
  <c r="U767" s="1"/>
  <c r="V767" s="1"/>
  <c r="R735"/>
  <c r="S735" s="1"/>
  <c r="U735" s="1"/>
  <c r="V735" s="1"/>
  <c r="R676"/>
  <c r="S676" s="1"/>
  <c r="R672"/>
  <c r="S672" s="1"/>
  <c r="T672" s="1"/>
  <c r="U761"/>
  <c r="V761" s="1"/>
  <c r="T761"/>
  <c r="R769"/>
  <c r="S769" s="1"/>
  <c r="T769" s="1"/>
  <c r="S677"/>
  <c r="T677" s="1"/>
  <c r="U147"/>
  <c r="V147" s="1"/>
  <c r="U500"/>
  <c r="V500" s="1"/>
  <c r="U20"/>
  <c r="V20" s="1"/>
  <c r="U18"/>
  <c r="V18" s="1"/>
  <c r="T280"/>
  <c r="U855"/>
  <c r="V855" s="1"/>
  <c r="R201"/>
  <c r="S201" s="1"/>
  <c r="S575"/>
  <c r="U575" s="1"/>
  <c r="V575" s="1"/>
  <c r="U341"/>
  <c r="V341" s="1"/>
  <c r="T341"/>
  <c r="U55"/>
  <c r="V55" s="1"/>
  <c r="T55"/>
  <c r="T699"/>
  <c r="T763"/>
  <c r="T627"/>
  <c r="T720"/>
  <c r="T730"/>
  <c r="U146"/>
  <c r="V146" s="1"/>
  <c r="U719"/>
  <c r="V719" s="1"/>
  <c r="U1051"/>
  <c r="V1051" s="1"/>
  <c r="U691"/>
  <c r="V691" s="1"/>
  <c r="T602"/>
  <c r="U602"/>
  <c r="V602" s="1"/>
  <c r="U858"/>
  <c r="V858" s="1"/>
  <c r="T858"/>
  <c r="T953"/>
  <c r="U953"/>
  <c r="V953" s="1"/>
  <c r="T794"/>
  <c r="U794"/>
  <c r="V794" s="1"/>
  <c r="U762"/>
  <c r="V762" s="1"/>
  <c r="T762"/>
  <c r="U664"/>
  <c r="V664" s="1"/>
  <c r="T664"/>
  <c r="T721"/>
  <c r="U721"/>
  <c r="V721" s="1"/>
  <c r="T793"/>
  <c r="U793"/>
  <c r="V793" s="1"/>
  <c r="T1042"/>
  <c r="U1042"/>
  <c r="V1042" s="1"/>
  <c r="U635"/>
  <c r="V635" s="1"/>
  <c r="T635"/>
  <c r="U1011"/>
  <c r="V1011" s="1"/>
  <c r="T1011"/>
  <c r="U689"/>
  <c r="V689" s="1"/>
  <c r="T689"/>
  <c r="T561"/>
  <c r="U561"/>
  <c r="V561" s="1"/>
  <c r="U914"/>
  <c r="V914" s="1"/>
  <c r="T914"/>
  <c r="T687"/>
  <c r="U687"/>
  <c r="V687" s="1"/>
  <c r="T593"/>
  <c r="U593"/>
  <c r="V593" s="1"/>
  <c r="T751"/>
  <c r="U751"/>
  <c r="V751" s="1"/>
  <c r="U850"/>
  <c r="V850" s="1"/>
  <c r="T850"/>
  <c r="T568"/>
  <c r="U568"/>
  <c r="V568" s="1"/>
  <c r="T911"/>
  <c r="U911"/>
  <c r="V911" s="1"/>
  <c r="T787"/>
  <c r="U787"/>
  <c r="V787" s="1"/>
  <c r="U695"/>
  <c r="V695" s="1"/>
  <c r="T695"/>
  <c r="T729"/>
  <c r="U729"/>
  <c r="V729" s="1"/>
  <c r="U955"/>
  <c r="V955" s="1"/>
  <c r="T955"/>
  <c r="T922"/>
  <c r="U922"/>
  <c r="V922" s="1"/>
  <c r="T599"/>
  <c r="U599"/>
  <c r="V599" s="1"/>
  <c r="U722"/>
  <c r="V722" s="1"/>
  <c r="T722"/>
  <c r="T824"/>
  <c r="U824"/>
  <c r="V824" s="1"/>
  <c r="T816"/>
  <c r="U816"/>
  <c r="V816" s="1"/>
  <c r="T600"/>
  <c r="U600"/>
  <c r="V600" s="1"/>
  <c r="T815"/>
  <c r="U815"/>
  <c r="V815" s="1"/>
  <c r="T633"/>
  <c r="U633"/>
  <c r="V633" s="1"/>
  <c r="U1016"/>
  <c r="V1016" s="1"/>
  <c r="T1016"/>
  <c r="T1048"/>
  <c r="U1048"/>
  <c r="V1048" s="1"/>
  <c r="T883"/>
  <c r="U883"/>
  <c r="V883" s="1"/>
  <c r="U823"/>
  <c r="V823" s="1"/>
  <c r="T823"/>
  <c r="T915"/>
  <c r="U915"/>
  <c r="V915" s="1"/>
  <c r="U754"/>
  <c r="V754" s="1"/>
  <c r="T754"/>
  <c r="T1040"/>
  <c r="U1040"/>
  <c r="V1040" s="1"/>
  <c r="T784"/>
  <c r="U784"/>
  <c r="V784" s="1"/>
  <c r="U570"/>
  <c r="V570" s="1"/>
  <c r="T570"/>
  <c r="U783"/>
  <c r="V783" s="1"/>
  <c r="T783"/>
  <c r="T819"/>
  <c r="U819"/>
  <c r="V819" s="1"/>
  <c r="U1047"/>
  <c r="V1047" s="1"/>
  <c r="T1047"/>
  <c r="T923"/>
  <c r="U923"/>
  <c r="V923" s="1"/>
  <c r="U603"/>
  <c r="V603" s="1"/>
  <c r="T603"/>
  <c r="U984"/>
  <c r="V984" s="1"/>
  <c r="T984"/>
  <c r="T563"/>
  <c r="U563"/>
  <c r="V563" s="1"/>
  <c r="U786"/>
  <c r="V786" s="1"/>
  <c r="T786"/>
  <c r="U1015"/>
  <c r="V1015" s="1"/>
  <c r="T1015"/>
  <c r="T859"/>
  <c r="U859"/>
  <c r="V859" s="1"/>
  <c r="U1010"/>
  <c r="V1010" s="1"/>
  <c r="T1010"/>
  <c r="T1049"/>
  <c r="U1049"/>
  <c r="V1049" s="1"/>
  <c r="T887"/>
  <c r="U887"/>
  <c r="V887" s="1"/>
  <c r="T601"/>
  <c r="U601"/>
  <c r="V601" s="1"/>
  <c r="T752"/>
  <c r="U752"/>
  <c r="V752" s="1"/>
  <c r="U983"/>
  <c r="V983" s="1"/>
  <c r="T983"/>
  <c r="U562"/>
  <c r="V562" s="1"/>
  <c r="T562"/>
  <c r="T848"/>
  <c r="U848"/>
  <c r="V848" s="1"/>
  <c r="T665"/>
  <c r="U665"/>
  <c r="V665" s="1"/>
  <c r="U1018"/>
  <c r="V1018" s="1"/>
  <c r="T1018"/>
  <c r="T943"/>
  <c r="U943"/>
  <c r="V943" s="1"/>
  <c r="U755"/>
  <c r="V755" s="1"/>
  <c r="T755"/>
  <c r="T889"/>
  <c r="U889"/>
  <c r="V889" s="1"/>
  <c r="U1019"/>
  <c r="V1019" s="1"/>
  <c r="T1019"/>
  <c r="T663"/>
  <c r="U663"/>
  <c r="V663" s="1"/>
  <c r="T945"/>
  <c r="U945"/>
  <c r="V945" s="1"/>
  <c r="T688"/>
  <c r="U688"/>
  <c r="V688" s="1"/>
  <c r="T623"/>
  <c r="U623"/>
  <c r="V623" s="1"/>
  <c r="T697"/>
  <c r="U697"/>
  <c r="V697" s="1"/>
  <c r="T659"/>
  <c r="U659"/>
  <c r="V659" s="1"/>
  <c r="T946"/>
  <c r="U946"/>
  <c r="V946" s="1"/>
  <c r="T795"/>
  <c r="U795"/>
  <c r="V795" s="1"/>
  <c r="T1017"/>
  <c r="U1017"/>
  <c r="V1017" s="1"/>
  <c r="U818"/>
  <c r="V818" s="1"/>
  <c r="T818"/>
  <c r="T976"/>
  <c r="U976"/>
  <c r="V976" s="1"/>
  <c r="U560"/>
  <c r="V560" s="1"/>
  <c r="T560"/>
  <c r="U849"/>
  <c r="V849" s="1"/>
  <c r="T849"/>
  <c r="U975"/>
  <c r="V975" s="1"/>
  <c r="T975"/>
  <c r="T567"/>
  <c r="U567"/>
  <c r="V567" s="1"/>
  <c r="T920"/>
  <c r="U920"/>
  <c r="V920" s="1"/>
  <c r="T666"/>
  <c r="U666"/>
  <c r="V666" s="1"/>
  <c r="T1039"/>
  <c r="U1039"/>
  <c r="V1039" s="1"/>
  <c r="T626"/>
  <c r="U626"/>
  <c r="V626" s="1"/>
  <c r="T1041"/>
  <c r="U1041"/>
  <c r="V1041" s="1"/>
  <c r="T785"/>
  <c r="U785"/>
  <c r="V785" s="1"/>
  <c r="U1050"/>
  <c r="V1050" s="1"/>
  <c r="T1050"/>
  <c r="T817"/>
  <c r="U817"/>
  <c r="V817" s="1"/>
  <c r="T1009"/>
  <c r="U1009"/>
  <c r="V1009" s="1"/>
  <c r="U954"/>
  <c r="V954" s="1"/>
  <c r="T954"/>
  <c r="U723"/>
  <c r="V723" s="1"/>
  <c r="T723"/>
  <c r="T624"/>
  <c r="U624"/>
  <c r="V624" s="1"/>
  <c r="T888"/>
  <c r="U888"/>
  <c r="V888" s="1"/>
  <c r="T826"/>
  <c r="U826"/>
  <c r="V826" s="1"/>
  <c r="U986"/>
  <c r="V986" s="1"/>
  <c r="T986"/>
  <c r="T1008"/>
  <c r="U1008"/>
  <c r="V1008" s="1"/>
  <c r="U882"/>
  <c r="V882" s="1"/>
  <c r="T882"/>
  <c r="T792"/>
  <c r="U792"/>
  <c r="V792" s="1"/>
  <c r="U658"/>
  <c r="V658" s="1"/>
  <c r="T658"/>
  <c r="T634"/>
  <c r="U634"/>
  <c r="V634" s="1"/>
  <c r="T727"/>
  <c r="U727"/>
  <c r="V727" s="1"/>
  <c r="T657"/>
  <c r="U657"/>
  <c r="V657" s="1"/>
  <c r="T696"/>
  <c r="U696"/>
  <c r="V696" s="1"/>
  <c r="T881"/>
  <c r="U881"/>
  <c r="V881" s="1"/>
  <c r="U667"/>
  <c r="V667" s="1"/>
  <c r="T667"/>
  <c r="T857"/>
  <c r="U857"/>
  <c r="V857" s="1"/>
  <c r="T569"/>
  <c r="U569"/>
  <c r="V569" s="1"/>
  <c r="U694"/>
  <c r="V694" s="1"/>
  <c r="U498"/>
  <c r="V498" s="1"/>
  <c r="T121"/>
  <c r="T245"/>
  <c r="T338"/>
  <c r="T86"/>
  <c r="U86"/>
  <c r="V86" s="1"/>
  <c r="U472"/>
  <c r="V472" s="1"/>
  <c r="T307"/>
  <c r="U307"/>
  <c r="V307" s="1"/>
  <c r="U248"/>
  <c r="V248" s="1"/>
  <c r="U376"/>
  <c r="V376" s="1"/>
  <c r="U276"/>
  <c r="V276" s="1"/>
  <c r="U151"/>
  <c r="V151" s="1"/>
  <c r="U85"/>
  <c r="V85" s="1"/>
  <c r="U693"/>
  <c r="V693" s="1"/>
  <c r="T693"/>
  <c r="R521"/>
  <c r="S521" s="1"/>
  <c r="R393"/>
  <c r="S393" s="1"/>
  <c r="R159"/>
  <c r="S159" s="1"/>
  <c r="U213"/>
  <c r="V213" s="1"/>
  <c r="R196"/>
  <c r="S196" s="1"/>
  <c r="U196" s="1"/>
  <c r="V196" s="1"/>
  <c r="T180"/>
  <c r="R297"/>
  <c r="S297" s="1"/>
  <c r="U297" s="1"/>
  <c r="V297" s="1"/>
  <c r="U638"/>
  <c r="V638" s="1"/>
  <c r="T638"/>
  <c r="T822"/>
  <c r="U566"/>
  <c r="V566" s="1"/>
  <c r="T214"/>
  <c r="R168"/>
  <c r="S168" s="1"/>
  <c r="S230"/>
  <c r="T230" s="1"/>
  <c r="T84"/>
  <c r="R513"/>
  <c r="S513" s="1"/>
  <c r="R385"/>
  <c r="S385" s="1"/>
  <c r="S71"/>
  <c r="U71" s="1"/>
  <c r="V71" s="1"/>
  <c r="R522"/>
  <c r="S522" s="1"/>
  <c r="U522" s="1"/>
  <c r="V522" s="1"/>
  <c r="R394"/>
  <c r="S394" s="1"/>
  <c r="T394" s="1"/>
  <c r="R96"/>
  <c r="S96" s="1"/>
  <c r="T96" s="1"/>
  <c r="R524"/>
  <c r="S524" s="1"/>
  <c r="R396"/>
  <c r="S396" s="1"/>
  <c r="R63"/>
  <c r="S63" s="1"/>
  <c r="R516"/>
  <c r="S516" s="1"/>
  <c r="T516" s="1"/>
  <c r="R476"/>
  <c r="S476" s="1"/>
  <c r="T476" s="1"/>
  <c r="R360"/>
  <c r="S360" s="1"/>
  <c r="U360" s="1"/>
  <c r="V360" s="1"/>
  <c r="S66"/>
  <c r="T66" s="1"/>
  <c r="S325"/>
  <c r="U325" s="1"/>
  <c r="V325" s="1"/>
  <c r="R28"/>
  <c r="S28" s="1"/>
  <c r="R525"/>
  <c r="S525" s="1"/>
  <c r="U525" s="1"/>
  <c r="V525" s="1"/>
  <c r="R397"/>
  <c r="S397" s="1"/>
  <c r="T397" s="1"/>
  <c r="S333"/>
  <c r="T333" s="1"/>
  <c r="R44"/>
  <c r="S44" s="1"/>
  <c r="U44" s="1"/>
  <c r="V44" s="1"/>
  <c r="R225"/>
  <c r="S225" s="1"/>
  <c r="R255"/>
  <c r="S255" s="1"/>
  <c r="R69"/>
  <c r="S69" s="1"/>
  <c r="S322"/>
  <c r="T322" s="1"/>
  <c r="R259"/>
  <c r="S259" s="1"/>
  <c r="U259" s="1"/>
  <c r="V259" s="1"/>
  <c r="R29"/>
  <c r="S29" s="1"/>
  <c r="S98"/>
  <c r="T98" s="1"/>
  <c r="R40"/>
  <c r="S40" s="1"/>
  <c r="U40" s="1"/>
  <c r="V40" s="1"/>
  <c r="R136"/>
  <c r="S136" s="1"/>
  <c r="T136" s="1"/>
  <c r="R237"/>
  <c r="S237" s="1"/>
  <c r="T237" s="1"/>
  <c r="S161"/>
  <c r="U161" s="1"/>
  <c r="V161" s="1"/>
  <c r="S256"/>
  <c r="T256" s="1"/>
  <c r="S454"/>
  <c r="U454" s="1"/>
  <c r="V454" s="1"/>
  <c r="S509"/>
  <c r="T509" s="1"/>
  <c r="R295"/>
  <c r="S295" s="1"/>
  <c r="T295" s="1"/>
  <c r="R100"/>
  <c r="S100" s="1"/>
  <c r="U100" s="1"/>
  <c r="V100" s="1"/>
  <c r="S418"/>
  <c r="U418" s="1"/>
  <c r="V418" s="1"/>
  <c r="S478"/>
  <c r="U478" s="1"/>
  <c r="V478" s="1"/>
  <c r="R91"/>
  <c r="S91" s="1"/>
  <c r="R261"/>
  <c r="S261" s="1"/>
  <c r="R127"/>
  <c r="S127" s="1"/>
  <c r="U127" s="1"/>
  <c r="V127" s="1"/>
  <c r="R200"/>
  <c r="S200" s="1"/>
  <c r="R457"/>
  <c r="S457" s="1"/>
  <c r="R329"/>
  <c r="S329" s="1"/>
  <c r="R233"/>
  <c r="S233" s="1"/>
  <c r="S326"/>
  <c r="T326" s="1"/>
  <c r="R294"/>
  <c r="S294" s="1"/>
  <c r="T294" s="1"/>
  <c r="S164"/>
  <c r="T164" s="1"/>
  <c r="R59"/>
  <c r="S59" s="1"/>
  <c r="R254"/>
  <c r="S254" s="1"/>
  <c r="U254" s="1"/>
  <c r="V254" s="1"/>
  <c r="R293"/>
  <c r="S293" s="1"/>
  <c r="S186"/>
  <c r="T186" s="1"/>
  <c r="S356"/>
  <c r="U356" s="1"/>
  <c r="V356" s="1"/>
  <c r="S130"/>
  <c r="T130" s="1"/>
  <c r="R251"/>
  <c r="S251" s="1"/>
  <c r="R195"/>
  <c r="S195" s="1"/>
  <c r="S286"/>
  <c r="U286" s="1"/>
  <c r="V286" s="1"/>
  <c r="R123"/>
  <c r="S123" s="1"/>
  <c r="S229"/>
  <c r="T229" s="1"/>
  <c r="R315"/>
  <c r="S315" s="1"/>
  <c r="R234"/>
  <c r="S234" s="1"/>
  <c r="R172"/>
  <c r="S172" s="1"/>
  <c r="U1022"/>
  <c r="V1022" s="1"/>
  <c r="R223"/>
  <c r="S223" s="1"/>
  <c r="T223" s="1"/>
  <c r="R458"/>
  <c r="S458" s="1"/>
  <c r="U458" s="1"/>
  <c r="V458" s="1"/>
  <c r="R330"/>
  <c r="S330" s="1"/>
  <c r="T330" s="1"/>
  <c r="R460"/>
  <c r="S460" s="1"/>
  <c r="R332"/>
  <c r="S332" s="1"/>
  <c r="R287"/>
  <c r="S287" s="1"/>
  <c r="T287" s="1"/>
  <c r="R488"/>
  <c r="S488" s="1"/>
  <c r="S448"/>
  <c r="T448" s="1"/>
  <c r="R388"/>
  <c r="S388" s="1"/>
  <c r="T388" s="1"/>
  <c r="R348"/>
  <c r="S348" s="1"/>
  <c r="T348" s="1"/>
  <c r="R158"/>
  <c r="S158" s="1"/>
  <c r="T158" s="1"/>
  <c r="R134"/>
  <c r="S134" s="1"/>
  <c r="S493"/>
  <c r="U493" s="1"/>
  <c r="V493" s="1"/>
  <c r="S365"/>
  <c r="U365" s="1"/>
  <c r="V365" s="1"/>
  <c r="R104"/>
  <c r="S104" s="1"/>
  <c r="U104" s="1"/>
  <c r="V104" s="1"/>
  <c r="R449"/>
  <c r="S449" s="1"/>
  <c r="R321"/>
  <c r="S321" s="1"/>
  <c r="S129"/>
  <c r="T129" s="1"/>
  <c r="R443"/>
  <c r="S443" s="1"/>
  <c r="S320"/>
  <c r="U320" s="1"/>
  <c r="V320" s="1"/>
  <c r="S282"/>
  <c r="U282" s="1"/>
  <c r="V282" s="1"/>
  <c r="T733"/>
  <c r="T982"/>
  <c r="U670"/>
  <c r="V670" s="1"/>
  <c r="R298"/>
  <c r="S298" s="1"/>
  <c r="T298" s="1"/>
  <c r="S103"/>
  <c r="T103" s="1"/>
  <c r="R429"/>
  <c r="S429" s="1"/>
  <c r="T429" s="1"/>
  <c r="R301"/>
  <c r="S301" s="1"/>
  <c r="T301" s="1"/>
  <c r="R170"/>
  <c r="S170" s="1"/>
  <c r="R224"/>
  <c r="S224" s="1"/>
  <c r="T224" s="1"/>
  <c r="U917"/>
  <c r="V917" s="1"/>
  <c r="U798"/>
  <c r="V798" s="1"/>
  <c r="R425"/>
  <c r="S425" s="1"/>
  <c r="R289"/>
  <c r="S289" s="1"/>
  <c r="R65"/>
  <c r="S65" s="1"/>
  <c r="T65" s="1"/>
  <c r="R411"/>
  <c r="S411" s="1"/>
  <c r="R389"/>
  <c r="S389" s="1"/>
  <c r="S291"/>
  <c r="T291" s="1"/>
  <c r="R95"/>
  <c r="S95" s="1"/>
  <c r="T95" s="1"/>
  <c r="R492"/>
  <c r="S492" s="1"/>
  <c r="T492" s="1"/>
  <c r="R364"/>
  <c r="S364" s="1"/>
  <c r="T364" s="1"/>
  <c r="R257"/>
  <c r="S257" s="1"/>
  <c r="T257" s="1"/>
  <c r="R199"/>
  <c r="S199" s="1"/>
  <c r="R475"/>
  <c r="S475" s="1"/>
  <c r="R262"/>
  <c r="S262" s="1"/>
  <c r="T262" s="1"/>
  <c r="S514"/>
  <c r="T514" s="1"/>
  <c r="R456"/>
  <c r="S456" s="1"/>
  <c r="U456" s="1"/>
  <c r="V456" s="1"/>
  <c r="R316"/>
  <c r="S316" s="1"/>
  <c r="R517"/>
  <c r="S517" s="1"/>
  <c r="R459"/>
  <c r="S459" s="1"/>
  <c r="U459" s="1"/>
  <c r="V459" s="1"/>
  <c r="R331"/>
  <c r="S331" s="1"/>
  <c r="U331" s="1"/>
  <c r="V331" s="1"/>
  <c r="R203"/>
  <c r="S203" s="1"/>
  <c r="U203" s="1"/>
  <c r="V203" s="1"/>
  <c r="S128"/>
  <c r="T128" s="1"/>
  <c r="R266"/>
  <c r="S266" s="1"/>
  <c r="R138"/>
  <c r="S138" s="1"/>
  <c r="R231"/>
  <c r="S231" s="1"/>
  <c r="T231" s="1"/>
  <c r="R381"/>
  <c r="S381" s="1"/>
  <c r="U381" s="1"/>
  <c r="V381" s="1"/>
  <c r="R197"/>
  <c r="S197" s="1"/>
  <c r="T197" s="1"/>
  <c r="S260"/>
  <c r="U260" s="1"/>
  <c r="V260" s="1"/>
  <c r="R125"/>
  <c r="S125" s="1"/>
  <c r="U125" s="1"/>
  <c r="V125" s="1"/>
  <c r="S354"/>
  <c r="T354" s="1"/>
  <c r="R391"/>
  <c r="S391" s="1"/>
  <c r="S154"/>
  <c r="T154" s="1"/>
  <c r="S414"/>
  <c r="U414" s="1"/>
  <c r="V414" s="1"/>
  <c r="R232"/>
  <c r="S232" s="1"/>
  <c r="R45"/>
  <c r="S45" s="1"/>
  <c r="T45" s="1"/>
  <c r="T820"/>
  <c r="T183"/>
  <c r="R523"/>
  <c r="S523" s="1"/>
  <c r="U523" s="1"/>
  <c r="V523" s="1"/>
  <c r="R395"/>
  <c r="S395" s="1"/>
  <c r="T395" s="1"/>
  <c r="R481"/>
  <c r="S481" s="1"/>
  <c r="T481" s="1"/>
  <c r="S417"/>
  <c r="T417" s="1"/>
  <c r="R353"/>
  <c r="S353" s="1"/>
  <c r="T353" s="1"/>
  <c r="R267"/>
  <c r="S267" s="1"/>
  <c r="T267" s="1"/>
  <c r="R135"/>
  <c r="S135" s="1"/>
  <c r="T135" s="1"/>
  <c r="R75"/>
  <c r="S75" s="1"/>
  <c r="R74"/>
  <c r="S74" s="1"/>
  <c r="R379"/>
  <c r="S379" s="1"/>
  <c r="S227"/>
  <c r="T227" s="1"/>
  <c r="R37"/>
  <c r="S37" s="1"/>
  <c r="R93"/>
  <c r="S93" s="1"/>
  <c r="T93" s="1"/>
  <c r="R487"/>
  <c r="S487" s="1"/>
  <c r="R423"/>
  <c r="S423" s="1"/>
  <c r="T423" s="1"/>
  <c r="R453"/>
  <c r="S453" s="1"/>
  <c r="T453" s="1"/>
  <c r="R27"/>
  <c r="S27" s="1"/>
  <c r="R36"/>
  <c r="S36" s="1"/>
  <c r="T36" s="1"/>
  <c r="R387"/>
  <c r="S387" s="1"/>
  <c r="R447"/>
  <c r="S447" s="1"/>
  <c r="S162"/>
  <c r="T162" s="1"/>
  <c r="U956"/>
  <c r="V956" s="1"/>
  <c r="R139"/>
  <c r="S139" s="1"/>
  <c r="T139" s="1"/>
  <c r="R489"/>
  <c r="S489" s="1"/>
  <c r="R361"/>
  <c r="S361" s="1"/>
  <c r="R265"/>
  <c r="S265" s="1"/>
  <c r="R39"/>
  <c r="S39" s="1"/>
  <c r="R347"/>
  <c r="S347" s="1"/>
  <c r="R317"/>
  <c r="S317" s="1"/>
  <c r="U317" s="1"/>
  <c r="V317" s="1"/>
  <c r="S386"/>
  <c r="T386" s="1"/>
  <c r="R167"/>
  <c r="S167" s="1"/>
  <c r="U167" s="1"/>
  <c r="V167" s="1"/>
  <c r="S222"/>
  <c r="T222" s="1"/>
  <c r="T604"/>
  <c r="T1012"/>
  <c r="R105"/>
  <c r="S105" s="1"/>
  <c r="S72"/>
  <c r="U72" s="1"/>
  <c r="V72" s="1"/>
  <c r="R428"/>
  <c r="S428" s="1"/>
  <c r="T428" s="1"/>
  <c r="R300"/>
  <c r="S300" s="1"/>
  <c r="T300" s="1"/>
  <c r="R193"/>
  <c r="S193" s="1"/>
  <c r="R97"/>
  <c r="S97" s="1"/>
  <c r="R445"/>
  <c r="S445" s="1"/>
  <c r="U445" s="1"/>
  <c r="V445" s="1"/>
  <c r="R133"/>
  <c r="S133" s="1"/>
  <c r="R444"/>
  <c r="S444" s="1"/>
  <c r="T444" s="1"/>
  <c r="R328"/>
  <c r="S328" s="1"/>
  <c r="U328" s="1"/>
  <c r="V328" s="1"/>
  <c r="R288"/>
  <c r="S288" s="1"/>
  <c r="R35"/>
  <c r="S35" s="1"/>
  <c r="R101"/>
  <c r="S101" s="1"/>
  <c r="T756"/>
  <c r="U437"/>
  <c r="V437" s="1"/>
  <c r="T437"/>
  <c r="U215"/>
  <c r="V215" s="1"/>
  <c r="T215"/>
  <c r="U308"/>
  <c r="V308" s="1"/>
  <c r="T308"/>
  <c r="U182"/>
  <c r="V182" s="1"/>
  <c r="T182"/>
  <c r="U471"/>
  <c r="V471" s="1"/>
  <c r="T471"/>
  <c r="U115"/>
  <c r="V115" s="1"/>
  <c r="T115"/>
  <c r="U54"/>
  <c r="V54" s="1"/>
  <c r="T54"/>
  <c r="U152"/>
  <c r="V152" s="1"/>
  <c r="T152"/>
  <c r="U371"/>
  <c r="V371" s="1"/>
  <c r="T371"/>
  <c r="U149"/>
  <c r="V149" s="1"/>
  <c r="T149"/>
  <c r="U275"/>
  <c r="V275" s="1"/>
  <c r="T275"/>
  <c r="U377"/>
  <c r="V377" s="1"/>
  <c r="T377"/>
  <c r="U439"/>
  <c r="V439" s="1"/>
  <c r="T439"/>
  <c r="R30" i="48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1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R89" s="1"/>
  <c r="R90" s="1"/>
  <c r="R91" s="1"/>
  <c r="R92" s="1"/>
  <c r="R93" s="1"/>
  <c r="R94" s="1"/>
  <c r="R95" s="1"/>
  <c r="R96" s="1"/>
  <c r="R97" s="1"/>
  <c r="R98" s="1"/>
  <c r="R99" s="1"/>
  <c r="R100" s="1"/>
  <c r="R101" s="1"/>
  <c r="R102" s="1"/>
  <c r="R103" s="1"/>
  <c r="R104" s="1"/>
  <c r="R105" s="1"/>
  <c r="R106" s="1"/>
  <c r="R107" s="1"/>
  <c r="R108" s="1"/>
  <c r="R109" s="1"/>
  <c r="R110" s="1"/>
  <c r="R111" s="1"/>
  <c r="R112" s="1"/>
  <c r="O46" i="49"/>
  <c r="O110"/>
  <c r="O142"/>
  <c r="O206"/>
  <c r="O238"/>
  <c r="O270"/>
  <c r="O80"/>
  <c r="P143"/>
  <c r="P207"/>
  <c r="P46"/>
  <c r="R46" s="1"/>
  <c r="Q81"/>
  <c r="P110"/>
  <c r="R110" s="1"/>
  <c r="Q145"/>
  <c r="P174"/>
  <c r="R174" s="1"/>
  <c r="Q209"/>
  <c r="P238"/>
  <c r="R238" s="1"/>
  <c r="Q272"/>
  <c r="P305"/>
  <c r="P337"/>
  <c r="P369"/>
  <c r="P401"/>
  <c r="P433"/>
  <c r="P465"/>
  <c r="P497"/>
  <c r="P529"/>
  <c r="O272"/>
  <c r="P335"/>
  <c r="P399"/>
  <c r="P463"/>
  <c r="P527"/>
  <c r="O303"/>
  <c r="O367"/>
  <c r="O431"/>
  <c r="O495"/>
  <c r="P81"/>
  <c r="R81" s="1"/>
  <c r="P177"/>
  <c r="O49"/>
  <c r="O81"/>
  <c r="O113"/>
  <c r="O145"/>
  <c r="O177"/>
  <c r="O209"/>
  <c r="O241"/>
  <c r="O48"/>
  <c r="P79"/>
  <c r="O112"/>
  <c r="O240"/>
  <c r="O79"/>
  <c r="O143"/>
  <c r="O207"/>
  <c r="Q271"/>
  <c r="Q304"/>
  <c r="Q336"/>
  <c r="Q368"/>
  <c r="Q400"/>
  <c r="Q432"/>
  <c r="Q464"/>
  <c r="Q496"/>
  <c r="Q528"/>
  <c r="O273"/>
  <c r="O305"/>
  <c r="O337"/>
  <c r="O369"/>
  <c r="O401"/>
  <c r="O433"/>
  <c r="O465"/>
  <c r="O497"/>
  <c r="O529"/>
  <c r="O304"/>
  <c r="O368"/>
  <c r="O432"/>
  <c r="O496"/>
  <c r="Q273"/>
  <c r="P302"/>
  <c r="R302" s="1"/>
  <c r="Q337"/>
  <c r="P366"/>
  <c r="R366" s="1"/>
  <c r="Q401"/>
  <c r="P430"/>
  <c r="R430" s="1"/>
  <c r="Q465"/>
  <c r="P494"/>
  <c r="R494" s="1"/>
  <c r="Q529"/>
  <c r="P49"/>
  <c r="Q80"/>
  <c r="P113"/>
  <c r="P145"/>
  <c r="R145" s="1"/>
  <c r="Q176"/>
  <c r="P209"/>
  <c r="R209" s="1"/>
  <c r="P241"/>
  <c r="P48"/>
  <c r="P80"/>
  <c r="P112"/>
  <c r="P144"/>
  <c r="P176"/>
  <c r="P208"/>
  <c r="P240"/>
  <c r="P47"/>
  <c r="P111"/>
  <c r="O176"/>
  <c r="P239"/>
  <c r="Q49"/>
  <c r="P78"/>
  <c r="R78" s="1"/>
  <c r="Q113"/>
  <c r="P142"/>
  <c r="R142" s="1"/>
  <c r="S142" s="1"/>
  <c r="Q177"/>
  <c r="P206"/>
  <c r="R206" s="1"/>
  <c r="Q241"/>
  <c r="P270"/>
  <c r="R270" s="1"/>
  <c r="O302"/>
  <c r="O334"/>
  <c r="O366"/>
  <c r="O398"/>
  <c r="O430"/>
  <c r="O462"/>
  <c r="O494"/>
  <c r="O526"/>
  <c r="P272"/>
  <c r="P304"/>
  <c r="P336"/>
  <c r="P368"/>
  <c r="P400"/>
  <c r="P432"/>
  <c r="P464"/>
  <c r="P496"/>
  <c r="P528"/>
  <c r="P303"/>
  <c r="P367"/>
  <c r="P431"/>
  <c r="P495"/>
  <c r="O271"/>
  <c r="O335"/>
  <c r="O399"/>
  <c r="O463"/>
  <c r="O527"/>
  <c r="Q48"/>
  <c r="O78"/>
  <c r="Q112"/>
  <c r="Q144"/>
  <c r="O174"/>
  <c r="Q208"/>
  <c r="Q240"/>
  <c r="Q47"/>
  <c r="Q79"/>
  <c r="Q111"/>
  <c r="Q143"/>
  <c r="Q175"/>
  <c r="Q207"/>
  <c r="Q239"/>
  <c r="O144"/>
  <c r="P175"/>
  <c r="O208"/>
  <c r="O47"/>
  <c r="O111"/>
  <c r="O175"/>
  <c r="O239"/>
  <c r="P273"/>
  <c r="P271"/>
  <c r="Q303"/>
  <c r="Q335"/>
  <c r="Q367"/>
  <c r="Q399"/>
  <c r="Q431"/>
  <c r="Q463"/>
  <c r="Q495"/>
  <c r="Q527"/>
  <c r="O336"/>
  <c r="O400"/>
  <c r="O464"/>
  <c r="O528"/>
  <c r="Q305"/>
  <c r="P334"/>
  <c r="R334" s="1"/>
  <c r="Q369"/>
  <c r="P398"/>
  <c r="R398" s="1"/>
  <c r="Q433"/>
  <c r="P462"/>
  <c r="R462" s="1"/>
  <c r="Q497"/>
  <c r="P526"/>
  <c r="R526" s="1"/>
  <c r="R107"/>
  <c r="S107" s="1"/>
  <c r="R204"/>
  <c r="S204" s="1"/>
  <c r="R64"/>
  <c r="S64" s="1"/>
  <c r="R490"/>
  <c r="S490" s="1"/>
  <c r="R362"/>
  <c r="S362" s="1"/>
  <c r="R137"/>
  <c r="S137" s="1"/>
  <c r="R33"/>
  <c r="S33" s="1"/>
  <c r="R160"/>
  <c r="S160" s="1"/>
  <c r="S507"/>
  <c r="S102"/>
  <c r="S290"/>
  <c r="S359"/>
  <c r="S258"/>
  <c r="S296"/>
  <c r="S515"/>
  <c r="R349"/>
  <c r="S349" s="1"/>
  <c r="S68"/>
  <c r="R67"/>
  <c r="S67" s="1"/>
  <c r="S442"/>
  <c r="S314"/>
  <c r="R511"/>
  <c r="S511" s="1"/>
  <c r="R383"/>
  <c r="S383" s="1"/>
  <c r="S319"/>
  <c r="R357"/>
  <c r="S357" s="1"/>
  <c r="S218"/>
  <c r="S122"/>
  <c r="R187"/>
  <c r="S187" s="1"/>
  <c r="R252"/>
  <c r="S252" s="1"/>
  <c r="S132"/>
  <c r="U56"/>
  <c r="V56" s="1"/>
  <c r="T56"/>
  <c r="U281"/>
  <c r="V281" s="1"/>
  <c r="T281"/>
  <c r="U309"/>
  <c r="V309" s="1"/>
  <c r="T309"/>
  <c r="U116"/>
  <c r="V116" s="1"/>
  <c r="T116"/>
  <c r="U88"/>
  <c r="V88" s="1"/>
  <c r="T88"/>
  <c r="U179"/>
  <c r="V179" s="1"/>
  <c r="T179"/>
  <c r="U499"/>
  <c r="V499" s="1"/>
  <c r="T499"/>
  <c r="U407"/>
  <c r="V407" s="1"/>
  <c r="T407"/>
  <c r="U306"/>
  <c r="V306" s="1"/>
  <c r="T306"/>
  <c r="U119"/>
  <c r="V119" s="1"/>
  <c r="T119"/>
  <c r="U339"/>
  <c r="V339" s="1"/>
  <c r="T339"/>
  <c r="U243"/>
  <c r="V243" s="1"/>
  <c r="T243"/>
  <c r="U277"/>
  <c r="V277" s="1"/>
  <c r="T277"/>
  <c r="U178"/>
  <c r="V178" s="1"/>
  <c r="T178"/>
  <c r="U25"/>
  <c r="V25" s="1"/>
  <c r="T25"/>
  <c r="U440"/>
  <c r="V440" s="1"/>
  <c r="T440"/>
  <c r="U244"/>
  <c r="V244" s="1"/>
  <c r="T244"/>
  <c r="U375"/>
  <c r="V375" s="1"/>
  <c r="T375"/>
  <c r="U504"/>
  <c r="V504" s="1"/>
  <c r="T504"/>
  <c r="U263"/>
  <c r="V263" s="1"/>
  <c r="T263"/>
  <c r="T788"/>
  <c r="R491"/>
  <c r="S491" s="1"/>
  <c r="R363"/>
  <c r="S363" s="1"/>
  <c r="R235"/>
  <c r="S235" s="1"/>
  <c r="R236"/>
  <c r="S236" s="1"/>
  <c r="R108"/>
  <c r="S108" s="1"/>
  <c r="R109"/>
  <c r="S109" s="1"/>
  <c r="R169"/>
  <c r="S169" s="1"/>
  <c r="R163"/>
  <c r="S163" s="1"/>
  <c r="R416"/>
  <c r="S416" s="1"/>
  <c r="S226"/>
  <c r="S446"/>
  <c r="S318"/>
  <c r="R483"/>
  <c r="S483" s="1"/>
  <c r="R355"/>
  <c r="S355" s="1"/>
  <c r="R452"/>
  <c r="S452" s="1"/>
  <c r="R412"/>
  <c r="S412" s="1"/>
  <c r="R413"/>
  <c r="S413" s="1"/>
  <c r="R166"/>
  <c r="S166" s="1"/>
  <c r="R126"/>
  <c r="S126" s="1"/>
  <c r="R220"/>
  <c r="S220" s="1"/>
  <c r="R221"/>
  <c r="S221" s="1"/>
  <c r="S410"/>
  <c r="S520"/>
  <c r="R480"/>
  <c r="S480" s="1"/>
  <c r="R420"/>
  <c r="S420" s="1"/>
  <c r="R421"/>
  <c r="S421" s="1"/>
  <c r="S70"/>
  <c r="R131"/>
  <c r="S131" s="1"/>
  <c r="S198"/>
  <c r="S92"/>
  <c r="R155"/>
  <c r="S155" s="1"/>
  <c r="R30"/>
  <c r="S30" s="1"/>
  <c r="U82"/>
  <c r="V82" s="1"/>
  <c r="T82"/>
  <c r="U21"/>
  <c r="V21" s="1"/>
  <c r="T21"/>
  <c r="U242"/>
  <c r="V242" s="1"/>
  <c r="T242"/>
  <c r="U57"/>
  <c r="V57" s="1"/>
  <c r="T57"/>
  <c r="U436"/>
  <c r="V436" s="1"/>
  <c r="T436"/>
  <c r="U117"/>
  <c r="V117" s="1"/>
  <c r="T117"/>
  <c r="U50"/>
  <c r="V50" s="1"/>
  <c r="T50"/>
  <c r="U89"/>
  <c r="V89" s="1"/>
  <c r="T89"/>
  <c r="U22"/>
  <c r="V22" s="1"/>
  <c r="T22"/>
  <c r="U370"/>
  <c r="V370" s="1"/>
  <c r="T370"/>
  <c r="U403"/>
  <c r="V403" s="1"/>
  <c r="T403"/>
  <c r="U343"/>
  <c r="V343" s="1"/>
  <c r="T343"/>
  <c r="U249"/>
  <c r="V249" s="1"/>
  <c r="T249"/>
  <c r="U409"/>
  <c r="V409" s="1"/>
  <c r="T409"/>
  <c r="U247"/>
  <c r="V247" s="1"/>
  <c r="T247"/>
  <c r="U278"/>
  <c r="V278" s="1"/>
  <c r="T278"/>
  <c r="U274"/>
  <c r="V274" s="1"/>
  <c r="T274"/>
  <c r="U216"/>
  <c r="V216" s="1"/>
  <c r="T216"/>
  <c r="U340"/>
  <c r="V340" s="1"/>
  <c r="T340"/>
  <c r="U23"/>
  <c r="V23" s="1"/>
  <c r="T23"/>
  <c r="U311"/>
  <c r="V311" s="1"/>
  <c r="T311"/>
  <c r="U467"/>
  <c r="V467" s="1"/>
  <c r="T467"/>
  <c r="U191"/>
  <c r="V191" s="1"/>
  <c r="T191"/>
  <c r="U518"/>
  <c r="V518" s="1"/>
  <c r="T518"/>
  <c r="R268"/>
  <c r="S268" s="1"/>
  <c r="R140"/>
  <c r="S140" s="1"/>
  <c r="R269"/>
  <c r="S269" s="1"/>
  <c r="R205"/>
  <c r="S205" s="1"/>
  <c r="R426"/>
  <c r="S426" s="1"/>
  <c r="R173"/>
  <c r="S173" s="1"/>
  <c r="R77"/>
  <c r="S77" s="1"/>
  <c r="S519"/>
  <c r="R455"/>
  <c r="S455" s="1"/>
  <c r="R327"/>
  <c r="S327" s="1"/>
  <c r="R285"/>
  <c r="S285" s="1"/>
  <c r="R451"/>
  <c r="S451" s="1"/>
  <c r="R323"/>
  <c r="S323" s="1"/>
  <c r="R477"/>
  <c r="S477" s="1"/>
  <c r="S34"/>
  <c r="S26"/>
  <c r="R228"/>
  <c r="S228" s="1"/>
  <c r="R165"/>
  <c r="S165" s="1"/>
  <c r="S506"/>
  <c r="S378"/>
  <c r="R479"/>
  <c r="S479" s="1"/>
  <c r="R415"/>
  <c r="S415" s="1"/>
  <c r="R351"/>
  <c r="S351" s="1"/>
  <c r="R485"/>
  <c r="S485" s="1"/>
  <c r="R190"/>
  <c r="S190" s="1"/>
  <c r="R94"/>
  <c r="S94" s="1"/>
  <c r="S38"/>
  <c r="R99"/>
  <c r="S99" s="1"/>
  <c r="U345"/>
  <c r="V345" s="1"/>
  <c r="T345"/>
  <c r="U211"/>
  <c r="V211" s="1"/>
  <c r="T211"/>
  <c r="U473"/>
  <c r="V473" s="1"/>
  <c r="T473"/>
  <c r="U24"/>
  <c r="V24" s="1"/>
  <c r="T24"/>
  <c r="U312"/>
  <c r="V312" s="1"/>
  <c r="T312"/>
  <c r="U120"/>
  <c r="V120" s="1"/>
  <c r="T120"/>
  <c r="U83"/>
  <c r="V83" s="1"/>
  <c r="T83"/>
  <c r="U408"/>
  <c r="V408" s="1"/>
  <c r="T408"/>
  <c r="U181"/>
  <c r="V181" s="1"/>
  <c r="T181"/>
  <c r="U185"/>
  <c r="V185" s="1"/>
  <c r="T185"/>
  <c r="U19"/>
  <c r="V19" s="1"/>
  <c r="T19"/>
  <c r="U184"/>
  <c r="V184" s="1"/>
  <c r="T184"/>
  <c r="U435"/>
  <c r="V435" s="1"/>
  <c r="T435"/>
  <c r="U279"/>
  <c r="V279" s="1"/>
  <c r="T279"/>
  <c r="U217"/>
  <c r="V217" s="1"/>
  <c r="T217"/>
  <c r="U148"/>
  <c r="V148" s="1"/>
  <c r="T148"/>
  <c r="U153"/>
  <c r="V153" s="1"/>
  <c r="T153"/>
  <c r="U505"/>
  <c r="V505" s="1"/>
  <c r="T505"/>
  <c r="U503"/>
  <c r="V503" s="1"/>
  <c r="T503"/>
  <c r="U450"/>
  <c r="V450" s="1"/>
  <c r="T450"/>
  <c r="R42"/>
  <c r="S42" s="1"/>
  <c r="R171"/>
  <c r="S171" s="1"/>
  <c r="S192"/>
  <c r="R32"/>
  <c r="S32" s="1"/>
  <c r="R427"/>
  <c r="S427" s="1"/>
  <c r="R299"/>
  <c r="S299" s="1"/>
  <c r="S43"/>
  <c r="R141"/>
  <c r="S141" s="1"/>
  <c r="R264"/>
  <c r="S264" s="1"/>
  <c r="S31"/>
  <c r="S219"/>
  <c r="R156"/>
  <c r="S156" s="1"/>
  <c r="R62"/>
  <c r="S62" s="1"/>
  <c r="S90"/>
  <c r="S157"/>
  <c r="S510"/>
  <c r="S382"/>
  <c r="R419"/>
  <c r="S419" s="1"/>
  <c r="R424"/>
  <c r="S424" s="1"/>
  <c r="S384"/>
  <c r="R324"/>
  <c r="S324" s="1"/>
  <c r="R284"/>
  <c r="S284" s="1"/>
  <c r="S194"/>
  <c r="S58"/>
  <c r="R188"/>
  <c r="S188" s="1"/>
  <c r="R253"/>
  <c r="S253" s="1"/>
  <c r="R189"/>
  <c r="S189" s="1"/>
  <c r="S474"/>
  <c r="S346"/>
  <c r="S508"/>
  <c r="S392"/>
  <c r="R352"/>
  <c r="S352" s="1"/>
  <c r="S250"/>
  <c r="S124"/>
  <c r="R61"/>
  <c r="S61" s="1"/>
  <c r="T797"/>
  <c r="U701"/>
  <c r="V701" s="1"/>
  <c r="U596"/>
  <c r="V596" s="1"/>
  <c r="T758"/>
  <c r="U661"/>
  <c r="V661" s="1"/>
  <c r="U1045"/>
  <c r="V1045" s="1"/>
  <c r="U830"/>
  <c r="V830" s="1"/>
  <c r="U884"/>
  <c r="V884" s="1"/>
  <c r="T668"/>
  <c r="U892"/>
  <c r="V892" s="1"/>
  <c r="T892"/>
  <c r="U574"/>
  <c r="V574" s="1"/>
  <c r="T574"/>
  <c r="T1046"/>
  <c r="U1046"/>
  <c r="V1046" s="1"/>
  <c r="T700"/>
  <c r="U700"/>
  <c r="V700" s="1"/>
  <c r="U597"/>
  <c r="V597" s="1"/>
  <c r="T597"/>
  <c r="U692"/>
  <c r="V692" s="1"/>
  <c r="T692"/>
  <c r="T790"/>
  <c r="U790"/>
  <c r="V790" s="1"/>
  <c r="U630"/>
  <c r="V630" s="1"/>
  <c r="T630"/>
  <c r="T660"/>
  <c r="U660"/>
  <c r="V660" s="1"/>
  <c r="U1054"/>
  <c r="V1054" s="1"/>
  <c r="T1054"/>
  <c r="U757"/>
  <c r="V757" s="1"/>
  <c r="T757"/>
  <c r="T766"/>
  <c r="U766"/>
  <c r="V766" s="1"/>
  <c r="T821"/>
  <c r="U821"/>
  <c r="V821" s="1"/>
  <c r="U605"/>
  <c r="V605" s="1"/>
  <c r="T605"/>
  <c r="U988"/>
  <c r="V988" s="1"/>
  <c r="T988"/>
  <c r="U606"/>
  <c r="V606" s="1"/>
  <c r="T606"/>
  <c r="U981"/>
  <c r="V981" s="1"/>
  <c r="T981"/>
  <c r="U1020"/>
  <c r="V1020" s="1"/>
  <c r="T1020"/>
  <c r="U918"/>
  <c r="V918" s="1"/>
  <c r="T918"/>
  <c r="S742"/>
  <c r="U765"/>
  <c r="V765" s="1"/>
  <c r="T765"/>
  <c r="T829"/>
  <c r="U829"/>
  <c r="V829" s="1"/>
  <c r="T764"/>
  <c r="U764"/>
  <c r="V764" s="1"/>
  <c r="T926"/>
  <c r="U926"/>
  <c r="V926" s="1"/>
  <c r="T862"/>
  <c r="U862"/>
  <c r="V862" s="1"/>
  <c r="U637"/>
  <c r="V637" s="1"/>
  <c r="T637"/>
  <c r="T957"/>
  <c r="U957"/>
  <c r="V957" s="1"/>
  <c r="U990"/>
  <c r="V990" s="1"/>
  <c r="T990"/>
  <c r="T958"/>
  <c r="U958"/>
  <c r="V958" s="1"/>
  <c r="T949"/>
  <c r="U949"/>
  <c r="V949" s="1"/>
  <c r="T572"/>
  <c r="U572"/>
  <c r="V572" s="1"/>
  <c r="T860"/>
  <c r="U860"/>
  <c r="V860" s="1"/>
  <c r="U565"/>
  <c r="V565" s="1"/>
  <c r="T565"/>
  <c r="T989"/>
  <c r="U989"/>
  <c r="V989" s="1"/>
  <c r="T564"/>
  <c r="U564"/>
  <c r="V564" s="1"/>
  <c r="U629"/>
  <c r="V629" s="1"/>
  <c r="T629"/>
  <c r="T925"/>
  <c r="U925"/>
  <c r="V925" s="1"/>
  <c r="T789"/>
  <c r="U789"/>
  <c r="V789" s="1"/>
  <c r="T1013"/>
  <c r="U1013"/>
  <c r="V1013" s="1"/>
  <c r="T948"/>
  <c r="U948"/>
  <c r="V948" s="1"/>
  <c r="U598"/>
  <c r="V598" s="1"/>
  <c r="T598"/>
  <c r="U734"/>
  <c r="V734" s="1"/>
  <c r="T734"/>
  <c r="T886"/>
  <c r="U886"/>
  <c r="V886" s="1"/>
  <c r="U861"/>
  <c r="V861" s="1"/>
  <c r="T861"/>
  <c r="U1052"/>
  <c r="V1052" s="1"/>
  <c r="T1052"/>
  <c r="U980"/>
  <c r="V980" s="1"/>
  <c r="T980"/>
  <c r="U1014"/>
  <c r="V1014" s="1"/>
  <c r="T1014"/>
  <c r="U726"/>
  <c r="V726" s="1"/>
  <c r="T726"/>
  <c r="U573"/>
  <c r="V573" s="1"/>
  <c r="T573"/>
  <c r="U725"/>
  <c r="V725" s="1"/>
  <c r="T725"/>
  <c r="T854"/>
  <c r="U854"/>
  <c r="V854" s="1"/>
  <c r="U1021"/>
  <c r="V1021" s="1"/>
  <c r="T1021"/>
  <c r="T576"/>
  <c r="U576"/>
  <c r="V576" s="1"/>
  <c r="U636"/>
  <c r="V636" s="1"/>
  <c r="T636"/>
  <c r="U796"/>
  <c r="V796" s="1"/>
  <c r="T796"/>
  <c r="U724"/>
  <c r="V724" s="1"/>
  <c r="T724"/>
  <c r="T893"/>
  <c r="U893"/>
  <c r="V893" s="1"/>
  <c r="T885"/>
  <c r="U885"/>
  <c r="V885" s="1"/>
  <c r="U662"/>
  <c r="V662" s="1"/>
  <c r="T662"/>
  <c r="T894"/>
  <c r="U894"/>
  <c r="V894" s="1"/>
  <c r="U828"/>
  <c r="V828" s="1"/>
  <c r="T828"/>
  <c r="U1053"/>
  <c r="V1053" s="1"/>
  <c r="T1053"/>
  <c r="U853"/>
  <c r="V853" s="1"/>
  <c r="T853"/>
  <c r="T1044"/>
  <c r="U1044"/>
  <c r="V1044" s="1"/>
  <c r="T994"/>
  <c r="U994"/>
  <c r="V994" s="1"/>
  <c r="B166" i="29"/>
  <c r="B165"/>
  <c r="B161"/>
  <c r="B169" s="1"/>
  <c r="B162"/>
  <c r="B151"/>
  <c r="B152"/>
  <c r="B154" s="1"/>
  <c r="B156" s="1"/>
  <c r="G63" i="31"/>
  <c r="G67"/>
  <c r="G68"/>
  <c r="G69"/>
  <c r="G70"/>
  <c r="G71"/>
  <c r="G73"/>
  <c r="G3"/>
  <c r="B7" i="29" s="1"/>
  <c r="H7" s="1"/>
  <c r="B35"/>
  <c r="D35"/>
  <c r="T484" i="49" l="1"/>
  <c r="T486"/>
  <c r="T482"/>
  <c r="T610"/>
  <c r="T736"/>
  <c r="U934"/>
  <c r="V934" s="1"/>
  <c r="T611"/>
  <c r="U833"/>
  <c r="V833" s="1"/>
  <c r="T959"/>
  <c r="R175"/>
  <c r="U645"/>
  <c r="V645" s="1"/>
  <c r="T896"/>
  <c r="T993"/>
  <c r="U514"/>
  <c r="V514" s="1"/>
  <c r="T933"/>
  <c r="U739"/>
  <c r="V739" s="1"/>
  <c r="T671"/>
  <c r="U60"/>
  <c r="V60" s="1"/>
  <c r="U641"/>
  <c r="V641" s="1"/>
  <c r="T525"/>
  <c r="T286"/>
  <c r="T899"/>
  <c r="T868"/>
  <c r="U1058"/>
  <c r="V1058" s="1"/>
  <c r="T738"/>
  <c r="U837"/>
  <c r="V837" s="1"/>
  <c r="T835"/>
  <c r="U577"/>
  <c r="V577" s="1"/>
  <c r="U836"/>
  <c r="V836" s="1"/>
  <c r="T836"/>
  <c r="U773"/>
  <c r="V773" s="1"/>
  <c r="T581"/>
  <c r="U1061"/>
  <c r="V1061" s="1"/>
  <c r="T1061"/>
  <c r="U1059"/>
  <c r="V1059" s="1"/>
  <c r="T1059"/>
  <c r="U966"/>
  <c r="V966" s="1"/>
  <c r="U799"/>
  <c r="V799" s="1"/>
  <c r="T643"/>
  <c r="U995"/>
  <c r="V995" s="1"/>
  <c r="U444"/>
  <c r="V444" s="1"/>
  <c r="U929"/>
  <c r="V929" s="1"/>
  <c r="U65"/>
  <c r="V65" s="1"/>
  <c r="U962"/>
  <c r="V962" s="1"/>
  <c r="T997"/>
  <c r="U257"/>
  <c r="V257" s="1"/>
  <c r="T735"/>
  <c r="U202"/>
  <c r="V202" s="1"/>
  <c r="U803"/>
  <c r="V803" s="1"/>
  <c r="T866"/>
  <c r="U900"/>
  <c r="V900" s="1"/>
  <c r="U703"/>
  <c r="V703" s="1"/>
  <c r="T992"/>
  <c r="U992"/>
  <c r="V992" s="1"/>
  <c r="U964"/>
  <c r="V964" s="1"/>
  <c r="T609"/>
  <c r="T1024"/>
  <c r="U642"/>
  <c r="V642" s="1"/>
  <c r="U960"/>
  <c r="V960" s="1"/>
  <c r="T578"/>
  <c r="T580"/>
  <c r="T203"/>
  <c r="T802"/>
  <c r="T965"/>
  <c r="U965"/>
  <c r="V965" s="1"/>
  <c r="U772"/>
  <c r="V772" s="1"/>
  <c r="U229"/>
  <c r="V229" s="1"/>
  <c r="T705"/>
  <c r="U1029"/>
  <c r="V1029" s="1"/>
  <c r="T1029"/>
  <c r="U608"/>
  <c r="V608" s="1"/>
  <c r="T608"/>
  <c r="T869"/>
  <c r="U869"/>
  <c r="V869" s="1"/>
  <c r="U639"/>
  <c r="V639" s="1"/>
  <c r="T639"/>
  <c r="T612"/>
  <c r="U612"/>
  <c r="V612" s="1"/>
  <c r="U613"/>
  <c r="V613" s="1"/>
  <c r="T613"/>
  <c r="T1060"/>
  <c r="T673"/>
  <c r="U996"/>
  <c r="V996" s="1"/>
  <c r="T996"/>
  <c r="U675"/>
  <c r="V675" s="1"/>
  <c r="T675"/>
  <c r="U1056"/>
  <c r="V1056" s="1"/>
  <c r="T1056"/>
  <c r="U1055"/>
  <c r="V1055" s="1"/>
  <c r="T1055"/>
  <c r="T895"/>
  <c r="U895"/>
  <c r="V895" s="1"/>
  <c r="T832"/>
  <c r="U832"/>
  <c r="V832" s="1"/>
  <c r="T707"/>
  <c r="U707"/>
  <c r="V707" s="1"/>
  <c r="U386"/>
  <c r="V386" s="1"/>
  <c r="U801"/>
  <c r="V801" s="1"/>
  <c r="T928"/>
  <c r="T445"/>
  <c r="T927"/>
  <c r="U901"/>
  <c r="V901" s="1"/>
  <c r="U154"/>
  <c r="V154" s="1"/>
  <c r="T260"/>
  <c r="T104"/>
  <c r="U768"/>
  <c r="V768" s="1"/>
  <c r="U708"/>
  <c r="V708" s="1"/>
  <c r="T259"/>
  <c r="T325"/>
  <c r="U230"/>
  <c r="V230" s="1"/>
  <c r="T320"/>
  <c r="T459"/>
  <c r="U831"/>
  <c r="V831" s="1"/>
  <c r="T831"/>
  <c r="T864"/>
  <c r="U397"/>
  <c r="V397" s="1"/>
  <c r="U677"/>
  <c r="V677" s="1"/>
  <c r="U516"/>
  <c r="V516" s="1"/>
  <c r="U231"/>
  <c r="V231" s="1"/>
  <c r="U96"/>
  <c r="V96" s="1"/>
  <c r="U492"/>
  <c r="V492" s="1"/>
  <c r="T1025"/>
  <c r="U1026"/>
  <c r="V1026" s="1"/>
  <c r="T1026"/>
  <c r="T991"/>
  <c r="U98"/>
  <c r="V98" s="1"/>
  <c r="T834"/>
  <c r="U930"/>
  <c r="V930" s="1"/>
  <c r="T804"/>
  <c r="T360"/>
  <c r="T493"/>
  <c r="T963"/>
  <c r="U800"/>
  <c r="V800" s="1"/>
  <c r="T44"/>
  <c r="T522"/>
  <c r="U863"/>
  <c r="V863" s="1"/>
  <c r="U867"/>
  <c r="V867" s="1"/>
  <c r="T579"/>
  <c r="U579"/>
  <c r="V579" s="1"/>
  <c r="T741"/>
  <c r="U741"/>
  <c r="V741" s="1"/>
  <c r="T740"/>
  <c r="T704"/>
  <c r="U865"/>
  <c r="V865" s="1"/>
  <c r="U1028"/>
  <c r="V1028" s="1"/>
  <c r="T640"/>
  <c r="U706"/>
  <c r="V706" s="1"/>
  <c r="U672"/>
  <c r="V672" s="1"/>
  <c r="U644"/>
  <c r="V644" s="1"/>
  <c r="T898"/>
  <c r="U770"/>
  <c r="V770" s="1"/>
  <c r="U428"/>
  <c r="V428" s="1"/>
  <c r="T897"/>
  <c r="T737"/>
  <c r="U737"/>
  <c r="V737" s="1"/>
  <c r="T356"/>
  <c r="T1027"/>
  <c r="U805"/>
  <c r="V805" s="1"/>
  <c r="U961"/>
  <c r="V961" s="1"/>
  <c r="T961"/>
  <c r="T932"/>
  <c r="U330"/>
  <c r="V330" s="1"/>
  <c r="U509"/>
  <c r="V509" s="1"/>
  <c r="T478"/>
  <c r="U931"/>
  <c r="V931" s="1"/>
  <c r="T931"/>
  <c r="T575"/>
  <c r="U709"/>
  <c r="V709" s="1"/>
  <c r="S206"/>
  <c r="T206" s="1"/>
  <c r="U1023"/>
  <c r="V1023" s="1"/>
  <c r="T767"/>
  <c r="U45"/>
  <c r="V45" s="1"/>
  <c r="U769"/>
  <c r="V769" s="1"/>
  <c r="U771"/>
  <c r="V771" s="1"/>
  <c r="T771"/>
  <c r="T676"/>
  <c r="U676"/>
  <c r="V676" s="1"/>
  <c r="T607"/>
  <c r="T72"/>
  <c r="T125"/>
  <c r="T317"/>
  <c r="T106"/>
  <c r="T71"/>
  <c r="T100"/>
  <c r="U164"/>
  <c r="V164" s="1"/>
  <c r="U1057"/>
  <c r="V1057" s="1"/>
  <c r="T674"/>
  <c r="U158"/>
  <c r="V158" s="1"/>
  <c r="U256"/>
  <c r="V256" s="1"/>
  <c r="T167"/>
  <c r="U197"/>
  <c r="V197" s="1"/>
  <c r="T282"/>
  <c r="U364"/>
  <c r="V364" s="1"/>
  <c r="U66"/>
  <c r="V66" s="1"/>
  <c r="T331"/>
  <c r="T365"/>
  <c r="T328"/>
  <c r="T127"/>
  <c r="U358"/>
  <c r="V358" s="1"/>
  <c r="U333"/>
  <c r="V333" s="1"/>
  <c r="T414"/>
  <c r="U224"/>
  <c r="V224" s="1"/>
  <c r="U128"/>
  <c r="V128" s="1"/>
  <c r="U186"/>
  <c r="V186" s="1"/>
  <c r="U476"/>
  <c r="V476" s="1"/>
  <c r="U390"/>
  <c r="V390" s="1"/>
  <c r="T161"/>
  <c r="T254"/>
  <c r="T458"/>
  <c r="U36"/>
  <c r="V36" s="1"/>
  <c r="U348"/>
  <c r="V348" s="1"/>
  <c r="T385"/>
  <c r="U385"/>
  <c r="V385" s="1"/>
  <c r="T255"/>
  <c r="U255"/>
  <c r="V255" s="1"/>
  <c r="U448"/>
  <c r="V448" s="1"/>
  <c r="T63"/>
  <c r="U63"/>
  <c r="V63" s="1"/>
  <c r="T513"/>
  <c r="U513"/>
  <c r="V513" s="1"/>
  <c r="T168"/>
  <c r="U168"/>
  <c r="V168" s="1"/>
  <c r="T381"/>
  <c r="U130"/>
  <c r="V130" s="1"/>
  <c r="U422"/>
  <c r="V422" s="1"/>
  <c r="U301"/>
  <c r="V301" s="1"/>
  <c r="S526"/>
  <c r="U526" s="1"/>
  <c r="V526" s="1"/>
  <c r="S398"/>
  <c r="T398" s="1"/>
  <c r="R271"/>
  <c r="R528"/>
  <c r="R400"/>
  <c r="S400" s="1"/>
  <c r="T400" s="1"/>
  <c r="U295"/>
  <c r="V295" s="1"/>
  <c r="U41"/>
  <c r="V41" s="1"/>
  <c r="U322"/>
  <c r="V322" s="1"/>
  <c r="T196"/>
  <c r="U300"/>
  <c r="V300" s="1"/>
  <c r="U461"/>
  <c r="V461" s="1"/>
  <c r="U129"/>
  <c r="V129" s="1"/>
  <c r="U394"/>
  <c r="V394" s="1"/>
  <c r="U294"/>
  <c r="V294" s="1"/>
  <c r="T456"/>
  <c r="U95"/>
  <c r="V95" s="1"/>
  <c r="T418"/>
  <c r="T454"/>
  <c r="R432"/>
  <c r="S432" s="1"/>
  <c r="T432" s="1"/>
  <c r="R304"/>
  <c r="S304" s="1"/>
  <c r="U304" s="1"/>
  <c r="V304" s="1"/>
  <c r="U388"/>
  <c r="V388" s="1"/>
  <c r="U223"/>
  <c r="V223" s="1"/>
  <c r="U453"/>
  <c r="V453" s="1"/>
  <c r="U162"/>
  <c r="V162" s="1"/>
  <c r="U998"/>
  <c r="V998" s="1"/>
  <c r="T449"/>
  <c r="U449"/>
  <c r="V449" s="1"/>
  <c r="T159"/>
  <c r="U159"/>
  <c r="V159" s="1"/>
  <c r="T69"/>
  <c r="U69"/>
  <c r="V69" s="1"/>
  <c r="T838"/>
  <c r="T200"/>
  <c r="U200"/>
  <c r="V200" s="1"/>
  <c r="T134"/>
  <c r="U134"/>
  <c r="V134" s="1"/>
  <c r="U139"/>
  <c r="V139" s="1"/>
  <c r="R496"/>
  <c r="S496" s="1"/>
  <c r="T496" s="1"/>
  <c r="R368"/>
  <c r="S368" s="1"/>
  <c r="T368" s="1"/>
  <c r="S270"/>
  <c r="T270" s="1"/>
  <c r="U350"/>
  <c r="V350" s="1"/>
  <c r="U481"/>
  <c r="V481" s="1"/>
  <c r="S110"/>
  <c r="U110" s="1"/>
  <c r="V110" s="1"/>
  <c r="U326"/>
  <c r="V326" s="1"/>
  <c r="T225"/>
  <c r="U225"/>
  <c r="V225" s="1"/>
  <c r="U321"/>
  <c r="V321" s="1"/>
  <c r="T321"/>
  <c r="T40"/>
  <c r="U267"/>
  <c r="V267" s="1"/>
  <c r="U227"/>
  <c r="V227" s="1"/>
  <c r="U423"/>
  <c r="V423" s="1"/>
  <c r="T297"/>
  <c r="T488"/>
  <c r="U488"/>
  <c r="V488" s="1"/>
  <c r="R80"/>
  <c r="S80" s="1"/>
  <c r="U80" s="1"/>
  <c r="V80" s="1"/>
  <c r="U287"/>
  <c r="V287" s="1"/>
  <c r="T289"/>
  <c r="U289"/>
  <c r="V289" s="1"/>
  <c r="U353"/>
  <c r="V353" s="1"/>
  <c r="U395"/>
  <c r="V395" s="1"/>
  <c r="U93"/>
  <c r="V93" s="1"/>
  <c r="U136"/>
  <c r="V136" s="1"/>
  <c r="U103"/>
  <c r="V103" s="1"/>
  <c r="U354"/>
  <c r="V354" s="1"/>
  <c r="S462"/>
  <c r="U462" s="1"/>
  <c r="V462" s="1"/>
  <c r="S334"/>
  <c r="T334" s="1"/>
  <c r="R464"/>
  <c r="S464" s="1"/>
  <c r="R336"/>
  <c r="S336" s="1"/>
  <c r="S46"/>
  <c r="T46" s="1"/>
  <c r="U417"/>
  <c r="V417" s="1"/>
  <c r="U291"/>
  <c r="V291" s="1"/>
  <c r="U222"/>
  <c r="V222" s="1"/>
  <c r="U262"/>
  <c r="V262" s="1"/>
  <c r="U429"/>
  <c r="V429" s="1"/>
  <c r="R273"/>
  <c r="S273" s="1"/>
  <c r="T273" s="1"/>
  <c r="U298"/>
  <c r="V298" s="1"/>
  <c r="T523"/>
  <c r="S271"/>
  <c r="T271" s="1"/>
  <c r="R272"/>
  <c r="S272" s="1"/>
  <c r="T272" s="1"/>
  <c r="S238"/>
  <c r="U238" s="1"/>
  <c r="V238" s="1"/>
  <c r="T232"/>
  <c r="U232"/>
  <c r="V232" s="1"/>
  <c r="R495"/>
  <c r="S495" s="1"/>
  <c r="T495" s="1"/>
  <c r="S209"/>
  <c r="T209" s="1"/>
  <c r="R241"/>
  <c r="S241" s="1"/>
  <c r="T241" s="1"/>
  <c r="R113"/>
  <c r="S113" s="1"/>
  <c r="T113" s="1"/>
  <c r="U237"/>
  <c r="V237" s="1"/>
  <c r="U135"/>
  <c r="V135" s="1"/>
  <c r="R176"/>
  <c r="S176" s="1"/>
  <c r="R47"/>
  <c r="S47" s="1"/>
  <c r="T47" s="1"/>
  <c r="U346"/>
  <c r="V346" s="1"/>
  <c r="T346"/>
  <c r="U264"/>
  <c r="V264" s="1"/>
  <c r="T264"/>
  <c r="U477"/>
  <c r="V477" s="1"/>
  <c r="T477"/>
  <c r="U426"/>
  <c r="V426" s="1"/>
  <c r="T426"/>
  <c r="U524"/>
  <c r="V524" s="1"/>
  <c r="T524"/>
  <c r="U155"/>
  <c r="V155" s="1"/>
  <c r="T155"/>
  <c r="U70"/>
  <c r="V70" s="1"/>
  <c r="T70"/>
  <c r="U480"/>
  <c r="V480" s="1"/>
  <c r="T480"/>
  <c r="U220"/>
  <c r="V220" s="1"/>
  <c r="T220"/>
  <c r="U412"/>
  <c r="V412" s="1"/>
  <c r="T412"/>
  <c r="U483"/>
  <c r="V483" s="1"/>
  <c r="T483"/>
  <c r="U517"/>
  <c r="V517" s="1"/>
  <c r="T517"/>
  <c r="U293"/>
  <c r="V293" s="1"/>
  <c r="T293"/>
  <c r="U73"/>
  <c r="V73" s="1"/>
  <c r="T73"/>
  <c r="U109"/>
  <c r="V109" s="1"/>
  <c r="T109"/>
  <c r="U363"/>
  <c r="V363" s="1"/>
  <c r="T363"/>
  <c r="U170"/>
  <c r="V170" s="1"/>
  <c r="T170"/>
  <c r="U187"/>
  <c r="V187" s="1"/>
  <c r="T187"/>
  <c r="U319"/>
  <c r="V319" s="1"/>
  <c r="T319"/>
  <c r="U314"/>
  <c r="V314" s="1"/>
  <c r="T314"/>
  <c r="U68"/>
  <c r="V68" s="1"/>
  <c r="T68"/>
  <c r="U515"/>
  <c r="V515" s="1"/>
  <c r="T515"/>
  <c r="U258"/>
  <c r="V258" s="1"/>
  <c r="T258"/>
  <c r="U102"/>
  <c r="V102" s="1"/>
  <c r="T102"/>
  <c r="U160"/>
  <c r="V160" s="1"/>
  <c r="T160"/>
  <c r="U362"/>
  <c r="V362" s="1"/>
  <c r="T362"/>
  <c r="U204"/>
  <c r="V204" s="1"/>
  <c r="T204"/>
  <c r="U460"/>
  <c r="V460" s="1"/>
  <c r="T460"/>
  <c r="S528"/>
  <c r="R144"/>
  <c r="S144" s="1"/>
  <c r="S494"/>
  <c r="S366"/>
  <c r="R177"/>
  <c r="S177" s="1"/>
  <c r="R399"/>
  <c r="S399" s="1"/>
  <c r="R497"/>
  <c r="S497" s="1"/>
  <c r="R369"/>
  <c r="S369" s="1"/>
  <c r="R143"/>
  <c r="S143" s="1"/>
  <c r="U188"/>
  <c r="V188" s="1"/>
  <c r="T188"/>
  <c r="U288"/>
  <c r="V288" s="1"/>
  <c r="T288"/>
  <c r="U105"/>
  <c r="V105" s="1"/>
  <c r="T105"/>
  <c r="U479"/>
  <c r="V479" s="1"/>
  <c r="T479"/>
  <c r="U195"/>
  <c r="V195" s="1"/>
  <c r="T195"/>
  <c r="U327"/>
  <c r="V327" s="1"/>
  <c r="T327"/>
  <c r="U268"/>
  <c r="V268" s="1"/>
  <c r="T268"/>
  <c r="U250"/>
  <c r="V250" s="1"/>
  <c r="T250"/>
  <c r="U292"/>
  <c r="V292" s="1"/>
  <c r="T292"/>
  <c r="U253"/>
  <c r="V253" s="1"/>
  <c r="T253"/>
  <c r="U284"/>
  <c r="V284" s="1"/>
  <c r="T284"/>
  <c r="U419"/>
  <c r="V419" s="1"/>
  <c r="T419"/>
  <c r="U157"/>
  <c r="V157" s="1"/>
  <c r="T157"/>
  <c r="U389"/>
  <c r="V389" s="1"/>
  <c r="T389"/>
  <c r="U219"/>
  <c r="V219" s="1"/>
  <c r="T219"/>
  <c r="U193"/>
  <c r="V193" s="1"/>
  <c r="T193"/>
  <c r="U43"/>
  <c r="V43" s="1"/>
  <c r="T43"/>
  <c r="U32"/>
  <c r="V32" s="1"/>
  <c r="T32"/>
  <c r="U425"/>
  <c r="V425" s="1"/>
  <c r="T425"/>
  <c r="U94"/>
  <c r="V94" s="1"/>
  <c r="T94"/>
  <c r="U415"/>
  <c r="V415" s="1"/>
  <c r="T415"/>
  <c r="U165"/>
  <c r="V165" s="1"/>
  <c r="T165"/>
  <c r="U34"/>
  <c r="V34" s="1"/>
  <c r="T34"/>
  <c r="U28"/>
  <c r="V28" s="1"/>
  <c r="T28"/>
  <c r="U283"/>
  <c r="V283" s="1"/>
  <c r="T283"/>
  <c r="U519"/>
  <c r="V519" s="1"/>
  <c r="T519"/>
  <c r="U173"/>
  <c r="V173" s="1"/>
  <c r="T173"/>
  <c r="U140"/>
  <c r="V140" s="1"/>
  <c r="T140"/>
  <c r="U396"/>
  <c r="V396" s="1"/>
  <c r="T396"/>
  <c r="U30"/>
  <c r="V30" s="1"/>
  <c r="T30"/>
  <c r="U131"/>
  <c r="V131" s="1"/>
  <c r="T131"/>
  <c r="U420"/>
  <c r="V420" s="1"/>
  <c r="T420"/>
  <c r="U221"/>
  <c r="V221" s="1"/>
  <c r="T221"/>
  <c r="U413"/>
  <c r="V413" s="1"/>
  <c r="T413"/>
  <c r="U355"/>
  <c r="V355" s="1"/>
  <c r="T355"/>
  <c r="U226"/>
  <c r="V226" s="1"/>
  <c r="T226"/>
  <c r="U163"/>
  <c r="V163" s="1"/>
  <c r="T163"/>
  <c r="U39"/>
  <c r="V39" s="1"/>
  <c r="T39"/>
  <c r="U199"/>
  <c r="V199" s="1"/>
  <c r="T199"/>
  <c r="U235"/>
  <c r="V235" s="1"/>
  <c r="T235"/>
  <c r="U489"/>
  <c r="V489" s="1"/>
  <c r="T489"/>
  <c r="U252"/>
  <c r="V252" s="1"/>
  <c r="T252"/>
  <c r="U357"/>
  <c r="V357" s="1"/>
  <c r="T357"/>
  <c r="U511"/>
  <c r="V511" s="1"/>
  <c r="T511"/>
  <c r="U261"/>
  <c r="V261" s="1"/>
  <c r="T261"/>
  <c r="U387"/>
  <c r="V387" s="1"/>
  <c r="T387"/>
  <c r="U27"/>
  <c r="V27" s="1"/>
  <c r="T27"/>
  <c r="U290"/>
  <c r="V290" s="1"/>
  <c r="T290"/>
  <c r="U507"/>
  <c r="V507" s="1"/>
  <c r="T507"/>
  <c r="U233"/>
  <c r="V233" s="1"/>
  <c r="T233"/>
  <c r="U76"/>
  <c r="V76" s="1"/>
  <c r="T76"/>
  <c r="U332"/>
  <c r="V332" s="1"/>
  <c r="T332"/>
  <c r="U457"/>
  <c r="V457" s="1"/>
  <c r="T457"/>
  <c r="U206"/>
  <c r="V206" s="1"/>
  <c r="S175"/>
  <c r="R303"/>
  <c r="S303" s="1"/>
  <c r="S78"/>
  <c r="R111"/>
  <c r="S111" s="1"/>
  <c r="R48"/>
  <c r="S48" s="1"/>
  <c r="S145"/>
  <c r="R79"/>
  <c r="S79" s="1"/>
  <c r="R463"/>
  <c r="S463" s="1"/>
  <c r="R529"/>
  <c r="S529" s="1"/>
  <c r="R401"/>
  <c r="S401" s="1"/>
  <c r="R207"/>
  <c r="S207" s="1"/>
  <c r="U61"/>
  <c r="V61" s="1"/>
  <c r="T61"/>
  <c r="U324"/>
  <c r="V324" s="1"/>
  <c r="T324"/>
  <c r="U29"/>
  <c r="V29" s="1"/>
  <c r="T29"/>
  <c r="U201"/>
  <c r="V201" s="1"/>
  <c r="T201"/>
  <c r="U190"/>
  <c r="V190" s="1"/>
  <c r="T190"/>
  <c r="U228"/>
  <c r="V228" s="1"/>
  <c r="T228"/>
  <c r="U315"/>
  <c r="V315" s="1"/>
  <c r="T315"/>
  <c r="U101"/>
  <c r="V101" s="1"/>
  <c r="T101"/>
  <c r="U508"/>
  <c r="V508" s="1"/>
  <c r="T508"/>
  <c r="U189"/>
  <c r="V189" s="1"/>
  <c r="T189"/>
  <c r="U194"/>
  <c r="V194" s="1"/>
  <c r="T194"/>
  <c r="U424"/>
  <c r="V424" s="1"/>
  <c r="T424"/>
  <c r="U35"/>
  <c r="V35" s="1"/>
  <c r="T35"/>
  <c r="U62"/>
  <c r="V62" s="1"/>
  <c r="T62"/>
  <c r="U156"/>
  <c r="V156" s="1"/>
  <c r="T156"/>
  <c r="U97"/>
  <c r="V97" s="1"/>
  <c r="T97"/>
  <c r="U172"/>
  <c r="V172" s="1"/>
  <c r="T172"/>
  <c r="U427"/>
  <c r="V427" s="1"/>
  <c r="T427"/>
  <c r="U42"/>
  <c r="V42" s="1"/>
  <c r="T42"/>
  <c r="U38"/>
  <c r="V38" s="1"/>
  <c r="T38"/>
  <c r="U351"/>
  <c r="V351" s="1"/>
  <c r="T351"/>
  <c r="U506"/>
  <c r="V506" s="1"/>
  <c r="T506"/>
  <c r="U123"/>
  <c r="V123" s="1"/>
  <c r="T123"/>
  <c r="U451"/>
  <c r="V451" s="1"/>
  <c r="T451"/>
  <c r="U285"/>
  <c r="V285" s="1"/>
  <c r="T285"/>
  <c r="U455"/>
  <c r="V455" s="1"/>
  <c r="T455"/>
  <c r="U77"/>
  <c r="V77" s="1"/>
  <c r="T77"/>
  <c r="U269"/>
  <c r="V269" s="1"/>
  <c r="T269"/>
  <c r="U266"/>
  <c r="V266" s="1"/>
  <c r="T266"/>
  <c r="U521"/>
  <c r="V521" s="1"/>
  <c r="T521"/>
  <c r="U198"/>
  <c r="V198" s="1"/>
  <c r="T198"/>
  <c r="U380"/>
  <c r="V380" s="1"/>
  <c r="T380"/>
  <c r="U410"/>
  <c r="V410" s="1"/>
  <c r="T410"/>
  <c r="U166"/>
  <c r="V166" s="1"/>
  <c r="T166"/>
  <c r="U512"/>
  <c r="V512" s="1"/>
  <c r="T512"/>
  <c r="U446"/>
  <c r="V446" s="1"/>
  <c r="T446"/>
  <c r="U416"/>
  <c r="V416" s="1"/>
  <c r="T416"/>
  <c r="U475"/>
  <c r="V475" s="1"/>
  <c r="T475"/>
  <c r="U265"/>
  <c r="V265" s="1"/>
  <c r="T265"/>
  <c r="U236"/>
  <c r="V236" s="1"/>
  <c r="T236"/>
  <c r="U361"/>
  <c r="V361" s="1"/>
  <c r="T361"/>
  <c r="U132"/>
  <c r="V132" s="1"/>
  <c r="T132"/>
  <c r="U218"/>
  <c r="V218" s="1"/>
  <c r="T218"/>
  <c r="U447"/>
  <c r="V447" s="1"/>
  <c r="T447"/>
  <c r="U67"/>
  <c r="V67" s="1"/>
  <c r="T67"/>
  <c r="U349"/>
  <c r="V349" s="1"/>
  <c r="T349"/>
  <c r="U59"/>
  <c r="V59" s="1"/>
  <c r="T59"/>
  <c r="U487"/>
  <c r="V487" s="1"/>
  <c r="T487"/>
  <c r="U379"/>
  <c r="V379" s="1"/>
  <c r="T379"/>
  <c r="U137"/>
  <c r="V137" s="1"/>
  <c r="T137"/>
  <c r="U64"/>
  <c r="V64" s="1"/>
  <c r="T64"/>
  <c r="U74"/>
  <c r="V74" s="1"/>
  <c r="T74"/>
  <c r="U329"/>
  <c r="V329" s="1"/>
  <c r="T329"/>
  <c r="R367"/>
  <c r="S367" s="1"/>
  <c r="R208"/>
  <c r="S208" s="1"/>
  <c r="R49"/>
  <c r="S49" s="1"/>
  <c r="S430"/>
  <c r="S302"/>
  <c r="R527"/>
  <c r="S527" s="1"/>
  <c r="R433"/>
  <c r="S433" s="1"/>
  <c r="R305"/>
  <c r="S305" s="1"/>
  <c r="S174"/>
  <c r="U352"/>
  <c r="V352" s="1"/>
  <c r="T352"/>
  <c r="U382"/>
  <c r="V382" s="1"/>
  <c r="T382"/>
  <c r="U31"/>
  <c r="V31" s="1"/>
  <c r="T31"/>
  <c r="U192"/>
  <c r="V192" s="1"/>
  <c r="T192"/>
  <c r="U124"/>
  <c r="V124" s="1"/>
  <c r="T124"/>
  <c r="U392"/>
  <c r="V392" s="1"/>
  <c r="T392"/>
  <c r="U474"/>
  <c r="V474" s="1"/>
  <c r="T474"/>
  <c r="U58"/>
  <c r="V58" s="1"/>
  <c r="T58"/>
  <c r="U384"/>
  <c r="V384" s="1"/>
  <c r="T384"/>
  <c r="U510"/>
  <c r="V510" s="1"/>
  <c r="T510"/>
  <c r="U90"/>
  <c r="V90" s="1"/>
  <c r="T90"/>
  <c r="U133"/>
  <c r="V133" s="1"/>
  <c r="T133"/>
  <c r="U411"/>
  <c r="V411" s="1"/>
  <c r="T411"/>
  <c r="U141"/>
  <c r="V141" s="1"/>
  <c r="T141"/>
  <c r="U299"/>
  <c r="V299" s="1"/>
  <c r="T299"/>
  <c r="U171"/>
  <c r="V171" s="1"/>
  <c r="T171"/>
  <c r="U234"/>
  <c r="V234" s="1"/>
  <c r="T234"/>
  <c r="U99"/>
  <c r="V99" s="1"/>
  <c r="T99"/>
  <c r="U485"/>
  <c r="V485" s="1"/>
  <c r="T485"/>
  <c r="U378"/>
  <c r="V378" s="1"/>
  <c r="T378"/>
  <c r="U26"/>
  <c r="V26" s="1"/>
  <c r="T26"/>
  <c r="U323"/>
  <c r="V323" s="1"/>
  <c r="T323"/>
  <c r="U251"/>
  <c r="V251" s="1"/>
  <c r="T251"/>
  <c r="U391"/>
  <c r="V391" s="1"/>
  <c r="T391"/>
  <c r="U443"/>
  <c r="V443" s="1"/>
  <c r="T443"/>
  <c r="U205"/>
  <c r="V205" s="1"/>
  <c r="T205"/>
  <c r="U138"/>
  <c r="V138" s="1"/>
  <c r="T138"/>
  <c r="U393"/>
  <c r="V393" s="1"/>
  <c r="T393"/>
  <c r="U92"/>
  <c r="V92" s="1"/>
  <c r="T92"/>
  <c r="U421"/>
  <c r="V421" s="1"/>
  <c r="T421"/>
  <c r="U520"/>
  <c r="V520" s="1"/>
  <c r="T520"/>
  <c r="U126"/>
  <c r="V126" s="1"/>
  <c r="T126"/>
  <c r="U452"/>
  <c r="V452" s="1"/>
  <c r="T452"/>
  <c r="U318"/>
  <c r="V318" s="1"/>
  <c r="T318"/>
  <c r="U316"/>
  <c r="V316" s="1"/>
  <c r="T316"/>
  <c r="U347"/>
  <c r="V347" s="1"/>
  <c r="T347"/>
  <c r="U169"/>
  <c r="V169" s="1"/>
  <c r="T169"/>
  <c r="U108"/>
  <c r="V108" s="1"/>
  <c r="T108"/>
  <c r="U491"/>
  <c r="V491" s="1"/>
  <c r="T491"/>
  <c r="U122"/>
  <c r="V122" s="1"/>
  <c r="T122"/>
  <c r="U383"/>
  <c r="V383" s="1"/>
  <c r="T383"/>
  <c r="U442"/>
  <c r="V442" s="1"/>
  <c r="T442"/>
  <c r="U91"/>
  <c r="V91" s="1"/>
  <c r="T91"/>
  <c r="U296"/>
  <c r="V296" s="1"/>
  <c r="T296"/>
  <c r="U359"/>
  <c r="V359" s="1"/>
  <c r="T359"/>
  <c r="U37"/>
  <c r="V37" s="1"/>
  <c r="T37"/>
  <c r="U33"/>
  <c r="V33" s="1"/>
  <c r="T33"/>
  <c r="U490"/>
  <c r="V490" s="1"/>
  <c r="T490"/>
  <c r="U107"/>
  <c r="V107" s="1"/>
  <c r="T107"/>
  <c r="U75"/>
  <c r="V75" s="1"/>
  <c r="T75"/>
  <c r="U142"/>
  <c r="V142" s="1"/>
  <c r="T142"/>
  <c r="R431"/>
  <c r="S431" s="1"/>
  <c r="R239"/>
  <c r="S239" s="1"/>
  <c r="R240"/>
  <c r="S240" s="1"/>
  <c r="R112"/>
  <c r="S112" s="1"/>
  <c r="S81"/>
  <c r="R335"/>
  <c r="S335" s="1"/>
  <c r="R465"/>
  <c r="S465" s="1"/>
  <c r="R337"/>
  <c r="S337" s="1"/>
  <c r="U774"/>
  <c r="V774" s="1"/>
  <c r="U806"/>
  <c r="V806" s="1"/>
  <c r="U870"/>
  <c r="V870" s="1"/>
  <c r="T678"/>
  <c r="T1062"/>
  <c r="U710"/>
  <c r="V710" s="1"/>
  <c r="B167" i="29"/>
  <c r="U646" i="49"/>
  <c r="V646" s="1"/>
  <c r="T646"/>
  <c r="T1030"/>
  <c r="U1030"/>
  <c r="V1030" s="1"/>
  <c r="U582"/>
  <c r="V582" s="1"/>
  <c r="T582"/>
  <c r="T614"/>
  <c r="U614"/>
  <c r="V614" s="1"/>
  <c r="U742"/>
  <c r="V742" s="1"/>
  <c r="T742"/>
  <c r="T902"/>
  <c r="U902"/>
  <c r="V902" s="1"/>
  <c r="B168" i="29"/>
  <c r="E193"/>
  <c r="E194" s="1"/>
  <c r="E196"/>
  <c r="U46" i="49" l="1"/>
  <c r="V46" s="1"/>
  <c r="B170" i="29"/>
  <c r="B172" s="1"/>
  <c r="B216" s="1"/>
  <c r="B224" s="1"/>
  <c r="B43" i="30" s="1"/>
  <c r="U368" i="49"/>
  <c r="V368" s="1"/>
  <c r="T80"/>
  <c r="T304"/>
  <c r="U270"/>
  <c r="V270" s="1"/>
  <c r="U209"/>
  <c r="V209" s="1"/>
  <c r="T526"/>
  <c r="U496"/>
  <c r="V496" s="1"/>
  <c r="T462"/>
  <c r="U398"/>
  <c r="V398" s="1"/>
  <c r="U432"/>
  <c r="V432" s="1"/>
  <c r="U334"/>
  <c r="V334" s="1"/>
  <c r="U47"/>
  <c r="V47" s="1"/>
  <c r="T110"/>
  <c r="U241"/>
  <c r="V241" s="1"/>
  <c r="U495"/>
  <c r="V495" s="1"/>
  <c r="U273"/>
  <c r="V273" s="1"/>
  <c r="U272"/>
  <c r="V272" s="1"/>
  <c r="T238"/>
  <c r="U400"/>
  <c r="V400" s="1"/>
  <c r="U271"/>
  <c r="V271" s="1"/>
  <c r="U113"/>
  <c r="V113" s="1"/>
  <c r="U465"/>
  <c r="V465" s="1"/>
  <c r="T465"/>
  <c r="U240"/>
  <c r="V240" s="1"/>
  <c r="T240"/>
  <c r="U305"/>
  <c r="V305" s="1"/>
  <c r="T305"/>
  <c r="U430"/>
  <c r="V430" s="1"/>
  <c r="T430"/>
  <c r="U464"/>
  <c r="V464" s="1"/>
  <c r="T464"/>
  <c r="U207"/>
  <c r="V207" s="1"/>
  <c r="T207"/>
  <c r="U79"/>
  <c r="V79" s="1"/>
  <c r="T79"/>
  <c r="U111"/>
  <c r="V111" s="1"/>
  <c r="T111"/>
  <c r="U143"/>
  <c r="V143" s="1"/>
  <c r="T143"/>
  <c r="U177"/>
  <c r="V177" s="1"/>
  <c r="T177"/>
  <c r="U528"/>
  <c r="V528" s="1"/>
  <c r="T528"/>
  <c r="U337"/>
  <c r="V337" s="1"/>
  <c r="T337"/>
  <c r="U112"/>
  <c r="V112" s="1"/>
  <c r="T112"/>
  <c r="U174"/>
  <c r="V174" s="1"/>
  <c r="T174"/>
  <c r="U302"/>
  <c r="V302" s="1"/>
  <c r="T302"/>
  <c r="U336"/>
  <c r="V336" s="1"/>
  <c r="T336"/>
  <c r="U463"/>
  <c r="V463" s="1"/>
  <c r="T463"/>
  <c r="U176"/>
  <c r="V176" s="1"/>
  <c r="T176"/>
  <c r="U175"/>
  <c r="V175" s="1"/>
  <c r="T175"/>
  <c r="U399"/>
  <c r="V399" s="1"/>
  <c r="T399"/>
  <c r="U144"/>
  <c r="V144" s="1"/>
  <c r="T144"/>
  <c r="U81"/>
  <c r="V81" s="1"/>
  <c r="T81"/>
  <c r="U431"/>
  <c r="V431" s="1"/>
  <c r="T431"/>
  <c r="U527"/>
  <c r="V527" s="1"/>
  <c r="T527"/>
  <c r="U208"/>
  <c r="V208" s="1"/>
  <c r="T208"/>
  <c r="U529"/>
  <c r="V529" s="1"/>
  <c r="T529"/>
  <c r="U48"/>
  <c r="V48" s="1"/>
  <c r="T48"/>
  <c r="U303"/>
  <c r="V303" s="1"/>
  <c r="T303"/>
  <c r="U497"/>
  <c r="V497" s="1"/>
  <c r="T497"/>
  <c r="U494"/>
  <c r="V494" s="1"/>
  <c r="T494"/>
  <c r="U335"/>
  <c r="V335" s="1"/>
  <c r="T335"/>
  <c r="U239"/>
  <c r="V239" s="1"/>
  <c r="T239"/>
  <c r="U433"/>
  <c r="V433" s="1"/>
  <c r="T433"/>
  <c r="U49"/>
  <c r="V49" s="1"/>
  <c r="T49"/>
  <c r="U367"/>
  <c r="V367" s="1"/>
  <c r="T367"/>
  <c r="U401"/>
  <c r="V401" s="1"/>
  <c r="T401"/>
  <c r="U145"/>
  <c r="V145" s="1"/>
  <c r="T145"/>
  <c r="U78"/>
  <c r="V78" s="1"/>
  <c r="T78"/>
  <c r="U369"/>
  <c r="V369" s="1"/>
  <c r="T369"/>
  <c r="U366"/>
  <c r="V366" s="1"/>
  <c r="T366"/>
  <c r="T1064"/>
  <c r="R2" s="1"/>
  <c r="E241" i="29" s="1"/>
  <c r="C46" i="30" s="1"/>
  <c r="V1064" i="49"/>
  <c r="J540" s="1"/>
  <c r="N539" s="1"/>
  <c r="I7" i="29"/>
  <c r="E35"/>
  <c r="J535" i="49" s="1"/>
  <c r="C35" i="29"/>
  <c r="E128"/>
  <c r="B232" l="1"/>
  <c r="B44" i="30" s="1"/>
  <c r="V531" i="49"/>
  <c r="J7" s="1"/>
  <c r="K8" s="1"/>
  <c r="T531"/>
  <c r="Q2" s="1"/>
  <c r="D241" i="29" s="1"/>
  <c r="B46" i="30" s="1"/>
  <c r="AB46" i="12"/>
  <c r="E242" i="29"/>
  <c r="C50" i="30" s="1"/>
  <c r="K541" i="49"/>
  <c r="L540"/>
  <c r="E130" i="29"/>
  <c r="E139" s="1"/>
  <c r="E173" s="1"/>
  <c r="E174" s="1"/>
  <c r="E175" s="1"/>
  <c r="D128"/>
  <c r="B46" i="12" l="1"/>
  <c r="L7" i="49"/>
  <c r="N6"/>
  <c r="D242" i="29"/>
  <c r="B50" i="30" s="1"/>
  <c r="D130" i="29"/>
  <c r="D139" s="1"/>
  <c r="D173" s="1"/>
  <c r="D174" s="1"/>
  <c r="D175" s="1"/>
  <c r="B63" i="31"/>
  <c r="H63"/>
  <c r="H3" s="1"/>
  <c r="B8" i="29" s="1"/>
  <c r="I8" s="1"/>
  <c r="F63" i="31"/>
  <c r="I63"/>
  <c r="H67"/>
  <c r="H68"/>
  <c r="H69"/>
  <c r="H70"/>
  <c r="H71"/>
  <c r="H73"/>
  <c r="E36" i="29"/>
  <c r="C36"/>
  <c r="P3" l="1"/>
  <c r="E140" s="1"/>
  <c r="O3"/>
  <c r="H8"/>
  <c r="J536" i="49"/>
  <c r="B36" i="29"/>
  <c r="D36"/>
  <c r="J537" i="49" l="1"/>
  <c r="K544" s="1"/>
  <c r="E80" i="29"/>
  <c r="J547" i="49" s="1"/>
  <c r="D80" i="29"/>
  <c r="D140"/>
  <c r="E142"/>
  <c r="E158"/>
  <c r="F67" i="31"/>
  <c r="F68"/>
  <c r="F69"/>
  <c r="F70"/>
  <c r="F71"/>
  <c r="F73"/>
  <c r="F3"/>
  <c r="B5" i="29" s="1"/>
  <c r="H5" s="1"/>
  <c r="J3" i="49"/>
  <c r="B33" i="29"/>
  <c r="D33"/>
  <c r="J4" i="49" l="1"/>
  <c r="K10" s="1"/>
  <c r="K543"/>
  <c r="E82" i="29"/>
  <c r="E87" s="1"/>
  <c r="E98"/>
  <c r="E99" s="1"/>
  <c r="D98"/>
  <c r="D82"/>
  <c r="J14" i="49"/>
  <c r="D142" i="29"/>
  <c r="D158"/>
  <c r="E160"/>
  <c r="E171"/>
  <c r="E163"/>
  <c r="E159"/>
  <c r="E164"/>
  <c r="E143"/>
  <c r="E148"/>
  <c r="E155"/>
  <c r="E144"/>
  <c r="E147"/>
  <c r="I5"/>
  <c r="C33"/>
  <c r="E33"/>
  <c r="K11" i="49" l="1"/>
  <c r="E88" i="29"/>
  <c r="E90" s="1"/>
  <c r="E104"/>
  <c r="E103"/>
  <c r="E83"/>
  <c r="E84"/>
  <c r="E95"/>
  <c r="E100"/>
  <c r="E101" s="1"/>
  <c r="E109" s="1"/>
  <c r="E111"/>
  <c r="D155"/>
  <c r="D144"/>
  <c r="D147"/>
  <c r="D143"/>
  <c r="D148"/>
  <c r="D160"/>
  <c r="D171"/>
  <c r="D164"/>
  <c r="D163"/>
  <c r="D159"/>
  <c r="D111"/>
  <c r="D104"/>
  <c r="D100"/>
  <c r="D103"/>
  <c r="D99"/>
  <c r="D88"/>
  <c r="D84"/>
  <c r="D95"/>
  <c r="D87"/>
  <c r="D83"/>
  <c r="E165"/>
  <c r="E166"/>
  <c r="E149"/>
  <c r="E150"/>
  <c r="E146"/>
  <c r="E145"/>
  <c r="E153" s="1"/>
  <c r="E161"/>
  <c r="E169" s="1"/>
  <c r="E162"/>
  <c r="B52" i="31"/>
  <c r="B53"/>
  <c r="I51"/>
  <c r="I53"/>
  <c r="I67"/>
  <c r="I68"/>
  <c r="I69"/>
  <c r="I70"/>
  <c r="I71"/>
  <c r="I73"/>
  <c r="I3"/>
  <c r="B67"/>
  <c r="B68"/>
  <c r="B69"/>
  <c r="B70"/>
  <c r="B71"/>
  <c r="B72"/>
  <c r="B73"/>
  <c r="E89" i="29" l="1"/>
  <c r="D90"/>
  <c r="E105"/>
  <c r="E107" s="1"/>
  <c r="E102"/>
  <c r="E86"/>
  <c r="E92" s="1"/>
  <c r="E85"/>
  <c r="E93" s="1"/>
  <c r="E106"/>
  <c r="D165"/>
  <c r="D166"/>
  <c r="D105"/>
  <c r="D106"/>
  <c r="D162"/>
  <c r="D161"/>
  <c r="D169" s="1"/>
  <c r="D89"/>
  <c r="D102"/>
  <c r="D101"/>
  <c r="D109" s="1"/>
  <c r="D149"/>
  <c r="D150"/>
  <c r="D85"/>
  <c r="D93" s="1"/>
  <c r="D86"/>
  <c r="D146"/>
  <c r="D145"/>
  <c r="D153" s="1"/>
  <c r="E152"/>
  <c r="E151"/>
  <c r="E167"/>
  <c r="E168"/>
  <c r="E154" l="1"/>
  <c r="E156" s="1"/>
  <c r="L548" i="49" s="1"/>
  <c r="E91" i="29"/>
  <c r="E94" s="1"/>
  <c r="E96" s="1"/>
  <c r="E108"/>
  <c r="E110" s="1"/>
  <c r="E112" s="1"/>
  <c r="E170"/>
  <c r="E172" s="1"/>
  <c r="M548" i="49" s="1"/>
  <c r="D108" i="29"/>
  <c r="D152"/>
  <c r="D167"/>
  <c r="D168"/>
  <c r="D151"/>
  <c r="D92"/>
  <c r="D107"/>
  <c r="D91"/>
  <c r="D154" l="1"/>
  <c r="D156" s="1"/>
  <c r="L15" i="49" s="1"/>
  <c r="L547"/>
  <c r="M547"/>
  <c r="D94" i="29"/>
  <c r="D110"/>
  <c r="D170"/>
  <c r="D172" s="1"/>
  <c r="M15" i="49" s="1"/>
  <c r="W866" l="1"/>
  <c r="X866" s="1"/>
  <c r="W929"/>
  <c r="X929" s="1"/>
  <c r="W561"/>
  <c r="W1008"/>
  <c r="Z1008" s="1"/>
  <c r="AA1008" s="1"/>
  <c r="W832"/>
  <c r="Z832" s="1"/>
  <c r="AA832" s="1"/>
  <c r="W907"/>
  <c r="X907" s="1"/>
  <c r="W1061"/>
  <c r="W870"/>
  <c r="Z870" s="1"/>
  <c r="AA870" s="1"/>
  <c r="W975"/>
  <c r="Z975" s="1"/>
  <c r="AA975" s="1"/>
  <c r="W950"/>
  <c r="X950" s="1"/>
  <c r="W590"/>
  <c r="W895"/>
  <c r="Z895" s="1"/>
  <c r="AA895" s="1"/>
  <c r="W924"/>
  <c r="Z924" s="1"/>
  <c r="AA924" s="1"/>
  <c r="W845"/>
  <c r="X845" s="1"/>
  <c r="W968"/>
  <c r="W957"/>
  <c r="X957" s="1"/>
  <c r="W874"/>
  <c r="X874" s="1"/>
  <c r="W948"/>
  <c r="Z948" s="1"/>
  <c r="AA948" s="1"/>
  <c r="W956"/>
  <c r="W943"/>
  <c r="Z943" s="1"/>
  <c r="AA943" s="1"/>
  <c r="W1007"/>
  <c r="Z1007" s="1"/>
  <c r="AA1007" s="1"/>
  <c r="W676"/>
  <c r="Z676" s="1"/>
  <c r="AA676" s="1"/>
  <c r="W965"/>
  <c r="W843"/>
  <c r="Z843" s="1"/>
  <c r="AA843" s="1"/>
  <c r="W809"/>
  <c r="Z809" s="1"/>
  <c r="AA809" s="1"/>
  <c r="W905"/>
  <c r="X905" s="1"/>
  <c r="W1022"/>
  <c r="W620"/>
  <c r="X620" s="1"/>
  <c r="W733"/>
  <c r="X733" s="1"/>
  <c r="W888"/>
  <c r="Z888" s="1"/>
  <c r="AA888" s="1"/>
  <c r="W778"/>
  <c r="W617"/>
  <c r="Z617" s="1"/>
  <c r="AA617" s="1"/>
  <c r="W599"/>
  <c r="Z599" s="1"/>
  <c r="AA599" s="1"/>
  <c r="W719"/>
  <c r="X719" s="1"/>
  <c r="W640"/>
  <c r="W577"/>
  <c r="Z577" s="1"/>
  <c r="AA577" s="1"/>
  <c r="W1040"/>
  <c r="X1040" s="1"/>
  <c r="W964"/>
  <c r="Z964" s="1"/>
  <c r="AA964" s="1"/>
  <c r="W835"/>
  <c r="W615"/>
  <c r="X615" s="1"/>
  <c r="W982"/>
  <c r="X982" s="1"/>
  <c r="W904"/>
  <c r="Z904" s="1"/>
  <c r="AA904" s="1"/>
  <c r="W868"/>
  <c r="Z868" s="1"/>
  <c r="AA868" s="1"/>
  <c r="W715"/>
  <c r="Z715" s="1"/>
  <c r="AA715" s="1"/>
  <c r="W836"/>
  <c r="X836" s="1"/>
  <c r="W643"/>
  <c r="X643" s="1"/>
  <c r="W634"/>
  <c r="X634" s="1"/>
  <c r="W980"/>
  <c r="X980" s="1"/>
  <c r="W997"/>
  <c r="X997" s="1"/>
  <c r="W1034"/>
  <c r="X1034" s="1"/>
  <c r="W750"/>
  <c r="X750" s="1"/>
  <c r="W552"/>
  <c r="X552" s="1"/>
  <c r="W732"/>
  <c r="Z732" s="1"/>
  <c r="AA732" s="1"/>
  <c r="W795"/>
  <c r="Z795" s="1"/>
  <c r="AA795" s="1"/>
  <c r="W894"/>
  <c r="Z894" s="1"/>
  <c r="AA894" s="1"/>
  <c r="W972"/>
  <c r="Z972" s="1"/>
  <c r="AA972" s="1"/>
  <c r="W576"/>
  <c r="X576" s="1"/>
  <c r="W567"/>
  <c r="Z567" s="1"/>
  <c r="AA567" s="1"/>
  <c r="W796"/>
  <c r="X796" s="1"/>
  <c r="W811"/>
  <c r="Z811" s="1"/>
  <c r="AA811" s="1"/>
  <c r="W674"/>
  <c r="Z674" s="1"/>
  <c r="AA674" s="1"/>
  <c r="W767"/>
  <c r="Z767" s="1"/>
  <c r="AA767" s="1"/>
  <c r="W669"/>
  <c r="X669" s="1"/>
  <c r="W922"/>
  <c r="Z922" s="1"/>
  <c r="AA922" s="1"/>
  <c r="W923"/>
  <c r="X923" s="1"/>
  <c r="W1039"/>
  <c r="X1039" s="1"/>
  <c r="W881"/>
  <c r="X881" s="1"/>
  <c r="W765"/>
  <c r="X765" s="1"/>
  <c r="W871"/>
  <c r="Z871" s="1"/>
  <c r="AA871" s="1"/>
  <c r="W1047"/>
  <c r="Z1047" s="1"/>
  <c r="AA1047" s="1"/>
  <c r="W821"/>
  <c r="X821" s="1"/>
  <c r="W592"/>
  <c r="Z592" s="1"/>
  <c r="AA592" s="1"/>
  <c r="W867"/>
  <c r="X867" s="1"/>
  <c r="W578"/>
  <c r="Z578" s="1"/>
  <c r="AA578" s="1"/>
  <c r="W649"/>
  <c r="X649" s="1"/>
  <c r="W808"/>
  <c r="Z808" s="1"/>
  <c r="AA808" s="1"/>
  <c r="W927"/>
  <c r="Z927" s="1"/>
  <c r="AA927" s="1"/>
  <c r="W782"/>
  <c r="X782" s="1"/>
  <c r="W839"/>
  <c r="X839" s="1"/>
  <c r="W764"/>
  <c r="Z764" s="1"/>
  <c r="AA764" s="1"/>
  <c r="W1035"/>
  <c r="Z1035" s="1"/>
  <c r="AA1035" s="1"/>
  <c r="W960"/>
  <c r="Z960" s="1"/>
  <c r="AA960" s="1"/>
  <c r="W885"/>
  <c r="X885" s="1"/>
  <c r="W814"/>
  <c r="Z814" s="1"/>
  <c r="AA814" s="1"/>
  <c r="W877"/>
  <c r="Z877" s="1"/>
  <c r="AA877" s="1"/>
  <c r="W828"/>
  <c r="Z828" s="1"/>
  <c r="AA828" s="1"/>
  <c r="W815"/>
  <c r="X815" s="1"/>
  <c r="W642"/>
  <c r="Z642" s="1"/>
  <c r="AA642" s="1"/>
  <c r="W979"/>
  <c r="X979" s="1"/>
  <c r="W594"/>
  <c r="Z594" s="1"/>
  <c r="AA594" s="1"/>
  <c r="W614"/>
  <c r="X614" s="1"/>
  <c r="W1057"/>
  <c r="X1057" s="1"/>
  <c r="W696"/>
  <c r="Z696" s="1"/>
  <c r="AA696" s="1"/>
  <c r="W754"/>
  <c r="Z754" s="1"/>
  <c r="AA754" s="1"/>
  <c r="W710"/>
  <c r="Z710" s="1"/>
  <c r="AA710" s="1"/>
  <c r="W880"/>
  <c r="X880" s="1"/>
  <c r="W998"/>
  <c r="Z998" s="1"/>
  <c r="AA998" s="1"/>
  <c r="W822"/>
  <c r="X822" s="1"/>
  <c r="W989"/>
  <c r="X989" s="1"/>
  <c r="W876"/>
  <c r="X876" s="1"/>
  <c r="W823"/>
  <c r="Z823" s="1"/>
  <c r="AA823" s="1"/>
  <c r="W893"/>
  <c r="Z893" s="1"/>
  <c r="AA893" s="1"/>
  <c r="W831"/>
  <c r="X831" s="1"/>
  <c r="W610"/>
  <c r="X610" s="1"/>
  <c r="W554"/>
  <c r="Z554" s="1"/>
  <c r="AA554" s="1"/>
  <c r="W720"/>
  <c r="Z720" s="1"/>
  <c r="AA720" s="1"/>
  <c r="W847"/>
  <c r="X847" s="1"/>
  <c r="W670"/>
  <c r="Z670" s="1"/>
  <c r="AA670" s="1"/>
  <c r="W826"/>
  <c r="Z826" s="1"/>
  <c r="AA826" s="1"/>
  <c r="W602"/>
  <c r="Z602" s="1"/>
  <c r="AA602" s="1"/>
  <c r="W722"/>
  <c r="Z722" s="1"/>
  <c r="AA722" s="1"/>
  <c r="W781"/>
  <c r="Z781" s="1"/>
  <c r="AA781" s="1"/>
  <c r="W993"/>
  <c r="X993" s="1"/>
  <c r="W825"/>
  <c r="X825" s="1"/>
  <c r="W834"/>
  <c r="Z834" s="1"/>
  <c r="AA834" s="1"/>
  <c r="W724"/>
  <c r="X724" s="1"/>
  <c r="W1042"/>
  <c r="X1042" s="1"/>
  <c r="W650"/>
  <c r="Z650" s="1"/>
  <c r="AA650" s="1"/>
  <c r="W776"/>
  <c r="X776" s="1"/>
  <c r="W933"/>
  <c r="Z933" s="1"/>
  <c r="AA933" s="1"/>
  <c r="W1001"/>
  <c r="X1001" s="1"/>
  <c r="W609"/>
  <c r="Z609" s="1"/>
  <c r="AA609" s="1"/>
  <c r="W824"/>
  <c r="Z824" s="1"/>
  <c r="AA824" s="1"/>
  <c r="W931"/>
  <c r="Z931" s="1"/>
  <c r="AA931" s="1"/>
  <c r="W625"/>
  <c r="X625" s="1"/>
  <c r="W879"/>
  <c r="Z879" s="1"/>
  <c r="AA879" s="1"/>
  <c r="W1029"/>
  <c r="X1029" s="1"/>
  <c r="W1055"/>
  <c r="X1055" s="1"/>
  <c r="W725"/>
  <c r="X725" s="1"/>
  <c r="W829"/>
  <c r="X829" s="1"/>
  <c r="W708"/>
  <c r="X708" s="1"/>
  <c r="W664"/>
  <c r="Z664" s="1"/>
  <c r="AA664" s="1"/>
  <c r="W663"/>
  <c r="Z663" s="1"/>
  <c r="AA663" s="1"/>
  <c r="W570"/>
  <c r="X570" s="1"/>
  <c r="W1005"/>
  <c r="Z1005" s="1"/>
  <c r="AA1005" s="1"/>
  <c r="W830"/>
  <c r="Z830" s="1"/>
  <c r="AA830" s="1"/>
  <c r="W1014"/>
  <c r="X1014" s="1"/>
  <c r="W648"/>
  <c r="X648" s="1"/>
  <c r="W875"/>
  <c r="Z875" s="1"/>
  <c r="AA875" s="1"/>
  <c r="W833"/>
  <c r="Z833" s="1"/>
  <c r="AA833" s="1"/>
  <c r="W884"/>
  <c r="Z884" s="1"/>
  <c r="AA884" s="1"/>
  <c r="W1051"/>
  <c r="Z1051" s="1"/>
  <c r="AA1051" s="1"/>
  <c r="W618"/>
  <c r="X618" s="1"/>
  <c r="W757"/>
  <c r="Z757" s="1"/>
  <c r="AA757" s="1"/>
  <c r="W667"/>
  <c r="X667" s="1"/>
  <c r="W621"/>
  <c r="Z621" s="1"/>
  <c r="AA621" s="1"/>
  <c r="W657"/>
  <c r="Z657" s="1"/>
  <c r="AA657" s="1"/>
  <c r="W851"/>
  <c r="X851" s="1"/>
  <c r="W770"/>
  <c r="X770" s="1"/>
  <c r="W709"/>
  <c r="Z709" s="1"/>
  <c r="AA709" s="1"/>
  <c r="W581"/>
  <c r="X581" s="1"/>
  <c r="W1045"/>
  <c r="X1045" s="1"/>
  <c r="W953"/>
  <c r="X953" s="1"/>
  <c r="W608"/>
  <c r="X608" s="1"/>
  <c r="W704"/>
  <c r="Z704" s="1"/>
  <c r="AA704" s="1"/>
  <c r="W569"/>
  <c r="Z569" s="1"/>
  <c r="AA569" s="1"/>
  <c r="W1009"/>
  <c r="Z1009" s="1"/>
  <c r="AA1009" s="1"/>
  <c r="W887"/>
  <c r="Z887" s="1"/>
  <c r="AA887" s="1"/>
  <c r="W930"/>
  <c r="X930" s="1"/>
  <c r="W582"/>
  <c r="Z582" s="1"/>
  <c r="AA582" s="1"/>
  <c r="W935"/>
  <c r="Z935" s="1"/>
  <c r="AA935" s="1"/>
  <c r="W999"/>
  <c r="X999" s="1"/>
  <c r="W632"/>
  <c r="X632" s="1"/>
  <c r="W671"/>
  <c r="Z671" s="1"/>
  <c r="AA671" s="1"/>
  <c r="W773"/>
  <c r="X773" s="1"/>
  <c r="W713"/>
  <c r="X713" s="1"/>
  <c r="W656"/>
  <c r="Z656" s="1"/>
  <c r="AA656" s="1"/>
  <c r="W1024"/>
  <c r="Z1024" s="1"/>
  <c r="AA1024" s="1"/>
  <c r="W857"/>
  <c r="Z857" s="1"/>
  <c r="AA857" s="1"/>
  <c r="W891"/>
  <c r="X891" s="1"/>
  <c r="W573"/>
  <c r="X573" s="1"/>
  <c r="W994"/>
  <c r="X994" s="1"/>
  <c r="W1036"/>
  <c r="Z1036" s="1"/>
  <c r="AA1036" s="1"/>
  <c r="W1003"/>
  <c r="X1003" s="1"/>
  <c r="W673"/>
  <c r="Z673" s="1"/>
  <c r="AA673" s="1"/>
  <c r="W672"/>
  <c r="Z672" s="1"/>
  <c r="AA672" s="1"/>
  <c r="W647"/>
  <c r="Z647" s="1"/>
  <c r="AA647" s="1"/>
  <c r="W849"/>
  <c r="Z849" s="1"/>
  <c r="AA849" s="1"/>
  <c r="W619"/>
  <c r="Z619" s="1"/>
  <c r="AA619" s="1"/>
  <c r="W553"/>
  <c r="Z553" s="1"/>
  <c r="AA553" s="1"/>
  <c r="W986"/>
  <c r="X986" s="1"/>
  <c r="W961"/>
  <c r="Z961" s="1"/>
  <c r="AA961" s="1"/>
  <c r="W955"/>
  <c r="X955" s="1"/>
  <c r="W633"/>
  <c r="X633" s="1"/>
  <c r="W842"/>
  <c r="Z842" s="1"/>
  <c r="AA842" s="1"/>
  <c r="W605"/>
  <c r="Z605" s="1"/>
  <c r="AA605" s="1"/>
  <c r="W585"/>
  <c r="Z585" s="1"/>
  <c r="AA585" s="1"/>
  <c r="W769"/>
  <c r="X769" s="1"/>
  <c r="W984"/>
  <c r="Z984" s="1"/>
  <c r="AA984" s="1"/>
  <c r="W1015"/>
  <c r="Z1015" s="1"/>
  <c r="AA1015" s="1"/>
  <c r="W613"/>
  <c r="Z613" s="1"/>
  <c r="AA613" s="1"/>
  <c r="W627"/>
  <c r="Z627" s="1"/>
  <c r="AA627" s="1"/>
  <c r="W900"/>
  <c r="Z900" s="1"/>
  <c r="AA900" s="1"/>
  <c r="W789"/>
  <c r="Z789" s="1"/>
  <c r="AA789" s="1"/>
  <c r="W623"/>
  <c r="X623" s="1"/>
  <c r="W557"/>
  <c r="X557" s="1"/>
  <c r="W990"/>
  <c r="Z990" s="1"/>
  <c r="AA990" s="1"/>
  <c r="W901"/>
  <c r="X901" s="1"/>
  <c r="W659"/>
  <c r="Z659" s="1"/>
  <c r="AA659" s="1"/>
  <c r="W902"/>
  <c r="X902" s="1"/>
  <c r="W666"/>
  <c r="X666" s="1"/>
  <c r="W579"/>
  <c r="Z579" s="1"/>
  <c r="AA579" s="1"/>
  <c r="W1002"/>
  <c r="Z1002" s="1"/>
  <c r="AA1002" s="1"/>
  <c r="W817"/>
  <c r="X817" s="1"/>
  <c r="W1044"/>
  <c r="X1044" s="1"/>
  <c r="W947"/>
  <c r="Z947" s="1"/>
  <c r="AA947" s="1"/>
  <c r="W909"/>
  <c r="Z909" s="1"/>
  <c r="AA909" s="1"/>
  <c r="W675"/>
  <c r="X675" s="1"/>
  <c r="W892"/>
  <c r="Z892" s="1"/>
  <c r="AA892" s="1"/>
  <c r="W636"/>
  <c r="X636" s="1"/>
  <c r="W563"/>
  <c r="X563" s="1"/>
  <c r="W761"/>
  <c r="Z761" s="1"/>
  <c r="AA761" s="1"/>
  <c r="W962"/>
  <c r="Z962" s="1"/>
  <c r="AA962" s="1"/>
  <c r="W969"/>
  <c r="Z969" s="1"/>
  <c r="AA969" s="1"/>
  <c r="W899"/>
  <c r="X899" s="1"/>
  <c r="W883"/>
  <c r="Z883" s="1"/>
  <c r="AA883" s="1"/>
  <c r="W731"/>
  <c r="Z731" s="1"/>
  <c r="AA731" s="1"/>
  <c r="W1013"/>
  <c r="Z1013" s="1"/>
  <c r="AA1013" s="1"/>
  <c r="W593"/>
  <c r="Z593" s="1"/>
  <c r="AA593" s="1"/>
  <c r="W801"/>
  <c r="X801" s="1"/>
  <c r="W992"/>
  <c r="X992" s="1"/>
  <c r="W1023"/>
  <c r="Z1023" s="1"/>
  <c r="AA1023" s="1"/>
  <c r="W913"/>
  <c r="Z913" s="1"/>
  <c r="AA913" s="1"/>
  <c r="W679"/>
  <c r="X679" s="1"/>
  <c r="W896"/>
  <c r="Z896" s="1"/>
  <c r="AA896" s="1"/>
  <c r="W655"/>
  <c r="X655" s="1"/>
  <c r="W631"/>
  <c r="Z631" s="1"/>
  <c r="AA631" s="1"/>
  <c r="W777"/>
  <c r="X777" s="1"/>
  <c r="W934"/>
  <c r="Z934" s="1"/>
  <c r="AA934" s="1"/>
  <c r="W973"/>
  <c r="Z973" s="1"/>
  <c r="AA973" s="1"/>
  <c r="W959"/>
  <c r="Z959" s="1"/>
  <c r="AA959" s="1"/>
  <c r="W637"/>
  <c r="Z637" s="1"/>
  <c r="AA637" s="1"/>
  <c r="W846"/>
  <c r="Z846" s="1"/>
  <c r="AA846" s="1"/>
  <c r="W1030"/>
  <c r="Z1030" s="1"/>
  <c r="AA1030" s="1"/>
  <c r="W589"/>
  <c r="X589" s="1"/>
  <c r="W785"/>
  <c r="X785" s="1"/>
  <c r="W988"/>
  <c r="X988" s="1"/>
  <c r="W1019"/>
  <c r="Z1019" s="1"/>
  <c r="AA1019" s="1"/>
  <c r="W853"/>
  <c r="X853" s="1"/>
  <c r="W641"/>
  <c r="Z641" s="1"/>
  <c r="AA641" s="1"/>
  <c r="W786"/>
  <c r="Z786" s="1"/>
  <c r="AA786" s="1"/>
  <c r="W596"/>
  <c r="X596" s="1"/>
  <c r="W635"/>
  <c r="X635" s="1"/>
  <c r="W793"/>
  <c r="X793" s="1"/>
  <c r="W938"/>
  <c r="Z938" s="1"/>
  <c r="AA938" s="1"/>
  <c r="W977"/>
  <c r="Z977" s="1"/>
  <c r="AA977" s="1"/>
  <c r="W971"/>
  <c r="Z971" s="1"/>
  <c r="AA971" s="1"/>
  <c r="W837"/>
  <c r="Z837" s="1"/>
  <c r="AA837" s="1"/>
  <c r="W716"/>
  <c r="X716" s="1"/>
  <c r="W1021"/>
  <c r="X1021" s="1"/>
  <c r="W903"/>
  <c r="X903" s="1"/>
  <c r="W612"/>
  <c r="Z612" s="1"/>
  <c r="AA612" s="1"/>
  <c r="W936"/>
  <c r="Z936" s="1"/>
  <c r="AA936" s="1"/>
  <c r="W1031"/>
  <c r="Z1031" s="1"/>
  <c r="AA1031" s="1"/>
  <c r="W921"/>
  <c r="X921" s="1"/>
  <c r="W944"/>
  <c r="X944" s="1"/>
  <c r="W865"/>
  <c r="Z865" s="1"/>
  <c r="AA865" s="1"/>
  <c r="W1059"/>
  <c r="X1059" s="1"/>
  <c r="W639"/>
  <c r="Z639" s="1"/>
  <c r="AA639" s="1"/>
  <c r="W652"/>
  <c r="Z652" s="1"/>
  <c r="AA652" s="1"/>
  <c r="W942"/>
  <c r="X942" s="1"/>
  <c r="W917"/>
  <c r="Z917" s="1"/>
  <c r="AA917" s="1"/>
  <c r="W1049"/>
  <c r="Z1049" s="1"/>
  <c r="AA1049" s="1"/>
  <c r="W1025"/>
  <c r="Z1025" s="1"/>
  <c r="AA1025" s="1"/>
  <c r="W840"/>
  <c r="Z840" s="1"/>
  <c r="AA840" s="1"/>
  <c r="W628"/>
  <c r="Z628" s="1"/>
  <c r="AA628" s="1"/>
  <c r="W1004"/>
  <c r="Z1004" s="1"/>
  <c r="AA1004" s="1"/>
  <c r="W737"/>
  <c r="Z737" s="1"/>
  <c r="AA737" s="1"/>
  <c r="W869"/>
  <c r="Z869" s="1"/>
  <c r="AA869" s="1"/>
  <c r="W622"/>
  <c r="X622" s="1"/>
  <c r="W644"/>
  <c r="Z644" s="1"/>
  <c r="AA644" s="1"/>
  <c r="W1026"/>
  <c r="Z1026" s="1"/>
  <c r="AA1026" s="1"/>
  <c r="W603"/>
  <c r="X603" s="1"/>
  <c r="W861"/>
  <c r="X861" s="1"/>
  <c r="W954"/>
  <c r="Z954" s="1"/>
  <c r="AA954" s="1"/>
  <c r="W677"/>
  <c r="X677" s="1"/>
  <c r="W915"/>
  <c r="Z915" s="1"/>
  <c r="AA915" s="1"/>
  <c r="W695"/>
  <c r="X695" s="1"/>
  <c r="W662"/>
  <c r="X662" s="1"/>
  <c r="W1037"/>
  <c r="Z1037" s="1"/>
  <c r="AA1037" s="1"/>
  <c r="W1052"/>
  <c r="Z1052" s="1"/>
  <c r="AA1052" s="1"/>
  <c r="W558"/>
  <c r="Z558" s="1"/>
  <c r="AA558" s="1"/>
  <c r="W952"/>
  <c r="X952" s="1"/>
  <c r="W771"/>
  <c r="X771" s="1"/>
  <c r="W743"/>
  <c r="Z743" s="1"/>
  <c r="AA743" s="1"/>
  <c r="W562"/>
  <c r="Z562" s="1"/>
  <c r="AA562" s="1"/>
  <c r="W937"/>
  <c r="Z937" s="1"/>
  <c r="AA937" s="1"/>
  <c r="W1011"/>
  <c r="Z1011" s="1"/>
  <c r="AA1011" s="1"/>
  <c r="W607"/>
  <c r="Z607" s="1"/>
  <c r="AA607" s="1"/>
  <c r="W787"/>
  <c r="Z787" s="1"/>
  <c r="AA787" s="1"/>
  <c r="W958"/>
  <c r="Z958" s="1"/>
  <c r="AA958" s="1"/>
  <c r="W813"/>
  <c r="X813" s="1"/>
  <c r="W791"/>
  <c r="Z791" s="1"/>
  <c r="AA791" s="1"/>
  <c r="W616"/>
  <c r="Z616" s="1"/>
  <c r="AA616" s="1"/>
  <c r="W735"/>
  <c r="Z735" s="1"/>
  <c r="AA735" s="1"/>
  <c r="W1033"/>
  <c r="Z1033" s="1"/>
  <c r="AA1033" s="1"/>
  <c r="W1048"/>
  <c r="Z1048" s="1"/>
  <c r="AA1048" s="1"/>
  <c r="W606"/>
  <c r="X606" s="1"/>
  <c r="W1012"/>
  <c r="X1012" s="1"/>
  <c r="W803"/>
  <c r="Z803" s="1"/>
  <c r="AA803" s="1"/>
  <c r="W753"/>
  <c r="Z753" s="1"/>
  <c r="AA753" s="1"/>
  <c r="W630"/>
  <c r="Z630" s="1"/>
  <c r="AA630" s="1"/>
  <c r="W805"/>
  <c r="Z805" s="1"/>
  <c r="AA805" s="1"/>
  <c r="W556"/>
  <c r="Z556" s="1"/>
  <c r="AA556" s="1"/>
  <c r="W898"/>
  <c r="Z898" s="1"/>
  <c r="AA898" s="1"/>
  <c r="W1062"/>
  <c r="Z1062" s="1"/>
  <c r="AA1062" s="1"/>
  <c r="W914"/>
  <c r="Z914" s="1"/>
  <c r="AA914" s="1"/>
  <c r="W755"/>
  <c r="X755" s="1"/>
  <c r="W705"/>
  <c r="Z705" s="1"/>
  <c r="AA705" s="1"/>
  <c r="W932"/>
  <c r="X932" s="1"/>
  <c r="W983"/>
  <c r="X983" s="1"/>
  <c r="W981"/>
  <c r="Z981" s="1"/>
  <c r="AA981" s="1"/>
  <c r="W1060"/>
  <c r="Z1060" s="1"/>
  <c r="AA1060" s="1"/>
  <c r="W798"/>
  <c r="Z798" s="1"/>
  <c r="AA798" s="1"/>
  <c r="W779"/>
  <c r="Z779" s="1"/>
  <c r="AA779" s="1"/>
  <c r="W780"/>
  <c r="Z780" s="1"/>
  <c r="AA780" s="1"/>
  <c r="W697"/>
  <c r="Z697" s="1"/>
  <c r="AA697" s="1"/>
  <c r="W638"/>
  <c r="X638" s="1"/>
  <c r="W941"/>
  <c r="Z941" s="1"/>
  <c r="AA941" s="1"/>
  <c r="W560"/>
  <c r="Z560" s="1"/>
  <c r="AA560" s="1"/>
  <c r="W551"/>
  <c r="Z551" s="1"/>
  <c r="AA551" s="1"/>
  <c r="W566"/>
  <c r="Z566" s="1"/>
  <c r="AA566" s="1"/>
  <c r="W966"/>
  <c r="Z966" s="1"/>
  <c r="AA966" s="1"/>
  <c r="W600"/>
  <c r="Z600" s="1"/>
  <c r="AA600" s="1"/>
  <c r="W721"/>
  <c r="Z721" s="1"/>
  <c r="AA721" s="1"/>
  <c r="W910"/>
  <c r="Z910" s="1"/>
  <c r="AA910" s="1"/>
  <c r="W889"/>
  <c r="X889" s="1"/>
  <c r="W1041"/>
  <c r="Z1041" s="1"/>
  <c r="AA1041" s="1"/>
  <c r="W1056"/>
  <c r="X1056" s="1"/>
  <c r="W574"/>
  <c r="X574" s="1"/>
  <c r="W1020"/>
  <c r="Z1020" s="1"/>
  <c r="AA1020" s="1"/>
  <c r="W568"/>
  <c r="Z568" s="1"/>
  <c r="AA568" s="1"/>
  <c r="W759"/>
  <c r="Z759" s="1"/>
  <c r="AA759" s="1"/>
  <c r="W878"/>
  <c r="X878" s="1"/>
  <c r="W595"/>
  <c r="Z595" s="1"/>
  <c r="AA595" s="1"/>
  <c r="W564"/>
  <c r="X564" s="1"/>
  <c r="W555"/>
  <c r="Z555" s="1"/>
  <c r="AA555" s="1"/>
  <c r="W601"/>
  <c r="X601" s="1"/>
  <c r="W970"/>
  <c r="X970" s="1"/>
  <c r="W726"/>
  <c r="X726" s="1"/>
  <c r="W745"/>
  <c r="Z745" s="1"/>
  <c r="AA745" s="1"/>
  <c r="W951"/>
  <c r="X951" s="1"/>
  <c r="W918"/>
  <c r="X918" s="1"/>
  <c r="W1053"/>
  <c r="X1053" s="1"/>
  <c r="W1010"/>
  <c r="Z1010" s="1"/>
  <c r="AA1010" s="1"/>
  <c r="W742"/>
  <c r="Z742" s="1"/>
  <c r="AA742" s="1"/>
  <c r="W859"/>
  <c r="Z859" s="1"/>
  <c r="AA859" s="1"/>
  <c r="W788"/>
  <c r="X788" s="1"/>
  <c r="W751"/>
  <c r="Z751" s="1"/>
  <c r="AA751" s="1"/>
  <c r="W818"/>
  <c r="Z818" s="1"/>
  <c r="AA818" s="1"/>
  <c r="W926"/>
  <c r="Z926" s="1"/>
  <c r="AA926" s="1"/>
  <c r="W1027"/>
  <c r="X1027" s="1"/>
  <c r="W559"/>
  <c r="Z559" s="1"/>
  <c r="AA559" s="1"/>
  <c r="W852"/>
  <c r="Z852" s="1"/>
  <c r="AA852" s="1"/>
  <c r="W783"/>
  <c r="Z783" s="1"/>
  <c r="AA783" s="1"/>
  <c r="W730"/>
  <c r="Z730" s="1"/>
  <c r="AA730" s="1"/>
  <c r="W668"/>
  <c r="Z668" s="1"/>
  <c r="AA668" s="1"/>
  <c r="W1018"/>
  <c r="X1018" s="1"/>
  <c r="W746"/>
  <c r="X746" s="1"/>
  <c r="W827"/>
  <c r="X827" s="1"/>
  <c r="W728"/>
  <c r="Z728" s="1"/>
  <c r="AA728" s="1"/>
  <c r="W729"/>
  <c r="Z729" s="1"/>
  <c r="AA729" s="1"/>
  <c r="W684"/>
  <c r="Z684" s="1"/>
  <c r="AA684" s="1"/>
  <c r="W976"/>
  <c r="Z976" s="1"/>
  <c r="AA976" s="1"/>
  <c r="W580"/>
  <c r="Z580" s="1"/>
  <c r="AA580" s="1"/>
  <c r="W571"/>
  <c r="Z571" s="1"/>
  <c r="AA571" s="1"/>
  <c r="W800"/>
  <c r="Z800" s="1"/>
  <c r="AA800" s="1"/>
  <c r="W741"/>
  <c r="X741" s="1"/>
  <c r="W678"/>
  <c r="Z678" s="1"/>
  <c r="AA678" s="1"/>
  <c r="W598"/>
  <c r="Z598" s="1"/>
  <c r="AA598" s="1"/>
  <c r="W850"/>
  <c r="Z850" s="1"/>
  <c r="AA850" s="1"/>
  <c r="W681"/>
  <c r="Z681" s="1"/>
  <c r="AA681" s="1"/>
  <c r="W912"/>
  <c r="X912" s="1"/>
  <c r="W1046"/>
  <c r="Z1046" s="1"/>
  <c r="AA1046" s="1"/>
  <c r="W758"/>
  <c r="Z758" s="1"/>
  <c r="AA758" s="1"/>
  <c r="W772"/>
  <c r="Z772" s="1"/>
  <c r="AA772" s="1"/>
  <c r="W740"/>
  <c r="X740" s="1"/>
  <c r="W763"/>
  <c r="Z763" s="1"/>
  <c r="AA763" s="1"/>
  <c r="W699"/>
  <c r="X699" s="1"/>
  <c r="W920"/>
  <c r="Z920" s="1"/>
  <c r="AA920" s="1"/>
  <c r="W1043"/>
  <c r="Z1043" s="1"/>
  <c r="AA1043" s="1"/>
  <c r="W575"/>
  <c r="Z575" s="1"/>
  <c r="AA575" s="1"/>
  <c r="W804"/>
  <c r="X804" s="1"/>
  <c r="W714"/>
  <c r="Z714" s="1"/>
  <c r="AA714" s="1"/>
  <c r="W682"/>
  <c r="X682" s="1"/>
  <c r="W739"/>
  <c r="Z739" s="1"/>
  <c r="AA739" s="1"/>
  <c r="W597"/>
  <c r="X597" s="1"/>
  <c r="W687"/>
  <c r="Z687" s="1"/>
  <c r="AA687" s="1"/>
  <c r="W908"/>
  <c r="Z908" s="1"/>
  <c r="AA908" s="1"/>
  <c r="W1016"/>
  <c r="Z1016" s="1"/>
  <c r="AA1016" s="1"/>
  <c r="W690"/>
  <c r="Z690" s="1"/>
  <c r="AA690" s="1"/>
  <c r="W768"/>
  <c r="Z768" s="1"/>
  <c r="AA768" s="1"/>
  <c r="W736"/>
  <c r="X736" s="1"/>
  <c r="W747"/>
  <c r="Z747" s="1"/>
  <c r="AA747" s="1"/>
  <c r="W711"/>
  <c r="X711" s="1"/>
  <c r="W854"/>
  <c r="X854" s="1"/>
  <c r="W858"/>
  <c r="X858" s="1"/>
  <c r="W978"/>
  <c r="Z978" s="1"/>
  <c r="AA978" s="1"/>
  <c r="W744"/>
  <c r="X744" s="1"/>
  <c r="W718"/>
  <c r="Z718" s="1"/>
  <c r="AA718" s="1"/>
  <c r="W686"/>
  <c r="X686" s="1"/>
  <c r="W691"/>
  <c r="Z691" s="1"/>
  <c r="AA691" s="1"/>
  <c r="W692"/>
  <c r="Z692" s="1"/>
  <c r="AA692" s="1"/>
  <c r="W629"/>
  <c r="Z629" s="1"/>
  <c r="AA629" s="1"/>
  <c r="W856"/>
  <c r="Z856" s="1"/>
  <c r="AA856" s="1"/>
  <c r="W1054"/>
  <c r="Z1054" s="1"/>
  <c r="AA1054" s="1"/>
  <c r="W766"/>
  <c r="Z766" s="1"/>
  <c r="AA766" s="1"/>
  <c r="W844"/>
  <c r="Z844" s="1"/>
  <c r="AA844" s="1"/>
  <c r="W748"/>
  <c r="X748" s="1"/>
  <c r="W693"/>
  <c r="Z693" s="1"/>
  <c r="AA693" s="1"/>
  <c r="W940"/>
  <c r="Z940" s="1"/>
  <c r="AA940" s="1"/>
  <c r="W727"/>
  <c r="Z727" s="1"/>
  <c r="AA727" s="1"/>
  <c r="W862"/>
  <c r="Z862" s="1"/>
  <c r="AA862" s="1"/>
  <c r="W583"/>
  <c r="Z583" s="1"/>
  <c r="AA583" s="1"/>
  <c r="W812"/>
  <c r="Z812" s="1"/>
  <c r="AA812" s="1"/>
  <c r="W658"/>
  <c r="Z658" s="1"/>
  <c r="AA658" s="1"/>
  <c r="W626"/>
  <c r="Z626" s="1"/>
  <c r="AA626" s="1"/>
  <c r="W707"/>
  <c r="Z707" s="1"/>
  <c r="AA707" s="1"/>
  <c r="W890"/>
  <c r="X890" s="1"/>
  <c r="W685"/>
  <c r="Z685" s="1"/>
  <c r="AA685" s="1"/>
  <c r="W916"/>
  <c r="X916" s="1"/>
  <c r="W1050"/>
  <c r="X1050" s="1"/>
  <c r="W762"/>
  <c r="Z762" s="1"/>
  <c r="AA762" s="1"/>
  <c r="W712"/>
  <c r="Z712" s="1"/>
  <c r="AA712" s="1"/>
  <c r="W680"/>
  <c r="Z680" s="1"/>
  <c r="AA680" s="1"/>
  <c r="W588"/>
  <c r="Z588" s="1"/>
  <c r="AA588" s="1"/>
  <c r="W688"/>
  <c r="X688" s="1"/>
  <c r="W689"/>
  <c r="Z689" s="1"/>
  <c r="AA689" s="1"/>
  <c r="W802"/>
  <c r="Z802" s="1"/>
  <c r="AA802" s="1"/>
  <c r="W587"/>
  <c r="Z587" s="1"/>
  <c r="AA587" s="1"/>
  <c r="W816"/>
  <c r="X816" s="1"/>
  <c r="W790"/>
  <c r="X790" s="1"/>
  <c r="W694"/>
  <c r="Z694" s="1"/>
  <c r="AA694" s="1"/>
  <c r="W749"/>
  <c r="Z749" s="1"/>
  <c r="AA749" s="1"/>
  <c r="W646"/>
  <c r="Z646" s="1"/>
  <c r="AA646" s="1"/>
  <c r="W991"/>
  <c r="X991" s="1"/>
  <c r="W864"/>
  <c r="Z864" s="1"/>
  <c r="AA864" s="1"/>
  <c r="W919"/>
  <c r="Z919" s="1"/>
  <c r="AA919" s="1"/>
  <c r="W774"/>
  <c r="Z774" s="1"/>
  <c r="AA774" s="1"/>
  <c r="W807"/>
  <c r="X807" s="1"/>
  <c r="W756"/>
  <c r="Z756" s="1"/>
  <c r="AA756" s="1"/>
  <c r="W661"/>
  <c r="Z661" s="1"/>
  <c r="AA661" s="1"/>
  <c r="W700"/>
  <c r="Z700" s="1"/>
  <c r="AA700" s="1"/>
  <c r="W939"/>
  <c r="X939" s="1"/>
  <c r="W806"/>
  <c r="Z806" s="1"/>
  <c r="AA806" s="1"/>
  <c r="W591"/>
  <c r="Z591" s="1"/>
  <c r="AA591" s="1"/>
  <c r="W820"/>
  <c r="Z820" s="1"/>
  <c r="AA820" s="1"/>
  <c r="W794"/>
  <c r="Z794" s="1"/>
  <c r="AA794" s="1"/>
  <c r="W698"/>
  <c r="Z698" s="1"/>
  <c r="AA698" s="1"/>
  <c r="W872"/>
  <c r="Z872" s="1"/>
  <c r="AA872" s="1"/>
  <c r="W572"/>
  <c r="Z572" s="1"/>
  <c r="AA572" s="1"/>
  <c r="W723"/>
  <c r="Z723" s="1"/>
  <c r="AA723" s="1"/>
  <c r="W1000"/>
  <c r="Z1000" s="1"/>
  <c r="AA1000" s="1"/>
  <c r="W738"/>
  <c r="X738" s="1"/>
  <c r="W886"/>
  <c r="X886" s="1"/>
  <c r="W775"/>
  <c r="X775" s="1"/>
  <c r="W784"/>
  <c r="X784" s="1"/>
  <c r="W584"/>
  <c r="X584" s="1"/>
  <c r="W799"/>
  <c r="X799" s="1"/>
  <c r="W792"/>
  <c r="Z792" s="1"/>
  <c r="AA792" s="1"/>
  <c r="W946"/>
  <c r="Z946" s="1"/>
  <c r="AA946" s="1"/>
  <c r="W797"/>
  <c r="Z797" s="1"/>
  <c r="AA797" s="1"/>
  <c r="W734"/>
  <c r="Z734" s="1"/>
  <c r="AA734" s="1"/>
  <c r="W855"/>
  <c r="X855" s="1"/>
  <c r="W967"/>
  <c r="Z967" s="1"/>
  <c r="AA967" s="1"/>
  <c r="W928"/>
  <c r="X928" s="1"/>
  <c r="W911"/>
  <c r="Z911" s="1"/>
  <c r="AA911" s="1"/>
  <c r="W1017"/>
  <c r="X1017" s="1"/>
  <c r="W1038"/>
  <c r="X1038" s="1"/>
  <c r="W660"/>
  <c r="X660" s="1"/>
  <c r="W996"/>
  <c r="X996" s="1"/>
  <c r="W963"/>
  <c r="Z963" s="1"/>
  <c r="AA963" s="1"/>
  <c r="W925"/>
  <c r="Z925" s="1"/>
  <c r="AA925" s="1"/>
  <c r="W897"/>
  <c r="X897" s="1"/>
  <c r="W1058"/>
  <c r="Z1058" s="1"/>
  <c r="AA1058" s="1"/>
  <c r="W1006"/>
  <c r="Z1006" s="1"/>
  <c r="AA1006" s="1"/>
  <c r="W838"/>
  <c r="Z838" s="1"/>
  <c r="AA838" s="1"/>
  <c r="W604"/>
  <c r="X604" s="1"/>
  <c r="W882"/>
  <c r="Z882" s="1"/>
  <c r="AA882" s="1"/>
  <c r="W985"/>
  <c r="X985" s="1"/>
  <c r="W701"/>
  <c r="X701" s="1"/>
  <c r="W654"/>
  <c r="X654" s="1"/>
  <c r="W987"/>
  <c r="Z987" s="1"/>
  <c r="AA987" s="1"/>
  <c r="W860"/>
  <c r="Z860" s="1"/>
  <c r="AA860" s="1"/>
  <c r="W1032"/>
  <c r="Z1032" s="1"/>
  <c r="AA1032" s="1"/>
  <c r="W706"/>
  <c r="Z706" s="1"/>
  <c r="AA706" s="1"/>
  <c r="W848"/>
  <c r="X848" s="1"/>
  <c r="W752"/>
  <c r="Z752" s="1"/>
  <c r="AA752" s="1"/>
  <c r="W645"/>
  <c r="Z645" s="1"/>
  <c r="AA645" s="1"/>
  <c r="W703"/>
  <c r="X703" s="1"/>
  <c r="W945"/>
  <c r="Z945" s="1"/>
  <c r="AA945" s="1"/>
  <c r="W810"/>
  <c r="X810" s="1"/>
  <c r="W873"/>
  <c r="Z873" s="1"/>
  <c r="AA873" s="1"/>
  <c r="W760"/>
  <c r="X760" s="1"/>
  <c r="W863"/>
  <c r="Z863" s="1"/>
  <c r="AA863" s="1"/>
  <c r="W702"/>
  <c r="Z702" s="1"/>
  <c r="AA702" s="1"/>
  <c r="W717"/>
  <c r="Z717" s="1"/>
  <c r="AA717" s="1"/>
  <c r="W949"/>
  <c r="X949" s="1"/>
  <c r="W665"/>
  <c r="X665" s="1"/>
  <c r="W683"/>
  <c r="X683" s="1"/>
  <c r="W586"/>
  <c r="Z586" s="1"/>
  <c r="AA586" s="1"/>
  <c r="W819"/>
  <c r="Z819" s="1"/>
  <c r="AA819" s="1"/>
  <c r="W565"/>
  <c r="X565" s="1"/>
  <c r="W974"/>
  <c r="X974" s="1"/>
  <c r="W624"/>
  <c r="Z624" s="1"/>
  <c r="AA624" s="1"/>
  <c r="W995"/>
  <c r="Z995" s="1"/>
  <c r="AA995" s="1"/>
  <c r="W906"/>
  <c r="X906" s="1"/>
  <c r="W653"/>
  <c r="Z653" s="1"/>
  <c r="AA653" s="1"/>
  <c r="W651"/>
  <c r="Z651" s="1"/>
  <c r="AA651" s="1"/>
  <c r="W841"/>
  <c r="Z841" s="1"/>
  <c r="AA841" s="1"/>
  <c r="W611"/>
  <c r="Z611" s="1"/>
  <c r="AA611" s="1"/>
  <c r="W1028"/>
  <c r="X1028" s="1"/>
  <c r="D96" i="29"/>
  <c r="L14" i="49" s="1"/>
  <c r="D112" i="29"/>
  <c r="M14" i="49" s="1"/>
  <c r="X965"/>
  <c r="Z965"/>
  <c r="AA965" s="1"/>
  <c r="Z1022"/>
  <c r="AA1022" s="1"/>
  <c r="X1022"/>
  <c r="X590"/>
  <c r="Z590"/>
  <c r="AA590" s="1"/>
  <c r="X968"/>
  <c r="Z968"/>
  <c r="AA968" s="1"/>
  <c r="Z1061"/>
  <c r="AA1061" s="1"/>
  <c r="X1061"/>
  <c r="X561"/>
  <c r="Z561"/>
  <c r="AA561" s="1"/>
  <c r="Z634"/>
  <c r="AA634" s="1"/>
  <c r="Z796"/>
  <c r="AA796" s="1"/>
  <c r="Z649"/>
  <c r="AA649" s="1"/>
  <c r="Z815"/>
  <c r="AA815" s="1"/>
  <c r="Z778"/>
  <c r="AA778" s="1"/>
  <c r="X778"/>
  <c r="Z847"/>
  <c r="AA847" s="1"/>
  <c r="X956"/>
  <c r="Z956"/>
  <c r="AA956" s="1"/>
  <c r="Z930"/>
  <c r="AA930" s="1"/>
  <c r="X640"/>
  <c r="Z640"/>
  <c r="AA640" s="1"/>
  <c r="X835"/>
  <c r="Z835"/>
  <c r="AA835" s="1"/>
  <c r="X627" l="1"/>
  <c r="X870"/>
  <c r="X895"/>
  <c r="Z589"/>
  <c r="AA589" s="1"/>
  <c r="Z970"/>
  <c r="AA970" s="1"/>
  <c r="X767"/>
  <c r="X954"/>
  <c r="X914"/>
  <c r="X569"/>
  <c r="Z615"/>
  <c r="AA615" s="1"/>
  <c r="Z1055"/>
  <c r="AA1055" s="1"/>
  <c r="X715"/>
  <c r="X1008"/>
  <c r="X602"/>
  <c r="Z822"/>
  <c r="AA822" s="1"/>
  <c r="X948"/>
  <c r="X1013"/>
  <c r="Z648"/>
  <c r="AA648" s="1"/>
  <c r="X1049"/>
  <c r="Z929"/>
  <c r="AA929" s="1"/>
  <c r="Z1059"/>
  <c r="AA1059" s="1"/>
  <c r="Z636"/>
  <c r="AA636" s="1"/>
  <c r="X605"/>
  <c r="Z829"/>
  <c r="AA829" s="1"/>
  <c r="Z643"/>
  <c r="AA643" s="1"/>
  <c r="Z782"/>
  <c r="AA782" s="1"/>
  <c r="Z719"/>
  <c r="AA719" s="1"/>
  <c r="Z950"/>
  <c r="AA950" s="1"/>
  <c r="Z655"/>
  <c r="AA655" s="1"/>
  <c r="X789"/>
  <c r="Z891"/>
  <c r="AA891" s="1"/>
  <c r="X964"/>
  <c r="Z570"/>
  <c r="AA570" s="1"/>
  <c r="Z825"/>
  <c r="AA825" s="1"/>
  <c r="X754"/>
  <c r="X594"/>
  <c r="X578"/>
  <c r="Z713"/>
  <c r="AA713" s="1"/>
  <c r="Z845"/>
  <c r="AA845" s="1"/>
  <c r="X579"/>
  <c r="X849"/>
  <c r="Z608"/>
  <c r="AA608" s="1"/>
  <c r="X1051"/>
  <c r="Z1034"/>
  <c r="AA1034" s="1"/>
  <c r="Z907"/>
  <c r="AA907" s="1"/>
  <c r="Z785"/>
  <c r="AA785" s="1"/>
  <c r="Z994"/>
  <c r="AA994" s="1"/>
  <c r="X1024"/>
  <c r="Z679"/>
  <c r="AA679" s="1"/>
  <c r="Z817"/>
  <c r="AA817" s="1"/>
  <c r="Z793"/>
  <c r="AA793" s="1"/>
  <c r="X830"/>
  <c r="X781"/>
  <c r="Z880"/>
  <c r="AA880" s="1"/>
  <c r="X814"/>
  <c r="X922"/>
  <c r="Z552"/>
  <c r="AA552" s="1"/>
  <c r="Z677"/>
  <c r="AA677" s="1"/>
  <c r="X612"/>
  <c r="Z777"/>
  <c r="AA777" s="1"/>
  <c r="X883"/>
  <c r="Z557"/>
  <c r="AA557" s="1"/>
  <c r="Z633"/>
  <c r="AA633" s="1"/>
  <c r="X833"/>
  <c r="Z771"/>
  <c r="AA771" s="1"/>
  <c r="X1025"/>
  <c r="Z620"/>
  <c r="AA620" s="1"/>
  <c r="X582"/>
  <c r="X933"/>
  <c r="Z876"/>
  <c r="AA876" s="1"/>
  <c r="X811"/>
  <c r="Z980"/>
  <c r="AA980" s="1"/>
  <c r="X803"/>
  <c r="X1026"/>
  <c r="X943"/>
  <c r="Z928"/>
  <c r="AA928" s="1"/>
  <c r="Z813"/>
  <c r="AA813" s="1"/>
  <c r="Z827"/>
  <c r="AA827" s="1"/>
  <c r="X600"/>
  <c r="X963"/>
  <c r="X768"/>
  <c r="X568"/>
  <c r="Z755"/>
  <c r="AA755" s="1"/>
  <c r="Z1027"/>
  <c r="AA1027" s="1"/>
  <c r="X780"/>
  <c r="X637"/>
  <c r="X553"/>
  <c r="Z957"/>
  <c r="AA957" s="1"/>
  <c r="Z610"/>
  <c r="AA610" s="1"/>
  <c r="X718"/>
  <c r="Z1057"/>
  <c r="AA1057" s="1"/>
  <c r="X972"/>
  <c r="X556"/>
  <c r="X1033"/>
  <c r="X1037"/>
  <c r="Z944"/>
  <c r="AA944" s="1"/>
  <c r="Z902"/>
  <c r="AA902" s="1"/>
  <c r="Z1045"/>
  <c r="AA1045" s="1"/>
  <c r="Z765"/>
  <c r="AA765" s="1"/>
  <c r="X652"/>
  <c r="X761"/>
  <c r="X757"/>
  <c r="Z724"/>
  <c r="AA724" s="1"/>
  <c r="X617"/>
  <c r="X764"/>
  <c r="Z741"/>
  <c r="AA741" s="1"/>
  <c r="X1011"/>
  <c r="X577"/>
  <c r="X837"/>
  <c r="X641"/>
  <c r="Z801"/>
  <c r="AA801" s="1"/>
  <c r="Z675"/>
  <c r="AA675" s="1"/>
  <c r="Z769"/>
  <c r="AA769" s="1"/>
  <c r="X672"/>
  <c r="X671"/>
  <c r="Z851"/>
  <c r="AA851" s="1"/>
  <c r="X664"/>
  <c r="X931"/>
  <c r="X670"/>
  <c r="X592"/>
  <c r="X642"/>
  <c r="X808"/>
  <c r="Z790"/>
  <c r="AA790" s="1"/>
  <c r="X772"/>
  <c r="X1041"/>
  <c r="X560"/>
  <c r="X981"/>
  <c r="X737"/>
  <c r="X843"/>
  <c r="X752"/>
  <c r="X714"/>
  <c r="Z1053"/>
  <c r="AA1053" s="1"/>
  <c r="X850"/>
  <c r="X646"/>
  <c r="Z1017"/>
  <c r="AA1017" s="1"/>
  <c r="X844"/>
  <c r="X976"/>
  <c r="Z775"/>
  <c r="AA775" s="1"/>
  <c r="X730"/>
  <c r="Z788"/>
  <c r="AA788" s="1"/>
  <c r="Z726"/>
  <c r="AA726" s="1"/>
  <c r="Z991"/>
  <c r="AA991" s="1"/>
  <c r="X658"/>
  <c r="Z854"/>
  <c r="AA854" s="1"/>
  <c r="X687"/>
  <c r="X920"/>
  <c r="X681"/>
  <c r="Z855"/>
  <c r="AA855" s="1"/>
  <c r="Z564"/>
  <c r="AA564" s="1"/>
  <c r="Z939"/>
  <c r="AA939" s="1"/>
  <c r="X712"/>
  <c r="Z836"/>
  <c r="AA836" s="1"/>
  <c r="X1048"/>
  <c r="Z992"/>
  <c r="AA992" s="1"/>
  <c r="X731"/>
  <c r="X732"/>
  <c r="Z997"/>
  <c r="AA997" s="1"/>
  <c r="Z733"/>
  <c r="AA733" s="1"/>
  <c r="Z953"/>
  <c r="AA953" s="1"/>
  <c r="Z1014"/>
  <c r="AA1014" s="1"/>
  <c r="Z625"/>
  <c r="AA625" s="1"/>
  <c r="X984"/>
  <c r="X842"/>
  <c r="X668"/>
  <c r="Z874"/>
  <c r="AA874" s="1"/>
  <c r="X826"/>
  <c r="X832"/>
  <c r="X1052"/>
  <c r="X702"/>
  <c r="X794"/>
  <c r="Z807"/>
  <c r="AA807" s="1"/>
  <c r="X792"/>
  <c r="X723"/>
  <c r="X689"/>
  <c r="X685"/>
  <c r="X727"/>
  <c r="X629"/>
  <c r="X860"/>
  <c r="Z942"/>
  <c r="AA942" s="1"/>
  <c r="X962"/>
  <c r="Z986"/>
  <c r="AA986" s="1"/>
  <c r="Z982"/>
  <c r="AA982" s="1"/>
  <c r="Z1001"/>
  <c r="AA1001" s="1"/>
  <c r="X998"/>
  <c r="X945"/>
  <c r="Z682"/>
  <c r="AA682" s="1"/>
  <c r="Z576"/>
  <c r="AA576" s="1"/>
  <c r="Z1040"/>
  <c r="AA1040" s="1"/>
  <c r="X791"/>
  <c r="X915"/>
  <c r="Z603"/>
  <c r="AA603" s="1"/>
  <c r="X884"/>
  <c r="Z1042"/>
  <c r="AA1042" s="1"/>
  <c r="Z686"/>
  <c r="AA686" s="1"/>
  <c r="X607"/>
  <c r="Z773"/>
  <c r="AA773" s="1"/>
  <c r="Z867"/>
  <c r="AA867" s="1"/>
  <c r="X856"/>
  <c r="X898"/>
  <c r="X869"/>
  <c r="X896"/>
  <c r="X900"/>
  <c r="X599"/>
  <c r="Z665"/>
  <c r="AA665" s="1"/>
  <c r="X935"/>
  <c r="X696"/>
  <c r="Z979"/>
  <c r="AA979" s="1"/>
  <c r="Z916"/>
  <c r="AA916" s="1"/>
  <c r="X692"/>
  <c r="X753"/>
  <c r="X743"/>
  <c r="X840"/>
  <c r="Z866"/>
  <c r="AA866" s="1"/>
  <c r="X717"/>
  <c r="X694"/>
  <c r="X626"/>
  <c r="Z858"/>
  <c r="AA858" s="1"/>
  <c r="X1043"/>
  <c r="X802"/>
  <c r="X862"/>
  <c r="Z736"/>
  <c r="AA736" s="1"/>
  <c r="Z740"/>
  <c r="AA740" s="1"/>
  <c r="X838"/>
  <c r="X624"/>
  <c r="X873"/>
  <c r="Z701"/>
  <c r="AA701" s="1"/>
  <c r="X680"/>
  <c r="Z748"/>
  <c r="AA748" s="1"/>
  <c r="X908"/>
  <c r="Z912"/>
  <c r="AA912" s="1"/>
  <c r="X967"/>
  <c r="X846"/>
  <c r="X934"/>
  <c r="Z666"/>
  <c r="AA666" s="1"/>
  <c r="X990"/>
  <c r="X857"/>
  <c r="X1009"/>
  <c r="Z667"/>
  <c r="AA667" s="1"/>
  <c r="Z770"/>
  <c r="AA770" s="1"/>
  <c r="Z725"/>
  <c r="AA725" s="1"/>
  <c r="X927"/>
  <c r="X645"/>
  <c r="X698"/>
  <c r="X806"/>
  <c r="X756"/>
  <c r="X864"/>
  <c r="X674"/>
  <c r="X924"/>
  <c r="X555"/>
  <c r="X759"/>
  <c r="Z1056"/>
  <c r="AA1056" s="1"/>
  <c r="X721"/>
  <c r="X551"/>
  <c r="X697"/>
  <c r="X1060"/>
  <c r="X705"/>
  <c r="X975"/>
  <c r="X809"/>
  <c r="X925"/>
  <c r="Z1038"/>
  <c r="AA1038" s="1"/>
  <c r="X865"/>
  <c r="X936"/>
  <c r="Z716"/>
  <c r="AA716" s="1"/>
  <c r="X938"/>
  <c r="X786"/>
  <c r="Z988"/>
  <c r="AA988" s="1"/>
  <c r="X892"/>
  <c r="Z1044"/>
  <c r="AA1044" s="1"/>
  <c r="X647"/>
  <c r="X1036"/>
  <c r="X651"/>
  <c r="X586"/>
  <c r="X663"/>
  <c r="Z993"/>
  <c r="AA993" s="1"/>
  <c r="X554"/>
  <c r="X871"/>
  <c r="X823"/>
  <c r="Z923"/>
  <c r="AA923" s="1"/>
  <c r="X877"/>
  <c r="X1035"/>
  <c r="X1032"/>
  <c r="X678"/>
  <c r="X580"/>
  <c r="X728"/>
  <c r="X946"/>
  <c r="Z784"/>
  <c r="AA784" s="1"/>
  <c r="X1000"/>
  <c r="X559"/>
  <c r="X751"/>
  <c r="X1010"/>
  <c r="X745"/>
  <c r="X1007"/>
  <c r="X706"/>
  <c r="Z654"/>
  <c r="AA654" s="1"/>
  <c r="Z584"/>
  <c r="AA584" s="1"/>
  <c r="X868"/>
  <c r="X911"/>
  <c r="X959"/>
  <c r="Z581"/>
  <c r="AA581" s="1"/>
  <c r="Z618"/>
  <c r="AA618" s="1"/>
  <c r="Z881"/>
  <c r="AA881" s="1"/>
  <c r="Z885"/>
  <c r="AA885" s="1"/>
  <c r="X863"/>
  <c r="Z688"/>
  <c r="AA688" s="1"/>
  <c r="Z711"/>
  <c r="AA711" s="1"/>
  <c r="X684"/>
  <c r="X894"/>
  <c r="X1020"/>
  <c r="Z1012"/>
  <c r="AA1012" s="1"/>
  <c r="X1004"/>
  <c r="X971"/>
  <c r="Z906"/>
  <c r="AA906" s="1"/>
  <c r="X1005"/>
  <c r="Z821"/>
  <c r="AA821" s="1"/>
  <c r="X700"/>
  <c r="X940"/>
  <c r="Z699"/>
  <c r="AA699" s="1"/>
  <c r="X859"/>
  <c r="X779"/>
  <c r="Z952"/>
  <c r="AA952" s="1"/>
  <c r="X882"/>
  <c r="Z903"/>
  <c r="AA903" s="1"/>
  <c r="X875"/>
  <c r="Z1029"/>
  <c r="AA1029" s="1"/>
  <c r="Z831"/>
  <c r="AA831" s="1"/>
  <c r="Z614"/>
  <c r="AA614" s="1"/>
  <c r="Z839"/>
  <c r="AA839" s="1"/>
  <c r="Z890"/>
  <c r="AA890" s="1"/>
  <c r="Z597"/>
  <c r="AA597" s="1"/>
  <c r="Z669"/>
  <c r="AA669" s="1"/>
  <c r="Z750"/>
  <c r="AA750" s="1"/>
  <c r="X783"/>
  <c r="X966"/>
  <c r="X958"/>
  <c r="X797"/>
  <c r="X621"/>
  <c r="X609"/>
  <c r="X879"/>
  <c r="X650"/>
  <c r="X720"/>
  <c r="X1047"/>
  <c r="X893"/>
  <c r="Z1039"/>
  <c r="AA1039" s="1"/>
  <c r="X828"/>
  <c r="X567"/>
  <c r="X888"/>
  <c r="Z905"/>
  <c r="AA905" s="1"/>
  <c r="X676"/>
  <c r="X917"/>
  <c r="Z1021"/>
  <c r="AA1021" s="1"/>
  <c r="X1019"/>
  <c r="X973"/>
  <c r="Z604"/>
  <c r="AA604" s="1"/>
  <c r="Z660"/>
  <c r="AA660" s="1"/>
  <c r="Z596"/>
  <c r="AA596" s="1"/>
  <c r="X1023"/>
  <c r="X969"/>
  <c r="X947"/>
  <c r="Z901"/>
  <c r="AA901" s="1"/>
  <c r="X1015"/>
  <c r="X961"/>
  <c r="Z1003"/>
  <c r="AA1003" s="1"/>
  <c r="X904"/>
  <c r="Z999"/>
  <c r="AA999" s="1"/>
  <c r="X887"/>
  <c r="X709"/>
  <c r="X960"/>
  <c r="X795"/>
  <c r="Z897"/>
  <c r="AA897" s="1"/>
  <c r="X1031"/>
  <c r="X977"/>
  <c r="X1030"/>
  <c r="Z760"/>
  <c r="AA760" s="1"/>
  <c r="Z799"/>
  <c r="AA799" s="1"/>
  <c r="X1006"/>
  <c r="Z985"/>
  <c r="AA985" s="1"/>
  <c r="Z1028"/>
  <c r="AA1028" s="1"/>
  <c r="X653"/>
  <c r="Z974"/>
  <c r="AA974" s="1"/>
  <c r="Z683"/>
  <c r="AA683" s="1"/>
  <c r="Z810"/>
  <c r="AA810" s="1"/>
  <c r="Z703"/>
  <c r="AA703" s="1"/>
  <c r="X1058"/>
  <c r="X639"/>
  <c r="Z635"/>
  <c r="AA635" s="1"/>
  <c r="X631"/>
  <c r="X611"/>
  <c r="Z565"/>
  <c r="AA565" s="1"/>
  <c r="X656"/>
  <c r="Z632"/>
  <c r="AA632" s="1"/>
  <c r="X704"/>
  <c r="X657"/>
  <c r="Z708"/>
  <c r="AA708" s="1"/>
  <c r="X824"/>
  <c r="X834"/>
  <c r="Z776"/>
  <c r="AA776" s="1"/>
  <c r="X722"/>
  <c r="Z989"/>
  <c r="AA989" s="1"/>
  <c r="X710"/>
  <c r="Z848"/>
  <c r="AA848" s="1"/>
  <c r="X820"/>
  <c r="X774"/>
  <c r="Z816"/>
  <c r="AA816" s="1"/>
  <c r="X762"/>
  <c r="X812"/>
  <c r="X766"/>
  <c r="Z744"/>
  <c r="AA744" s="1"/>
  <c r="X690"/>
  <c r="Z804"/>
  <c r="AA804" s="1"/>
  <c r="X758"/>
  <c r="X800"/>
  <c r="Z746"/>
  <c r="AA746" s="1"/>
  <c r="X734"/>
  <c r="X572"/>
  <c r="Z996"/>
  <c r="AA996" s="1"/>
  <c r="Z921"/>
  <c r="AA921" s="1"/>
  <c r="Z853"/>
  <c r="AA853" s="1"/>
  <c r="X913"/>
  <c r="X593"/>
  <c r="Z899"/>
  <c r="AA899" s="1"/>
  <c r="Z563"/>
  <c r="AA563" s="1"/>
  <c r="X909"/>
  <c r="X1002"/>
  <c r="X659"/>
  <c r="Z623"/>
  <c r="AA623" s="1"/>
  <c r="X613"/>
  <c r="X585"/>
  <c r="Z955"/>
  <c r="AA955" s="1"/>
  <c r="X619"/>
  <c r="X673"/>
  <c r="Z573"/>
  <c r="AA573" s="1"/>
  <c r="X987"/>
  <c r="Z886"/>
  <c r="AA886" s="1"/>
  <c r="X926"/>
  <c r="Z918"/>
  <c r="AA918" s="1"/>
  <c r="X595"/>
  <c r="Z889"/>
  <c r="AA889" s="1"/>
  <c r="X941"/>
  <c r="Z983"/>
  <c r="AA983" s="1"/>
  <c r="X805"/>
  <c r="X735"/>
  <c r="X937"/>
  <c r="Z662"/>
  <c r="AA662" s="1"/>
  <c r="X644"/>
  <c r="X841"/>
  <c r="X995"/>
  <c r="X819"/>
  <c r="Z949"/>
  <c r="AA949" s="1"/>
  <c r="X591"/>
  <c r="X661"/>
  <c r="X919"/>
  <c r="X749"/>
  <c r="X587"/>
  <c r="X588"/>
  <c r="Z1050"/>
  <c r="AA1050" s="1"/>
  <c r="X707"/>
  <c r="X583"/>
  <c r="X693"/>
  <c r="X1054"/>
  <c r="X691"/>
  <c r="X978"/>
  <c r="X747"/>
  <c r="X1016"/>
  <c r="X739"/>
  <c r="X575"/>
  <c r="X763"/>
  <c r="X1046"/>
  <c r="X598"/>
  <c r="X571"/>
  <c r="X729"/>
  <c r="Z1018"/>
  <c r="AA1018" s="1"/>
  <c r="Z738"/>
  <c r="AA738" s="1"/>
  <c r="X872"/>
  <c r="X852"/>
  <c r="X818"/>
  <c r="X742"/>
  <c r="Z951"/>
  <c r="AA951" s="1"/>
  <c r="Z601"/>
  <c r="AA601" s="1"/>
  <c r="Z878"/>
  <c r="AA878" s="1"/>
  <c r="Z574"/>
  <c r="AA574" s="1"/>
  <c r="X910"/>
  <c r="X566"/>
  <c r="Z638"/>
  <c r="AA638" s="1"/>
  <c r="X798"/>
  <c r="Z932"/>
  <c r="AA932" s="1"/>
  <c r="X1062"/>
  <c r="X630"/>
  <c r="Z606"/>
  <c r="AA606" s="1"/>
  <c r="X616"/>
  <c r="X787"/>
  <c r="X562"/>
  <c r="X558"/>
  <c r="Z695"/>
  <c r="AA695" s="1"/>
  <c r="Z861"/>
  <c r="AA861" s="1"/>
  <c r="Z622"/>
  <c r="AA622" s="1"/>
  <c r="X628"/>
  <c r="W190"/>
  <c r="X190" s="1"/>
  <c r="W306"/>
  <c r="Z306" s="1"/>
  <c r="AA306" s="1"/>
  <c r="W85"/>
  <c r="X85" s="1"/>
  <c r="W61"/>
  <c r="X61" s="1"/>
  <c r="W329"/>
  <c r="X329" s="1"/>
  <c r="W275"/>
  <c r="X275" s="1"/>
  <c r="W500"/>
  <c r="Z500" s="1"/>
  <c r="AA500" s="1"/>
  <c r="W50"/>
  <c r="Z50" s="1"/>
  <c r="AA50" s="1"/>
  <c r="W74"/>
  <c r="Z74" s="1"/>
  <c r="AA74" s="1"/>
  <c r="W423"/>
  <c r="X423" s="1"/>
  <c r="W458"/>
  <c r="Z458" s="1"/>
  <c r="AA458" s="1"/>
  <c r="W19"/>
  <c r="X19" s="1"/>
  <c r="W424"/>
  <c r="Z424" s="1"/>
  <c r="AA424" s="1"/>
  <c r="W407"/>
  <c r="Z407" s="1"/>
  <c r="AA407" s="1"/>
  <c r="W201"/>
  <c r="X201" s="1"/>
  <c r="W72"/>
  <c r="Z72" s="1"/>
  <c r="AA72" s="1"/>
  <c r="W318"/>
  <c r="Z318" s="1"/>
  <c r="AA318" s="1"/>
  <c r="W183"/>
  <c r="Z183" s="1"/>
  <c r="AA183" s="1"/>
  <c r="W52"/>
  <c r="X52" s="1"/>
  <c r="W55"/>
  <c r="Z55" s="1"/>
  <c r="AA55" s="1"/>
  <c r="W267"/>
  <c r="X267" s="1"/>
  <c r="W332"/>
  <c r="Z332" s="1"/>
  <c r="AA332" s="1"/>
  <c r="W180"/>
  <c r="Z180" s="1"/>
  <c r="AA180" s="1"/>
  <c r="W316"/>
  <c r="Z316" s="1"/>
  <c r="AA316" s="1"/>
  <c r="W341"/>
  <c r="Z341" s="1"/>
  <c r="AA341" s="1"/>
  <c r="W188"/>
  <c r="X188" s="1"/>
  <c r="W522"/>
  <c r="X522" s="1"/>
  <c r="W492"/>
  <c r="Z492" s="1"/>
  <c r="AA492" s="1"/>
  <c r="W383"/>
  <c r="Z383" s="1"/>
  <c r="AA383" s="1"/>
  <c r="W285"/>
  <c r="Z285" s="1"/>
  <c r="AA285" s="1"/>
  <c r="W481"/>
  <c r="Z481" s="1"/>
  <c r="AA481" s="1"/>
  <c r="W511"/>
  <c r="Z511" s="1"/>
  <c r="AA511" s="1"/>
  <c r="W64"/>
  <c r="Z64" s="1"/>
  <c r="AA64" s="1"/>
  <c r="W146"/>
  <c r="X146" s="1"/>
  <c r="W457"/>
  <c r="Z457" s="1"/>
  <c r="AA457" s="1"/>
  <c r="W45"/>
  <c r="Z45" s="1"/>
  <c r="AA45" s="1"/>
  <c r="W372"/>
  <c r="X372" s="1"/>
  <c r="W413"/>
  <c r="X413" s="1"/>
  <c r="W446"/>
  <c r="Z446" s="1"/>
  <c r="AA446" s="1"/>
  <c r="W237"/>
  <c r="Z237" s="1"/>
  <c r="AA237" s="1"/>
  <c r="W21"/>
  <c r="X21" s="1"/>
  <c r="W131"/>
  <c r="Z131" s="1"/>
  <c r="AA131" s="1"/>
  <c r="W149"/>
  <c r="X149" s="1"/>
  <c r="W499"/>
  <c r="Z499" s="1"/>
  <c r="AA499" s="1"/>
  <c r="W459"/>
  <c r="Z459" s="1"/>
  <c r="AA459" s="1"/>
  <c r="W328"/>
  <c r="X328" s="1"/>
  <c r="W277"/>
  <c r="X277" s="1"/>
  <c r="W338"/>
  <c r="Z338" s="1"/>
  <c r="AA338" s="1"/>
  <c r="W127"/>
  <c r="X127" s="1"/>
  <c r="W297"/>
  <c r="Z297" s="1"/>
  <c r="AA297" s="1"/>
  <c r="W278"/>
  <c r="Z278" s="1"/>
  <c r="AA278" s="1"/>
  <c r="W24"/>
  <c r="X24" s="1"/>
  <c r="W488"/>
  <c r="X488" s="1"/>
  <c r="W286"/>
  <c r="Z286" s="1"/>
  <c r="AA286" s="1"/>
  <c r="W33"/>
  <c r="Z33" s="1"/>
  <c r="AA33" s="1"/>
  <c r="W41"/>
  <c r="Z41" s="1"/>
  <c r="AA41" s="1"/>
  <c r="W137"/>
  <c r="X137" s="1"/>
  <c r="W287"/>
  <c r="Z287" s="1"/>
  <c r="AA287" s="1"/>
  <c r="W384"/>
  <c r="Z384" s="1"/>
  <c r="AA384" s="1"/>
  <c r="W30"/>
  <c r="X30" s="1"/>
  <c r="W244"/>
  <c r="Z244" s="1"/>
  <c r="AA244" s="1"/>
  <c r="W340"/>
  <c r="Z340" s="1"/>
  <c r="AA340" s="1"/>
  <c r="W73"/>
  <c r="Z73" s="1"/>
  <c r="AA73" s="1"/>
  <c r="W31"/>
  <c r="X31" s="1"/>
  <c r="W320"/>
  <c r="X320" s="1"/>
  <c r="W309"/>
  <c r="Z309" s="1"/>
  <c r="AA309" s="1"/>
  <c r="W382"/>
  <c r="X382" s="1"/>
  <c r="W84"/>
  <c r="X84" s="1"/>
  <c r="W63"/>
  <c r="X63" s="1"/>
  <c r="W298"/>
  <c r="Z298" s="1"/>
  <c r="AA298" s="1"/>
  <c r="W319"/>
  <c r="Z319" s="1"/>
  <c r="AA319" s="1"/>
  <c r="W53"/>
  <c r="Z53" s="1"/>
  <c r="AA53" s="1"/>
  <c r="W225"/>
  <c r="X225" s="1"/>
  <c r="W299"/>
  <c r="X299" s="1"/>
  <c r="W469"/>
  <c r="Z469" s="1"/>
  <c r="AA469" s="1"/>
  <c r="W42"/>
  <c r="X42" s="1"/>
  <c r="W203"/>
  <c r="X203" s="1"/>
  <c r="W352"/>
  <c r="Z352" s="1"/>
  <c r="AA352" s="1"/>
  <c r="W266"/>
  <c r="Z266" s="1"/>
  <c r="AA266" s="1"/>
  <c r="W43"/>
  <c r="Z43" s="1"/>
  <c r="AA43" s="1"/>
  <c r="W97"/>
  <c r="Z97" s="1"/>
  <c r="AA97" s="1"/>
  <c r="W321"/>
  <c r="X321" s="1"/>
  <c r="W475"/>
  <c r="Z475" s="1"/>
  <c r="AA475" s="1"/>
  <c r="W96"/>
  <c r="Z96" s="1"/>
  <c r="AA96" s="1"/>
  <c r="W448"/>
  <c r="X448" s="1"/>
  <c r="W310"/>
  <c r="Z310" s="1"/>
  <c r="AA310" s="1"/>
  <c r="W116"/>
  <c r="Z116" s="1"/>
  <c r="AA116" s="1"/>
  <c r="W65"/>
  <c r="X65" s="1"/>
  <c r="W331"/>
  <c r="Z331" s="1"/>
  <c r="AA331" s="1"/>
  <c r="W402"/>
  <c r="X402" s="1"/>
  <c r="W139"/>
  <c r="Z139" s="1"/>
  <c r="AA139" s="1"/>
  <c r="W54"/>
  <c r="Z54" s="1"/>
  <c r="AA54" s="1"/>
  <c r="W512"/>
  <c r="X512" s="1"/>
  <c r="W88"/>
  <c r="Z88" s="1"/>
  <c r="AA88" s="1"/>
  <c r="W330"/>
  <c r="X330" s="1"/>
  <c r="W429"/>
  <c r="Z429" s="1"/>
  <c r="AA429" s="1"/>
  <c r="W138"/>
  <c r="Z138" s="1"/>
  <c r="AA138" s="1"/>
  <c r="W89"/>
  <c r="X89" s="1"/>
  <c r="W161"/>
  <c r="Z161" s="1"/>
  <c r="AA161" s="1"/>
  <c r="W195"/>
  <c r="Z195" s="1"/>
  <c r="AA195" s="1"/>
  <c r="W150"/>
  <c r="Z150" s="1"/>
  <c r="AA150" s="1"/>
  <c r="W78"/>
  <c r="Z78" s="1"/>
  <c r="AA78" s="1"/>
  <c r="W470"/>
  <c r="X470" s="1"/>
  <c r="W376"/>
  <c r="Z376" s="1"/>
  <c r="AA376" s="1"/>
  <c r="W353"/>
  <c r="Z353" s="1"/>
  <c r="AA353" s="1"/>
  <c r="W79"/>
  <c r="Z79" s="1"/>
  <c r="AA79" s="1"/>
  <c r="W342"/>
  <c r="Z342" s="1"/>
  <c r="AA342" s="1"/>
  <c r="W345"/>
  <c r="Z345" s="1"/>
  <c r="AA345" s="1"/>
  <c r="W214"/>
  <c r="X214" s="1"/>
  <c r="W132"/>
  <c r="Z132" s="1"/>
  <c r="AA132" s="1"/>
  <c r="W22"/>
  <c r="Z22" s="1"/>
  <c r="AA22" s="1"/>
  <c r="W334"/>
  <c r="X334" s="1"/>
  <c r="W128"/>
  <c r="X128" s="1"/>
  <c r="W101"/>
  <c r="X101" s="1"/>
  <c r="W256"/>
  <c r="X256" s="1"/>
  <c r="W335"/>
  <c r="Z335" s="1"/>
  <c r="AA335" s="1"/>
  <c r="W395"/>
  <c r="X395" s="1"/>
  <c r="W90"/>
  <c r="X90" s="1"/>
  <c r="W75"/>
  <c r="X75" s="1"/>
  <c r="W388"/>
  <c r="Z388" s="1"/>
  <c r="AA388" s="1"/>
  <c r="W417"/>
  <c r="X417" s="1"/>
  <c r="W91"/>
  <c r="X91" s="1"/>
  <c r="W523"/>
  <c r="X523" s="1"/>
  <c r="W357"/>
  <c r="Z357" s="1"/>
  <c r="AA357" s="1"/>
  <c r="W192"/>
  <c r="Z192" s="1"/>
  <c r="AA192" s="1"/>
  <c r="W144"/>
  <c r="X144" s="1"/>
  <c r="W405"/>
  <c r="Z405" s="1"/>
  <c r="AA405" s="1"/>
  <c r="W346"/>
  <c r="Z346" s="1"/>
  <c r="AA346" s="1"/>
  <c r="W462"/>
  <c r="X462" s="1"/>
  <c r="W113"/>
  <c r="X113" s="1"/>
  <c r="W86"/>
  <c r="Z86" s="1"/>
  <c r="AA86" s="1"/>
  <c r="W347"/>
  <c r="X347" s="1"/>
  <c r="W436"/>
  <c r="Z436" s="1"/>
  <c r="AA436" s="1"/>
  <c r="W102"/>
  <c r="X102" s="1"/>
  <c r="W71"/>
  <c r="X71" s="1"/>
  <c r="W400"/>
  <c r="X400" s="1"/>
  <c r="W274"/>
  <c r="Z274" s="1"/>
  <c r="AA274" s="1"/>
  <c r="W18"/>
  <c r="X18" s="1"/>
  <c r="W391"/>
  <c r="Z391" s="1"/>
  <c r="AA391" s="1"/>
  <c r="W369"/>
  <c r="Z369" s="1"/>
  <c r="AA369" s="1"/>
  <c r="W263"/>
  <c r="Z263" s="1"/>
  <c r="AA263" s="1"/>
  <c r="W243"/>
  <c r="X243" s="1"/>
  <c r="W109"/>
  <c r="Z109" s="1"/>
  <c r="AA109" s="1"/>
  <c r="W358"/>
  <c r="Z358" s="1"/>
  <c r="AA358" s="1"/>
  <c r="W378"/>
  <c r="X378" s="1"/>
  <c r="W529"/>
  <c r="X529" s="1"/>
  <c r="W455"/>
  <c r="X455" s="1"/>
  <c r="W450"/>
  <c r="Z450" s="1"/>
  <c r="AA450" s="1"/>
  <c r="W103"/>
  <c r="X103" s="1"/>
  <c r="W238"/>
  <c r="Z238" s="1"/>
  <c r="AA238" s="1"/>
  <c r="W44"/>
  <c r="X44" s="1"/>
  <c r="W216"/>
  <c r="Z216" s="1"/>
  <c r="AA216" s="1"/>
  <c r="W445"/>
  <c r="X445" s="1"/>
  <c r="W100"/>
  <c r="X100" s="1"/>
  <c r="W200"/>
  <c r="Z200" s="1"/>
  <c r="AA200" s="1"/>
  <c r="W313"/>
  <c r="X313" s="1"/>
  <c r="W425"/>
  <c r="Z425" s="1"/>
  <c r="AA425" s="1"/>
  <c r="W58"/>
  <c r="X58" s="1"/>
  <c r="W151"/>
  <c r="X151" s="1"/>
  <c r="W111"/>
  <c r="X111" s="1"/>
  <c r="W189"/>
  <c r="X189" s="1"/>
  <c r="W39"/>
  <c r="X39" s="1"/>
  <c r="W220"/>
  <c r="X220" s="1"/>
  <c r="W69"/>
  <c r="X69" s="1"/>
  <c r="W524"/>
  <c r="X524" s="1"/>
  <c r="W215"/>
  <c r="X215" s="1"/>
  <c r="W403"/>
  <c r="Z403" s="1"/>
  <c r="AA403" s="1"/>
  <c r="W176"/>
  <c r="Z176" s="1"/>
  <c r="AA176" s="1"/>
  <c r="W449"/>
  <c r="Z449" s="1"/>
  <c r="AA449" s="1"/>
  <c r="W253"/>
  <c r="Z253" s="1"/>
  <c r="AA253" s="1"/>
  <c r="W272"/>
  <c r="X272" s="1"/>
  <c r="W327"/>
  <c r="X327" s="1"/>
  <c r="W178"/>
  <c r="X178" s="1"/>
  <c r="W284"/>
  <c r="X284" s="1"/>
  <c r="W307"/>
  <c r="Z307" s="1"/>
  <c r="AA307" s="1"/>
  <c r="W247"/>
  <c r="X247" s="1"/>
  <c r="W217"/>
  <c r="X217" s="1"/>
  <c r="W211"/>
  <c r="X211" s="1"/>
  <c r="W147"/>
  <c r="Z147" s="1"/>
  <c r="AA147" s="1"/>
  <c r="W479"/>
  <c r="X479" s="1"/>
  <c r="W210"/>
  <c r="Z210" s="1"/>
  <c r="AA210" s="1"/>
  <c r="W242"/>
  <c r="Z242" s="1"/>
  <c r="AA242" s="1"/>
  <c r="W427"/>
  <c r="X427" s="1"/>
  <c r="W483"/>
  <c r="Z483" s="1"/>
  <c r="AA483" s="1"/>
  <c r="W229"/>
  <c r="Z229" s="1"/>
  <c r="AA229" s="1"/>
  <c r="W108"/>
  <c r="Z108" s="1"/>
  <c r="AA108" s="1"/>
  <c r="W207"/>
  <c r="Z207" s="1"/>
  <c r="AA207" s="1"/>
  <c r="W509"/>
  <c r="Z509" s="1"/>
  <c r="AA509" s="1"/>
  <c r="W28"/>
  <c r="X28" s="1"/>
  <c r="W295"/>
  <c r="Z295" s="1"/>
  <c r="AA295" s="1"/>
  <c r="W364"/>
  <c r="Z364" s="1"/>
  <c r="AA364" s="1"/>
  <c r="W498"/>
  <c r="X498" s="1"/>
  <c r="W437"/>
  <c r="Z437" s="1"/>
  <c r="AA437" s="1"/>
  <c r="W359"/>
  <c r="X359" s="1"/>
  <c r="W172"/>
  <c r="Z172" s="1"/>
  <c r="AA172" s="1"/>
  <c r="W467"/>
  <c r="Z467" s="1"/>
  <c r="AA467" s="1"/>
  <c r="W119"/>
  <c r="Z119" s="1"/>
  <c r="AA119" s="1"/>
  <c r="W60"/>
  <c r="Z60" s="1"/>
  <c r="AA60" s="1"/>
  <c r="W476"/>
  <c r="X476" s="1"/>
  <c r="W252"/>
  <c r="X252" s="1"/>
  <c r="W434"/>
  <c r="X434" s="1"/>
  <c r="W93"/>
  <c r="X93" s="1"/>
  <c r="W35"/>
  <c r="Z35" s="1"/>
  <c r="AA35" s="1"/>
  <c r="W204"/>
  <c r="X204" s="1"/>
  <c r="W268"/>
  <c r="Z268" s="1"/>
  <c r="AA268" s="1"/>
  <c r="W301"/>
  <c r="X301" s="1"/>
  <c r="W269"/>
  <c r="Z269" s="1"/>
  <c r="AA269" s="1"/>
  <c r="W380"/>
  <c r="X380" s="1"/>
  <c r="W415"/>
  <c r="X415" s="1"/>
  <c r="W77"/>
  <c r="X77" s="1"/>
  <c r="W170"/>
  <c r="X170" s="1"/>
  <c r="W428"/>
  <c r="Z428" s="1"/>
  <c r="AA428" s="1"/>
  <c r="W184"/>
  <c r="X184" s="1"/>
  <c r="W66"/>
  <c r="Z66" s="1"/>
  <c r="AA66" s="1"/>
  <c r="W158"/>
  <c r="X158" s="1"/>
  <c r="W157"/>
  <c r="Z157" s="1"/>
  <c r="AA157" s="1"/>
  <c r="W212"/>
  <c r="X212" s="1"/>
  <c r="W264"/>
  <c r="Z264" s="1"/>
  <c r="AA264" s="1"/>
  <c r="W473"/>
  <c r="X473" s="1"/>
  <c r="W444"/>
  <c r="Z444" s="1"/>
  <c r="AA444" s="1"/>
  <c r="W224"/>
  <c r="Z224" s="1"/>
  <c r="AA224" s="1"/>
  <c r="W51"/>
  <c r="Z51" s="1"/>
  <c r="AA51" s="1"/>
  <c r="W182"/>
  <c r="Z182" s="1"/>
  <c r="AA182" s="1"/>
  <c r="W349"/>
  <c r="Z349" s="1"/>
  <c r="AA349" s="1"/>
  <c r="W371"/>
  <c r="X371" s="1"/>
  <c r="W222"/>
  <c r="X222" s="1"/>
  <c r="W366"/>
  <c r="X366" s="1"/>
  <c r="W258"/>
  <c r="X258" s="1"/>
  <c r="W463"/>
  <c r="X463" s="1"/>
  <c r="W233"/>
  <c r="X233" s="1"/>
  <c r="W485"/>
  <c r="X485" s="1"/>
  <c r="W387"/>
  <c r="Z387" s="1"/>
  <c r="AA387" s="1"/>
  <c r="W497"/>
  <c r="Z497" s="1"/>
  <c r="AA497" s="1"/>
  <c r="W276"/>
  <c r="X276" s="1"/>
  <c r="W169"/>
  <c r="X169" s="1"/>
  <c r="W520"/>
  <c r="X520" s="1"/>
  <c r="W221"/>
  <c r="Z221" s="1"/>
  <c r="AA221" s="1"/>
  <c r="W223"/>
  <c r="Z223" s="1"/>
  <c r="AA223" s="1"/>
  <c r="W493"/>
  <c r="Z493" s="1"/>
  <c r="AA493" s="1"/>
  <c r="W489"/>
  <c r="Z489" s="1"/>
  <c r="AA489" s="1"/>
  <c r="W514"/>
  <c r="Z514" s="1"/>
  <c r="AA514" s="1"/>
  <c r="W234"/>
  <c r="X234" s="1"/>
  <c r="W193"/>
  <c r="Z193" s="1"/>
  <c r="AA193" s="1"/>
  <c r="W478"/>
  <c r="X478" s="1"/>
  <c r="W159"/>
  <c r="X159" s="1"/>
  <c r="W245"/>
  <c r="X245" s="1"/>
  <c r="W181"/>
  <c r="X181" s="1"/>
  <c r="W20"/>
  <c r="X20" s="1"/>
  <c r="W171"/>
  <c r="Z171" s="1"/>
  <c r="AA171" s="1"/>
  <c r="W288"/>
  <c r="Z288" s="1"/>
  <c r="AA288" s="1"/>
  <c r="W516"/>
  <c r="X516" s="1"/>
  <c r="W525"/>
  <c r="X525" s="1"/>
  <c r="W226"/>
  <c r="Z226" s="1"/>
  <c r="AA226" s="1"/>
  <c r="W235"/>
  <c r="X235" s="1"/>
  <c r="W504"/>
  <c r="X504" s="1"/>
  <c r="W501"/>
  <c r="Z501" s="1"/>
  <c r="AA501" s="1"/>
  <c r="W246"/>
  <c r="Z246" s="1"/>
  <c r="AA246" s="1"/>
  <c r="W477"/>
  <c r="X477" s="1"/>
  <c r="W490"/>
  <c r="Z490" s="1"/>
  <c r="AA490" s="1"/>
  <c r="W474"/>
  <c r="Z474" s="1"/>
  <c r="AA474" s="1"/>
  <c r="W257"/>
  <c r="Z257" s="1"/>
  <c r="AA257" s="1"/>
  <c r="W344"/>
  <c r="Z344" s="1"/>
  <c r="AA344" s="1"/>
  <c r="W32"/>
  <c r="Z32" s="1"/>
  <c r="AA32" s="1"/>
  <c r="W124"/>
  <c r="Z124" s="1"/>
  <c r="AA124" s="1"/>
  <c r="W451"/>
  <c r="X451" s="1"/>
  <c r="W468"/>
  <c r="Z468" s="1"/>
  <c r="AA468" s="1"/>
  <c r="W487"/>
  <c r="Z487" s="1"/>
  <c r="AA487" s="1"/>
  <c r="W130"/>
  <c r="X130" s="1"/>
  <c r="W322"/>
  <c r="Z322" s="1"/>
  <c r="AA322" s="1"/>
  <c r="W456"/>
  <c r="Z456" s="1"/>
  <c r="AA456" s="1"/>
  <c r="W513"/>
  <c r="Z513" s="1"/>
  <c r="AA513" s="1"/>
  <c r="W414"/>
  <c r="X414" s="1"/>
  <c r="W527"/>
  <c r="X527" s="1"/>
  <c r="W248"/>
  <c r="X248" s="1"/>
  <c r="W502"/>
  <c r="X502" s="1"/>
  <c r="W426"/>
  <c r="X426" s="1"/>
  <c r="W25"/>
  <c r="X25" s="1"/>
  <c r="W480"/>
  <c r="X480" s="1"/>
  <c r="W115"/>
  <c r="X115" s="1"/>
  <c r="W438"/>
  <c r="X438" s="1"/>
  <c r="W68"/>
  <c r="X68" s="1"/>
  <c r="W486"/>
  <c r="X486" s="1"/>
  <c r="W312"/>
  <c r="Z312" s="1"/>
  <c r="AA312" s="1"/>
  <c r="W206"/>
  <c r="Z206" s="1"/>
  <c r="AA206" s="1"/>
  <c r="W526"/>
  <c r="X526" s="1"/>
  <c r="W260"/>
  <c r="Z260" s="1"/>
  <c r="AA260" s="1"/>
  <c r="W281"/>
  <c r="Z281" s="1"/>
  <c r="AA281" s="1"/>
  <c r="W218"/>
  <c r="X218" s="1"/>
  <c r="W26"/>
  <c r="X26" s="1"/>
  <c r="W230"/>
  <c r="Z230" s="1"/>
  <c r="AA230" s="1"/>
  <c r="W270"/>
  <c r="Z270" s="1"/>
  <c r="AA270" s="1"/>
  <c r="W528"/>
  <c r="Z528" s="1"/>
  <c r="AA528" s="1"/>
  <c r="W37"/>
  <c r="X37" s="1"/>
  <c r="W419"/>
  <c r="Z419" s="1"/>
  <c r="AA419" s="1"/>
  <c r="W271"/>
  <c r="X271" s="1"/>
  <c r="W503"/>
  <c r="Z503" s="1"/>
  <c r="AA503" s="1"/>
  <c r="W80"/>
  <c r="Z80" s="1"/>
  <c r="AA80" s="1"/>
  <c r="W505"/>
  <c r="Z505" s="1"/>
  <c r="AA505" s="1"/>
  <c r="W324"/>
  <c r="Z324" s="1"/>
  <c r="AA324" s="1"/>
  <c r="W367"/>
  <c r="Z367" s="1"/>
  <c r="AA367" s="1"/>
  <c r="W27"/>
  <c r="X27" s="1"/>
  <c r="W251"/>
  <c r="X251" s="1"/>
  <c r="W293"/>
  <c r="Z293" s="1"/>
  <c r="AA293" s="1"/>
  <c r="W67"/>
  <c r="X67" s="1"/>
  <c r="W38"/>
  <c r="Z38" s="1"/>
  <c r="AA38" s="1"/>
  <c r="W185"/>
  <c r="X185" s="1"/>
  <c r="W282"/>
  <c r="Z282" s="1"/>
  <c r="AA282" s="1"/>
  <c r="W261"/>
  <c r="X261" s="1"/>
  <c r="W49"/>
  <c r="X49" s="1"/>
  <c r="W219"/>
  <c r="Z219" s="1"/>
  <c r="AA219" s="1"/>
  <c r="W283"/>
  <c r="X283" s="1"/>
  <c r="W241"/>
  <c r="X241" s="1"/>
  <c r="W163"/>
  <c r="Z163" s="1"/>
  <c r="AA163" s="1"/>
  <c r="W87"/>
  <c r="X87" s="1"/>
  <c r="W336"/>
  <c r="X336" s="1"/>
  <c r="W356"/>
  <c r="Z356" s="1"/>
  <c r="AA356" s="1"/>
  <c r="W173"/>
  <c r="X173" s="1"/>
  <c r="W439"/>
  <c r="X439" s="1"/>
  <c r="W305"/>
  <c r="X305" s="1"/>
  <c r="W199"/>
  <c r="Z199" s="1"/>
  <c r="AA199" s="1"/>
  <c r="W46"/>
  <c r="X46" s="1"/>
  <c r="W156"/>
  <c r="Z156" s="1"/>
  <c r="AA156" s="1"/>
  <c r="W294"/>
  <c r="X294" s="1"/>
  <c r="W343"/>
  <c r="Z343" s="1"/>
  <c r="AA343" s="1"/>
  <c r="W472"/>
  <c r="Z472" s="1"/>
  <c r="AA472" s="1"/>
  <c r="W125"/>
  <c r="Z125" s="1"/>
  <c r="AA125" s="1"/>
  <c r="W354"/>
  <c r="Z354" s="1"/>
  <c r="AA354" s="1"/>
  <c r="W231"/>
  <c r="Z231" s="1"/>
  <c r="AA231" s="1"/>
  <c r="W389"/>
  <c r="X389" s="1"/>
  <c r="W114"/>
  <c r="X114" s="1"/>
  <c r="W40"/>
  <c r="X40" s="1"/>
  <c r="W412"/>
  <c r="Z412" s="1"/>
  <c r="AA412" s="1"/>
  <c r="W36"/>
  <c r="X36" s="1"/>
  <c r="W83"/>
  <c r="X83" s="1"/>
  <c r="W249"/>
  <c r="Z249" s="1"/>
  <c r="AA249" s="1"/>
  <c r="W381"/>
  <c r="Z381" s="1"/>
  <c r="AA381" s="1"/>
  <c r="W123"/>
  <c r="Z123" s="1"/>
  <c r="AA123" s="1"/>
  <c r="W136"/>
  <c r="Z136" s="1"/>
  <c r="AA136" s="1"/>
  <c r="W47"/>
  <c r="X47" s="1"/>
  <c r="W370"/>
  <c r="Z370" s="1"/>
  <c r="AA370" s="1"/>
  <c r="W59"/>
  <c r="X59" s="1"/>
  <c r="W311"/>
  <c r="Z311" s="1"/>
  <c r="AA311" s="1"/>
  <c r="W420"/>
  <c r="Z420" s="1"/>
  <c r="AA420" s="1"/>
  <c r="W339"/>
  <c r="X339" s="1"/>
  <c r="W377"/>
  <c r="X377" s="1"/>
  <c r="W396"/>
  <c r="Z396" s="1"/>
  <c r="AA396" s="1"/>
  <c r="W517"/>
  <c r="Z517" s="1"/>
  <c r="AA517" s="1"/>
  <c r="W76"/>
  <c r="Z76" s="1"/>
  <c r="AA76" s="1"/>
  <c r="W408"/>
  <c r="Z408" s="1"/>
  <c r="AA408" s="1"/>
  <c r="W29"/>
  <c r="Z29" s="1"/>
  <c r="AA29" s="1"/>
  <c r="W250"/>
  <c r="X250" s="1"/>
  <c r="W140"/>
  <c r="Z140" s="1"/>
  <c r="AA140" s="1"/>
  <c r="W164"/>
  <c r="Z164" s="1"/>
  <c r="AA164" s="1"/>
  <c r="W141"/>
  <c r="X141" s="1"/>
  <c r="W120"/>
  <c r="X120" s="1"/>
  <c r="W236"/>
  <c r="Z236" s="1"/>
  <c r="AA236" s="1"/>
  <c r="W494"/>
  <c r="Z494" s="1"/>
  <c r="AA494" s="1"/>
  <c r="W205"/>
  <c r="X205" s="1"/>
  <c r="W121"/>
  <c r="X121" s="1"/>
  <c r="W460"/>
  <c r="Z460" s="1"/>
  <c r="AA460" s="1"/>
  <c r="W506"/>
  <c r="Z506" s="1"/>
  <c r="AA506" s="1"/>
  <c r="W365"/>
  <c r="X365" s="1"/>
  <c r="W110"/>
  <c r="X110" s="1"/>
  <c r="W300"/>
  <c r="Z300" s="1"/>
  <c r="AA300" s="1"/>
  <c r="W325"/>
  <c r="Z325" s="1"/>
  <c r="AA325" s="1"/>
  <c r="W98"/>
  <c r="X98" s="1"/>
  <c r="W303"/>
  <c r="X303" s="1"/>
  <c r="W397"/>
  <c r="Z397" s="1"/>
  <c r="AA397" s="1"/>
  <c r="W81"/>
  <c r="X81" s="1"/>
  <c r="W418"/>
  <c r="X418" s="1"/>
  <c r="W495"/>
  <c r="X495" s="1"/>
  <c r="W508"/>
  <c r="X508" s="1"/>
  <c r="W368"/>
  <c r="X368" s="1"/>
  <c r="W104"/>
  <c r="Z104" s="1"/>
  <c r="AA104" s="1"/>
  <c r="W122"/>
  <c r="X122" s="1"/>
  <c r="W461"/>
  <c r="Z461" s="1"/>
  <c r="AA461" s="1"/>
  <c r="W70"/>
  <c r="X70" s="1"/>
  <c r="W105"/>
  <c r="X105" s="1"/>
  <c r="W315"/>
  <c r="X315" s="1"/>
  <c r="W227"/>
  <c r="X227" s="1"/>
  <c r="W432"/>
  <c r="Z432" s="1"/>
  <c r="AA432" s="1"/>
  <c r="W94"/>
  <c r="X94" s="1"/>
  <c r="W112"/>
  <c r="Z112" s="1"/>
  <c r="AA112" s="1"/>
  <c r="W392"/>
  <c r="X392" s="1"/>
  <c r="W134"/>
  <c r="X134" s="1"/>
  <c r="W95"/>
  <c r="Z95" s="1"/>
  <c r="AA95" s="1"/>
  <c r="W48"/>
  <c r="X48" s="1"/>
  <c r="W361"/>
  <c r="X361" s="1"/>
  <c r="W304"/>
  <c r="X304" s="1"/>
  <c r="W148"/>
  <c r="Z148" s="1"/>
  <c r="AA148" s="1"/>
  <c r="W326"/>
  <c r="Z326" s="1"/>
  <c r="AA326" s="1"/>
  <c r="W350"/>
  <c r="X350" s="1"/>
  <c r="W99"/>
  <c r="X99" s="1"/>
  <c r="W117"/>
  <c r="Z117" s="1"/>
  <c r="AA117" s="1"/>
  <c r="W379"/>
  <c r="X379" s="1"/>
  <c r="W351"/>
  <c r="X351" s="1"/>
  <c r="W56"/>
  <c r="X56" s="1"/>
  <c r="W106"/>
  <c r="X106" s="1"/>
  <c r="W145"/>
  <c r="Z145" s="1"/>
  <c r="AA145" s="1"/>
  <c r="W404"/>
  <c r="Z404" s="1"/>
  <c r="AA404" s="1"/>
  <c r="W232"/>
  <c r="Z232" s="1"/>
  <c r="AA232" s="1"/>
  <c r="W107"/>
  <c r="Z107" s="1"/>
  <c r="AA107" s="1"/>
  <c r="W401"/>
  <c r="Z401" s="1"/>
  <c r="AA401" s="1"/>
  <c r="W373"/>
  <c r="X373" s="1"/>
  <c r="W126"/>
  <c r="X126" s="1"/>
  <c r="W160"/>
  <c r="Z160" s="1"/>
  <c r="AA160" s="1"/>
  <c r="W337"/>
  <c r="Z337" s="1"/>
  <c r="AA337" s="1"/>
  <c r="W362"/>
  <c r="Z362" s="1"/>
  <c r="AA362" s="1"/>
  <c r="W254"/>
  <c r="X254" s="1"/>
  <c r="W129"/>
  <c r="X129" s="1"/>
  <c r="W510"/>
  <c r="X510" s="1"/>
  <c r="W363"/>
  <c r="Z363" s="1"/>
  <c r="AA363" s="1"/>
  <c r="W290"/>
  <c r="Z290" s="1"/>
  <c r="AA290" s="1"/>
  <c r="W118"/>
  <c r="X118" s="1"/>
  <c r="W466"/>
  <c r="X466" s="1"/>
  <c r="W416"/>
  <c r="Z416" s="1"/>
  <c r="AA416" s="1"/>
  <c r="W507"/>
  <c r="X507" s="1"/>
  <c r="W82"/>
  <c r="X82" s="1"/>
  <c r="W296"/>
  <c r="X296" s="1"/>
  <c r="W385"/>
  <c r="Z385" s="1"/>
  <c r="AA385" s="1"/>
  <c r="W390"/>
  <c r="X390" s="1"/>
  <c r="W291"/>
  <c r="Z291" s="1"/>
  <c r="AA291" s="1"/>
  <c r="W194"/>
  <c r="Z194" s="1"/>
  <c r="AA194" s="1"/>
  <c r="W374"/>
  <c r="X374" s="1"/>
  <c r="W431"/>
  <c r="Z431" s="1"/>
  <c r="AA431" s="1"/>
  <c r="W440"/>
  <c r="X440" s="1"/>
  <c r="W152"/>
  <c r="Z152" s="1"/>
  <c r="AA152" s="1"/>
  <c r="W482"/>
  <c r="Z482" s="1"/>
  <c r="AA482" s="1"/>
  <c r="W430"/>
  <c r="X430" s="1"/>
  <c r="W409"/>
  <c r="Z409" s="1"/>
  <c r="AA409" s="1"/>
  <c r="W355"/>
  <c r="X355" s="1"/>
  <c r="W168"/>
  <c r="Z168" s="1"/>
  <c r="AA168" s="1"/>
  <c r="W453"/>
  <c r="Z453" s="1"/>
  <c r="AA453" s="1"/>
  <c r="W398"/>
  <c r="Z398" s="1"/>
  <c r="AA398" s="1"/>
  <c r="W174"/>
  <c r="Z174" s="1"/>
  <c r="AA174" s="1"/>
  <c r="W153"/>
  <c r="Z153" s="1"/>
  <c r="AA153" s="1"/>
  <c r="W484"/>
  <c r="X484" s="1"/>
  <c r="W399"/>
  <c r="Z399" s="1"/>
  <c r="AA399" s="1"/>
  <c r="W175"/>
  <c r="Z175" s="1"/>
  <c r="AA175" s="1"/>
  <c r="W142"/>
  <c r="X142" s="1"/>
  <c r="W443"/>
  <c r="X443" s="1"/>
  <c r="W452"/>
  <c r="Z452" s="1"/>
  <c r="AA452" s="1"/>
  <c r="W228"/>
  <c r="Z228" s="1"/>
  <c r="AA228" s="1"/>
  <c r="W143"/>
  <c r="Z143" s="1"/>
  <c r="AA143" s="1"/>
  <c r="W442"/>
  <c r="X442" s="1"/>
  <c r="W421"/>
  <c r="X421" s="1"/>
  <c r="W197"/>
  <c r="Z197" s="1"/>
  <c r="AA197" s="1"/>
  <c r="W196"/>
  <c r="X196" s="1"/>
  <c r="W465"/>
  <c r="X465" s="1"/>
  <c r="W410"/>
  <c r="Z410" s="1"/>
  <c r="AA410" s="1"/>
  <c r="W186"/>
  <c r="Z186" s="1"/>
  <c r="AA186" s="1"/>
  <c r="W165"/>
  <c r="X165" s="1"/>
  <c r="W496"/>
  <c r="Z496" s="1"/>
  <c r="AA496" s="1"/>
  <c r="W411"/>
  <c r="X411" s="1"/>
  <c r="W187"/>
  <c r="X187" s="1"/>
  <c r="W154"/>
  <c r="X154" s="1"/>
  <c r="W34"/>
  <c r="Z34" s="1"/>
  <c r="AA34" s="1"/>
  <c r="W464"/>
  <c r="Z464" s="1"/>
  <c r="AA464" s="1"/>
  <c r="W240"/>
  <c r="X240" s="1"/>
  <c r="W155"/>
  <c r="X155" s="1"/>
  <c r="W454"/>
  <c r="Z454" s="1"/>
  <c r="AA454" s="1"/>
  <c r="W433"/>
  <c r="Z433" s="1"/>
  <c r="AA433" s="1"/>
  <c r="W209"/>
  <c r="X209" s="1"/>
  <c r="W208"/>
  <c r="X208" s="1"/>
  <c r="W259"/>
  <c r="X259" s="1"/>
  <c r="W422"/>
  <c r="X422" s="1"/>
  <c r="W198"/>
  <c r="X198" s="1"/>
  <c r="W177"/>
  <c r="X177" s="1"/>
  <c r="W265"/>
  <c r="X265" s="1"/>
  <c r="W471"/>
  <c r="Z471" s="1"/>
  <c r="AA471" s="1"/>
  <c r="W435"/>
  <c r="Z435" s="1"/>
  <c r="AA435" s="1"/>
  <c r="W166"/>
  <c r="Z166" s="1"/>
  <c r="AA166" s="1"/>
  <c r="W62"/>
  <c r="Z62" s="1"/>
  <c r="AA62" s="1"/>
  <c r="W280"/>
  <c r="Z280" s="1"/>
  <c r="AA280" s="1"/>
  <c r="W360"/>
  <c r="X360" s="1"/>
  <c r="W162"/>
  <c r="Z162" s="1"/>
  <c r="AA162" s="1"/>
  <c r="W289"/>
  <c r="X289" s="1"/>
  <c r="W441"/>
  <c r="X441" s="1"/>
  <c r="W255"/>
  <c r="X255" s="1"/>
  <c r="W323"/>
  <c r="X323" s="1"/>
  <c r="W262"/>
  <c r="X262" s="1"/>
  <c r="W239"/>
  <c r="Z239" s="1"/>
  <c r="AA239" s="1"/>
  <c r="W191"/>
  <c r="X191" s="1"/>
  <c r="W57"/>
  <c r="Z57" s="1"/>
  <c r="AA57" s="1"/>
  <c r="W273"/>
  <c r="Z273" s="1"/>
  <c r="AA273" s="1"/>
  <c r="W133"/>
  <c r="Z133" s="1"/>
  <c r="AA133" s="1"/>
  <c r="W447"/>
  <c r="X447" s="1"/>
  <c r="W302"/>
  <c r="X302" s="1"/>
  <c r="W386"/>
  <c r="Z386" s="1"/>
  <c r="AA386" s="1"/>
  <c r="W406"/>
  <c r="Z406" s="1"/>
  <c r="AA406" s="1"/>
  <c r="W515"/>
  <c r="Z515" s="1"/>
  <c r="AA515" s="1"/>
  <c r="W292"/>
  <c r="X292" s="1"/>
  <c r="W333"/>
  <c r="Z333" s="1"/>
  <c r="AA333" s="1"/>
  <c r="W135"/>
  <c r="X135" s="1"/>
  <c r="W519"/>
  <c r="Z519" s="1"/>
  <c r="AA519" s="1"/>
  <c r="W314"/>
  <c r="Z314" s="1"/>
  <c r="AA314" s="1"/>
  <c r="W308"/>
  <c r="X308" s="1"/>
  <c r="W279"/>
  <c r="Z279" s="1"/>
  <c r="AA279" s="1"/>
  <c r="W518"/>
  <c r="X518" s="1"/>
  <c r="W394"/>
  <c r="X394" s="1"/>
  <c r="W179"/>
  <c r="X179" s="1"/>
  <c r="W167"/>
  <c r="Z167" s="1"/>
  <c r="AA167" s="1"/>
  <c r="W491"/>
  <c r="X491" s="1"/>
  <c r="W23"/>
  <c r="X23" s="1"/>
  <c r="W202"/>
  <c r="Z202" s="1"/>
  <c r="AA202" s="1"/>
  <c r="W348"/>
  <c r="Z348" s="1"/>
  <c r="AA348" s="1"/>
  <c r="W521"/>
  <c r="Z521" s="1"/>
  <c r="AA521" s="1"/>
  <c r="W375"/>
  <c r="Z375" s="1"/>
  <c r="AA375" s="1"/>
  <c r="W213"/>
  <c r="Z213" s="1"/>
  <c r="AA213" s="1"/>
  <c r="W317"/>
  <c r="Z317" s="1"/>
  <c r="AA317" s="1"/>
  <c r="W393"/>
  <c r="X393" s="1"/>
  <c r="W92"/>
  <c r="Z92" s="1"/>
  <c r="AA92" s="1"/>
  <c r="Z462"/>
  <c r="AA462" s="1"/>
  <c r="X192" l="1"/>
  <c r="X341"/>
  <c r="X322"/>
  <c r="Z110"/>
  <c r="AA110" s="1"/>
  <c r="Z418"/>
  <c r="AA418" s="1"/>
  <c r="X424"/>
  <c r="Z214"/>
  <c r="AA214" s="1"/>
  <c r="X171"/>
  <c r="Z512"/>
  <c r="AA512" s="1"/>
  <c r="X497"/>
  <c r="Z21"/>
  <c r="AA21" s="1"/>
  <c r="X229"/>
  <c r="Z526"/>
  <c r="AA526" s="1"/>
  <c r="Z126"/>
  <c r="AA126" s="1"/>
  <c r="X78"/>
  <c r="Z299"/>
  <c r="AA299" s="1"/>
  <c r="Z243"/>
  <c r="AA243" s="1"/>
  <c r="X264"/>
  <c r="Z480"/>
  <c r="AA480" s="1"/>
  <c r="Z254"/>
  <c r="AA254" s="1"/>
  <c r="Z304"/>
  <c r="AA304" s="1"/>
  <c r="Z71"/>
  <c r="AA71" s="1"/>
  <c r="Z220"/>
  <c r="AA220" s="1"/>
  <c r="Z455"/>
  <c r="AA455" s="1"/>
  <c r="Z476"/>
  <c r="AA476" s="1"/>
  <c r="X109"/>
  <c r="X200"/>
  <c r="Z427"/>
  <c r="AA427" s="1"/>
  <c r="Z485"/>
  <c r="AA485" s="1"/>
  <c r="X86"/>
  <c r="Z151"/>
  <c r="AA151" s="1"/>
  <c r="X391"/>
  <c r="Z44"/>
  <c r="AA44" s="1"/>
  <c r="X147"/>
  <c r="Z355"/>
  <c r="AA355" s="1"/>
  <c r="Z423"/>
  <c r="AA423" s="1"/>
  <c r="Z146"/>
  <c r="AA146" s="1"/>
  <c r="X309"/>
  <c r="Z301"/>
  <c r="AA301" s="1"/>
  <c r="Z234"/>
  <c r="AA234" s="1"/>
  <c r="X306"/>
  <c r="X287"/>
  <c r="X310"/>
  <c r="Z101"/>
  <c r="AA101" s="1"/>
  <c r="Z529"/>
  <c r="AA529" s="1"/>
  <c r="Z284"/>
  <c r="AA284" s="1"/>
  <c r="X468"/>
  <c r="X230"/>
  <c r="X332"/>
  <c r="X297"/>
  <c r="Z321"/>
  <c r="AA321" s="1"/>
  <c r="Z102"/>
  <c r="AA102" s="1"/>
  <c r="Z100"/>
  <c r="AA100" s="1"/>
  <c r="Z215"/>
  <c r="AA215" s="1"/>
  <c r="Z477"/>
  <c r="AA477" s="1"/>
  <c r="X72"/>
  <c r="Z296"/>
  <c r="AA296" s="1"/>
  <c r="X32"/>
  <c r="X96"/>
  <c r="X95"/>
  <c r="X471"/>
  <c r="X172"/>
  <c r="X337"/>
  <c r="Z187"/>
  <c r="AA187" s="1"/>
  <c r="X403"/>
  <c r="Z170"/>
  <c r="AA170" s="1"/>
  <c r="X281"/>
  <c r="Z106"/>
  <c r="AA106" s="1"/>
  <c r="X167"/>
  <c r="Z421"/>
  <c r="AA421" s="1"/>
  <c r="X133"/>
  <c r="Z440"/>
  <c r="AA440" s="1"/>
  <c r="X464"/>
  <c r="X409"/>
  <c r="Z135"/>
  <c r="AA135" s="1"/>
  <c r="Z93"/>
  <c r="AA93" s="1"/>
  <c r="X452"/>
  <c r="X433"/>
  <c r="Z275"/>
  <c r="AA275" s="1"/>
  <c r="Z328"/>
  <c r="AA328" s="1"/>
  <c r="X340"/>
  <c r="Z89"/>
  <c r="AA89" s="1"/>
  <c r="Z91"/>
  <c r="AA91" s="1"/>
  <c r="Z58"/>
  <c r="AA58" s="1"/>
  <c r="Z359"/>
  <c r="AA359" s="1"/>
  <c r="Z222"/>
  <c r="AA222" s="1"/>
  <c r="Z235"/>
  <c r="AA235" s="1"/>
  <c r="X117"/>
  <c r="Z82"/>
  <c r="AA82" s="1"/>
  <c r="X152"/>
  <c r="X399"/>
  <c r="X186"/>
  <c r="Z441"/>
  <c r="AA441" s="1"/>
  <c r="X317"/>
  <c r="X285"/>
  <c r="X286"/>
  <c r="X298"/>
  <c r="X352"/>
  <c r="X79"/>
  <c r="Z90"/>
  <c r="AA90" s="1"/>
  <c r="Z113"/>
  <c r="AA113" s="1"/>
  <c r="Z18"/>
  <c r="AA18" s="1"/>
  <c r="X238"/>
  <c r="Z39"/>
  <c r="AA39" s="1"/>
  <c r="X253"/>
  <c r="Z77"/>
  <c r="AA77" s="1"/>
  <c r="X223"/>
  <c r="X344"/>
  <c r="Z248"/>
  <c r="AA248" s="1"/>
  <c r="X136"/>
  <c r="X183"/>
  <c r="X107"/>
  <c r="Z118"/>
  <c r="AA118" s="1"/>
  <c r="X410"/>
  <c r="Z240"/>
  <c r="AA240" s="1"/>
  <c r="Z413"/>
  <c r="AA413" s="1"/>
  <c r="Z402"/>
  <c r="AA402" s="1"/>
  <c r="Z211"/>
  <c r="AA211" s="1"/>
  <c r="X295"/>
  <c r="X60"/>
  <c r="Z245"/>
  <c r="AA245" s="1"/>
  <c r="Z486"/>
  <c r="AA486" s="1"/>
  <c r="X505"/>
  <c r="Z128"/>
  <c r="AA128" s="1"/>
  <c r="X436"/>
  <c r="Z103"/>
  <c r="AA103" s="1"/>
  <c r="Z527"/>
  <c r="AA527" s="1"/>
  <c r="X290"/>
  <c r="X138"/>
  <c r="X274"/>
  <c r="Z445"/>
  <c r="AA445" s="1"/>
  <c r="Z524"/>
  <c r="AA524" s="1"/>
  <c r="X119"/>
  <c r="X221"/>
  <c r="X226"/>
  <c r="Z46"/>
  <c r="AA46" s="1"/>
  <c r="X148"/>
  <c r="Z56"/>
  <c r="AA56" s="1"/>
  <c r="X160"/>
  <c r="Z129"/>
  <c r="AA129" s="1"/>
  <c r="X291"/>
  <c r="X398"/>
  <c r="Z411"/>
  <c r="AA411" s="1"/>
  <c r="Z422"/>
  <c r="AA422" s="1"/>
  <c r="X280"/>
  <c r="X239"/>
  <c r="X406"/>
  <c r="X279"/>
  <c r="X348"/>
  <c r="Z190"/>
  <c r="AA190" s="1"/>
  <c r="Z329"/>
  <c r="AA329" s="1"/>
  <c r="X407"/>
  <c r="Z188"/>
  <c r="AA188" s="1"/>
  <c r="X64"/>
  <c r="X131"/>
  <c r="Z127"/>
  <c r="AA127" s="1"/>
  <c r="Z488"/>
  <c r="AA488" s="1"/>
  <c r="Z137"/>
  <c r="AA137" s="1"/>
  <c r="X244"/>
  <c r="Z320"/>
  <c r="AA320" s="1"/>
  <c r="Z63"/>
  <c r="AA63" s="1"/>
  <c r="Z225"/>
  <c r="AA225" s="1"/>
  <c r="Z203"/>
  <c r="AA203" s="1"/>
  <c r="X97"/>
  <c r="Z448"/>
  <c r="AA448" s="1"/>
  <c r="X88"/>
  <c r="X150"/>
  <c r="X132"/>
  <c r="Z395"/>
  <c r="AA395" s="1"/>
  <c r="Z144"/>
  <c r="AA144" s="1"/>
  <c r="Z378"/>
  <c r="AA378" s="1"/>
  <c r="Z189"/>
  <c r="AA189" s="1"/>
  <c r="Z178"/>
  <c r="AA178" s="1"/>
  <c r="X242"/>
  <c r="X108"/>
  <c r="X437"/>
  <c r="X268"/>
  <c r="X66"/>
  <c r="X51"/>
  <c r="Z233"/>
  <c r="AA233" s="1"/>
  <c r="Z276"/>
  <c r="AA276" s="1"/>
  <c r="X514"/>
  <c r="X288"/>
  <c r="X246"/>
  <c r="X456"/>
  <c r="Z25"/>
  <c r="AA25" s="1"/>
  <c r="X260"/>
  <c r="X419"/>
  <c r="Z49"/>
  <c r="AA49" s="1"/>
  <c r="Z99"/>
  <c r="AA99" s="1"/>
  <c r="X383"/>
  <c r="X459"/>
  <c r="X449"/>
  <c r="Z28"/>
  <c r="AA28" s="1"/>
  <c r="Z434"/>
  <c r="AA434" s="1"/>
  <c r="X80"/>
  <c r="Z134"/>
  <c r="AA134" s="1"/>
  <c r="X232"/>
  <c r="Z443"/>
  <c r="AA443" s="1"/>
  <c r="X74"/>
  <c r="Z372"/>
  <c r="AA372" s="1"/>
  <c r="X331"/>
  <c r="X353"/>
  <c r="Z417"/>
  <c r="AA417" s="1"/>
  <c r="Z217"/>
  <c r="AA217" s="1"/>
  <c r="Z415"/>
  <c r="AA415" s="1"/>
  <c r="Z159"/>
  <c r="AA159" s="1"/>
  <c r="X257"/>
  <c r="Z451"/>
  <c r="AA451" s="1"/>
  <c r="Z68"/>
  <c r="AA68" s="1"/>
  <c r="Z27"/>
  <c r="AA27" s="1"/>
  <c r="Z377"/>
  <c r="AA377" s="1"/>
  <c r="Z24"/>
  <c r="AA24" s="1"/>
  <c r="AA1064"/>
  <c r="R3" s="1"/>
  <c r="E240" i="29" s="1"/>
  <c r="C47" i="30" s="1"/>
  <c r="AB45" i="12" s="1"/>
  <c r="X50" i="49"/>
  <c r="X316"/>
  <c r="Z484"/>
  <c r="AA484" s="1"/>
  <c r="Z26"/>
  <c r="AA26" s="1"/>
  <c r="Z37"/>
  <c r="AA37" s="1"/>
  <c r="X38"/>
  <c r="X163"/>
  <c r="Z389"/>
  <c r="AA389" s="1"/>
  <c r="X164"/>
  <c r="Z390"/>
  <c r="AA390" s="1"/>
  <c r="X318"/>
  <c r="Z267"/>
  <c r="AA267" s="1"/>
  <c r="X263"/>
  <c r="X425"/>
  <c r="X210"/>
  <c r="Z184"/>
  <c r="AA184" s="1"/>
  <c r="Z212"/>
  <c r="AA212" s="1"/>
  <c r="X224"/>
  <c r="Z371"/>
  <c r="AA371" s="1"/>
  <c r="Z463"/>
  <c r="AA463" s="1"/>
  <c r="Z173"/>
  <c r="AA173" s="1"/>
  <c r="X431"/>
  <c r="Z430"/>
  <c r="AA430" s="1"/>
  <c r="X453"/>
  <c r="X123"/>
  <c r="Z479"/>
  <c r="AA479" s="1"/>
  <c r="Z218"/>
  <c r="AA218" s="1"/>
  <c r="X335"/>
  <c r="X472"/>
  <c r="Z36"/>
  <c r="AA36" s="1"/>
  <c r="Z59"/>
  <c r="AA59" s="1"/>
  <c r="X408"/>
  <c r="Z42"/>
  <c r="AA42" s="1"/>
  <c r="X345"/>
  <c r="X369"/>
  <c r="Z111"/>
  <c r="AA111" s="1"/>
  <c r="X428"/>
  <c r="X367"/>
  <c r="Z61"/>
  <c r="AA61" s="1"/>
  <c r="Z19"/>
  <c r="AA19" s="1"/>
  <c r="X55"/>
  <c r="X499"/>
  <c r="X45"/>
  <c r="Z84"/>
  <c r="AA84" s="1"/>
  <c r="X195"/>
  <c r="X176"/>
  <c r="Z498"/>
  <c r="AA498" s="1"/>
  <c r="X492"/>
  <c r="Z30"/>
  <c r="AA30" s="1"/>
  <c r="X54"/>
  <c r="X357"/>
  <c r="X358"/>
  <c r="Z313"/>
  <c r="AA313" s="1"/>
  <c r="Z252"/>
  <c r="AA252" s="1"/>
  <c r="X489"/>
  <c r="Z347"/>
  <c r="AA347" s="1"/>
  <c r="X450"/>
  <c r="X509"/>
  <c r="X474"/>
  <c r="Z67"/>
  <c r="AA67" s="1"/>
  <c r="X385"/>
  <c r="X168"/>
  <c r="Z165"/>
  <c r="AA165" s="1"/>
  <c r="Z154"/>
  <c r="AA154" s="1"/>
  <c r="Z177"/>
  <c r="AA177" s="1"/>
  <c r="Z302"/>
  <c r="AA302" s="1"/>
  <c r="X511"/>
  <c r="X237"/>
  <c r="X338"/>
  <c r="X41"/>
  <c r="Z31"/>
  <c r="AA31" s="1"/>
  <c r="X53"/>
  <c r="X43"/>
  <c r="Z65"/>
  <c r="AA65" s="1"/>
  <c r="X429"/>
  <c r="X376"/>
  <c r="Z334"/>
  <c r="AA334" s="1"/>
  <c r="X388"/>
  <c r="X346"/>
  <c r="Z400"/>
  <c r="AA400" s="1"/>
  <c r="X216"/>
  <c r="Z69"/>
  <c r="AA69" s="1"/>
  <c r="Z247"/>
  <c r="AA247" s="1"/>
  <c r="X483"/>
  <c r="X467"/>
  <c r="Z380"/>
  <c r="AA380" s="1"/>
  <c r="Z258"/>
  <c r="AA258" s="1"/>
  <c r="X501"/>
  <c r="Z426"/>
  <c r="AA426" s="1"/>
  <c r="X356"/>
  <c r="Z142"/>
  <c r="AA142" s="1"/>
  <c r="X166"/>
  <c r="Z327"/>
  <c r="AA327" s="1"/>
  <c r="Z204"/>
  <c r="AA204" s="1"/>
  <c r="X349"/>
  <c r="Z478"/>
  <c r="AA478" s="1"/>
  <c r="Z414"/>
  <c r="AA414" s="1"/>
  <c r="X528"/>
  <c r="X199"/>
  <c r="Z394"/>
  <c r="AA394" s="1"/>
  <c r="Z23"/>
  <c r="AA23" s="1"/>
  <c r="X57"/>
  <c r="Z191"/>
  <c r="AA191" s="1"/>
  <c r="X515"/>
  <c r="X193"/>
  <c r="X354"/>
  <c r="X517"/>
  <c r="X145"/>
  <c r="Z447"/>
  <c r="AA447" s="1"/>
  <c r="X326"/>
  <c r="X182"/>
  <c r="Z502"/>
  <c r="AA502" s="1"/>
  <c r="Z466"/>
  <c r="AA466" s="1"/>
  <c r="Z504"/>
  <c r="AA504" s="1"/>
  <c r="Z70"/>
  <c r="AA70" s="1"/>
  <c r="Z368"/>
  <c r="AA368" s="1"/>
  <c r="X432"/>
  <c r="X1064"/>
  <c r="Z48"/>
  <c r="AA48" s="1"/>
  <c r="Z379"/>
  <c r="AA379" s="1"/>
  <c r="X401"/>
  <c r="Z510"/>
  <c r="AA510" s="1"/>
  <c r="X194"/>
  <c r="Z209"/>
  <c r="AA209" s="1"/>
  <c r="X519"/>
  <c r="Z85"/>
  <c r="AA85" s="1"/>
  <c r="X500"/>
  <c r="X458"/>
  <c r="Z201"/>
  <c r="AA201" s="1"/>
  <c r="Z52"/>
  <c r="AA52" s="1"/>
  <c r="X180"/>
  <c r="Z522"/>
  <c r="AA522" s="1"/>
  <c r="X481"/>
  <c r="X457"/>
  <c r="X446"/>
  <c r="Z149"/>
  <c r="AA149" s="1"/>
  <c r="Z277"/>
  <c r="AA277" s="1"/>
  <c r="X278"/>
  <c r="X33"/>
  <c r="X384"/>
  <c r="X73"/>
  <c r="Z382"/>
  <c r="AA382" s="1"/>
  <c r="X319"/>
  <c r="X469"/>
  <c r="X266"/>
  <c r="X475"/>
  <c r="X116"/>
  <c r="X139"/>
  <c r="Z330"/>
  <c r="AA330" s="1"/>
  <c r="X161"/>
  <c r="Z470"/>
  <c r="AA470" s="1"/>
  <c r="X342"/>
  <c r="X22"/>
  <c r="Z256"/>
  <c r="AA256" s="1"/>
  <c r="Z75"/>
  <c r="AA75" s="1"/>
  <c r="Z523"/>
  <c r="AA523" s="1"/>
  <c r="X405"/>
  <c r="Z272"/>
  <c r="AA272" s="1"/>
  <c r="X207"/>
  <c r="X35"/>
  <c r="Z473"/>
  <c r="AA473" s="1"/>
  <c r="Z516"/>
  <c r="AA516" s="1"/>
  <c r="X312"/>
  <c r="Z271"/>
  <c r="AA271" s="1"/>
  <c r="X324"/>
  <c r="X293"/>
  <c r="X282"/>
  <c r="Z40"/>
  <c r="AA40" s="1"/>
  <c r="Z250"/>
  <c r="AA250" s="1"/>
  <c r="Z121"/>
  <c r="AA121" s="1"/>
  <c r="Z495"/>
  <c r="AA495" s="1"/>
  <c r="Z315"/>
  <c r="AA315" s="1"/>
  <c r="X228"/>
  <c r="Z198"/>
  <c r="AA198" s="1"/>
  <c r="X435"/>
  <c r="Z360"/>
  <c r="AA360" s="1"/>
  <c r="Z518"/>
  <c r="AA518" s="1"/>
  <c r="Z491"/>
  <c r="AA491" s="1"/>
  <c r="X521"/>
  <c r="X307"/>
  <c r="X364"/>
  <c r="X269"/>
  <c r="Z158"/>
  <c r="AA158" s="1"/>
  <c r="Z366"/>
  <c r="AA366" s="1"/>
  <c r="X493"/>
  <c r="Z181"/>
  <c r="AA181" s="1"/>
  <c r="X490"/>
  <c r="X513"/>
  <c r="Z115"/>
  <c r="AA115" s="1"/>
  <c r="X270"/>
  <c r="Z283"/>
  <c r="AA283" s="1"/>
  <c r="X249"/>
  <c r="Z47"/>
  <c r="AA47" s="1"/>
  <c r="Z120"/>
  <c r="AA120" s="1"/>
  <c r="X174"/>
  <c r="X175"/>
  <c r="X197"/>
  <c r="Z255"/>
  <c r="AA255" s="1"/>
  <c r="Z393"/>
  <c r="AA393" s="1"/>
  <c r="Z169"/>
  <c r="AA169" s="1"/>
  <c r="X487"/>
  <c r="Z336"/>
  <c r="AA336" s="1"/>
  <c r="Z305"/>
  <c r="AA305" s="1"/>
  <c r="Z294"/>
  <c r="AA294" s="1"/>
  <c r="X420"/>
  <c r="Z303"/>
  <c r="AA303" s="1"/>
  <c r="Z122"/>
  <c r="AA122" s="1"/>
  <c r="X112"/>
  <c r="Z374"/>
  <c r="AA374" s="1"/>
  <c r="Z196"/>
  <c r="AA196" s="1"/>
  <c r="Z208"/>
  <c r="AA208" s="1"/>
  <c r="Z323"/>
  <c r="AA323" s="1"/>
  <c r="X314"/>
  <c r="X92"/>
  <c r="X157"/>
  <c r="X387"/>
  <c r="Z20"/>
  <c r="AA20" s="1"/>
  <c r="X124"/>
  <c r="Z438"/>
  <c r="AA438" s="1"/>
  <c r="Z241"/>
  <c r="AA241" s="1"/>
  <c r="Z361"/>
  <c r="AA361" s="1"/>
  <c r="Z350"/>
  <c r="AA350" s="1"/>
  <c r="Z351"/>
  <c r="AA351" s="1"/>
  <c r="X404"/>
  <c r="Z373"/>
  <c r="AA373" s="1"/>
  <c r="X362"/>
  <c r="X363"/>
  <c r="X416"/>
  <c r="X482"/>
  <c r="X153"/>
  <c r="X143"/>
  <c r="Z155"/>
  <c r="AA155" s="1"/>
  <c r="X162"/>
  <c r="Z292"/>
  <c r="AA292" s="1"/>
  <c r="X375"/>
  <c r="X444"/>
  <c r="Z520"/>
  <c r="AA520" s="1"/>
  <c r="Z525"/>
  <c r="AA525" s="1"/>
  <c r="Z130"/>
  <c r="AA130" s="1"/>
  <c r="X206"/>
  <c r="X503"/>
  <c r="Z261"/>
  <c r="AA261" s="1"/>
  <c r="X343"/>
  <c r="X496"/>
  <c r="X34"/>
  <c r="X454"/>
  <c r="Z259"/>
  <c r="AA259" s="1"/>
  <c r="Z265"/>
  <c r="AA265" s="1"/>
  <c r="X62"/>
  <c r="Z289"/>
  <c r="AA289" s="1"/>
  <c r="Z262"/>
  <c r="AA262" s="1"/>
  <c r="Z308"/>
  <c r="AA308" s="1"/>
  <c r="X213"/>
  <c r="Z507"/>
  <c r="AA507" s="1"/>
  <c r="Z442"/>
  <c r="AA442" s="1"/>
  <c r="Z465"/>
  <c r="AA465" s="1"/>
  <c r="X273"/>
  <c r="X386"/>
  <c r="X333"/>
  <c r="Z179"/>
  <c r="AA179" s="1"/>
  <c r="X202"/>
  <c r="Z114"/>
  <c r="AA114" s="1"/>
  <c r="Z365"/>
  <c r="AA365" s="1"/>
  <c r="Z105"/>
  <c r="AA105" s="1"/>
  <c r="Z141"/>
  <c r="AA141" s="1"/>
  <c r="X396"/>
  <c r="X325"/>
  <c r="Z81"/>
  <c r="AA81" s="1"/>
  <c r="X494"/>
  <c r="X506"/>
  <c r="Z251"/>
  <c r="AA251" s="1"/>
  <c r="Z185"/>
  <c r="AA185" s="1"/>
  <c r="X219"/>
  <c r="Z87"/>
  <c r="AA87" s="1"/>
  <c r="Z439"/>
  <c r="AA439" s="1"/>
  <c r="X156"/>
  <c r="X125"/>
  <c r="Z83"/>
  <c r="AA83" s="1"/>
  <c r="X311"/>
  <c r="X29"/>
  <c r="Z205"/>
  <c r="AA205" s="1"/>
  <c r="Z98"/>
  <c r="AA98" s="1"/>
  <c r="X104"/>
  <c r="Z94"/>
  <c r="AA94" s="1"/>
  <c r="X231"/>
  <c r="X412"/>
  <c r="X381"/>
  <c r="X370"/>
  <c r="Z339"/>
  <c r="AA339" s="1"/>
  <c r="X76"/>
  <c r="X140"/>
  <c r="X236"/>
  <c r="X460"/>
  <c r="X300"/>
  <c r="X397"/>
  <c r="Z508"/>
  <c r="AA508" s="1"/>
  <c r="X461"/>
  <c r="Z227"/>
  <c r="AA227" s="1"/>
  <c r="Z392"/>
  <c r="AA392" s="1"/>
  <c r="E243" i="29" l="1"/>
  <c r="E244" s="1"/>
  <c r="C52" i="30" s="1"/>
  <c r="AB22" i="12" s="1"/>
  <c r="X531" i="49"/>
  <c r="AA531"/>
  <c r="Q3" s="1"/>
  <c r="D240" i="29" s="1"/>
  <c r="B47" i="30" s="1"/>
  <c r="B45" i="12" s="1"/>
  <c r="B49" s="1"/>
  <c r="C49" i="30" l="1"/>
  <c r="D243" i="29"/>
  <c r="B49" i="30" s="1"/>
  <c r="AB49" i="12"/>
  <c r="D244" i="29" l="1"/>
  <c r="B52" i="30" s="1"/>
  <c r="B22" i="12" s="1"/>
</calcChain>
</file>

<file path=xl/sharedStrings.xml><?xml version="1.0" encoding="utf-8"?>
<sst xmlns="http://schemas.openxmlformats.org/spreadsheetml/2006/main" count="3210" uniqueCount="953">
  <si>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</si>
  <si>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</si>
  <si>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</si>
  <si>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</si>
  <si>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</si>
  <si>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</si>
  <si>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</si>
  <si>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</si>
  <si>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</si>
  <si>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</si>
  <si>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</si>
  <si>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</si>
  <si>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</si>
  <si>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</si>
  <si>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</si>
  <si>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</si>
  <si>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</si>
  <si>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</si>
  <si>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</si>
  <si>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</si>
  <si>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</si>
  <si>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</si>
  <si>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</si>
  <si>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</si>
  <si>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</si>
  <si>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</si>
  <si>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</si>
  <si>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</si>
  <si>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</si>
  <si>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</si>
  <si>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</si>
  <si>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</si>
  <si>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</si>
  <si>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</si>
  <si>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</si>
  <si>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</si>
  <si>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</si>
  <si>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</si>
  <si>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</si>
  <si>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</si>
  <si>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</si>
  <si>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</si>
  <si>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</si>
  <si>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Hits</t>
  </si>
  <si>
    <t>DA:</t>
  </si>
  <si>
    <t>Swings</t>
  </si>
  <si>
    <t>Probability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</si>
  <si>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</si>
  <si>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</si>
  <si>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</si>
  <si>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</si>
  <si>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</si>
  <si>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</si>
  <si>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</si>
  <si>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Aesir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</si>
  <si>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</si>
  <si>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</si>
  <si>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</si>
  <si>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</si>
  <si>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</si>
  <si>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</si>
  <si>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</si>
  <si>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</si>
  <si>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</si>
  <si>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</si>
  <si>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Flame</t>
  </si>
  <si>
    <t>Gear Haste</t>
  </si>
  <si>
    <t>Dex Crit</t>
  </si>
  <si>
    <t>Over-TP Rnds:</t>
  </si>
  <si>
    <t>Sam Roll</t>
  </si>
  <si>
    <t>PCC</t>
  </si>
  <si>
    <t>Earring</t>
  </si>
  <si>
    <t>Ring</t>
  </si>
  <si>
    <t>Excelsis</t>
  </si>
  <si>
    <t>Ziel</t>
  </si>
  <si>
    <t>Hollow</t>
  </si>
  <si>
    <t>White Tathlum</t>
  </si>
  <si>
    <t>Anguinus</t>
  </si>
  <si>
    <t>Black Tathlum</t>
  </si>
  <si>
    <t>Spiral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</si>
  <si>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</si>
  <si>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</si>
  <si>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</si>
  <si>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</si>
  <si>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</si>
  <si>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</si>
  <si>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</si>
  <si>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</si>
  <si>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</si>
  <si>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</si>
  <si>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</si>
  <si>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</si>
  <si>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</si>
  <si>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</si>
  <si>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</si>
  <si>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</si>
  <si>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</si>
  <si>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</si>
  <si>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</si>
  <si>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</si>
  <si>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Bibiki Seashell</t>
  </si>
  <si>
    <t>Tiphia Sting</t>
  </si>
  <si>
    <t>Damage</t>
  </si>
  <si>
    <t>WSC:</t>
  </si>
  <si>
    <t>fTP:</t>
  </si>
  <si>
    <t>Crit%:</t>
  </si>
  <si>
    <t>Avg Dmg: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</si>
  <si>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</si>
  <si>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</si>
  <si>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</si>
  <si>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</si>
  <si>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</si>
  <si>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</si>
  <si>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</si>
  <si>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</si>
  <si>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</si>
  <si>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</si>
  <si>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</si>
  <si>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</si>
  <si>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</si>
  <si>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</si>
  <si>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</si>
  <si>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</si>
  <si>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</si>
  <si>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</si>
  <si>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</si>
  <si>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</si>
  <si>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</si>
  <si>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Hoard</t>
  </si>
  <si>
    <t>Magnus Stone</t>
  </si>
  <si>
    <t>Aggressor</t>
  </si>
  <si>
    <t>Baying Moon</t>
  </si>
  <si>
    <t>Magic Haste</t>
  </si>
  <si>
    <t>JA Haste</t>
  </si>
  <si>
    <t>Hasso</t>
  </si>
  <si>
    <t>Perle</t>
  </si>
  <si>
    <t>Goading</t>
  </si>
  <si>
    <t>Grip</t>
  </si>
  <si>
    <t>Rose Grip</t>
  </si>
  <si>
    <t>Pole Grip</t>
  </si>
  <si>
    <t>Vulcan</t>
  </si>
  <si>
    <t>Stalwart's (att)</t>
  </si>
  <si>
    <t>Stalwart's (acc)</t>
  </si>
  <si>
    <t>Sword Strap</t>
  </si>
  <si>
    <t>Claymore Grip</t>
  </si>
  <si>
    <t>Carbonara</t>
  </si>
  <si>
    <t>March 1</t>
  </si>
  <si>
    <t>March 2</t>
  </si>
  <si>
    <t>Next TP</t>
  </si>
  <si>
    <t>TA</t>
  </si>
  <si>
    <t>Alpha &amp; Omega</t>
  </si>
  <si>
    <t>Apocolypse</t>
  </si>
  <si>
    <t>Set 1</t>
  </si>
  <si>
    <t>TA:</t>
  </si>
  <si>
    <t>Sum:</t>
  </si>
  <si>
    <t>Avg:</t>
  </si>
  <si>
    <t>Set 2</t>
  </si>
  <si>
    <t>Ele.Belt</t>
  </si>
  <si>
    <t>Avg TP:</t>
  </si>
  <si>
    <t>Toggle</t>
  </si>
  <si>
    <t>Beir</t>
  </si>
  <si>
    <t>Beir +1</t>
  </si>
  <si>
    <t>Twilight</t>
  </si>
  <si>
    <t>WSDmg</t>
  </si>
  <si>
    <t>Scorpion Queen</t>
  </si>
  <si>
    <t>Atheling</t>
  </si>
  <si>
    <t>Weapon Types</t>
  </si>
  <si>
    <t>Scythe</t>
  </si>
  <si>
    <t>Great Sword</t>
  </si>
  <si>
    <t>Axe</t>
  </si>
  <si>
    <t>Great Axe</t>
  </si>
  <si>
    <t>Weapon Type</t>
  </si>
  <si>
    <t>Guillotine</t>
  </si>
  <si>
    <t>Insurgency</t>
  </si>
  <si>
    <t>Scythe Weaponskills</t>
  </si>
  <si>
    <t>Great Sword Weaponskills</t>
  </si>
  <si>
    <t>Spinning Slash</t>
  </si>
  <si>
    <t>Ground Strike</t>
  </si>
  <si>
    <t>Axe Weaponskills</t>
  </si>
  <si>
    <t>Rampage</t>
  </si>
  <si>
    <t>Great Axe Weaponskills</t>
  </si>
  <si>
    <t>Int</t>
  </si>
  <si>
    <t>Mnd</t>
  </si>
  <si>
    <t>TP Bonus</t>
  </si>
  <si>
    <t>Smiting Blow</t>
  </si>
  <si>
    <t>Main</t>
  </si>
  <si>
    <t>Offhand</t>
  </si>
  <si>
    <t>Combined</t>
  </si>
  <si>
    <t>Swings:</t>
  </si>
  <si>
    <t>Prob:</t>
  </si>
  <si>
    <t>Bale</t>
  </si>
  <si>
    <t>Torcleaver</t>
  </si>
  <si>
    <t>Endark</t>
  </si>
  <si>
    <t>Endark Att</t>
  </si>
  <si>
    <t>Starting Damage:</t>
  </si>
  <si>
    <t>Base Damage:</t>
  </si>
  <si>
    <t>Total damage remaining</t>
  </si>
  <si>
    <t>Resets min</t>
  </si>
  <si>
    <t>Damage gained for N hits on reset</t>
  </si>
  <si>
    <t>Difference</t>
  </si>
  <si>
    <t>Damage already done by hit N</t>
  </si>
  <si>
    <t>Total damage per X hits</t>
  </si>
  <si>
    <t>Avg per hit</t>
  </si>
  <si>
    <t>Avg per round 1</t>
  </si>
  <si>
    <t>Avg per round 2</t>
  </si>
  <si>
    <t>Fire Bomblet</t>
  </si>
  <si>
    <t>Flame Sachet</t>
  </si>
  <si>
    <t>Bomb Core</t>
  </si>
  <si>
    <t>Ares</t>
  </si>
  <si>
    <t>Ire +1</t>
  </si>
  <si>
    <t>Centaurus</t>
  </si>
  <si>
    <t>Moonshade TP</t>
  </si>
  <si>
    <t>Catastrophe</t>
  </si>
  <si>
    <t>Quietus</t>
  </si>
  <si>
    <t>Rnds</t>
  </si>
  <si>
    <t>Drk</t>
  </si>
  <si>
    <t>SE Dmg</t>
  </si>
  <si>
    <t>HP</t>
  </si>
  <si>
    <t>HPP</t>
  </si>
  <si>
    <t>Results</t>
  </si>
  <si>
    <t>General</t>
  </si>
  <si>
    <t>Subjob</t>
  </si>
  <si>
    <t>Nin</t>
  </si>
  <si>
    <t>Final Def</t>
  </si>
  <si>
    <t>Melee damage per round</t>
  </si>
  <si>
    <t>Crit</t>
  </si>
  <si>
    <t>Abyssea</t>
  </si>
  <si>
    <t>In Abyssea?</t>
  </si>
  <si>
    <t>Cruor Buff Value</t>
  </si>
  <si>
    <t>Atma1</t>
  </si>
  <si>
    <t>Atma2</t>
  </si>
  <si>
    <t>Atma3</t>
  </si>
  <si>
    <t>Chaos Roll</t>
  </si>
  <si>
    <t>Stalwart's</t>
  </si>
  <si>
    <t>GS Skill</t>
  </si>
  <si>
    <t>Scythe skill</t>
  </si>
  <si>
    <t>Last Resort Recast</t>
  </si>
  <si>
    <t>Desperate Blows</t>
  </si>
  <si>
    <t>Last Resort Effect</t>
  </si>
  <si>
    <t>Races</t>
  </si>
  <si>
    <t>Mithra</t>
  </si>
  <si>
    <t>Galka</t>
  </si>
  <si>
    <t>Elvaan</t>
  </si>
  <si>
    <t>Tarutaru</t>
  </si>
  <si>
    <t>Chr</t>
  </si>
  <si>
    <t>War</t>
  </si>
  <si>
    <t>Sam</t>
  </si>
  <si>
    <t>Subjobs</t>
  </si>
  <si>
    <t>Melee / Weaponskill</t>
  </si>
  <si>
    <t>Last Resort</t>
  </si>
  <si>
    <t>Base+M</t>
  </si>
  <si>
    <t>Atma 1</t>
  </si>
  <si>
    <t>Total 1</t>
  </si>
  <si>
    <t>Atma 2</t>
  </si>
  <si>
    <t>Total 2</t>
  </si>
  <si>
    <t>Mult.</t>
  </si>
  <si>
    <t>Atmas (1)</t>
  </si>
  <si>
    <t>Atmas (2)</t>
  </si>
  <si>
    <t>DW Trait:</t>
  </si>
  <si>
    <t>Food STP</t>
  </si>
  <si>
    <t>TP Set 1</t>
  </si>
  <si>
    <t>TP Set 2</t>
  </si>
  <si>
    <t>WS Set 1</t>
  </si>
  <si>
    <t>WS Set 2</t>
  </si>
  <si>
    <t>Emp Set Bonus</t>
  </si>
  <si>
    <t>DW</t>
  </si>
  <si>
    <t>Delay per Weap</t>
  </si>
  <si>
    <t>Base TP/Hit</t>
  </si>
  <si>
    <t>TP/Hit</t>
  </si>
  <si>
    <t>fStr1</t>
  </si>
  <si>
    <t>W1 Dmg</t>
  </si>
  <si>
    <t>Hits/Rnd W1</t>
  </si>
  <si>
    <t>Hits/Rnd W2</t>
  </si>
  <si>
    <t>Avg W1</t>
  </si>
  <si>
    <t>AE W1</t>
  </si>
  <si>
    <t>Avg W2</t>
  </si>
  <si>
    <t>AE W2</t>
  </si>
  <si>
    <t>Avg Rnd</t>
  </si>
  <si>
    <t>Nom. Delay</t>
  </si>
  <si>
    <t>Min Delay</t>
  </si>
  <si>
    <t>Delay/Round</t>
  </si>
  <si>
    <t>Category DPS</t>
  </si>
  <si>
    <t>Weaponskill</t>
  </si>
  <si>
    <t>Regain Amt</t>
  </si>
  <si>
    <t>Base TP Rnds</t>
  </si>
  <si>
    <t>Base TP Time</t>
  </si>
  <si>
    <t>Att Bonus</t>
  </si>
  <si>
    <t>TPSet1</t>
  </si>
  <si>
    <t>TPSet2</t>
  </si>
  <si>
    <t>WSSet1</t>
  </si>
  <si>
    <t>WSSet2</t>
  </si>
  <si>
    <t>AE Dmg</t>
  </si>
  <si>
    <t>Melee (Set 1)</t>
  </si>
  <si>
    <t>Melee (Set 2)</t>
  </si>
  <si>
    <t>WS (Set 1)</t>
  </si>
  <si>
    <t>WS (Set 2)</t>
  </si>
  <si>
    <t>Zanshin</t>
  </si>
  <si>
    <t>Endark Recast @ dmg rem.</t>
  </si>
  <si>
    <t>Endark Recast #</t>
  </si>
  <si>
    <t>Total DPS</t>
  </si>
  <si>
    <t>Total:</t>
  </si>
  <si>
    <t>Total Cycle Damage</t>
  </si>
  <si>
    <t>Total Damage</t>
  </si>
  <si>
    <t>Set Ratios</t>
  </si>
  <si>
    <t>Sample Last Resort split</t>
  </si>
  <si>
    <t>Total HP</t>
  </si>
  <si>
    <t>Souleater</t>
  </si>
  <si>
    <t>Souleater %</t>
  </si>
  <si>
    <t>Mobs</t>
  </si>
  <si>
    <t>Rosenbogen</t>
  </si>
  <si>
    <t>Rosenbogen +1</t>
  </si>
  <si>
    <t>Oneiros</t>
  </si>
  <si>
    <t>Bloodgem</t>
  </si>
  <si>
    <t>Ethereal</t>
  </si>
  <si>
    <t>Meridian</t>
  </si>
  <si>
    <t>SE Dmg/Hit</t>
  </si>
  <si>
    <t>HP %</t>
  </si>
  <si>
    <t>Rounds/WS</t>
  </si>
  <si>
    <t>WS Only</t>
  </si>
  <si>
    <t>On</t>
  </si>
  <si>
    <t>Enhance SE</t>
  </si>
  <si>
    <t>Used HP</t>
  </si>
  <si>
    <t>Remain HP</t>
  </si>
  <si>
    <t>Sum Dmg</t>
  </si>
  <si>
    <t>% Dmg</t>
  </si>
  <si>
    <t>Ttl Dmg</t>
  </si>
  <si>
    <t>Total Cycle Time</t>
  </si>
  <si>
    <t>Melee DPS</t>
  </si>
  <si>
    <t>Anger Bomblet</t>
  </si>
  <si>
    <t>Verthandi's Gem</t>
  </si>
  <si>
    <t>Apathy</t>
  </si>
  <si>
    <t>Ganesha's Mala</t>
  </si>
  <si>
    <t>Avg HP % (melee)</t>
  </si>
  <si>
    <t>Starting HP % (ws)</t>
  </si>
  <si>
    <t>Final Stats</t>
  </si>
  <si>
    <t>Calculations</t>
  </si>
  <si>
    <t>Grades</t>
  </si>
  <si>
    <t>D</t>
  </si>
  <si>
    <t>C</t>
  </si>
  <si>
    <t>B</t>
  </si>
  <si>
    <t>E</t>
  </si>
  <si>
    <t>F</t>
  </si>
  <si>
    <t>G</t>
  </si>
  <si>
    <t>A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</si>
  <si>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</si>
  <si>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</si>
  <si>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</si>
  <si>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</si>
  <si>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</si>
  <si>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</si>
  <si>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</si>
  <si>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</si>
  <si>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</si>
  <si>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</si>
  <si>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</si>
  <si>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</si>
  <si>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</si>
  <si>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</si>
  <si>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</si>
  <si>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</si>
  <si>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</si>
  <si>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</si>
  <si>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</si>
  <si>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</si>
  <si>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 Rates</t>
  </si>
  <si>
    <t>HPBase</t>
  </si>
  <si>
    <t>HP60</t>
  </si>
  <si>
    <t>HP30+</t>
  </si>
  <si>
    <t>HP75</t>
  </si>
  <si>
    <t>HP99</t>
  </si>
  <si>
    <t>StatBase</t>
  </si>
  <si>
    <t>Stat60</t>
  </si>
  <si>
    <t>Stat75</t>
  </si>
  <si>
    <t>Stat99</t>
  </si>
  <si>
    <t>Bonus</t>
  </si>
  <si>
    <t>Resolution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</si>
  <si>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</si>
  <si>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</si>
  <si>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</si>
  <si>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</si>
  <si>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</si>
  <si>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</si>
  <si>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</si>
  <si>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</si>
  <si>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</si>
  <si>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</si>
  <si>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</si>
  <si>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</si>
  <si>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Off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</si>
  <si>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</si>
  <si>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</si>
  <si>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</si>
  <si>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</si>
  <si>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</si>
  <si>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</si>
  <si>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</si>
  <si>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</si>
  <si>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</si>
  <si>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</si>
  <si>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</si>
  <si>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</si>
  <si>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</si>
  <si>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</si>
  <si>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</si>
  <si>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</si>
  <si>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</si>
  <si>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</si>
  <si>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Entropy</t>
  </si>
  <si>
    <t>WS Att Bonus</t>
  </si>
  <si>
    <t>Weaponskills</t>
  </si>
  <si>
    <t>Upheaval</t>
  </si>
  <si>
    <t>TP Adjustments</t>
  </si>
  <si>
    <t>Save TP:</t>
  </si>
  <si>
    <t>GA Skill</t>
  </si>
  <si>
    <t>Axe Skill</t>
  </si>
  <si>
    <t>QA</t>
  </si>
  <si>
    <t>CTP</t>
  </si>
  <si>
    <t>Wpn 1 Dmg</t>
  </si>
  <si>
    <t>Wpn 1 Dly</t>
  </si>
  <si>
    <t>Wpn 2 Dmg</t>
  </si>
  <si>
    <t>Wpn 2 Dly</t>
  </si>
  <si>
    <t>ODD</t>
  </si>
  <si>
    <t>Base Delay</t>
  </si>
  <si>
    <t>Delay Reduction</t>
  </si>
  <si>
    <t>Conserve TP:</t>
  </si>
  <si>
    <t>P(SE Dmg)</t>
  </si>
  <si>
    <t>Avg SE:</t>
  </si>
  <si>
    <t>Def Ignored:</t>
  </si>
  <si>
    <t>Tyrant</t>
  </si>
  <si>
    <t>Pyrosoul</t>
  </si>
  <si>
    <t>Icesoul</t>
  </si>
  <si>
    <t>Griffon's Claw</t>
  </si>
  <si>
    <t>Relic Bonus</t>
  </si>
  <si>
    <t>Windbuffet</t>
  </si>
  <si>
    <t>Qilin</t>
  </si>
  <si>
    <t>Phorcys</t>
  </si>
  <si>
    <t>Att%</t>
  </si>
  <si>
    <t>OAx</t>
  </si>
  <si>
    <t>OA2</t>
  </si>
  <si>
    <t>OA3</t>
  </si>
  <si>
    <t>OA4</t>
  </si>
  <si>
    <t>OA5</t>
  </si>
  <si>
    <t>OA6</t>
  </si>
  <si>
    <t>OA7</t>
  </si>
  <si>
    <t>OA8</t>
  </si>
  <si>
    <t>Hagneia</t>
  </si>
  <si>
    <t>Houyi</t>
  </si>
  <si>
    <t>WRank 1</t>
  </si>
  <si>
    <t>KA:</t>
  </si>
  <si>
    <t>OAx (1)</t>
  </si>
  <si>
    <t>OAx (2)</t>
  </si>
  <si>
    <t>Zanshin Rate</t>
  </si>
  <si>
    <t>Zanshin Hit Rate</t>
  </si>
  <si>
    <t>Zan</t>
  </si>
  <si>
    <t>STP</t>
  </si>
  <si>
    <t>Min TP:</t>
  </si>
  <si>
    <t>Minimum WS TP</t>
  </si>
  <si>
    <t>Other TP Gain/Loss</t>
  </si>
  <si>
    <t>TP&gt;Ready</t>
  </si>
  <si>
    <t>Hits&gt;Ready</t>
  </si>
  <si>
    <t>Embrava</t>
  </si>
  <si>
    <t>Voidwatch</t>
  </si>
  <si>
    <t>N/A</t>
  </si>
  <si>
    <t>Tactician's Roll</t>
  </si>
  <si>
    <t>Adloquium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</si>
  <si>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</si>
  <si>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</si>
  <si>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</si>
  <si>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</si>
  <si>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</si>
  <si>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</si>
  <si>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</si>
  <si>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</si>
  <si>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</si>
  <si>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Att1</t>
  </si>
  <si>
    <t>Att2</t>
  </si>
  <si>
    <t>Crit0</t>
  </si>
  <si>
    <t>Crit1</t>
  </si>
  <si>
    <t>Crit2</t>
  </si>
  <si>
    <t>Set1</t>
  </si>
  <si>
    <t>WS Store TP:</t>
  </si>
  <si>
    <t>Extra 1</t>
  </si>
  <si>
    <t>Extra 2</t>
  </si>
  <si>
    <t>P(extra)</t>
  </si>
  <si>
    <t>Set2</t>
  </si>
  <si>
    <t>Def0</t>
  </si>
  <si>
    <t>Def1</t>
  </si>
  <si>
    <t>Def2</t>
  </si>
  <si>
    <t>GSkill</t>
  </si>
  <si>
    <t>GASkill</t>
  </si>
  <si>
    <t>ASkill</t>
  </si>
  <si>
    <t>SSkill</t>
  </si>
  <si>
    <t>Uther's Grip</t>
  </si>
  <si>
    <t>Duplus Grip</t>
  </si>
  <si>
    <t>WSDmg:</t>
  </si>
  <si>
    <t>CritDef</t>
  </si>
  <si>
    <t>CritRate</t>
  </si>
  <si>
    <t>Bluffalo EM</t>
  </si>
  <si>
    <t>Ig-Alima</t>
  </si>
  <si>
    <t>Crit Def Bonus</t>
  </si>
  <si>
    <t>Crit Rate Mod</t>
  </si>
  <si>
    <t>Job Buffs</t>
  </si>
  <si>
    <t>Other Player Buffs</t>
  </si>
  <si>
    <t>Main Job</t>
  </si>
  <si>
    <t>Mage</t>
  </si>
  <si>
    <t>Meditate</t>
  </si>
  <si>
    <t>Whm</t>
  </si>
  <si>
    <t>Enhancing Skill</t>
  </si>
  <si>
    <t>Med. Over-time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</si>
  <si>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</si>
  <si>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</si>
  <si>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</si>
  <si>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</si>
  <si>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</si>
  <si>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</si>
  <si>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</si>
  <si>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</si>
  <si>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</si>
  <si>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</si>
  <si>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</si>
  <si>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</si>
  <si>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Atmacite 1</t>
  </si>
  <si>
    <t>Summoning Skill</t>
  </si>
  <si>
    <t>Atmacite 2</t>
  </si>
  <si>
    <t>Ifrit Enfire</t>
  </si>
  <si>
    <t>Atmacite 3</t>
  </si>
  <si>
    <t>Sch</t>
  </si>
  <si>
    <t>Enspell</t>
  </si>
  <si>
    <t>Dnc</t>
  </si>
  <si>
    <t>Haste Samba (10%)</t>
  </si>
  <si>
    <t>Cor</t>
  </si>
  <si>
    <t>Fighter's Roll</t>
  </si>
  <si>
    <t>Rogue's Roll</t>
  </si>
  <si>
    <t>Miser's Roll</t>
  </si>
  <si>
    <t>Att %</t>
  </si>
  <si>
    <t>DA %</t>
  </si>
  <si>
    <t>Crit %</t>
  </si>
  <si>
    <t>Save TP</t>
  </si>
  <si>
    <t>Cruor 2</t>
  </si>
  <si>
    <t>Cruor 1</t>
  </si>
  <si>
    <t>Acc Bonus</t>
  </si>
  <si>
    <t>&gt;&gt;</t>
  </si>
  <si>
    <t>Def Down %</t>
  </si>
  <si>
    <t>Mythic AM2</t>
  </si>
  <si>
    <t>AM2 TP</t>
  </si>
  <si>
    <t>Mythic AM3</t>
  </si>
  <si>
    <t>AM3</t>
  </si>
  <si>
    <t>AM3-2</t>
  </si>
  <si>
    <t>AM3-3</t>
  </si>
  <si>
    <t>Madrigal</t>
  </si>
  <si>
    <t>Mythic Level</t>
  </si>
  <si>
    <t>AM2</t>
  </si>
  <si>
    <t>dDex</t>
  </si>
  <si>
    <t>Endark Dmg</t>
  </si>
  <si>
    <t>Ifrit Enspell Dmg</t>
  </si>
  <si>
    <t>Sch Enspell Dmg</t>
  </si>
  <si>
    <t>Enspell Dmg</t>
  </si>
  <si>
    <t>Boost Potency</t>
  </si>
  <si>
    <t>Brd AF3 Potency</t>
  </si>
  <si>
    <t>Vulcan Pearl</t>
  </si>
  <si>
    <t>Diabolic Eye</t>
  </si>
  <si>
    <t>Souleater Acc</t>
  </si>
  <si>
    <t>Day for fTP Bonus</t>
  </si>
  <si>
    <t>fTP</t>
  </si>
  <si>
    <t>DfTP</t>
  </si>
  <si>
    <t>Sljor</t>
  </si>
  <si>
    <t>Kokou</t>
  </si>
  <si>
    <t>Scale:</t>
  </si>
  <si>
    <t>HP Mult</t>
  </si>
  <si>
    <t>HP Cap</t>
  </si>
  <si>
    <t>Arrabbiata</t>
  </si>
  <si>
    <t>Subtotal HP</t>
  </si>
  <si>
    <t>Food HPP</t>
  </si>
  <si>
    <t>Food HPP Cap</t>
  </si>
  <si>
    <t>Food HP</t>
  </si>
  <si>
    <t>Rioter</t>
  </si>
  <si>
    <t>Caudata</t>
  </si>
  <si>
    <t>Ares +1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</si>
  <si>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</si>
  <si>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</si>
  <si>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</si>
  <si>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</si>
  <si>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</si>
  <si>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</si>
  <si>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</si>
  <si>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</si>
  <si>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</si>
  <si>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</si>
  <si>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</si>
  <si>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</si>
  <si>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Yaoyotl</t>
  </si>
  <si>
    <t>Gear2</t>
  </si>
  <si>
    <t>Lava's</t>
  </si>
  <si>
    <t>Kusha's</t>
  </si>
  <si>
    <t>Chapuli (100)</t>
  </si>
  <si>
    <t>KA</t>
  </si>
  <si>
    <t>Asperity</t>
  </si>
  <si>
    <t>Whirlpool</t>
  </si>
  <si>
    <t>K'ayres</t>
  </si>
  <si>
    <t>Tati</t>
  </si>
  <si>
    <t>Tati +1</t>
  </si>
  <si>
    <t>Dudgeon</t>
  </si>
  <si>
    <t>Heartseeker</t>
  </si>
  <si>
    <t>Bladeborn</t>
  </si>
  <si>
    <t>Steelflash</t>
  </si>
  <si>
    <t>Letalis</t>
  </si>
  <si>
    <t>Delve Fodder</t>
  </si>
  <si>
    <t>Hunter's Roll</t>
  </si>
  <si>
    <t>dStr</t>
  </si>
  <si>
    <t>Lambda</t>
  </si>
  <si>
    <t>Axes</t>
  </si>
  <si>
    <t>Great Swords</t>
  </si>
  <si>
    <t>Great Axes</t>
  </si>
  <si>
    <t>Scythes</t>
  </si>
  <si>
    <t>Main Weapons</t>
  </si>
  <si>
    <t>GreatSword</t>
  </si>
  <si>
    <t>GreatAxe</t>
  </si>
  <si>
    <t>Sub2HWeapons</t>
  </si>
  <si>
    <t>Sub1HWeapons</t>
  </si>
  <si>
    <t>2H</t>
  </si>
  <si>
    <t>1H</t>
  </si>
  <si>
    <t>Skills</t>
  </si>
  <si>
    <t>Main Type</t>
  </si>
  <si>
    <t>Sub Type</t>
  </si>
  <si>
    <t>Hand 1</t>
  </si>
  <si>
    <t>Str Att</t>
  </si>
  <si>
    <t>Dex Acc</t>
  </si>
  <si>
    <t>D Rating</t>
  </si>
  <si>
    <t>Weapon1 AE</t>
  </si>
  <si>
    <t>Weapon2 AE</t>
  </si>
  <si>
    <t>Hand 2</t>
  </si>
  <si>
    <t>WRank</t>
  </si>
  <si>
    <t>fStr</t>
  </si>
  <si>
    <t>Other modifiers</t>
  </si>
  <si>
    <t>Offhand hit rate</t>
  </si>
  <si>
    <t>CombatSkill</t>
  </si>
  <si>
    <t>Buremte</t>
  </si>
  <si>
    <t>Ocachi</t>
  </si>
  <si>
    <t>Xbalanque</t>
  </si>
  <si>
    <t>Tojil</t>
  </si>
  <si>
    <t>Rounds/WS:</t>
  </si>
  <si>
    <t>Cetl</t>
  </si>
  <si>
    <t>Buquwik</t>
  </si>
  <si>
    <t>Kayapa</t>
  </si>
  <si>
    <t>Ignominy</t>
  </si>
  <si>
    <t>Jukukik Feather</t>
  </si>
  <si>
    <t>Ionis</t>
  </si>
  <si>
    <t>Adoulin</t>
  </si>
  <si>
    <t>Caladbolg 119</t>
  </si>
  <si>
    <t>Ragnarok 119</t>
  </si>
  <si>
    <t>Kaquljaan</t>
  </si>
  <si>
    <t>Redemption 119</t>
  </si>
  <si>
    <t>Liberator 119</t>
  </si>
  <si>
    <t>Apocalypse 119</t>
  </si>
  <si>
    <t>Ionis Att</t>
  </si>
  <si>
    <t>Ionis Acc</t>
  </si>
  <si>
    <t>Ionis Crit</t>
  </si>
  <si>
    <t>Aqreaqa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</si>
  <si>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</si>
  <si>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</si>
  <si>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</si>
  <si>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</si>
  <si>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</si>
  <si>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</si>
  <si>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</si>
  <si>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</si>
  <si>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</si>
  <si>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</si>
  <si>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</si>
  <si>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</si>
  <si>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</si>
  <si>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</si>
  <si>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</si>
  <si>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</si>
  <si>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</si>
  <si>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</si>
  <si>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</si>
  <si>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</si>
  <si>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</si>
  <si>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</si>
  <si>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</si>
  <si>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</si>
  <si>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</si>
  <si>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Set 1 WS</t>
  </si>
  <si>
    <t>Set 2 WS</t>
  </si>
  <si>
    <t>Eminent</t>
  </si>
  <si>
    <t>Eminent (latent)</t>
  </si>
  <si>
    <t>Anahera</t>
  </si>
  <si>
    <t>Bloodrain</t>
  </si>
  <si>
    <t>Lentus Grip</t>
  </si>
  <si>
    <t>2HDly</t>
  </si>
  <si>
    <t>Ignominy +1</t>
  </si>
  <si>
    <t>Agitator</t>
  </si>
  <si>
    <t>Patricius</t>
  </si>
  <si>
    <t>Tripudio</t>
  </si>
  <si>
    <t>Trux</t>
  </si>
  <si>
    <t>Ombre Tathlum</t>
  </si>
  <si>
    <t>Cronus</t>
  </si>
  <si>
    <t>Ginsen</t>
  </si>
  <si>
    <t>Trivial</t>
  </si>
  <si>
    <t>DC Dynamis</t>
  </si>
  <si>
    <t>Serac Rabbit</t>
  </si>
  <si>
    <t>Metalsinger</t>
  </si>
  <si>
    <t>Gevaudan (latent)</t>
  </si>
  <si>
    <t>Umuthi</t>
  </si>
  <si>
    <t>Iqabi</t>
  </si>
  <si>
    <t>Yetshila</t>
  </si>
  <si>
    <t>Yetshila +1</t>
  </si>
  <si>
    <t>Fallen</t>
  </si>
  <si>
    <t>Fallen +1</t>
  </si>
  <si>
    <t>Vunetshelo</t>
  </si>
  <si>
    <t>Emxgha</t>
  </si>
  <si>
    <t>Magma Steak</t>
  </si>
  <si>
    <t>S. Salis. Steak</t>
  </si>
  <si>
    <t>C. Salis. Steak</t>
  </si>
  <si>
    <t>Gorney +1</t>
  </si>
  <si>
    <t>Enlivened</t>
  </si>
  <si>
    <t>Vehemence</t>
  </si>
  <si>
    <t>Tengu-no-Hane (Day)</t>
  </si>
  <si>
    <t>Minuet 3</t>
  </si>
  <si>
    <t>AF3+2</t>
  </si>
  <si>
    <t>March</t>
  </si>
  <si>
    <t>Minuet Merit</t>
  </si>
  <si>
    <t>Madrigal Merit</t>
  </si>
  <si>
    <t>Ruinator</t>
  </si>
  <si>
    <t>Cross Reaper</t>
  </si>
  <si>
    <t>Spiral Hell</t>
  </si>
  <si>
    <t>Kamihr Raaz</t>
  </si>
  <si>
    <t>Scourge</t>
  </si>
  <si>
    <t>Mars</t>
  </si>
  <si>
    <t>Hastes</t>
  </si>
  <si>
    <t>Haste II</t>
  </si>
  <si>
    <t>Boosts</t>
  </si>
  <si>
    <t>Trepidity (latent)</t>
  </si>
  <si>
    <t>Ifrit</t>
  </si>
  <si>
    <t>Ifrit +1</t>
  </si>
  <si>
    <t>Ramuh</t>
  </si>
  <si>
    <t>Ramuh +1</t>
  </si>
  <si>
    <t>Titan</t>
  </si>
  <si>
    <t>Titan +1</t>
  </si>
  <si>
    <t>Shiva</t>
  </si>
  <si>
    <t>Shiva +1</t>
  </si>
  <si>
    <t>Fenrir</t>
  </si>
  <si>
    <t>Fenrir +1</t>
  </si>
  <si>
    <t>Mes'yosi</t>
  </si>
  <si>
    <t>Ygnas +1 (reive)</t>
  </si>
  <si>
    <t>Ygnas (reive)</t>
  </si>
  <si>
    <t>Quartz Tathlum +1</t>
  </si>
  <si>
    <t>Ombre Tathlum +1</t>
  </si>
  <si>
    <t>Hasty Pinion +1</t>
  </si>
  <si>
    <t>Dilettante's</t>
  </si>
  <si>
    <t>Dilettante's +1</t>
  </si>
  <si>
    <t>Pixie +1</t>
  </si>
  <si>
    <t>Gallian +1</t>
  </si>
  <si>
    <t>Gavialis</t>
  </si>
  <si>
    <t>Items</t>
  </si>
  <si>
    <t>R.Acc</t>
  </si>
  <si>
    <t>R.Att</t>
  </si>
  <si>
    <t>M.Acc</t>
  </si>
  <si>
    <t>MAB</t>
  </si>
  <si>
    <t>MDmg</t>
  </si>
  <si>
    <t>Shifting +1</t>
  </si>
  <si>
    <t>Lacono +1</t>
  </si>
  <si>
    <t>Nefarious +1</t>
  </si>
  <si>
    <t>Windbuffet +1</t>
  </si>
  <si>
    <t>Zennaroi</t>
  </si>
  <si>
    <t>Tzacab grip</t>
  </si>
  <si>
    <t>Heathen</t>
  </si>
  <si>
    <t>Heathen +1</t>
  </si>
  <si>
    <t>Otomi STR</t>
  </si>
  <si>
    <t>Floestone</t>
  </si>
  <si>
    <t>Bleating</t>
  </si>
  <si>
    <t>Blurred</t>
  </si>
  <si>
    <t>Malfeasance</t>
  </si>
  <si>
    <t>Acro max aug</t>
  </si>
  <si>
    <t>Lupine</t>
  </si>
  <si>
    <t>Macbain max</t>
  </si>
  <si>
    <t>Capitoline</t>
  </si>
  <si>
    <t>Pernicious</t>
  </si>
  <si>
    <t>Immolation</t>
  </si>
  <si>
    <t>Grunfeld</t>
  </si>
  <si>
    <t>Ishvara</t>
  </si>
  <si>
    <t>Niht max</t>
  </si>
  <si>
    <t>Yoruim</t>
  </si>
  <si>
    <t>Inanna max</t>
  </si>
  <si>
    <t>Savage Blade</t>
  </si>
  <si>
    <t>Blurred Sword + shield</t>
  </si>
  <si>
    <t>Acro curr</t>
  </si>
  <si>
    <t>ilvl122</t>
  </si>
  <si>
    <t>ilvl135</t>
  </si>
  <si>
    <t>Lugra</t>
  </si>
  <si>
    <t>Lugra +1</t>
  </si>
  <si>
    <t>Acro max stp</t>
  </si>
  <si>
    <t>Acro max wsd</t>
  </si>
  <si>
    <t>Kentarch Belt +1</t>
  </si>
  <si>
    <t>ilvl130</t>
  </si>
  <si>
    <t>Jumalik</t>
  </si>
  <si>
    <t>Founders</t>
  </si>
  <si>
    <t>Sangarius +1 + shield</t>
  </si>
  <si>
    <t>Founders max</t>
  </si>
  <si>
    <t>Loyalist max</t>
  </si>
  <si>
    <t>Loyalist</t>
  </si>
  <si>
    <t>Amm max</t>
  </si>
  <si>
    <t>Leyline max</t>
  </si>
  <si>
    <t>Acro curr da</t>
  </si>
  <si>
    <t>Acro curr stp</t>
  </si>
  <si>
    <t>Gifts</t>
  </si>
  <si>
    <t>WSD</t>
  </si>
  <si>
    <t>Argosy A</t>
  </si>
  <si>
    <t>Argosy D</t>
  </si>
  <si>
    <t>Lissome</t>
  </si>
  <si>
    <t>Combatant torque</t>
  </si>
  <si>
    <t>Deathbane</t>
  </si>
  <si>
    <t>Deathbane D</t>
  </si>
  <si>
    <t>Valorous</t>
  </si>
  <si>
    <t>Odyssean</t>
  </si>
  <si>
    <t>Sublime Sushi</t>
  </si>
  <si>
    <t>Petrov</t>
  </si>
  <si>
    <t>Subtlety</t>
  </si>
  <si>
    <t>Zwazo</t>
  </si>
  <si>
    <t>Odyssean n</t>
  </si>
  <si>
    <t>Humility</t>
  </si>
  <si>
    <t>Apocalypse 119 I</t>
  </si>
  <si>
    <t>Argosy +1 A</t>
  </si>
  <si>
    <t>Lustratio A</t>
  </si>
  <si>
    <t>Valorous TH</t>
  </si>
  <si>
    <t>Carmine</t>
  </si>
  <si>
    <t>Caro</t>
  </si>
  <si>
    <t>Defiant</t>
  </si>
  <si>
    <t>Dominance</t>
  </si>
  <si>
    <t>Acro max da</t>
  </si>
  <si>
    <t>Grounded</t>
  </si>
  <si>
    <t>Odyssean high acc</t>
  </si>
  <si>
    <t>Odyssean quad</t>
  </si>
  <si>
    <t>Geo</t>
  </si>
  <si>
    <t>Bolster</t>
  </si>
  <si>
    <t>Blaze of Glory</t>
  </si>
  <si>
    <t>Ecliptic Attrition</t>
  </si>
  <si>
    <t>Idris</t>
  </si>
  <si>
    <t>Torpor</t>
  </si>
  <si>
    <t>Eva Down</t>
  </si>
  <si>
    <t>Frailty</t>
  </si>
  <si>
    <t>Def Down</t>
  </si>
  <si>
    <t>Precision</t>
  </si>
  <si>
    <t>Acc Up</t>
  </si>
  <si>
    <t>Fury</t>
  </si>
  <si>
    <t>Att Up</t>
  </si>
  <si>
    <t>Geo-Precision</t>
  </si>
  <si>
    <t>Geo-Fury</t>
  </si>
  <si>
    <t>Relic AM Apoc</t>
  </si>
  <si>
    <t>Emicho B</t>
  </si>
  <si>
    <t>Flanged</t>
  </si>
  <si>
    <t>Seeth</t>
  </si>
  <si>
    <t>Cessance</t>
  </si>
  <si>
    <t>Digni</t>
  </si>
  <si>
    <t>Focal</t>
  </si>
  <si>
    <t>Sarissapho</t>
  </si>
  <si>
    <t>Dacnomania</t>
  </si>
  <si>
    <t>Odyssean stp</t>
  </si>
  <si>
    <t>ilvl128</t>
  </si>
  <si>
    <t>no</t>
  </si>
  <si>
    <t>Sulevia +1</t>
  </si>
  <si>
    <t>Tempus</t>
  </si>
  <si>
    <t>Sailfi</t>
  </si>
  <si>
    <t>Valorous wsd</t>
  </si>
  <si>
    <t>Odyssean wsd</t>
  </si>
  <si>
    <t>Valorous DEX</t>
  </si>
  <si>
    <t>Valorous DA</t>
  </si>
  <si>
    <t>Ragnarok 119 nq</t>
  </si>
  <si>
    <t>Ankou da</t>
  </si>
  <si>
    <t>Valorous da</t>
  </si>
  <si>
    <t>Uac</t>
  </si>
  <si>
    <t>Lustratio +1 A</t>
  </si>
  <si>
    <t>Argosy +1 D</t>
  </si>
  <si>
    <t>Nepenthe</t>
  </si>
  <si>
    <t>Nepenthe +1</t>
  </si>
  <si>
    <t>Valorous (Acc/DA)</t>
  </si>
  <si>
    <t>Valorous (Acc/STP)</t>
  </si>
  <si>
    <t>Valorous (Acc/WSD)</t>
  </si>
  <si>
    <t>Odyssean (Acc/DA)</t>
  </si>
  <si>
    <t>Odyssean (Acc/STP)</t>
  </si>
  <si>
    <t>Odyssean (Acc/WSD)</t>
  </si>
  <si>
    <t>Neritic</t>
  </si>
  <si>
    <t>Ankou STR/stp</t>
  </si>
  <si>
    <t>Ankou DEX/stp</t>
  </si>
  <si>
    <t>Odyssean QA</t>
  </si>
  <si>
    <t>Apate</t>
  </si>
  <si>
    <t>Cacoethic +1</t>
  </si>
  <si>
    <t>Valorous STP</t>
  </si>
  <si>
    <t>GS STP Haste Cap</t>
  </si>
  <si>
    <t>Valorous reso</t>
  </si>
  <si>
    <t>SET DPS</t>
  </si>
  <si>
    <t>Odyssean Torcl</t>
  </si>
  <si>
    <t>Unmoving</t>
  </si>
  <si>
    <t>Shukuyu</t>
  </si>
  <si>
    <t>Hetairoi</t>
  </si>
  <si>
    <t>Dedition</t>
  </si>
  <si>
    <t>Odyssean STP</t>
  </si>
  <si>
    <t>Apoc STP</t>
  </si>
  <si>
    <t>Apoc Suicide</t>
  </si>
  <si>
    <t>Entropy/Insurgency</t>
  </si>
  <si>
    <t>ml</t>
  </si>
  <si>
    <t>ltpnight</t>
  </si>
  <si>
    <t>htpnight</t>
  </si>
  <si>
    <t>li</t>
  </si>
  <si>
    <t>lb</t>
  </si>
  <si>
    <t>ltpday</t>
  </si>
  <si>
    <t>mb</t>
  </si>
  <si>
    <t>bi</t>
  </si>
  <si>
    <t>htpday</t>
  </si>
  <si>
    <t>bl</t>
  </si>
  <si>
    <t>cqs</t>
  </si>
  <si>
    <t>torcross</t>
  </si>
  <si>
    <t>resotropyins</t>
  </si>
  <si>
    <t>Ankou VIT/WSD</t>
  </si>
  <si>
    <t>Ankou STR/DA</t>
  </si>
  <si>
    <t>Ankou STR/WSD</t>
  </si>
  <si>
    <t>Ainia</t>
  </si>
  <si>
    <t>Flamma</t>
  </si>
  <si>
    <t>Telos</t>
  </si>
  <si>
    <t>Ioskeha</t>
  </si>
  <si>
    <t>Argosy D +1</t>
  </si>
  <si>
    <t>Odyssean da</t>
  </si>
  <si>
    <t>Rag Suicide</t>
  </si>
  <si>
    <t>Chirich</t>
  </si>
  <si>
    <t>Chirich +1</t>
  </si>
  <si>
    <t>Calamity</t>
  </si>
  <si>
    <t>Dagon</t>
  </si>
  <si>
    <t>Ignominy +2</t>
  </si>
  <si>
    <t>Ignominy +3</t>
  </si>
  <si>
    <t>Niqmaddu</t>
  </si>
  <si>
    <t>Knobkierrie</t>
  </si>
  <si>
    <t>Utu</t>
  </si>
  <si>
    <t>Odyssean WSD</t>
  </si>
  <si>
    <t>Karieyh</t>
  </si>
  <si>
    <t>GS SAM Roll</t>
  </si>
  <si>
    <t>Torc WS</t>
  </si>
  <si>
    <t>Valorous qa max</t>
  </si>
  <si>
    <t>Odyssean qa max</t>
  </si>
  <si>
    <t>Ankou DEX/DA</t>
  </si>
  <si>
    <t>OTD Dmg/Rnd</t>
  </si>
  <si>
    <t>OTD (main weapon)</t>
  </si>
  <si>
    <t>Montante +1</t>
  </si>
  <si>
    <t>Zulfigar</t>
  </si>
  <si>
    <t>Ankou DEX/Crit</t>
  </si>
  <si>
    <t>Sulevia +2</t>
  </si>
  <si>
    <t>Ratri</t>
  </si>
  <si>
    <t>Ratri +1</t>
  </si>
  <si>
    <t>Regal</t>
  </si>
  <si>
    <t>Valorous qa</t>
  </si>
  <si>
    <t>Flamma +2</t>
  </si>
  <si>
    <t>Argosy +1</t>
  </si>
  <si>
    <t>Anguta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</si>
</sst>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_(* #,##0_);_(* \(#,##0\);_(* &quot;-&quot;??_);_(@_)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ont="0" applyFill="0" applyBorder="0" applyAlignment="0" applyProtection="0"/>
  </cellStyleXfs>
  <cellXfs count="190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64" fontId="0" fillId="0" borderId="0" xfId="0" applyNumberFormat="1" applyFill="1" applyBorder="1"/>
    <xf numFmtId="0" fontId="0" fillId="0" borderId="1" xfId="0" quotePrefix="1" applyBorder="1"/>
    <xf numFmtId="0" fontId="5" fillId="0" borderId="0" xfId="0" applyFont="1"/>
    <xf numFmtId="0" fontId="0" fillId="0" borderId="0" xfId="0" quotePrefix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10" fontId="0" fillId="0" borderId="0" xfId="0" applyNumberFormat="1" applyBorder="1"/>
    <xf numFmtId="0" fontId="0" fillId="0" borderId="0" xfId="0" quotePrefix="1"/>
    <xf numFmtId="0" fontId="1" fillId="0" borderId="0" xfId="0" applyFont="1"/>
    <xf numFmtId="0" fontId="0" fillId="2" borderId="0" xfId="0" applyFill="1" applyProtection="1">
      <protection locked="0"/>
    </xf>
    <xf numFmtId="9" fontId="0" fillId="2" borderId="0" xfId="0" applyNumberFormat="1" applyFill="1" applyProtection="1">
      <protection locked="0"/>
    </xf>
    <xf numFmtId="0" fontId="0" fillId="0" borderId="0" xfId="0" applyNumberFormat="1"/>
    <xf numFmtId="0" fontId="0" fillId="2" borderId="0" xfId="0" applyNumberFormat="1" applyFill="1" applyProtection="1">
      <protection locked="0"/>
    </xf>
    <xf numFmtId="0" fontId="4" fillId="0" borderId="0" xfId="0" applyNumberFormat="1" applyFont="1"/>
    <xf numFmtId="1" fontId="0" fillId="0" borderId="0" xfId="0" quotePrefix="1" applyNumberFormat="1" applyBorder="1"/>
    <xf numFmtId="1" fontId="0" fillId="0" borderId="1" xfId="0" quotePrefix="1" applyNumberFormat="1" applyBorder="1"/>
    <xf numFmtId="1" fontId="1" fillId="0" borderId="0" xfId="0" applyNumberFormat="1" applyFont="1"/>
    <xf numFmtId="0" fontId="0" fillId="0" borderId="0" xfId="0" applyFill="1" applyProtection="1"/>
    <xf numFmtId="16" fontId="0" fillId="0" borderId="0" xfId="0" quotePrefix="1" applyNumberFormat="1"/>
    <xf numFmtId="9" fontId="0" fillId="0" borderId="0" xfId="0" applyNumberFormat="1" applyBorder="1"/>
    <xf numFmtId="165" fontId="0" fillId="0" borderId="0" xfId="0" applyNumberFormat="1" applyBorder="1"/>
    <xf numFmtId="0" fontId="1" fillId="0" borderId="0" xfId="0" applyNumberFormat="1" applyFont="1"/>
    <xf numFmtId="1" fontId="5" fillId="0" borderId="0" xfId="0" applyNumberFormat="1" applyFont="1"/>
    <xf numFmtId="2" fontId="0" fillId="0" borderId="0" xfId="0" applyNumberFormat="1" applyFill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/>
    <xf numFmtId="0" fontId="0" fillId="0" borderId="4" xfId="0" applyBorder="1"/>
    <xf numFmtId="1" fontId="0" fillId="0" borderId="0" xfId="0" applyNumberFormat="1" applyBorder="1"/>
    <xf numFmtId="1" fontId="0" fillId="0" borderId="1" xfId="0" applyNumberFormat="1" applyBorder="1"/>
    <xf numFmtId="0" fontId="0" fillId="0" borderId="3" xfId="0" applyBorder="1"/>
    <xf numFmtId="9" fontId="0" fillId="0" borderId="1" xfId="0" applyNumberFormat="1" applyBorder="1"/>
    <xf numFmtId="0" fontId="0" fillId="0" borderId="0" xfId="0" applyNumberFormat="1" applyBorder="1"/>
    <xf numFmtId="0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5" fillId="0" borderId="5" xfId="0" applyFont="1" applyBorder="1"/>
    <xf numFmtId="166" fontId="0" fillId="0" borderId="5" xfId="0" applyNumberFormat="1" applyBorder="1"/>
    <xf numFmtId="0" fontId="0" fillId="0" borderId="6" xfId="0" applyBorder="1"/>
    <xf numFmtId="0" fontId="0" fillId="0" borderId="5" xfId="0" applyBorder="1"/>
    <xf numFmtId="2" fontId="5" fillId="0" borderId="0" xfId="0" applyNumberFormat="1" applyFont="1"/>
    <xf numFmtId="0" fontId="0" fillId="0" borderId="2" xfId="0" quotePrefix="1" applyBorder="1"/>
    <xf numFmtId="0" fontId="0" fillId="0" borderId="7" xfId="0" quotePrefix="1" applyBorder="1"/>
    <xf numFmtId="1" fontId="0" fillId="0" borderId="2" xfId="0" applyNumberFormat="1" applyBorder="1"/>
    <xf numFmtId="1" fontId="0" fillId="0" borderId="8" xfId="0" quotePrefix="1" applyNumberFormat="1" applyBorder="1"/>
    <xf numFmtId="1" fontId="0" fillId="0" borderId="8" xfId="0" applyNumberFormat="1" applyBorder="1"/>
    <xf numFmtId="1" fontId="0" fillId="0" borderId="0" xfId="0" applyNumberFormat="1" applyFill="1" applyBorder="1"/>
    <xf numFmtId="0" fontId="1" fillId="0" borderId="2" xfId="0" applyFont="1" applyBorder="1"/>
    <xf numFmtId="0" fontId="1" fillId="0" borderId="8" xfId="0" applyFont="1" applyBorder="1"/>
    <xf numFmtId="9" fontId="0" fillId="0" borderId="8" xfId="0" applyNumberFormat="1" applyBorder="1"/>
    <xf numFmtId="0" fontId="0" fillId="0" borderId="2" xfId="0" applyNumberFormat="1" applyBorder="1"/>
    <xf numFmtId="0" fontId="5" fillId="0" borderId="0" xfId="0" applyFont="1" applyBorder="1"/>
    <xf numFmtId="0" fontId="0" fillId="0" borderId="2" xfId="0" applyBorder="1"/>
    <xf numFmtId="0" fontId="5" fillId="0" borderId="0" xfId="0" applyNumberFormat="1" applyFont="1"/>
    <xf numFmtId="0" fontId="1" fillId="0" borderId="0" xfId="0" quotePrefix="1" applyFont="1"/>
    <xf numFmtId="1" fontId="0" fillId="0" borderId="7" xfId="0" applyNumberFormat="1" applyBorder="1"/>
    <xf numFmtId="0" fontId="0" fillId="0" borderId="7" xfId="0" applyBorder="1"/>
    <xf numFmtId="0" fontId="0" fillId="0" borderId="8" xfId="0" applyBorder="1"/>
    <xf numFmtId="9" fontId="0" fillId="0" borderId="0" xfId="5" applyFont="1"/>
    <xf numFmtId="9" fontId="0" fillId="0" borderId="2" xfId="5" applyFont="1" applyBorder="1"/>
    <xf numFmtId="1" fontId="4" fillId="0" borderId="0" xfId="0" applyNumberFormat="1" applyFont="1"/>
    <xf numFmtId="168" fontId="0" fillId="0" borderId="0" xfId="1" applyNumberFormat="1" applyFont="1" applyBorder="1"/>
    <xf numFmtId="0" fontId="0" fillId="0" borderId="0" xfId="1" applyNumberFormat="1" applyFont="1" applyBorder="1"/>
    <xf numFmtId="168" fontId="0" fillId="0" borderId="2" xfId="1" applyNumberFormat="1" applyFont="1" applyBorder="1"/>
    <xf numFmtId="0" fontId="0" fillId="0" borderId="2" xfId="1" applyNumberFormat="1" applyFont="1" applyBorder="1"/>
    <xf numFmtId="164" fontId="5" fillId="0" borderId="0" xfId="3" applyNumberFormat="1"/>
    <xf numFmtId="1" fontId="3" fillId="0" borderId="1" xfId="0" applyNumberFormat="1" applyFont="1" applyBorder="1"/>
    <xf numFmtId="0" fontId="1" fillId="0" borderId="0" xfId="4"/>
    <xf numFmtId="165" fontId="1" fillId="0" borderId="0" xfId="4" applyNumberFormat="1"/>
    <xf numFmtId="0" fontId="1" fillId="0" borderId="0" xfId="4" applyBorder="1"/>
    <xf numFmtId="9" fontId="1" fillId="0" borderId="0" xfId="4" applyNumberFormat="1"/>
    <xf numFmtId="0" fontId="1" fillId="0" borderId="1" xfId="4" applyBorder="1"/>
    <xf numFmtId="0" fontId="1" fillId="0" borderId="1" xfId="4" applyFill="1" applyBorder="1"/>
    <xf numFmtId="2" fontId="1" fillId="0" borderId="0" xfId="4" applyNumberFormat="1"/>
    <xf numFmtId="9" fontId="1" fillId="0" borderId="2" xfId="4" applyNumberFormat="1" applyBorder="1"/>
    <xf numFmtId="10" fontId="1" fillId="0" borderId="0" xfId="4" applyNumberFormat="1" applyBorder="1"/>
    <xf numFmtId="0" fontId="1" fillId="0" borderId="0" xfId="4" applyNumberFormat="1"/>
    <xf numFmtId="10" fontId="1" fillId="0" borderId="2" xfId="4" applyNumberFormat="1" applyBorder="1"/>
    <xf numFmtId="10" fontId="1" fillId="0" borderId="2" xfId="7" applyNumberFormat="1" applyBorder="1"/>
    <xf numFmtId="0" fontId="1" fillId="0" borderId="0" xfId="4" applyFill="1" applyBorder="1"/>
    <xf numFmtId="10" fontId="1" fillId="0" borderId="3" xfId="4" applyNumberFormat="1" applyBorder="1"/>
    <xf numFmtId="10" fontId="1" fillId="0" borderId="1" xfId="4" applyNumberFormat="1" applyBorder="1"/>
    <xf numFmtId="164" fontId="1" fillId="0" borderId="0" xfId="4" applyNumberFormat="1"/>
    <xf numFmtId="10" fontId="1" fillId="0" borderId="0" xfId="4" applyNumberFormat="1" applyFill="1" applyBorder="1"/>
    <xf numFmtId="164" fontId="1" fillId="0" borderId="0" xfId="4" applyNumberFormat="1" applyFill="1" applyBorder="1"/>
    <xf numFmtId="0" fontId="1" fillId="0" borderId="0" xfId="4" applyFont="1"/>
    <xf numFmtId="9" fontId="1" fillId="0" borderId="0" xfId="6"/>
    <xf numFmtId="0" fontId="1" fillId="0" borderId="0" xfId="4" applyFill="1"/>
    <xf numFmtId="0" fontId="1" fillId="0" borderId="0" xfId="2" applyNumberFormat="1" applyBorder="1"/>
    <xf numFmtId="10" fontId="1" fillId="0" borderId="0" xfId="4" applyNumberFormat="1"/>
    <xf numFmtId="0" fontId="1" fillId="0" borderId="0" xfId="4" applyNumberFormat="1" applyFill="1" applyBorder="1"/>
    <xf numFmtId="164" fontId="1" fillId="0" borderId="0" xfId="4" applyNumberFormat="1" applyBorder="1"/>
    <xf numFmtId="165" fontId="0" fillId="0" borderId="1" xfId="5" applyNumberFormat="1" applyFont="1" applyBorder="1"/>
    <xf numFmtId="165" fontId="0" fillId="0" borderId="8" xfId="5" applyNumberFormat="1" applyFont="1" applyBorder="1"/>
    <xf numFmtId="0" fontId="6" fillId="0" borderId="0" xfId="0" applyFont="1"/>
    <xf numFmtId="0" fontId="0" fillId="0" borderId="0" xfId="0" applyNumberFormat="1" applyFill="1" applyBorder="1"/>
    <xf numFmtId="164" fontId="0" fillId="0" borderId="0" xfId="0" applyNumberFormat="1" applyBorder="1"/>
    <xf numFmtId="9" fontId="1" fillId="0" borderId="0" xfId="5"/>
    <xf numFmtId="166" fontId="0" fillId="0" borderId="0" xfId="0" applyNumberFormat="1" applyBorder="1"/>
    <xf numFmtId="2" fontId="0" fillId="0" borderId="0" xfId="0" applyNumberFormat="1" applyBorder="1"/>
    <xf numFmtId="9" fontId="1" fillId="0" borderId="0" xfId="5" applyFont="1"/>
    <xf numFmtId="0" fontId="3" fillId="0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0" borderId="0" xfId="0" applyFont="1"/>
    <xf numFmtId="0" fontId="0" fillId="3" borderId="0" xfId="0" applyFill="1"/>
    <xf numFmtId="9" fontId="1" fillId="3" borderId="0" xfId="0" applyNumberFormat="1" applyFont="1" applyFill="1"/>
    <xf numFmtId="9" fontId="1" fillId="3" borderId="0" xfId="5" applyFont="1" applyFill="1"/>
    <xf numFmtId="9" fontId="0" fillId="0" borderId="0" xfId="5" quotePrefix="1" applyFont="1"/>
    <xf numFmtId="1" fontId="0" fillId="0" borderId="2" xfId="0" quotePrefix="1" applyNumberFormat="1" applyBorder="1"/>
    <xf numFmtId="0" fontId="0" fillId="0" borderId="0" xfId="0" applyFill="1"/>
    <xf numFmtId="0" fontId="0" fillId="0" borderId="0" xfId="0" applyNumberFormat="1" applyFill="1"/>
    <xf numFmtId="9" fontId="1" fillId="0" borderId="2" xfId="0" applyNumberFormat="1" applyFont="1" applyBorder="1"/>
    <xf numFmtId="10" fontId="0" fillId="0" borderId="2" xfId="0" applyNumberFormat="1" applyBorder="1"/>
    <xf numFmtId="10" fontId="1" fillId="0" borderId="2" xfId="5" applyNumberFormat="1" applyBorder="1"/>
    <xf numFmtId="0" fontId="3" fillId="0" borderId="0" xfId="0" applyFont="1" applyBorder="1"/>
    <xf numFmtId="0" fontId="3" fillId="0" borderId="4" xfId="0" applyFont="1" applyBorder="1"/>
    <xf numFmtId="0" fontId="5" fillId="0" borderId="1" xfId="0" applyFont="1" applyBorder="1"/>
    <xf numFmtId="0" fontId="0" fillId="0" borderId="0" xfId="5" applyNumberFormat="1" applyFont="1"/>
    <xf numFmtId="0" fontId="0" fillId="0" borderId="2" xfId="5" applyNumberFormat="1" applyFont="1" applyBorder="1"/>
    <xf numFmtId="9" fontId="5" fillId="0" borderId="0" xfId="0" applyNumberFormat="1" applyFont="1"/>
    <xf numFmtId="0" fontId="0" fillId="0" borderId="0" xfId="0" applyFill="1" applyProtection="1">
      <protection locked="0"/>
    </xf>
    <xf numFmtId="166" fontId="5" fillId="0" borderId="0" xfId="0" applyNumberFormat="1" applyFont="1"/>
    <xf numFmtId="0" fontId="0" fillId="0" borderId="0" xfId="0" applyFont="1" applyFill="1" applyBorder="1"/>
    <xf numFmtId="9" fontId="0" fillId="0" borderId="0" xfId="5" quotePrefix="1" applyFont="1" applyBorder="1"/>
    <xf numFmtId="9" fontId="0" fillId="0" borderId="7" xfId="5" quotePrefix="1" applyFont="1" applyBorder="1"/>
    <xf numFmtId="0" fontId="0" fillId="0" borderId="1" xfId="0" applyFont="1" applyFill="1" applyBorder="1"/>
    <xf numFmtId="9" fontId="0" fillId="0" borderId="1" xfId="5" quotePrefix="1" applyFont="1" applyBorder="1"/>
    <xf numFmtId="9" fontId="0" fillId="0" borderId="8" xfId="5" quotePrefix="1" applyFont="1" applyBorder="1"/>
    <xf numFmtId="1" fontId="1" fillId="0" borderId="2" xfId="0" applyNumberFormat="1" applyFont="1" applyBorder="1"/>
    <xf numFmtId="1" fontId="1" fillId="0" borderId="1" xfId="0" applyNumberFormat="1" applyFont="1" applyBorder="1"/>
    <xf numFmtId="1" fontId="1" fillId="0" borderId="8" xfId="0" applyNumberFormat="1" applyFont="1" applyBorder="1"/>
    <xf numFmtId="165" fontId="0" fillId="0" borderId="2" xfId="0" applyNumberFormat="1" applyBorder="1"/>
    <xf numFmtId="0" fontId="1" fillId="0" borderId="0" xfId="0" applyFont="1" applyFill="1" applyBorder="1"/>
    <xf numFmtId="0" fontId="1" fillId="0" borderId="4" xfId="0" applyFont="1" applyBorder="1"/>
    <xf numFmtId="164" fontId="0" fillId="0" borderId="5" xfId="0" applyNumberFormat="1" applyBorder="1"/>
    <xf numFmtId="164" fontId="0" fillId="0" borderId="9" xfId="0" applyNumberFormat="1" applyBorder="1"/>
    <xf numFmtId="9" fontId="0" fillId="0" borderId="2" xfId="5" quotePrefix="1" applyFont="1" applyBorder="1"/>
    <xf numFmtId="165" fontId="1" fillId="0" borderId="0" xfId="5" applyNumberFormat="1"/>
    <xf numFmtId="1" fontId="3" fillId="0" borderId="0" xfId="0" applyNumberFormat="1" applyFont="1"/>
    <xf numFmtId="1" fontId="0" fillId="0" borderId="7" xfId="0" quotePrefix="1" applyNumberForma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5" applyNumberFormat="1" applyFont="1"/>
    <xf numFmtId="10" fontId="1" fillId="0" borderId="2" xfId="5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4" fontId="1" fillId="0" borderId="1" xfId="0" applyNumberFormat="1" applyFont="1" applyBorder="1"/>
    <xf numFmtId="164" fontId="1" fillId="0" borderId="8" xfId="0" applyNumberFormat="1" applyFont="1" applyBorder="1"/>
    <xf numFmtId="0" fontId="0" fillId="0" borderId="8" xfId="0" applyNumberFormat="1" applyBorder="1"/>
    <xf numFmtId="0" fontId="7" fillId="0" borderId="0" xfId="0" applyFont="1"/>
    <xf numFmtId="0" fontId="0" fillId="0" borderId="0" xfId="0" applyNumberFormat="1" applyFont="1"/>
    <xf numFmtId="1" fontId="1" fillId="0" borderId="0" xfId="3" applyNumberFormat="1" applyFont="1" applyFill="1"/>
    <xf numFmtId="9" fontId="7" fillId="0" borderId="0" xfId="5" applyFont="1"/>
    <xf numFmtId="0" fontId="0" fillId="4" borderId="0" xfId="0" applyFill="1" applyBorder="1"/>
    <xf numFmtId="0" fontId="1" fillId="4" borderId="1" xfId="0" applyFont="1" applyFill="1" applyBorder="1"/>
    <xf numFmtId="9" fontId="0" fillId="0" borderId="0" xfId="5" applyNumberFormat="1" applyFont="1"/>
    <xf numFmtId="165" fontId="1" fillId="3" borderId="0" xfId="0" applyNumberFormat="1" applyFont="1" applyFill="1"/>
    <xf numFmtId="165" fontId="1" fillId="3" borderId="0" xfId="5" applyNumberFormat="1" applyFont="1" applyFill="1"/>
    <xf numFmtId="0" fontId="8" fillId="0" borderId="0" xfId="0" applyFont="1"/>
    <xf numFmtId="0" fontId="8" fillId="0" borderId="1" xfId="0" applyFont="1" applyBorder="1"/>
    <xf numFmtId="0" fontId="9" fillId="0" borderId="0" xfId="0" applyFont="1"/>
    <xf numFmtId="9" fontId="9" fillId="0" borderId="0" xfId="0" applyNumberFormat="1" applyFont="1"/>
    <xf numFmtId="0" fontId="0" fillId="0" borderId="0" xfId="0" applyFont="1" applyAlignment="1"/>
    <xf numFmtId="0" fontId="10" fillId="0" borderId="0" xfId="0" applyFont="1"/>
    <xf numFmtId="9" fontId="10" fillId="0" borderId="0" xfId="0" applyNumberFormat="1" applyFont="1"/>
    <xf numFmtId="0" fontId="10" fillId="0" borderId="0" xfId="0" applyFont="1" applyAlignment="1"/>
    <xf numFmtId="0" fontId="0" fillId="0" borderId="0" xfId="0" applyAlignment="1">
      <alignment horizontal="center"/>
    </xf>
  </cellXfs>
  <cellStyles count="8">
    <cellStyle name="Comma" xfId="1" builtinId="3"/>
    <cellStyle name="Comma_DPS Calculator - Mnk" xfId="2"/>
    <cellStyle name="Normal" xfId="0" builtinId="0"/>
    <cellStyle name="Normal_DPS Calculator - Drg" xfId="3"/>
    <cellStyle name="Normal_DPS Calculator - Mnk" xfId="4"/>
    <cellStyle name="Percent" xfId="5" builtinId="5"/>
    <cellStyle name="Percent_DPS Calculator - Drg" xfId="6"/>
    <cellStyle name="Percent_DPS Calculator - Mnk" xfId="7"/>
  </cellStyles>
  <dxfs count="13"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19"/>
        </patternFill>
      </fill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fill>
        <patternFill>
          <bgColor indexed="1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42"/>
  </sheetPr>
  <dimension ref="A1:R56"/>
  <sheetViews>
    <sheetView topLeftCell="A7" workbookViewId="0">
      <selection activeCell="G48" sqref="G48"/>
    </sheetView>
  </sheetViews>
  <sheetFormatPr defaultRowHeight="12.75"/>
  <cols>
    <col min="1" max="1" width="25.7109375" customWidth="1"/>
    <col min="2" max="3" width="15.7109375" customWidth="1"/>
    <col min="4" max="4" width="8.7109375" customWidth="1"/>
    <col min="5" max="5" width="19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3.7109375" customWidth="1"/>
    <col min="13" max="14" width="16.7109375" customWidth="1"/>
    <col min="16" max="16" width="19.140625" customWidth="1"/>
    <col min="17" max="17" width="14.28515625" customWidth="1"/>
    <col min="18" max="18" width="13.28515625" customWidth="1"/>
  </cols>
  <sheetData>
    <row r="1" spans="1:18">
      <c r="A1" s="9"/>
      <c r="B1" s="9" t="s">
        <v>152</v>
      </c>
      <c r="C1" s="9" t="s">
        <v>156</v>
      </c>
      <c r="D1" s="9"/>
      <c r="E1" s="122" t="s">
        <v>501</v>
      </c>
      <c r="F1" s="9" t="s">
        <v>152</v>
      </c>
      <c r="G1" s="9" t="s">
        <v>156</v>
      </c>
      <c r="H1" s="9"/>
      <c r="I1" s="9" t="s">
        <v>502</v>
      </c>
      <c r="J1" s="9" t="s">
        <v>152</v>
      </c>
      <c r="K1" s="9" t="s">
        <v>156</v>
      </c>
      <c r="M1" s="9" t="s">
        <v>31</v>
      </c>
      <c r="N1" s="10" t="s">
        <v>795</v>
      </c>
    </row>
    <row r="2" spans="1:18">
      <c r="A2" s="9" t="s">
        <v>220</v>
      </c>
      <c r="E2" s="123"/>
      <c r="F2" s="123"/>
      <c r="G2" s="123"/>
      <c r="M2" t="s">
        <v>32</v>
      </c>
      <c r="N2" s="29">
        <f>Data!L2</f>
        <v>130</v>
      </c>
    </row>
    <row r="3" spans="1:18">
      <c r="A3" s="18" t="s">
        <v>0</v>
      </c>
      <c r="B3" s="10" t="s">
        <v>1</v>
      </c>
      <c r="C3" t="str">
        <f>B3</f>
        <v>Hume</v>
      </c>
      <c r="E3" s="122" t="s">
        <v>503</v>
      </c>
      <c r="F3" s="123"/>
      <c r="G3" s="123"/>
      <c r="I3" s="9" t="s">
        <v>504</v>
      </c>
      <c r="M3" t="s">
        <v>33</v>
      </c>
      <c r="N3" s="29">
        <f>Data!L3</f>
        <v>1239</v>
      </c>
    </row>
    <row r="4" spans="1:18">
      <c r="A4" s="18" t="s">
        <v>32</v>
      </c>
      <c r="B4" s="45">
        <v>99</v>
      </c>
      <c r="C4" s="46">
        <f>B4</f>
        <v>99</v>
      </c>
      <c r="D4" s="46"/>
      <c r="E4" t="s">
        <v>249</v>
      </c>
      <c r="F4" s="10">
        <v>1</v>
      </c>
      <c r="G4" s="10">
        <v>1</v>
      </c>
      <c r="I4" s="172" t="s">
        <v>731</v>
      </c>
      <c r="J4" s="10">
        <v>1</v>
      </c>
      <c r="K4" s="10">
        <v>1</v>
      </c>
      <c r="M4" t="s">
        <v>542</v>
      </c>
      <c r="N4" s="11">
        <v>0.8</v>
      </c>
    </row>
    <row r="5" spans="1:18">
      <c r="A5" t="s">
        <v>221</v>
      </c>
      <c r="B5" s="10" t="s">
        <v>246</v>
      </c>
      <c r="C5" s="29" t="str">
        <f>B5</f>
        <v>Sam</v>
      </c>
      <c r="D5" s="29"/>
      <c r="E5" t="s">
        <v>306</v>
      </c>
      <c r="F5" s="10" t="s">
        <v>53</v>
      </c>
      <c r="G5" s="10" t="s">
        <v>53</v>
      </c>
      <c r="H5" s="46"/>
      <c r="M5" t="s">
        <v>223</v>
      </c>
      <c r="N5" s="32">
        <f>N3-FLOOR(N3*N4, 1)</f>
        <v>248</v>
      </c>
    </row>
    <row r="6" spans="1:18">
      <c r="A6" t="s">
        <v>80</v>
      </c>
      <c r="B6" s="10" t="s">
        <v>816</v>
      </c>
      <c r="C6" s="29" t="str">
        <f>B6</f>
        <v>Sublime Sushi</v>
      </c>
      <c r="D6" s="29"/>
      <c r="E6" t="s">
        <v>333</v>
      </c>
      <c r="F6" s="128">
        <v>0.9</v>
      </c>
      <c r="G6" s="128">
        <v>0.9</v>
      </c>
      <c r="H6" s="29"/>
      <c r="I6" s="9" t="s">
        <v>506</v>
      </c>
      <c r="M6" t="s">
        <v>34</v>
      </c>
      <c r="N6" s="29">
        <f>Data!L5</f>
        <v>1119</v>
      </c>
    </row>
    <row r="7" spans="1:18">
      <c r="E7" t="s">
        <v>332</v>
      </c>
      <c r="F7" s="128">
        <v>0.85</v>
      </c>
      <c r="G7" s="128">
        <v>0.85</v>
      </c>
      <c r="H7" s="29"/>
      <c r="I7" s="125" t="s">
        <v>507</v>
      </c>
      <c r="J7" s="126">
        <v>475</v>
      </c>
      <c r="K7" s="124">
        <v>475</v>
      </c>
      <c r="M7" t="s">
        <v>5</v>
      </c>
      <c r="N7" s="29">
        <f>Data!L8</f>
        <v>271</v>
      </c>
    </row>
    <row r="8" spans="1:18">
      <c r="A8" s="9" t="s">
        <v>6</v>
      </c>
      <c r="E8" t="s">
        <v>192</v>
      </c>
      <c r="F8" s="10">
        <v>1</v>
      </c>
      <c r="G8" s="10">
        <v>1</v>
      </c>
      <c r="I8" s="172" t="s">
        <v>509</v>
      </c>
      <c r="J8" s="10">
        <v>0</v>
      </c>
      <c r="K8" s="10">
        <v>0</v>
      </c>
      <c r="M8" t="s">
        <v>42</v>
      </c>
      <c r="N8" s="29">
        <f>Data!L7</f>
        <v>272</v>
      </c>
    </row>
    <row r="9" spans="1:18">
      <c r="A9" t="s">
        <v>3</v>
      </c>
      <c r="B9" s="10">
        <v>15</v>
      </c>
      <c r="C9">
        <f t="shared" ref="C9:C23" si="0">B9</f>
        <v>15</v>
      </c>
      <c r="E9" t="s">
        <v>297</v>
      </c>
      <c r="F9" s="124">
        <v>16</v>
      </c>
      <c r="G9" s="124">
        <v>16</v>
      </c>
      <c r="M9" t="s">
        <v>499</v>
      </c>
      <c r="N9" s="121">
        <f>Data!L9</f>
        <v>0</v>
      </c>
    </row>
    <row r="10" spans="1:18">
      <c r="A10" t="s">
        <v>4</v>
      </c>
      <c r="B10" s="10">
        <v>15</v>
      </c>
      <c r="C10">
        <f t="shared" si="0"/>
        <v>15</v>
      </c>
      <c r="E10" t="s">
        <v>560</v>
      </c>
      <c r="F10" s="10">
        <v>0</v>
      </c>
      <c r="G10" s="10">
        <v>0</v>
      </c>
      <c r="I10" s="9" t="s">
        <v>520</v>
      </c>
      <c r="M10" t="s">
        <v>500</v>
      </c>
      <c r="N10" s="121">
        <f>Data!L10</f>
        <v>0</v>
      </c>
    </row>
    <row r="11" spans="1:18">
      <c r="A11" s="29" t="s">
        <v>5</v>
      </c>
      <c r="B11" s="10">
        <v>15</v>
      </c>
      <c r="C11">
        <v>15</v>
      </c>
      <c r="E11" s="29" t="s">
        <v>849</v>
      </c>
      <c r="F11" s="10">
        <v>1</v>
      </c>
      <c r="G11" s="10">
        <v>1</v>
      </c>
      <c r="I11" t="s">
        <v>522</v>
      </c>
      <c r="J11" s="126">
        <v>450</v>
      </c>
      <c r="K11" s="124">
        <v>450</v>
      </c>
    </row>
    <row r="12" spans="1:18">
      <c r="A12" s="29" t="s">
        <v>181</v>
      </c>
      <c r="B12" s="10">
        <v>15</v>
      </c>
      <c r="C12">
        <v>15</v>
      </c>
      <c r="I12" s="29" t="s">
        <v>524</v>
      </c>
      <c r="J12" s="10">
        <v>0</v>
      </c>
      <c r="K12" s="10">
        <v>0</v>
      </c>
    </row>
    <row r="13" spans="1:18">
      <c r="A13" s="29" t="s">
        <v>182</v>
      </c>
      <c r="B13" s="10">
        <v>0</v>
      </c>
      <c r="C13">
        <f>B13</f>
        <v>0</v>
      </c>
      <c r="E13" s="122" t="s">
        <v>511</v>
      </c>
      <c r="F13" s="123"/>
      <c r="G13" s="123"/>
      <c r="H13" s="2"/>
    </row>
    <row r="14" spans="1:18">
      <c r="A14" t="s">
        <v>217</v>
      </c>
      <c r="B14" s="10">
        <v>150</v>
      </c>
      <c r="C14">
        <f>B14</f>
        <v>150</v>
      </c>
      <c r="E14" t="s">
        <v>126</v>
      </c>
      <c r="F14" s="10">
        <v>0</v>
      </c>
      <c r="G14" s="10">
        <v>0</v>
      </c>
      <c r="I14" s="9" t="s">
        <v>526</v>
      </c>
    </row>
    <row r="15" spans="1:18">
      <c r="A15" t="s">
        <v>225</v>
      </c>
      <c r="B15" s="11">
        <v>0.05</v>
      </c>
      <c r="C15" s="2">
        <f t="shared" si="0"/>
        <v>0.05</v>
      </c>
      <c r="D15" s="2"/>
      <c r="E15" t="s">
        <v>130</v>
      </c>
      <c r="F15" s="10">
        <v>0</v>
      </c>
      <c r="G15" s="10">
        <v>0</v>
      </c>
      <c r="I15" s="29" t="s">
        <v>507</v>
      </c>
      <c r="J15" s="126">
        <v>475</v>
      </c>
      <c r="K15" s="124">
        <v>475</v>
      </c>
    </row>
    <row r="16" spans="1:18">
      <c r="A16" t="s">
        <v>236</v>
      </c>
      <c r="B16" s="34">
        <v>5</v>
      </c>
      <c r="C16" s="32">
        <f t="shared" si="0"/>
        <v>5</v>
      </c>
      <c r="D16" s="32"/>
      <c r="E16" t="s">
        <v>134</v>
      </c>
      <c r="F16" s="10">
        <v>1</v>
      </c>
      <c r="G16" s="10">
        <v>1</v>
      </c>
      <c r="I16" t="s">
        <v>460</v>
      </c>
      <c r="J16" s="10">
        <v>0</v>
      </c>
      <c r="K16" s="10">
        <v>0</v>
      </c>
      <c r="Q16" s="6"/>
      <c r="R16" s="6"/>
    </row>
    <row r="17" spans="1:18">
      <c r="A17" t="s">
        <v>238</v>
      </c>
      <c r="B17" s="34">
        <v>5</v>
      </c>
      <c r="C17" s="32">
        <f t="shared" si="0"/>
        <v>5</v>
      </c>
      <c r="D17" s="32"/>
      <c r="E17" t="s">
        <v>505</v>
      </c>
      <c r="F17" s="10">
        <v>0</v>
      </c>
      <c r="G17" s="10">
        <v>0</v>
      </c>
      <c r="I17" t="s">
        <v>527</v>
      </c>
      <c r="J17" s="10">
        <v>0</v>
      </c>
      <c r="K17" s="10">
        <v>0</v>
      </c>
      <c r="Q17" s="6"/>
      <c r="R17" s="6"/>
    </row>
    <row r="18" spans="1:18">
      <c r="A18" t="s">
        <v>237</v>
      </c>
      <c r="B18" s="34">
        <v>5</v>
      </c>
      <c r="C18" s="32">
        <f t="shared" si="0"/>
        <v>5</v>
      </c>
      <c r="D18" s="32"/>
      <c r="E18" t="s">
        <v>508</v>
      </c>
      <c r="F18" s="124">
        <v>30</v>
      </c>
      <c r="G18" s="124">
        <v>30</v>
      </c>
      <c r="I18" t="s">
        <v>464</v>
      </c>
      <c r="J18" s="10">
        <v>0</v>
      </c>
      <c r="K18" s="10">
        <v>0</v>
      </c>
      <c r="P18" s="32"/>
      <c r="Q18" s="32"/>
      <c r="R18" s="32"/>
    </row>
    <row r="19" spans="1:18">
      <c r="A19" t="s">
        <v>560</v>
      </c>
      <c r="B19" s="34">
        <v>5</v>
      </c>
      <c r="C19" s="32">
        <f t="shared" si="0"/>
        <v>5</v>
      </c>
      <c r="D19" s="32"/>
      <c r="E19" t="s">
        <v>514</v>
      </c>
      <c r="F19" s="10">
        <v>0</v>
      </c>
      <c r="G19" s="10">
        <v>0</v>
      </c>
      <c r="P19" s="32"/>
      <c r="Q19" s="32"/>
      <c r="R19" s="32"/>
    </row>
    <row r="20" spans="1:18">
      <c r="A20" t="s">
        <v>235</v>
      </c>
      <c r="B20" s="10">
        <v>16</v>
      </c>
      <c r="C20">
        <f t="shared" si="0"/>
        <v>16</v>
      </c>
      <c r="I20" s="9" t="s">
        <v>528</v>
      </c>
      <c r="P20" s="32"/>
      <c r="Q20" s="32"/>
      <c r="R20" s="32"/>
    </row>
    <row r="21" spans="1:18">
      <c r="A21" t="s">
        <v>234</v>
      </c>
      <c r="B21" s="10">
        <v>16</v>
      </c>
      <c r="C21">
        <f t="shared" si="0"/>
        <v>16</v>
      </c>
      <c r="H21" s="10"/>
      <c r="I21" t="s">
        <v>529</v>
      </c>
      <c r="J21" s="10">
        <v>0</v>
      </c>
      <c r="K21" s="10">
        <v>0</v>
      </c>
      <c r="P21" s="32"/>
      <c r="Q21" s="32"/>
      <c r="R21" s="32"/>
    </row>
    <row r="22" spans="1:18">
      <c r="A22" t="s">
        <v>413</v>
      </c>
      <c r="B22" s="10">
        <v>16</v>
      </c>
      <c r="C22">
        <f t="shared" si="0"/>
        <v>16</v>
      </c>
      <c r="E22" s="122" t="s">
        <v>515</v>
      </c>
      <c r="F22" s="9" t="s">
        <v>152</v>
      </c>
      <c r="G22" s="9" t="s">
        <v>156</v>
      </c>
      <c r="H22" s="10"/>
      <c r="P22" s="32"/>
      <c r="Q22" s="32"/>
      <c r="R22" s="32"/>
    </row>
    <row r="23" spans="1:18">
      <c r="A23" t="s">
        <v>414</v>
      </c>
      <c r="B23" s="10">
        <v>16</v>
      </c>
      <c r="C23">
        <f t="shared" si="0"/>
        <v>16</v>
      </c>
      <c r="E23" s="123"/>
      <c r="F23" s="123"/>
      <c r="G23" s="123"/>
      <c r="H23" s="10"/>
      <c r="I23" s="9" t="s">
        <v>512</v>
      </c>
      <c r="P23" s="32"/>
      <c r="Q23" s="32"/>
      <c r="R23" s="32"/>
    </row>
    <row r="24" spans="1:18">
      <c r="A24" t="s">
        <v>375</v>
      </c>
      <c r="B24" s="10">
        <v>5</v>
      </c>
      <c r="C24">
        <f>B24</f>
        <v>5</v>
      </c>
      <c r="E24" s="9" t="s">
        <v>226</v>
      </c>
      <c r="H24" s="10"/>
      <c r="I24" s="125" t="s">
        <v>513</v>
      </c>
      <c r="J24" s="10">
        <v>0</v>
      </c>
      <c r="K24" s="10">
        <v>0</v>
      </c>
      <c r="L24" s="29" t="s">
        <v>720</v>
      </c>
      <c r="M24" s="124">
        <v>5</v>
      </c>
      <c r="N24" s="124">
        <v>5</v>
      </c>
      <c r="P24" s="74"/>
      <c r="Q24" s="74"/>
      <c r="R24" s="74"/>
    </row>
    <row r="25" spans="1:18">
      <c r="A25" t="s">
        <v>407</v>
      </c>
      <c r="B25" s="10">
        <v>5</v>
      </c>
      <c r="C25">
        <f>B25</f>
        <v>5</v>
      </c>
      <c r="E25" t="s">
        <v>227</v>
      </c>
      <c r="F25" s="10">
        <v>0</v>
      </c>
      <c r="G25" s="10">
        <v>0</v>
      </c>
      <c r="H25" s="10"/>
      <c r="I25" s="28" t="s">
        <v>147</v>
      </c>
      <c r="J25" s="10">
        <v>1</v>
      </c>
      <c r="K25" s="10">
        <v>1</v>
      </c>
      <c r="L25" s="29" t="s">
        <v>721</v>
      </c>
      <c r="M25" s="124">
        <v>4</v>
      </c>
      <c r="N25" s="124">
        <v>4</v>
      </c>
      <c r="P25" s="32"/>
      <c r="Q25" s="32"/>
      <c r="R25" s="32"/>
    </row>
    <row r="26" spans="1:18">
      <c r="A26" t="s">
        <v>410</v>
      </c>
      <c r="B26" s="10">
        <v>5</v>
      </c>
      <c r="C26">
        <f>B26</f>
        <v>5</v>
      </c>
      <c r="E26" t="s">
        <v>228</v>
      </c>
      <c r="F26" s="124">
        <v>70</v>
      </c>
      <c r="G26" s="124">
        <f>F26</f>
        <v>70</v>
      </c>
      <c r="I26" s="39" t="s">
        <v>146</v>
      </c>
      <c r="J26" s="10">
        <v>1</v>
      </c>
      <c r="K26" s="10">
        <v>1</v>
      </c>
      <c r="P26" s="32"/>
      <c r="Q26" s="32"/>
      <c r="R26" s="32"/>
    </row>
    <row r="27" spans="1:18">
      <c r="A27" s="29" t="s">
        <v>724</v>
      </c>
      <c r="B27" s="10">
        <v>5</v>
      </c>
      <c r="C27">
        <f>B27</f>
        <v>5</v>
      </c>
      <c r="E27" t="s">
        <v>229</v>
      </c>
      <c r="F27" s="10" t="s">
        <v>151</v>
      </c>
      <c r="G27" s="10" t="s">
        <v>119</v>
      </c>
      <c r="I27" t="s">
        <v>516</v>
      </c>
      <c r="J27" s="10">
        <v>0</v>
      </c>
      <c r="K27" s="10">
        <v>0</v>
      </c>
      <c r="L27" s="29" t="s">
        <v>99</v>
      </c>
      <c r="M27" s="124">
        <v>4</v>
      </c>
      <c r="N27" s="124">
        <v>4</v>
      </c>
      <c r="P27" s="32"/>
      <c r="Q27" s="32"/>
      <c r="R27" s="32"/>
    </row>
    <row r="28" spans="1:18">
      <c r="E28" t="s">
        <v>230</v>
      </c>
      <c r="F28" s="10" t="s">
        <v>117</v>
      </c>
      <c r="G28" s="10" t="s">
        <v>117</v>
      </c>
      <c r="I28" t="s">
        <v>517</v>
      </c>
      <c r="J28" s="10">
        <v>0</v>
      </c>
      <c r="K28" s="10">
        <v>0</v>
      </c>
      <c r="L28" s="29" t="s">
        <v>722</v>
      </c>
      <c r="M28" s="124">
        <v>5</v>
      </c>
      <c r="N28" s="124">
        <v>5</v>
      </c>
      <c r="P28" s="32"/>
      <c r="Q28" s="32"/>
      <c r="R28" s="32"/>
    </row>
    <row r="29" spans="1:18">
      <c r="A29" s="9" t="s">
        <v>806</v>
      </c>
      <c r="E29" t="s">
        <v>231</v>
      </c>
      <c r="F29" s="10" t="s">
        <v>431</v>
      </c>
      <c r="G29" s="10" t="s">
        <v>151</v>
      </c>
      <c r="I29" s="29" t="s">
        <v>719</v>
      </c>
      <c r="J29" s="10">
        <v>0</v>
      </c>
      <c r="K29" s="10">
        <v>0</v>
      </c>
      <c r="P29" s="32"/>
      <c r="Q29" s="32"/>
      <c r="R29" s="32"/>
    </row>
    <row r="30" spans="1:18">
      <c r="A30" s="29" t="s">
        <v>10</v>
      </c>
      <c r="B30" s="172">
        <f>3+5+6+8</f>
        <v>22</v>
      </c>
      <c r="C30">
        <f>B30</f>
        <v>22</v>
      </c>
      <c r="I30" t="s">
        <v>518</v>
      </c>
      <c r="J30" s="10">
        <v>0</v>
      </c>
      <c r="K30" s="10">
        <v>0</v>
      </c>
      <c r="L30" s="29" t="s">
        <v>549</v>
      </c>
      <c r="M30" s="124">
        <v>4</v>
      </c>
      <c r="N30" s="124">
        <v>4</v>
      </c>
      <c r="Q30" s="6"/>
      <c r="R30" s="6"/>
    </row>
    <row r="31" spans="1:18">
      <c r="A31" s="29" t="s">
        <v>9</v>
      </c>
      <c r="B31" s="172">
        <f>15+23+30+38</f>
        <v>106</v>
      </c>
      <c r="C31">
        <f>B31</f>
        <v>106</v>
      </c>
      <c r="E31" s="9" t="s">
        <v>461</v>
      </c>
      <c r="F31" s="10">
        <v>0</v>
      </c>
      <c r="G31">
        <f>F31</f>
        <v>0</v>
      </c>
      <c r="I31" t="s">
        <v>519</v>
      </c>
      <c r="J31" s="10">
        <v>0</v>
      </c>
      <c r="K31" s="10">
        <v>0</v>
      </c>
      <c r="L31" s="29" t="s">
        <v>723</v>
      </c>
      <c r="M31" s="124">
        <v>5</v>
      </c>
      <c r="N31" s="124">
        <v>5</v>
      </c>
    </row>
    <row r="32" spans="1:18">
      <c r="A32" t="s">
        <v>807</v>
      </c>
      <c r="B32" s="175">
        <f>2%+2%+2%+2%</f>
        <v>0.08</v>
      </c>
      <c r="C32" s="79">
        <f>B32</f>
        <v>0.08</v>
      </c>
      <c r="E32" t="s">
        <v>521</v>
      </c>
      <c r="F32" s="115" t="s">
        <v>462</v>
      </c>
      <c r="G32" s="115" t="s">
        <v>462</v>
      </c>
      <c r="M32" s="75"/>
      <c r="N32" s="29"/>
      <c r="Q32" s="6"/>
      <c r="R32" s="6"/>
    </row>
    <row r="33" spans="1:18">
      <c r="E33" t="s">
        <v>523</v>
      </c>
      <c r="F33" s="115" t="s">
        <v>462</v>
      </c>
      <c r="G33" s="115" t="s">
        <v>462</v>
      </c>
      <c r="I33" s="9" t="s">
        <v>530</v>
      </c>
      <c r="M33" s="9" t="s">
        <v>152</v>
      </c>
      <c r="N33" s="9" t="s">
        <v>156</v>
      </c>
    </row>
    <row r="34" spans="1:18">
      <c r="A34" s="9" t="s">
        <v>248</v>
      </c>
      <c r="D34" s="10"/>
      <c r="E34" t="s">
        <v>525</v>
      </c>
      <c r="F34" s="115" t="s">
        <v>462</v>
      </c>
      <c r="G34" s="115" t="s">
        <v>462</v>
      </c>
      <c r="I34" t="s">
        <v>232</v>
      </c>
      <c r="J34" s="10">
        <v>0</v>
      </c>
      <c r="K34" s="10">
        <v>0</v>
      </c>
      <c r="L34" t="s">
        <v>534</v>
      </c>
      <c r="M34" s="127">
        <v>0.55000000000000004</v>
      </c>
      <c r="N34" s="128">
        <v>0.55000000000000004</v>
      </c>
    </row>
    <row r="35" spans="1:18">
      <c r="A35" s="18" t="s">
        <v>171</v>
      </c>
      <c r="B35" t="str">
        <f>Data!G17</f>
        <v>GreatSword</v>
      </c>
      <c r="C35" t="str">
        <f>Data!H17</f>
        <v>Scythe</v>
      </c>
      <c r="D35" s="10"/>
      <c r="I35" t="s">
        <v>607</v>
      </c>
      <c r="J35" s="10">
        <v>0</v>
      </c>
      <c r="K35" s="10">
        <v>0</v>
      </c>
      <c r="L35" t="s">
        <v>10</v>
      </c>
      <c r="M35" s="124">
        <v>75</v>
      </c>
      <c r="N35" s="124">
        <v>75</v>
      </c>
    </row>
    <row r="36" spans="1:18">
      <c r="A36" t="s">
        <v>282</v>
      </c>
      <c r="B36" s="10" t="s">
        <v>191</v>
      </c>
      <c r="C36" s="10" t="s">
        <v>725</v>
      </c>
      <c r="D36" s="10"/>
      <c r="E36" t="s">
        <v>233</v>
      </c>
      <c r="F36" s="10">
        <v>0</v>
      </c>
      <c r="G36" s="10">
        <v>0</v>
      </c>
      <c r="I36" t="s">
        <v>531</v>
      </c>
      <c r="J36" s="10">
        <v>0</v>
      </c>
      <c r="K36" s="10">
        <v>0</v>
      </c>
      <c r="L36" t="s">
        <v>535</v>
      </c>
      <c r="M36" s="127">
        <v>0.2</v>
      </c>
      <c r="N36" s="128">
        <v>0.2</v>
      </c>
      <c r="Q36" s="6"/>
      <c r="R36" s="6"/>
    </row>
    <row r="37" spans="1:18">
      <c r="A37" t="s">
        <v>941</v>
      </c>
      <c r="B37" s="11">
        <v>0.6</v>
      </c>
      <c r="C37" s="11">
        <v>0</v>
      </c>
      <c r="I37" t="s">
        <v>532</v>
      </c>
      <c r="J37" s="10">
        <v>1</v>
      </c>
      <c r="K37" s="10">
        <v>1</v>
      </c>
      <c r="L37" t="s">
        <v>536</v>
      </c>
      <c r="M37" s="127">
        <v>0.2</v>
      </c>
      <c r="N37" s="128">
        <v>0.2</v>
      </c>
    </row>
    <row r="38" spans="1:18">
      <c r="A38" t="s">
        <v>543</v>
      </c>
      <c r="B38" s="10">
        <v>0</v>
      </c>
      <c r="C38" s="10">
        <v>0</v>
      </c>
      <c r="E38" s="9" t="s">
        <v>647</v>
      </c>
      <c r="I38" t="s">
        <v>69</v>
      </c>
      <c r="J38" s="10">
        <v>1</v>
      </c>
      <c r="K38" s="10">
        <v>1</v>
      </c>
      <c r="L38" t="s">
        <v>13</v>
      </c>
      <c r="M38" s="124">
        <v>70</v>
      </c>
      <c r="N38" s="124">
        <v>70</v>
      </c>
    </row>
    <row r="39" spans="1:18">
      <c r="A39" t="s">
        <v>544</v>
      </c>
      <c r="B39" s="124">
        <v>210</v>
      </c>
      <c r="C39" s="124">
        <v>210</v>
      </c>
      <c r="E39" s="29" t="s">
        <v>646</v>
      </c>
      <c r="F39" s="10">
        <v>0</v>
      </c>
      <c r="G39" s="10">
        <v>0</v>
      </c>
      <c r="I39" t="s">
        <v>463</v>
      </c>
      <c r="J39" s="10">
        <v>0</v>
      </c>
      <c r="K39" s="10">
        <v>0</v>
      </c>
      <c r="L39" t="s">
        <v>122</v>
      </c>
      <c r="M39" s="124">
        <v>50</v>
      </c>
      <c r="N39" s="124">
        <v>50</v>
      </c>
    </row>
    <row r="40" spans="1:18">
      <c r="A40" t="s">
        <v>545</v>
      </c>
      <c r="B40" s="10">
        <v>0</v>
      </c>
      <c r="C40" s="10">
        <v>0</v>
      </c>
      <c r="I40" t="s">
        <v>533</v>
      </c>
      <c r="J40" s="10">
        <v>0</v>
      </c>
      <c r="K40" s="10">
        <v>0</v>
      </c>
      <c r="L40" t="s">
        <v>537</v>
      </c>
      <c r="M40" s="124">
        <v>325</v>
      </c>
      <c r="N40" s="124">
        <v>325</v>
      </c>
    </row>
    <row r="42" spans="1:18">
      <c r="A42" s="9" t="s">
        <v>219</v>
      </c>
      <c r="B42" s="9" t="s">
        <v>152</v>
      </c>
      <c r="C42" s="9" t="s">
        <v>156</v>
      </c>
      <c r="E42" t="s">
        <v>562</v>
      </c>
      <c r="F42" s="10">
        <v>0</v>
      </c>
      <c r="G42" s="10">
        <v>0</v>
      </c>
      <c r="I42" s="9" t="s">
        <v>834</v>
      </c>
    </row>
    <row r="43" spans="1:18">
      <c r="A43" t="s">
        <v>224</v>
      </c>
      <c r="B43" s="7">
        <f ca="1">Data!B224</f>
        <v>4828.8910270917331</v>
      </c>
      <c r="C43" s="7">
        <f ca="1">Data!C224</f>
        <v>2833.0282074428278</v>
      </c>
      <c r="I43" s="29" t="s">
        <v>835</v>
      </c>
      <c r="J43" s="29">
        <v>0</v>
      </c>
      <c r="K43" s="29">
        <v>0</v>
      </c>
    </row>
    <row r="44" spans="1:18">
      <c r="A44" t="s">
        <v>327</v>
      </c>
      <c r="B44" s="6">
        <f ca="1">Data!B232</f>
        <v>3368.9937398314419</v>
      </c>
      <c r="C44" s="6">
        <f ca="1">Data!C232</f>
        <v>1609.6751178652428</v>
      </c>
      <c r="E44" s="9" t="s">
        <v>411</v>
      </c>
      <c r="F44" s="10"/>
      <c r="G44" s="10"/>
      <c r="I44" s="29" t="s">
        <v>836</v>
      </c>
      <c r="J44" s="29">
        <v>0</v>
      </c>
      <c r="K44" s="29">
        <v>0</v>
      </c>
    </row>
    <row r="45" spans="1:18">
      <c r="E45" t="s">
        <v>68</v>
      </c>
      <c r="F45" s="10">
        <v>0.5</v>
      </c>
      <c r="G45" s="10">
        <v>0.5</v>
      </c>
      <c r="I45" s="25" t="s">
        <v>837</v>
      </c>
      <c r="J45" s="29">
        <v>0</v>
      </c>
      <c r="K45" s="29">
        <v>0</v>
      </c>
    </row>
    <row r="46" spans="1:18">
      <c r="A46" t="s">
        <v>317</v>
      </c>
      <c r="B46" s="4">
        <f ca="1">Data!D241</f>
        <v>4.0663797476181074</v>
      </c>
      <c r="C46" s="4">
        <f ca="1">Data!E241</f>
        <v>3.4232147067135088</v>
      </c>
      <c r="E46" t="s">
        <v>412</v>
      </c>
      <c r="F46" s="10"/>
      <c r="G46" s="10"/>
      <c r="I46" s="182" t="s">
        <v>838</v>
      </c>
      <c r="J46" s="181">
        <v>0</v>
      </c>
      <c r="K46" s="181">
        <v>0</v>
      </c>
    </row>
    <row r="47" spans="1:18">
      <c r="A47" s="18" t="s">
        <v>40</v>
      </c>
      <c r="B47" s="7">
        <f ca="1">Data!D240</f>
        <v>29763.419428124995</v>
      </c>
      <c r="C47" s="7">
        <f ca="1">Data!E240</f>
        <v>32082.887475000003</v>
      </c>
      <c r="E47" t="s">
        <v>456</v>
      </c>
      <c r="F47" s="10">
        <v>1500</v>
      </c>
      <c r="G47" s="10">
        <v>1500</v>
      </c>
      <c r="I47" s="29" t="s">
        <v>839</v>
      </c>
      <c r="J47" s="29">
        <v>0</v>
      </c>
      <c r="K47" s="29">
        <v>0</v>
      </c>
      <c r="L47" t="s">
        <v>840</v>
      </c>
      <c r="M47" s="124">
        <v>75</v>
      </c>
      <c r="N47" s="124">
        <v>75</v>
      </c>
    </row>
    <row r="48" spans="1:18">
      <c r="E48" t="s">
        <v>457</v>
      </c>
      <c r="F48" s="10">
        <v>0</v>
      </c>
      <c r="G48" s="10">
        <v>0</v>
      </c>
      <c r="I48" s="29" t="s">
        <v>841</v>
      </c>
      <c r="J48" s="29">
        <v>0</v>
      </c>
      <c r="K48" s="29">
        <v>0</v>
      </c>
      <c r="L48" t="s">
        <v>842</v>
      </c>
      <c r="M48" s="179">
        <v>0.28299999999999997</v>
      </c>
      <c r="N48" s="180">
        <v>0.28299999999999997</v>
      </c>
    </row>
    <row r="49" spans="1:14">
      <c r="A49" t="s">
        <v>301</v>
      </c>
      <c r="B49" s="7">
        <f ca="1">Data!D243</f>
        <v>49399.524104145617</v>
      </c>
      <c r="C49" s="7">
        <f ca="1">Data!E243</f>
        <v>41780.951299252498</v>
      </c>
      <c r="I49" t="s">
        <v>843</v>
      </c>
      <c r="J49" s="10">
        <v>0</v>
      </c>
      <c r="K49" s="10">
        <v>0</v>
      </c>
      <c r="L49" t="s">
        <v>844</v>
      </c>
      <c r="M49" s="124">
        <v>75</v>
      </c>
      <c r="N49" s="124">
        <v>75</v>
      </c>
    </row>
    <row r="50" spans="1:14">
      <c r="A50" t="s">
        <v>326</v>
      </c>
      <c r="B50" s="7">
        <f ca="1">Data!D242</f>
        <v>469.70865829515725</v>
      </c>
      <c r="C50" s="7">
        <f ca="1">Data!E242</f>
        <v>481.49147302894659</v>
      </c>
      <c r="I50" t="s">
        <v>845</v>
      </c>
      <c r="J50" s="10">
        <v>0</v>
      </c>
      <c r="K50" s="10">
        <v>0</v>
      </c>
      <c r="L50" t="s">
        <v>846</v>
      </c>
      <c r="M50" s="179">
        <v>0.48199999999999998</v>
      </c>
      <c r="N50" s="180">
        <v>0.48199999999999998</v>
      </c>
    </row>
    <row r="52" spans="1:14">
      <c r="A52" s="9" t="s">
        <v>299</v>
      </c>
      <c r="B52" s="8">
        <f ca="1">Data!D244</f>
        <v>6310.2337883374203</v>
      </c>
      <c r="C52" s="8">
        <f ca="1">Data!E244</f>
        <v>5206.4412733731651</v>
      </c>
    </row>
    <row r="53" spans="1:14">
      <c r="A53" s="18"/>
      <c r="B53" s="7"/>
      <c r="C53" s="7"/>
    </row>
    <row r="54" spans="1:14">
      <c r="A54" s="9" t="s">
        <v>219</v>
      </c>
      <c r="B54" s="9" t="s">
        <v>152</v>
      </c>
      <c r="C54" s="9" t="s">
        <v>156</v>
      </c>
    </row>
    <row r="55" spans="1:14">
      <c r="A55" t="s">
        <v>304</v>
      </c>
      <c r="D55" t="s">
        <v>300</v>
      </c>
    </row>
    <row r="56" spans="1:14">
      <c r="A56" t="s">
        <v>303</v>
      </c>
      <c r="B56" s="34">
        <v>100</v>
      </c>
      <c r="C56" s="34">
        <v>100</v>
      </c>
      <c r="D56">
        <f>B56+C56</f>
        <v>200</v>
      </c>
    </row>
  </sheetData>
  <phoneticPr fontId="2" type="noConversion"/>
  <conditionalFormatting sqref="G26 G18 C39 N34:N40 N30:N31 N27:N28 N24:N25 K15 K11 K7 G6:G7 G9">
    <cfRule type="cellIs" dxfId="12" priority="9" stopIfTrue="1" operator="notEqual">
      <formula>INDIRECT(ADDRESS(ROW(), COLUMN()-1))</formula>
    </cfRule>
  </conditionalFormatting>
  <conditionalFormatting sqref="G45:G48 G25 G14:G17 G36 G19 G42 G39 K34:K40 K24:K31 K21 K12 K16:K18 K4 G4:G5 G8 K8 G10:G11">
    <cfRule type="cellIs" dxfId="11" priority="10" stopIfTrue="1" operator="notEqual">
      <formula>INDIRECT(ADDRESS(ROW(), COLUMN()-1))</formula>
    </cfRule>
  </conditionalFormatting>
  <conditionalFormatting sqref="G11">
    <cfRule type="expression" dxfId="10" priority="11" stopIfTrue="1">
      <formula>AND(#REF!=1, $G$11=1)</formula>
    </cfRule>
    <cfRule type="cellIs" dxfId="9" priority="12" stopIfTrue="1" operator="notEqual">
      <formula>F11</formula>
    </cfRule>
  </conditionalFormatting>
  <conditionalFormatting sqref="F11">
    <cfRule type="expression" dxfId="8" priority="20" stopIfTrue="1">
      <formula>AND(#REF!=1, $F$11=1)</formula>
    </cfRule>
  </conditionalFormatting>
  <conditionalFormatting sqref="B38 B40">
    <cfRule type="expression" dxfId="7" priority="21" stopIfTrue="1">
      <formula>AND($B$38=1, $B$40=1)</formula>
    </cfRule>
  </conditionalFormatting>
  <conditionalFormatting sqref="J8">
    <cfRule type="expression" dxfId="6" priority="43" stopIfTrue="1">
      <formula>AND($J$8=1,#REF!= 1)</formula>
    </cfRule>
  </conditionalFormatting>
  <conditionalFormatting sqref="C38 C40">
    <cfRule type="expression" dxfId="5" priority="138" stopIfTrue="1">
      <formula>AND($C$38=1, $C$40=1)</formula>
    </cfRule>
    <cfRule type="cellIs" dxfId="4" priority="139" stopIfTrue="1" operator="notEqual">
      <formula>B38</formula>
    </cfRule>
  </conditionalFormatting>
  <conditionalFormatting sqref="K43:K50">
    <cfRule type="cellIs" dxfId="3" priority="2" stopIfTrue="1" operator="notEqual">
      <formula>INDIRECT(ADDRESS(ROW(), COLUMN()-1))</formula>
    </cfRule>
  </conditionalFormatting>
  <conditionalFormatting sqref="N47:N50">
    <cfRule type="cellIs" dxfId="2" priority="1" stopIfTrue="1" operator="notEqual">
      <formula>INDIRECT(ADDRESS(ROW(), COLUMN()-1))</formula>
    </cfRule>
  </conditionalFormatting>
  <dataValidations count="22">
    <dataValidation type="list" allowBlank="1" showInputMessage="1" showErrorMessage="1" sqref="F39:G39 F19:G19 F36:G36 F14:G17 F25:G25 F31 F42:G42 J34:K40 F10:G11 F8:G8 J4:K4 F4:G4 J8:K8 J24:K31 J21:K21 J12:K12 J16:K18 B40:C40 B38:C38 J43:K50">
      <formula1>Toggle</formula1>
    </dataValidation>
    <dataValidation type="whole" allowBlank="1" showInputMessage="1" showErrorMessage="1" sqref="F47:G47">
      <formula1>1000</formula1>
      <formula2>3000</formula2>
    </dataValidation>
    <dataValidation type="list" allowBlank="1" showInputMessage="1" showErrorMessage="1" sqref="F27:G29">
      <formula1>Atmas</formula1>
    </dataValidation>
    <dataValidation type="list" allowBlank="1" showInputMessage="1" showErrorMessage="1" sqref="C36">
      <formula1>INDIRECT($C$35&amp;"WS")</formula1>
    </dataValidation>
    <dataValidation type="whole" allowBlank="1" showInputMessage="1" showErrorMessage="1" sqref="B39:C39">
      <formula1>200</formula1>
      <formula2>299</formula2>
    </dataValidation>
    <dataValidation type="list" allowBlank="1" showInputMessage="1" showErrorMessage="1" sqref="B36">
      <formula1>INDIRECT($B$35&amp;"WS")</formula1>
    </dataValidation>
    <dataValidation type="whole" allowBlank="1" showInputMessage="1" showErrorMessage="1" sqref="M30:N31 M24:N25 M27:N28 B16:B19">
      <formula1>0</formula1>
      <formula2>5</formula2>
    </dataValidation>
    <dataValidation type="whole" allowBlank="1" showInputMessage="1" showErrorMessage="1" sqref="J11:K11 J7:K7 J15:K15">
      <formula1>0</formula1>
      <formula2>500</formula2>
    </dataValidation>
    <dataValidation type="decimal" allowBlank="1" showInputMessage="1" showErrorMessage="1" sqref="N4">
      <formula1>0</formula1>
      <formula2>0.99</formula2>
    </dataValidation>
    <dataValidation type="list" allowBlank="1" showInputMessage="1" showErrorMessage="1" sqref="B3">
      <formula1>Races</formula1>
    </dataValidation>
    <dataValidation type="list" allowBlank="1" showInputMessage="1" showErrorMessage="1" sqref="B6">
      <formula1>FoodList</formula1>
    </dataValidation>
    <dataValidation type="list" allowBlank="1" showInputMessage="1" showErrorMessage="1" sqref="B5">
      <formula1>Subjobs</formula1>
    </dataValidation>
    <dataValidation type="whole" allowBlank="1" showInputMessage="1" showErrorMessage="1" sqref="B20:B21 B24:B27">
      <formula1>0</formula1>
      <formula2>16</formula2>
    </dataValidation>
    <dataValidation type="whole" allowBlank="1" showInputMessage="1" showErrorMessage="1" sqref="B14">
      <formula1>0</formula1>
      <formula2>150</formula2>
    </dataValidation>
    <dataValidation type="whole" allowBlank="1" showInputMessage="1" showErrorMessage="1" sqref="B9:B13">
      <formula1>0</formula1>
      <formula2>15</formula2>
    </dataValidation>
    <dataValidation type="whole" allowBlank="1" showInputMessage="1" showErrorMessage="1" sqref="B4">
      <formula1>75</formula1>
      <formula2>99</formula2>
    </dataValidation>
    <dataValidation type="list" allowBlank="1" showInputMessage="1" showErrorMessage="1" sqref="N1">
      <formula1>MobList</formula1>
    </dataValidation>
    <dataValidation type="list" allowBlank="1" showInputMessage="1" showErrorMessage="1" sqref="F5:G5">
      <formula1>SouleaterOptions</formula1>
    </dataValidation>
    <dataValidation type="whole" allowBlank="1" showInputMessage="1" showErrorMessage="1" sqref="F9:G9">
      <formula1>0</formula1>
      <formula2>100</formula2>
    </dataValidation>
    <dataValidation type="decimal" allowBlank="1" showInputMessage="1" showErrorMessage="1" sqref="B15">
      <formula1>0</formula1>
      <formula2>0.05</formula2>
    </dataValidation>
    <dataValidation type="list" allowBlank="1" showInputMessage="1" showErrorMessage="1" sqref="I4">
      <formula1>Hastes</formula1>
    </dataValidation>
    <dataValidation type="list" allowBlank="1" showInputMessage="1" showErrorMessage="1" sqref="I8">
      <formula1>Boosts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2"/>
  </sheetPr>
  <dimension ref="A1:AX49"/>
  <sheetViews>
    <sheetView tabSelected="1" topLeftCell="B1" workbookViewId="0">
      <selection activeCell="R49" sqref="R49"/>
    </sheetView>
  </sheetViews>
  <sheetFormatPr defaultRowHeight="12.75"/>
  <cols>
    <col min="1" max="1" width="15.28515625" customWidth="1"/>
    <col min="2" max="2" width="14" customWidth="1"/>
    <col min="3" max="3" width="5" customWidth="1"/>
    <col min="4" max="10" width="4.28515625" customWidth="1"/>
    <col min="11" max="18" width="4.7109375" customWidth="1"/>
    <col min="19" max="20" width="6.7109375" customWidth="1"/>
    <col min="21" max="23" width="5.5703125" customWidth="1"/>
    <col min="24" max="24" width="4.85546875" customWidth="1"/>
    <col min="25" max="25" width="3.28515625" customWidth="1"/>
    <col min="26" max="26" width="4.5703125" customWidth="1"/>
    <col min="27" max="27" width="13.28515625" customWidth="1"/>
    <col min="28" max="28" width="14" customWidth="1"/>
    <col min="29" max="29" width="4.85546875" customWidth="1"/>
    <col min="30" max="36" width="4.28515625" customWidth="1"/>
    <col min="37" max="44" width="4.7109375" customWidth="1"/>
    <col min="45" max="46" width="6.7109375" customWidth="1"/>
    <col min="47" max="49" width="5.5703125" customWidth="1"/>
    <col min="50" max="50" width="4.42578125" customWidth="1"/>
  </cols>
  <sheetData>
    <row r="1" spans="1:50">
      <c r="A1" t="s">
        <v>292</v>
      </c>
      <c r="AA1" t="s">
        <v>293</v>
      </c>
    </row>
    <row r="2" spans="1:50">
      <c r="A2" t="s">
        <v>8</v>
      </c>
      <c r="B2" t="s">
        <v>14</v>
      </c>
      <c r="C2" t="str">
        <f>VLOOKUP(A3, Skills, 2, 0)</f>
        <v>GSkill</v>
      </c>
      <c r="D2" t="s">
        <v>3</v>
      </c>
      <c r="E2" t="s">
        <v>4</v>
      </c>
      <c r="F2" t="s">
        <v>42</v>
      </c>
      <c r="G2" t="s">
        <v>5</v>
      </c>
      <c r="H2" t="s">
        <v>181</v>
      </c>
      <c r="I2" t="s">
        <v>182</v>
      </c>
      <c r="J2" t="s">
        <v>217</v>
      </c>
      <c r="K2" t="s">
        <v>218</v>
      </c>
      <c r="L2" t="s">
        <v>9</v>
      </c>
      <c r="M2" t="s">
        <v>10</v>
      </c>
      <c r="N2" t="s">
        <v>436</v>
      </c>
      <c r="O2" t="s">
        <v>12</v>
      </c>
      <c r="P2" t="s">
        <v>149</v>
      </c>
      <c r="Q2" t="s">
        <v>415</v>
      </c>
      <c r="R2" t="s">
        <v>453</v>
      </c>
      <c r="S2" t="s">
        <v>125</v>
      </c>
      <c r="T2" t="s">
        <v>124</v>
      </c>
      <c r="U2" t="s">
        <v>11</v>
      </c>
      <c r="V2" t="s">
        <v>122</v>
      </c>
      <c r="W2" t="s">
        <v>265</v>
      </c>
      <c r="X2" t="s">
        <v>454</v>
      </c>
      <c r="AA2" t="s">
        <v>8</v>
      </c>
      <c r="AB2" t="s">
        <v>14</v>
      </c>
      <c r="AC2" t="str">
        <f>VLOOKUP(AA3, Skills, 2, 0)</f>
        <v>SSkill</v>
      </c>
      <c r="AD2" t="s">
        <v>3</v>
      </c>
      <c r="AE2" t="s">
        <v>4</v>
      </c>
      <c r="AF2" t="s">
        <v>42</v>
      </c>
      <c r="AG2" t="s">
        <v>5</v>
      </c>
      <c r="AH2" t="s">
        <v>181</v>
      </c>
      <c r="AI2" t="s">
        <v>182</v>
      </c>
      <c r="AJ2" t="s">
        <v>217</v>
      </c>
      <c r="AK2" t="s">
        <v>218</v>
      </c>
      <c r="AL2" t="s">
        <v>9</v>
      </c>
      <c r="AM2" t="s">
        <v>10</v>
      </c>
      <c r="AN2" t="s">
        <v>436</v>
      </c>
      <c r="AO2" t="s">
        <v>12</v>
      </c>
      <c r="AP2" t="s">
        <v>149</v>
      </c>
      <c r="AQ2" t="s">
        <v>415</v>
      </c>
      <c r="AR2" t="s">
        <v>453</v>
      </c>
      <c r="AS2" t="s">
        <v>125</v>
      </c>
      <c r="AT2" t="s">
        <v>124</v>
      </c>
      <c r="AU2" t="s">
        <v>11</v>
      </c>
      <c r="AV2" t="s">
        <v>122</v>
      </c>
      <c r="AW2" t="s">
        <v>265</v>
      </c>
      <c r="AX2" t="s">
        <v>454</v>
      </c>
    </row>
    <row r="3" spans="1:50">
      <c r="A3" s="33" t="s">
        <v>615</v>
      </c>
      <c r="B3" s="33" t="s">
        <v>648</v>
      </c>
      <c r="C3">
        <f t="shared" ref="C3:X4" ca="1" si="0">IF(ISBLANK($B3), 0, VLOOKUP($B3, INDIRECT($A3), MATCH(C$2, StatHeader, 0), 0))</f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50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 s="2">
        <f t="shared" ca="1" si="0"/>
        <v>0</v>
      </c>
      <c r="L3">
        <f t="shared" ca="1" si="0"/>
        <v>0</v>
      </c>
      <c r="M3">
        <f t="shared" ca="1" si="0"/>
        <v>0</v>
      </c>
      <c r="N3" s="2">
        <f t="shared" ca="1" si="0"/>
        <v>0</v>
      </c>
      <c r="O3" s="2">
        <f t="shared" ca="1" si="0"/>
        <v>0</v>
      </c>
      <c r="P3" s="2">
        <f t="shared" ca="1" si="0"/>
        <v>0</v>
      </c>
      <c r="Q3" s="2">
        <f t="shared" ca="1" si="0"/>
        <v>0</v>
      </c>
      <c r="R3" s="2">
        <f t="shared" ca="1" si="0"/>
        <v>0</v>
      </c>
      <c r="S3" s="2">
        <f t="shared" ca="1" si="0"/>
        <v>0</v>
      </c>
      <c r="T3" s="2">
        <f t="shared" ca="1" si="0"/>
        <v>0</v>
      </c>
      <c r="U3" s="32">
        <f t="shared" ca="1" si="0"/>
        <v>0</v>
      </c>
      <c r="V3">
        <f t="shared" ca="1" si="0"/>
        <v>0</v>
      </c>
      <c r="W3" s="2">
        <f t="shared" ca="1" si="0"/>
        <v>0</v>
      </c>
      <c r="X3">
        <f t="shared" ca="1" si="0"/>
        <v>0</v>
      </c>
      <c r="Z3" t="str">
        <f>IF(B3=AB3, "=", "-")</f>
        <v>-</v>
      </c>
      <c r="AA3" s="33" t="s">
        <v>167</v>
      </c>
      <c r="AB3" s="33" t="s">
        <v>952</v>
      </c>
      <c r="AC3">
        <f ca="1">IF(ISBLANK($AB3), 0, VLOOKUP($AB3, INDIRECT($AA3), MATCH(AC$2, StatHeader, 0), 0))</f>
        <v>0</v>
      </c>
      <c r="AD3">
        <f ca="1">IF(ISBLANK($AB3), 0, VLOOKUP($AB3, INDIRECT($AA3), MATCH(AD$2, StatHeader, 0), 0))</f>
        <v>0</v>
      </c>
      <c r="AE3">
        <f ca="1">IF(ISBLANK($AB3), 0, VLOOKUP($AB3, INDIRECT($AA3), MATCH(AE$2, StatHeader, 0), 0))</f>
        <v>0</v>
      </c>
      <c r="AF3">
        <f t="shared" ref="AF3:AF4" ca="1" si="1">IF(ISBLANK($AB3), 0, VLOOKUP($AB3, INDIRECT($AA3), MATCH(AF$2, StatHeader, 0), 0))</f>
        <v>0</v>
      </c>
      <c r="AG3">
        <f ca="1">IF(ISBLANK($AB3), 0, VLOOKUP($AB3, INDIRECT($AA3), MATCH(AG$2, StatHeader, 0), 0))</f>
        <v>0</v>
      </c>
      <c r="AH3">
        <f ca="1">IF(ISBLANK($AB3), 0, VLOOKUP($AB3, INDIRECT($AA3), MATCH(AH$2, StatHeader, 0), 0))</f>
        <v>0</v>
      </c>
      <c r="AI3">
        <f ca="1">IF(ISBLANK($AB3), 0, VLOOKUP($AB3, INDIRECT($AA3), MATCH(AI$2, StatHeader, 0), 0))</f>
        <v>0</v>
      </c>
      <c r="AJ3">
        <f ca="1">IF(ISBLANK($AB3), 0, VLOOKUP($AB3, INDIRECT($AA3), MATCH(AJ$2, StatHeader, 0), 0))</f>
        <v>0</v>
      </c>
      <c r="AK3" s="2">
        <f ca="1">IF(ISBLANK($AB3), 0, VLOOKUP($AB3, INDIRECT($AA3), MATCH(AK$2, StatHeader, 0), 0))</f>
        <v>0</v>
      </c>
      <c r="AL3">
        <f ca="1">IF(ISBLANK($AB3), 0, VLOOKUP($AB3, INDIRECT($AA3), MATCH(AL$2, StatHeader, 0), 0))</f>
        <v>0</v>
      </c>
      <c r="AM3">
        <f ca="1">IF(ISBLANK($AB3), 0, VLOOKUP($AB3, INDIRECT($AA3), MATCH(AM$2, StatHeader, 0), 0))</f>
        <v>0</v>
      </c>
      <c r="AN3" s="2">
        <f ca="1">IF(ISBLANK($AB3), 0, VLOOKUP($AB3, INDIRECT($AA3), MATCH(AN$2, StatHeader, 0), 0))</f>
        <v>0</v>
      </c>
      <c r="AO3" s="2">
        <f ca="1">IF(ISBLANK($AB3), 0, VLOOKUP($AB3, INDIRECT($AA3), MATCH(AO$2, StatHeader, 0), 0))</f>
        <v>0</v>
      </c>
      <c r="AP3" s="2">
        <f ca="1">IF(ISBLANK($AB3), 0, VLOOKUP($AB3, INDIRECT($AA3), MATCH(AP$2, StatHeader, 0), 0))</f>
        <v>0</v>
      </c>
      <c r="AQ3" s="2">
        <f ca="1">IF(ISBLANK($AB3), 0, VLOOKUP($AB3, INDIRECT($AA3), MATCH(AQ$2, StatHeader, 0), 0))</f>
        <v>0</v>
      </c>
      <c r="AR3" s="2">
        <f ca="1">IF(ISBLANK($AB3), 0, VLOOKUP($AB3, INDIRECT($AA3), MATCH(AR$2, StatHeader, 0), 0))</f>
        <v>0</v>
      </c>
      <c r="AS3" s="2">
        <f ca="1">IF(ISBLANK($AB3), 0, VLOOKUP($AB3, INDIRECT($AA3), MATCH(AS$2, StatHeader, 0), 0))</f>
        <v>0</v>
      </c>
      <c r="AT3" s="2">
        <f ca="1">IF(ISBLANK($AB3), 0, VLOOKUP($AB3, INDIRECT($AA3), MATCH(AT$2, StatHeader, 0), 0))</f>
        <v>0</v>
      </c>
      <c r="AU3" s="32">
        <f ca="1">IF(ISBLANK($AB3), 0, VLOOKUP($AB3, INDIRECT($AA3), MATCH(AU$2, StatHeader, 0), 0))</f>
        <v>0</v>
      </c>
      <c r="AV3">
        <f ca="1">IF(ISBLANK($AB3), 0, VLOOKUP($AB3, INDIRECT($AA3), MATCH(AV$2, StatHeader, 0), 0))</f>
        <v>0</v>
      </c>
      <c r="AW3" s="2">
        <f ca="1">IF(ISBLANK($AB3), 0, VLOOKUP($AB3, INDIRECT($AA3), MATCH(AW$2, StatHeader, 0), 0))</f>
        <v>0</v>
      </c>
      <c r="AX3">
        <f ca="1">IF(ISBLANK($AB3), 0, VLOOKUP($AB3, INDIRECT($AA3), MATCH(AX$2, StatHeader, 0), 0))</f>
        <v>10</v>
      </c>
    </row>
    <row r="4" spans="1:50">
      <c r="A4" s="33" t="s">
        <v>137</v>
      </c>
      <c r="B4" s="30" t="s">
        <v>932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 s="2">
        <f t="shared" ca="1" si="0"/>
        <v>0</v>
      </c>
      <c r="L4">
        <f t="shared" ca="1" si="0"/>
        <v>30</v>
      </c>
      <c r="M4">
        <f t="shared" ca="1" si="0"/>
        <v>30</v>
      </c>
      <c r="N4" s="2">
        <f t="shared" ca="1" si="0"/>
        <v>0</v>
      </c>
      <c r="O4" s="2">
        <f t="shared" ca="1" si="0"/>
        <v>0</v>
      </c>
      <c r="P4" s="2">
        <f t="shared" ca="1" si="0"/>
        <v>0</v>
      </c>
      <c r="Q4" s="2">
        <f t="shared" ca="1" si="0"/>
        <v>0</v>
      </c>
      <c r="R4" s="2">
        <f t="shared" ca="1" si="0"/>
        <v>0</v>
      </c>
      <c r="S4" s="2">
        <f t="shared" ca="1" si="0"/>
        <v>0</v>
      </c>
      <c r="T4" s="2">
        <f t="shared" ca="1" si="0"/>
        <v>0</v>
      </c>
      <c r="U4" s="32">
        <f t="shared" ca="1" si="0"/>
        <v>0</v>
      </c>
      <c r="V4">
        <f t="shared" ca="1" si="0"/>
        <v>0</v>
      </c>
      <c r="W4" s="2">
        <f t="shared" ca="1" si="0"/>
        <v>0</v>
      </c>
      <c r="X4">
        <f t="shared" ca="1" si="0"/>
        <v>0</v>
      </c>
      <c r="Z4" t="str">
        <f>IF(B4=AB4, "=", "-")</f>
        <v>=</v>
      </c>
      <c r="AA4" s="33" t="s">
        <v>137</v>
      </c>
      <c r="AB4" s="30" t="s">
        <v>932</v>
      </c>
      <c r="AC4">
        <f ca="1">IF(ISBLANK($AB4), 0, VLOOKUP($AB4, INDIRECT($AA4), MATCH(AC$2, StatHeader, 0), 0))</f>
        <v>0</v>
      </c>
      <c r="AD4">
        <f ca="1">IF(ISBLANK($AB4), 0, VLOOKUP($AB4, INDIRECT($AA4), MATCH(AD$2, StatHeader, 0), 0))</f>
        <v>0</v>
      </c>
      <c r="AE4">
        <f ca="1">IF(ISBLANK($AB4), 0, VLOOKUP($AB4, INDIRECT($AA4), MATCH(AE$2, StatHeader, 0), 0))</f>
        <v>0</v>
      </c>
      <c r="AF4">
        <f t="shared" ca="1" si="1"/>
        <v>0</v>
      </c>
      <c r="AG4">
        <f ca="1">IF(ISBLANK($AB4), 0, VLOOKUP($AB4, INDIRECT($AA4), MATCH(AG$2, StatHeader, 0), 0))</f>
        <v>0</v>
      </c>
      <c r="AH4">
        <f ca="1">IF(ISBLANK($AB4), 0, VLOOKUP($AB4, INDIRECT($AA4), MATCH(AH$2, StatHeader, 0), 0))</f>
        <v>0</v>
      </c>
      <c r="AI4">
        <f ca="1">IF(ISBLANK($AB4), 0, VLOOKUP($AB4, INDIRECT($AA4), MATCH(AI$2, StatHeader, 0), 0))</f>
        <v>0</v>
      </c>
      <c r="AJ4">
        <f ca="1">IF(ISBLANK($AB4), 0, VLOOKUP($AB4, INDIRECT($AA4), MATCH(AJ$2, StatHeader, 0), 0))</f>
        <v>0</v>
      </c>
      <c r="AK4" s="2">
        <f ca="1">IF(ISBLANK($AB4), 0, VLOOKUP($AB4, INDIRECT($AA4), MATCH(AK$2, StatHeader, 0), 0))</f>
        <v>0</v>
      </c>
      <c r="AL4">
        <f ca="1">IF(ISBLANK($AB4), 0, VLOOKUP($AB4, INDIRECT($AA4), MATCH(AL$2, StatHeader, 0), 0))</f>
        <v>30</v>
      </c>
      <c r="AM4">
        <f ca="1">IF(ISBLANK($AB4), 0, VLOOKUP($AB4, INDIRECT($AA4), MATCH(AM$2, StatHeader, 0), 0))</f>
        <v>30</v>
      </c>
      <c r="AN4" s="2">
        <f ca="1">IF(ISBLANK($AB4), 0, VLOOKUP($AB4, INDIRECT($AA4), MATCH(AN$2, StatHeader, 0), 0))</f>
        <v>0</v>
      </c>
      <c r="AO4" s="2">
        <f ca="1">IF(ISBLANK($AB4), 0, VLOOKUP($AB4, INDIRECT($AA4), MATCH(AO$2, StatHeader, 0), 0))</f>
        <v>0</v>
      </c>
      <c r="AP4" s="2">
        <f ca="1">IF(ISBLANK($AB4), 0, VLOOKUP($AB4, INDIRECT($AA4), MATCH(AP$2, StatHeader, 0), 0))</f>
        <v>0</v>
      </c>
      <c r="AQ4" s="2">
        <f ca="1">IF(ISBLANK($AB4), 0, VLOOKUP($AB4, INDIRECT($AA4), MATCH(AQ$2, StatHeader, 0), 0))</f>
        <v>0</v>
      </c>
      <c r="AR4" s="2">
        <f ca="1">IF(ISBLANK($AB4), 0, VLOOKUP($AB4, INDIRECT($AA4), MATCH(AR$2, StatHeader, 0), 0))</f>
        <v>0</v>
      </c>
      <c r="AS4" s="2">
        <f ca="1">IF(ISBLANK($AB4), 0, VLOOKUP($AB4, INDIRECT($AA4), MATCH(AS$2, StatHeader, 0), 0))</f>
        <v>0</v>
      </c>
      <c r="AT4" s="2">
        <f ca="1">IF(ISBLANK($AB4), 0, VLOOKUP($AB4, INDIRECT($AA4), MATCH(AT$2, StatHeader, 0), 0))</f>
        <v>0</v>
      </c>
      <c r="AU4" s="32">
        <f ca="1">IF(ISBLANK($AB4), 0, VLOOKUP($AB4, INDIRECT($AA4), MATCH(AU$2, StatHeader, 0), 0))</f>
        <v>0</v>
      </c>
      <c r="AV4">
        <f ca="1">IF(ISBLANK($AB4), 0, VLOOKUP($AB4, INDIRECT($AA4), MATCH(AV$2, StatHeader, 0), 0))</f>
        <v>0</v>
      </c>
      <c r="AW4" s="2">
        <f ca="1">IF(ISBLANK($AB4), 0, VLOOKUP($AB4, INDIRECT($AA4), MATCH(AW$2, StatHeader, 0), 0))</f>
        <v>0</v>
      </c>
      <c r="AX4">
        <f ca="1">IF(ISBLANK($AB4), 0, VLOOKUP($AB4, INDIRECT($AA4), MATCH(AX$2, StatHeader, 0), 0))</f>
        <v>0</v>
      </c>
    </row>
    <row r="5" spans="1:50">
      <c r="A5" t="s">
        <v>15</v>
      </c>
      <c r="B5" s="30" t="s">
        <v>698</v>
      </c>
      <c r="C5">
        <f t="shared" ref="C5:X17" ca="1" si="2">IF(ISBLANK($B5), 0, VLOOKUP($B5, INDIRECT($A5), MATCH(C$2, StatHeader, 0), 0))</f>
        <v>0</v>
      </c>
      <c r="D5">
        <f t="shared" ca="1" si="2"/>
        <v>0</v>
      </c>
      <c r="E5">
        <f t="shared" ca="1" si="2"/>
        <v>0</v>
      </c>
      <c r="F5">
        <f t="shared" ref="F5:G17" ca="1" si="3">IF(ISBLANK($B5), 0, VLOOKUP($B5, INDIRECT($A5), MATCH(F$2, StatHeader, 0), 0))</f>
        <v>0</v>
      </c>
      <c r="G5">
        <f t="shared" ca="1" si="3"/>
        <v>0</v>
      </c>
      <c r="H5">
        <f t="shared" ca="1" si="2"/>
        <v>0</v>
      </c>
      <c r="I5">
        <f t="shared" ref="I5:I17" ca="1" si="4">IF(ISBLANK($B5), 0, VLOOKUP($B5, INDIRECT($A5), MATCH(I$2, StatHeader, 0), 0))</f>
        <v>0</v>
      </c>
      <c r="J5">
        <f t="shared" ref="J5:K17" ca="1" si="5">IF(ISBLANK($B5), 0, VLOOKUP($B5, INDIRECT($A5), MATCH(J$2, StatHeader, 0), 0))</f>
        <v>0</v>
      </c>
      <c r="K5" s="2">
        <f t="shared" ca="1" si="5"/>
        <v>0</v>
      </c>
      <c r="L5">
        <f t="shared" ca="1" si="2"/>
        <v>10</v>
      </c>
      <c r="M5">
        <f t="shared" ca="1" si="2"/>
        <v>5</v>
      </c>
      <c r="N5" s="2">
        <f t="shared" ref="N5:N17" ca="1" si="6">IF(ISBLANK($B5), 0, VLOOKUP($B5, INDIRECT($A5), MATCH(N$2, StatHeader, 0), 0))</f>
        <v>0</v>
      </c>
      <c r="O5" s="2">
        <f t="shared" ca="1" si="2"/>
        <v>0</v>
      </c>
      <c r="P5" s="2">
        <f t="shared" ca="1" si="2"/>
        <v>0</v>
      </c>
      <c r="Q5" s="2">
        <f t="shared" ref="Q5:Q17" ca="1" si="7">IF(ISBLANK($B5), 0, VLOOKUP($B5, INDIRECT($A5), MATCH(Q$2, StatHeader, 0), 0))</f>
        <v>0</v>
      </c>
      <c r="R5" s="2">
        <f t="shared" ref="R5:R17" ca="1" si="8">IF(ISBLANK($B5), 0, VLOOKUP($B5, INDIRECT($A5), MATCH(R$2, StatHeader, 0), 0))</f>
        <v>0</v>
      </c>
      <c r="S5" s="2">
        <f t="shared" ca="1" si="2"/>
        <v>0</v>
      </c>
      <c r="T5" s="2">
        <f t="shared" ref="T5:T17" ca="1" si="9">IF(ISBLANK($B5), 0, VLOOKUP($B5, INDIRECT($A5), MATCH(T$2, StatHeader, 0), 0))</f>
        <v>0</v>
      </c>
      <c r="U5" s="32">
        <f t="shared" ca="1" si="2"/>
        <v>0</v>
      </c>
      <c r="V5">
        <f t="shared" ref="V5:W17" ca="1" si="10">IF(ISBLANK($B5), 0, VLOOKUP($B5, INDIRECT($A5), MATCH(V$2, StatHeader, 0), 0))</f>
        <v>0</v>
      </c>
      <c r="W5" s="2">
        <f t="shared" ca="1" si="10"/>
        <v>0</v>
      </c>
      <c r="X5">
        <f t="shared" ca="1" si="2"/>
        <v>3</v>
      </c>
      <c r="Z5" t="str">
        <f>IF(B5=AB5, "=", "-")</f>
        <v>=</v>
      </c>
      <c r="AA5" t="s">
        <v>15</v>
      </c>
      <c r="AB5" s="30" t="s">
        <v>698</v>
      </c>
      <c r="AC5">
        <f t="shared" ref="AC5:AX17" ca="1" si="11">IF(ISBLANK($AB5), 0, VLOOKUP($AB5, INDIRECT($AA5), MATCH(AC$2, StatHeader, 0), 0))</f>
        <v>0</v>
      </c>
      <c r="AD5">
        <f t="shared" ca="1" si="11"/>
        <v>0</v>
      </c>
      <c r="AE5">
        <f t="shared" ca="1" si="11"/>
        <v>0</v>
      </c>
      <c r="AF5">
        <f t="shared" ref="AF5:AF17" ca="1" si="12">IF(ISBLANK($AB5), 0, VLOOKUP($AB5, INDIRECT($AA5), MATCH(AF$2, StatHeader, 0), 0))</f>
        <v>0</v>
      </c>
      <c r="AG5">
        <f ca="1">IF(ISBLANK($AB5), 0, VLOOKUP($AB5, INDIRECT($AA5), MATCH(AG$2, StatHeader, 0), 0))</f>
        <v>0</v>
      </c>
      <c r="AH5">
        <f t="shared" ca="1" si="11"/>
        <v>0</v>
      </c>
      <c r="AI5">
        <f t="shared" ref="AI5:AI17" ca="1" si="13">IF(ISBLANK($AB5), 0, VLOOKUP($AB5, INDIRECT($AA5), MATCH(AI$2, StatHeader, 0), 0))</f>
        <v>0</v>
      </c>
      <c r="AJ5">
        <f t="shared" ref="AJ5:AK17" ca="1" si="14">IF(ISBLANK($AB5), 0, VLOOKUP($AB5, INDIRECT($AA5), MATCH(AJ$2, StatHeader, 0), 0))</f>
        <v>0</v>
      </c>
      <c r="AK5" s="2">
        <f t="shared" ca="1" si="14"/>
        <v>0</v>
      </c>
      <c r="AL5">
        <f t="shared" ca="1" si="11"/>
        <v>10</v>
      </c>
      <c r="AM5">
        <f t="shared" ca="1" si="11"/>
        <v>5</v>
      </c>
      <c r="AN5" s="2">
        <f t="shared" ref="AN5:AN17" ca="1" si="15">IF(ISBLANK($AB5), 0, VLOOKUP($AB5, INDIRECT($AA5), MATCH(AN$2, StatHeader, 0), 0))</f>
        <v>0</v>
      </c>
      <c r="AO5" s="2">
        <f t="shared" ca="1" si="11"/>
        <v>0</v>
      </c>
      <c r="AP5" s="2">
        <f t="shared" ca="1" si="11"/>
        <v>0</v>
      </c>
      <c r="AQ5" s="2">
        <f t="shared" ref="AQ5:AQ17" ca="1" si="16">IF(ISBLANK($AB5), 0, VLOOKUP($AB5, INDIRECT($AA5), MATCH(AQ$2, StatHeader, 0), 0))</f>
        <v>0</v>
      </c>
      <c r="AR5" s="2">
        <f t="shared" ref="AR5:AR17" ca="1" si="17">IF(ISBLANK($AB5), 0, VLOOKUP($AB5, INDIRECT($AA5), MATCH(AR$2, StatHeader, 0), 0))</f>
        <v>0</v>
      </c>
      <c r="AS5" s="2">
        <f t="shared" ca="1" si="11"/>
        <v>0</v>
      </c>
      <c r="AT5" s="2">
        <f t="shared" ref="AT5:AT17" ca="1" si="18">IF(ISBLANK($AB5), 0, VLOOKUP($AB5, INDIRECT($AA5), MATCH(AT$2, StatHeader, 0), 0))</f>
        <v>0</v>
      </c>
      <c r="AU5" s="32">
        <f t="shared" ca="1" si="11"/>
        <v>0</v>
      </c>
      <c r="AV5">
        <f t="shared" ref="AV5:AW17" ca="1" si="19">IF(ISBLANK($AB5), 0, VLOOKUP($AB5, INDIRECT($AA5), MATCH(AV$2, StatHeader, 0), 0))</f>
        <v>0</v>
      </c>
      <c r="AW5" s="2">
        <f t="shared" ca="1" si="19"/>
        <v>0</v>
      </c>
      <c r="AX5">
        <f t="shared" ca="1" si="11"/>
        <v>3</v>
      </c>
    </row>
    <row r="6" spans="1:50">
      <c r="A6" t="s">
        <v>16</v>
      </c>
      <c r="B6" s="30" t="s">
        <v>950</v>
      </c>
      <c r="C6">
        <f t="shared" ca="1" si="2"/>
        <v>0</v>
      </c>
      <c r="D6">
        <f t="shared" ca="1" si="2"/>
        <v>36</v>
      </c>
      <c r="E6">
        <f t="shared" ca="1" si="2"/>
        <v>32</v>
      </c>
      <c r="F6">
        <f t="shared" ca="1" si="3"/>
        <v>16</v>
      </c>
      <c r="G6">
        <f t="shared" ca="1" si="3"/>
        <v>24</v>
      </c>
      <c r="H6">
        <f t="shared" ca="1" si="2"/>
        <v>12</v>
      </c>
      <c r="I6">
        <f t="shared" ca="1" si="4"/>
        <v>12</v>
      </c>
      <c r="J6">
        <f t="shared" ca="1" si="5"/>
        <v>80</v>
      </c>
      <c r="K6" s="2">
        <f t="shared" ca="1" si="5"/>
        <v>0</v>
      </c>
      <c r="L6">
        <f t="shared" ca="1" si="2"/>
        <v>0</v>
      </c>
      <c r="M6">
        <f t="shared" ca="1" si="2"/>
        <v>44</v>
      </c>
      <c r="N6" s="2">
        <f t="shared" ca="1" si="6"/>
        <v>0</v>
      </c>
      <c r="O6" s="2">
        <f t="shared" ca="1" si="2"/>
        <v>0</v>
      </c>
      <c r="P6" s="2">
        <f t="shared" ca="1" si="2"/>
        <v>0.05</v>
      </c>
      <c r="Q6" s="2">
        <f t="shared" ca="1" si="7"/>
        <v>0</v>
      </c>
      <c r="R6" s="2">
        <f t="shared" ca="1" si="8"/>
        <v>0</v>
      </c>
      <c r="S6" s="2">
        <f t="shared" ca="1" si="2"/>
        <v>0</v>
      </c>
      <c r="T6" s="2">
        <f t="shared" ca="1" si="9"/>
        <v>0</v>
      </c>
      <c r="U6" s="32">
        <f t="shared" ca="1" si="2"/>
        <v>41</v>
      </c>
      <c r="V6">
        <f t="shared" ca="1" si="10"/>
        <v>0</v>
      </c>
      <c r="W6" s="2">
        <f t="shared" ca="1" si="10"/>
        <v>0</v>
      </c>
      <c r="X6">
        <f t="shared" ca="1" si="2"/>
        <v>6</v>
      </c>
      <c r="Z6" t="str">
        <f>IF(B6=AB6, "=", "-")</f>
        <v>=</v>
      </c>
      <c r="AA6" t="s">
        <v>16</v>
      </c>
      <c r="AB6" s="30" t="s">
        <v>950</v>
      </c>
      <c r="AC6">
        <f t="shared" ca="1" si="11"/>
        <v>0</v>
      </c>
      <c r="AD6">
        <f t="shared" ca="1" si="11"/>
        <v>36</v>
      </c>
      <c r="AE6">
        <f t="shared" ca="1" si="11"/>
        <v>32</v>
      </c>
      <c r="AF6">
        <f t="shared" ca="1" si="12"/>
        <v>16</v>
      </c>
      <c r="AG6">
        <f ca="1">IF(ISBLANK($AB6), 0, VLOOKUP($AB6, INDIRECT($AA6), MATCH(AG$2, StatHeader, 0), 0))</f>
        <v>24</v>
      </c>
      <c r="AH6">
        <f t="shared" ca="1" si="11"/>
        <v>12</v>
      </c>
      <c r="AI6">
        <f t="shared" ca="1" si="13"/>
        <v>12</v>
      </c>
      <c r="AJ6">
        <f t="shared" ca="1" si="14"/>
        <v>80</v>
      </c>
      <c r="AK6" s="2">
        <f t="shared" ca="1" si="14"/>
        <v>0</v>
      </c>
      <c r="AL6">
        <f t="shared" ca="1" si="11"/>
        <v>0</v>
      </c>
      <c r="AM6">
        <f t="shared" ca="1" si="11"/>
        <v>44</v>
      </c>
      <c r="AN6" s="2">
        <f t="shared" ca="1" si="15"/>
        <v>0</v>
      </c>
      <c r="AO6" s="2">
        <f t="shared" ca="1" si="11"/>
        <v>0</v>
      </c>
      <c r="AP6" s="2">
        <f t="shared" ca="1" si="11"/>
        <v>0.05</v>
      </c>
      <c r="AQ6" s="2">
        <f t="shared" ca="1" si="16"/>
        <v>0</v>
      </c>
      <c r="AR6" s="2">
        <f t="shared" ca="1" si="17"/>
        <v>0</v>
      </c>
      <c r="AS6" s="2">
        <f t="shared" ca="1" si="11"/>
        <v>0</v>
      </c>
      <c r="AT6" s="2">
        <f t="shared" ca="1" si="18"/>
        <v>0</v>
      </c>
      <c r="AU6" s="32">
        <f t="shared" ca="1" si="11"/>
        <v>41</v>
      </c>
      <c r="AV6">
        <f t="shared" ca="1" si="19"/>
        <v>0</v>
      </c>
      <c r="AW6" s="2">
        <f t="shared" ca="1" si="19"/>
        <v>0</v>
      </c>
      <c r="AX6">
        <f t="shared" ca="1" si="11"/>
        <v>6</v>
      </c>
    </row>
    <row r="7" spans="1:50">
      <c r="A7" t="s">
        <v>17</v>
      </c>
      <c r="B7" s="30" t="s">
        <v>331</v>
      </c>
      <c r="C7">
        <f t="shared" ca="1" si="2"/>
        <v>0</v>
      </c>
      <c r="D7">
        <f t="shared" ca="1" si="2"/>
        <v>0</v>
      </c>
      <c r="E7">
        <f t="shared" ca="1" si="2"/>
        <v>0</v>
      </c>
      <c r="F7">
        <f t="shared" ca="1" si="3"/>
        <v>0</v>
      </c>
      <c r="G7">
        <f t="shared" ca="1" si="3"/>
        <v>4</v>
      </c>
      <c r="H7">
        <f t="shared" ca="1" si="2"/>
        <v>0</v>
      </c>
      <c r="I7">
        <f t="shared" ca="1" si="4"/>
        <v>0</v>
      </c>
      <c r="J7">
        <f t="shared" ca="1" si="5"/>
        <v>0</v>
      </c>
      <c r="K7" s="2">
        <f t="shared" ca="1" si="5"/>
        <v>0</v>
      </c>
      <c r="L7">
        <f t="shared" ca="1" si="2"/>
        <v>0</v>
      </c>
      <c r="M7">
        <f t="shared" ca="1" si="2"/>
        <v>0</v>
      </c>
      <c r="N7" s="2">
        <f t="shared" ca="1" si="6"/>
        <v>0</v>
      </c>
      <c r="O7" s="2">
        <f t="shared" ca="1" si="2"/>
        <v>0</v>
      </c>
      <c r="P7" s="2">
        <f t="shared" ca="1" si="2"/>
        <v>0</v>
      </c>
      <c r="Q7" s="2">
        <f t="shared" ca="1" si="7"/>
        <v>0.02</v>
      </c>
      <c r="R7" s="2">
        <f t="shared" ca="1" si="8"/>
        <v>0</v>
      </c>
      <c r="S7" s="2">
        <f t="shared" ca="1" si="2"/>
        <v>0</v>
      </c>
      <c r="T7" s="2">
        <f t="shared" ca="1" si="9"/>
        <v>0</v>
      </c>
      <c r="U7" s="32">
        <f t="shared" ca="1" si="2"/>
        <v>0</v>
      </c>
      <c r="V7">
        <f t="shared" ca="1" si="10"/>
        <v>0</v>
      </c>
      <c r="W7" s="2">
        <f t="shared" ca="1" si="10"/>
        <v>0</v>
      </c>
      <c r="X7">
        <f t="shared" ca="1" si="2"/>
        <v>0</v>
      </c>
      <c r="Z7" t="str">
        <f>IF(B7=AB7, "=", "-")</f>
        <v>=</v>
      </c>
      <c r="AA7" t="s">
        <v>17</v>
      </c>
      <c r="AB7" s="30" t="s">
        <v>331</v>
      </c>
      <c r="AC7">
        <f t="shared" ca="1" si="11"/>
        <v>0</v>
      </c>
      <c r="AD7">
        <f t="shared" ca="1" si="11"/>
        <v>0</v>
      </c>
      <c r="AE7">
        <f t="shared" ca="1" si="11"/>
        <v>0</v>
      </c>
      <c r="AF7">
        <f t="shared" ca="1" si="12"/>
        <v>0</v>
      </c>
      <c r="AG7">
        <f ca="1">IF(ISBLANK($AB7), 0, VLOOKUP($AB7, INDIRECT($AA7), MATCH(AG$2, StatHeader, 0), 0))</f>
        <v>4</v>
      </c>
      <c r="AH7">
        <f t="shared" ca="1" si="11"/>
        <v>0</v>
      </c>
      <c r="AI7">
        <f t="shared" ca="1" si="13"/>
        <v>0</v>
      </c>
      <c r="AJ7">
        <f t="shared" ca="1" si="14"/>
        <v>0</v>
      </c>
      <c r="AK7" s="2">
        <f t="shared" ca="1" si="14"/>
        <v>0</v>
      </c>
      <c r="AL7">
        <f t="shared" ca="1" si="11"/>
        <v>0</v>
      </c>
      <c r="AM7">
        <f t="shared" ca="1" si="11"/>
        <v>0</v>
      </c>
      <c r="AN7" s="2">
        <f t="shared" ca="1" si="15"/>
        <v>0</v>
      </c>
      <c r="AO7" s="2">
        <f t="shared" ca="1" si="11"/>
        <v>0</v>
      </c>
      <c r="AP7" s="2">
        <f t="shared" ca="1" si="11"/>
        <v>0</v>
      </c>
      <c r="AQ7" s="2">
        <f t="shared" ca="1" si="16"/>
        <v>0.02</v>
      </c>
      <c r="AR7" s="2">
        <f t="shared" ca="1" si="17"/>
        <v>0</v>
      </c>
      <c r="AS7" s="2">
        <f t="shared" ca="1" si="11"/>
        <v>0</v>
      </c>
      <c r="AT7" s="2">
        <f t="shared" ca="1" si="18"/>
        <v>0</v>
      </c>
      <c r="AU7" s="32">
        <f t="shared" ca="1" si="11"/>
        <v>0</v>
      </c>
      <c r="AV7">
        <f t="shared" ca="1" si="19"/>
        <v>0</v>
      </c>
      <c r="AW7" s="2">
        <f t="shared" ca="1" si="19"/>
        <v>0</v>
      </c>
      <c r="AX7">
        <f t="shared" ca="1" si="11"/>
        <v>0</v>
      </c>
    </row>
    <row r="8" spans="1:50">
      <c r="A8" t="s">
        <v>71</v>
      </c>
      <c r="B8" s="30" t="s">
        <v>25</v>
      </c>
      <c r="C8">
        <f t="shared" ca="1" si="2"/>
        <v>0</v>
      </c>
      <c r="D8">
        <f t="shared" ca="1" si="2"/>
        <v>0</v>
      </c>
      <c r="E8">
        <f t="shared" ca="1" si="2"/>
        <v>0</v>
      </c>
      <c r="F8">
        <f t="shared" ca="1" si="3"/>
        <v>0</v>
      </c>
      <c r="G8">
        <f t="shared" ca="1" si="3"/>
        <v>0</v>
      </c>
      <c r="H8">
        <f t="shared" ca="1" si="2"/>
        <v>0</v>
      </c>
      <c r="I8">
        <f t="shared" ca="1" si="4"/>
        <v>0</v>
      </c>
      <c r="J8">
        <f t="shared" ca="1" si="5"/>
        <v>0</v>
      </c>
      <c r="K8" s="2">
        <f t="shared" ca="1" si="5"/>
        <v>0</v>
      </c>
      <c r="L8">
        <f t="shared" ca="1" si="2"/>
        <v>0</v>
      </c>
      <c r="M8">
        <f t="shared" ca="1" si="2"/>
        <v>0</v>
      </c>
      <c r="N8" s="2">
        <f t="shared" ca="1" si="6"/>
        <v>0</v>
      </c>
      <c r="O8" s="2">
        <f t="shared" ca="1" si="2"/>
        <v>0.05</v>
      </c>
      <c r="P8" s="2">
        <f t="shared" ca="1" si="2"/>
        <v>0</v>
      </c>
      <c r="Q8" s="2">
        <f t="shared" ca="1" si="7"/>
        <v>0</v>
      </c>
      <c r="R8" s="2">
        <f t="shared" ca="1" si="8"/>
        <v>0</v>
      </c>
      <c r="S8" s="2">
        <f t="shared" ca="1" si="2"/>
        <v>0</v>
      </c>
      <c r="T8" s="2">
        <f t="shared" ca="1" si="9"/>
        <v>0</v>
      </c>
      <c r="U8" s="32">
        <f t="shared" ca="1" si="2"/>
        <v>0</v>
      </c>
      <c r="V8">
        <f t="shared" ca="1" si="10"/>
        <v>0</v>
      </c>
      <c r="W8" s="2">
        <f t="shared" ca="1" si="10"/>
        <v>0</v>
      </c>
      <c r="X8">
        <f t="shared" ca="1" si="2"/>
        <v>1</v>
      </c>
      <c r="Z8" t="str">
        <f>IF(B8=AB8, "=", "-")</f>
        <v>=</v>
      </c>
      <c r="AA8" t="s">
        <v>71</v>
      </c>
      <c r="AB8" s="30" t="s">
        <v>25</v>
      </c>
      <c r="AC8">
        <f t="shared" ca="1" si="11"/>
        <v>0</v>
      </c>
      <c r="AD8">
        <f t="shared" ca="1" si="11"/>
        <v>0</v>
      </c>
      <c r="AE8">
        <f t="shared" ca="1" si="11"/>
        <v>0</v>
      </c>
      <c r="AF8">
        <f t="shared" ca="1" si="12"/>
        <v>0</v>
      </c>
      <c r="AG8">
        <f ca="1">IF(ISBLANK($AB8), 0, VLOOKUP($AB8, INDIRECT($AA8), MATCH(AG$2, StatHeader, 0), 0))</f>
        <v>0</v>
      </c>
      <c r="AH8">
        <f t="shared" ca="1" si="11"/>
        <v>0</v>
      </c>
      <c r="AI8">
        <f t="shared" ca="1" si="13"/>
        <v>0</v>
      </c>
      <c r="AJ8">
        <f t="shared" ca="1" si="14"/>
        <v>0</v>
      </c>
      <c r="AK8" s="2">
        <f t="shared" ca="1" si="14"/>
        <v>0</v>
      </c>
      <c r="AL8">
        <f t="shared" ca="1" si="11"/>
        <v>0</v>
      </c>
      <c r="AM8">
        <f t="shared" ca="1" si="11"/>
        <v>0</v>
      </c>
      <c r="AN8" s="2">
        <f t="shared" ca="1" si="15"/>
        <v>0</v>
      </c>
      <c r="AO8" s="2">
        <f t="shared" ca="1" si="11"/>
        <v>0.05</v>
      </c>
      <c r="AP8" s="2">
        <f t="shared" ca="1" si="11"/>
        <v>0</v>
      </c>
      <c r="AQ8" s="2">
        <f t="shared" ca="1" si="16"/>
        <v>0</v>
      </c>
      <c r="AR8" s="2">
        <f t="shared" ca="1" si="17"/>
        <v>0</v>
      </c>
      <c r="AS8" s="2">
        <f t="shared" ca="1" si="11"/>
        <v>0</v>
      </c>
      <c r="AT8" s="2">
        <f t="shared" ca="1" si="18"/>
        <v>0</v>
      </c>
      <c r="AU8" s="32">
        <f t="shared" ca="1" si="11"/>
        <v>0</v>
      </c>
      <c r="AV8">
        <f t="shared" ca="1" si="19"/>
        <v>0</v>
      </c>
      <c r="AW8" s="2">
        <f t="shared" ca="1" si="19"/>
        <v>0</v>
      </c>
      <c r="AX8">
        <f t="shared" ca="1" si="11"/>
        <v>1</v>
      </c>
    </row>
    <row r="9" spans="1:50">
      <c r="A9" t="s">
        <v>71</v>
      </c>
      <c r="B9" s="30" t="s">
        <v>919</v>
      </c>
      <c r="C9">
        <f t="shared" ca="1" si="2"/>
        <v>0</v>
      </c>
      <c r="D9">
        <f t="shared" ca="1" si="2"/>
        <v>0</v>
      </c>
      <c r="E9">
        <f t="shared" ca="1" si="2"/>
        <v>0</v>
      </c>
      <c r="F9">
        <f t="shared" ca="1" si="3"/>
        <v>0</v>
      </c>
      <c r="G9">
        <f t="shared" ca="1" si="3"/>
        <v>0</v>
      </c>
      <c r="H9">
        <f t="shared" ca="1" si="2"/>
        <v>0</v>
      </c>
      <c r="I9">
        <f t="shared" ca="1" si="4"/>
        <v>0</v>
      </c>
      <c r="J9">
        <f t="shared" ca="1" si="5"/>
        <v>0</v>
      </c>
      <c r="K9" s="2">
        <f t="shared" ca="1" si="5"/>
        <v>0</v>
      </c>
      <c r="L9">
        <f t="shared" ca="1" si="2"/>
        <v>10</v>
      </c>
      <c r="M9">
        <f t="shared" ca="1" si="2"/>
        <v>10</v>
      </c>
      <c r="N9" s="2">
        <f t="shared" ca="1" si="6"/>
        <v>0</v>
      </c>
      <c r="O9" s="2">
        <f t="shared" ca="1" si="2"/>
        <v>0.01</v>
      </c>
      <c r="P9" s="2">
        <f t="shared" ca="1" si="2"/>
        <v>0</v>
      </c>
      <c r="Q9" s="2">
        <f t="shared" ca="1" si="7"/>
        <v>0</v>
      </c>
      <c r="R9" s="2">
        <f t="shared" ca="1" si="8"/>
        <v>0</v>
      </c>
      <c r="S9" s="2">
        <f t="shared" ca="1" si="2"/>
        <v>0</v>
      </c>
      <c r="T9" s="2">
        <f t="shared" ca="1" si="9"/>
        <v>0</v>
      </c>
      <c r="U9" s="32">
        <f t="shared" ca="1" si="2"/>
        <v>0</v>
      </c>
      <c r="V9">
        <f t="shared" ca="1" si="10"/>
        <v>0</v>
      </c>
      <c r="W9" s="2">
        <f t="shared" ca="1" si="10"/>
        <v>0</v>
      </c>
      <c r="X9">
        <f t="shared" ca="1" si="2"/>
        <v>5</v>
      </c>
      <c r="Z9" t="str">
        <f>IF(B9=AB9, "=", "-")</f>
        <v>=</v>
      </c>
      <c r="AA9" t="s">
        <v>71</v>
      </c>
      <c r="AB9" s="30" t="s">
        <v>919</v>
      </c>
      <c r="AC9">
        <f t="shared" ca="1" si="11"/>
        <v>0</v>
      </c>
      <c r="AD9">
        <f t="shared" ca="1" si="11"/>
        <v>0</v>
      </c>
      <c r="AE9">
        <f t="shared" ca="1" si="11"/>
        <v>0</v>
      </c>
      <c r="AF9">
        <f t="shared" ca="1" si="12"/>
        <v>0</v>
      </c>
      <c r="AG9">
        <f ca="1">IF(ISBLANK($AB9), 0, VLOOKUP($AB9, INDIRECT($AA9), MATCH(AG$2, StatHeader, 0), 0))</f>
        <v>0</v>
      </c>
      <c r="AH9">
        <f t="shared" ca="1" si="11"/>
        <v>0</v>
      </c>
      <c r="AI9">
        <f t="shared" ca="1" si="13"/>
        <v>0</v>
      </c>
      <c r="AJ9">
        <f t="shared" ca="1" si="14"/>
        <v>0</v>
      </c>
      <c r="AK9" s="2">
        <f t="shared" ca="1" si="14"/>
        <v>0</v>
      </c>
      <c r="AL9">
        <f t="shared" ca="1" si="11"/>
        <v>10</v>
      </c>
      <c r="AM9">
        <f t="shared" ca="1" si="11"/>
        <v>10</v>
      </c>
      <c r="AN9" s="2">
        <f t="shared" ca="1" si="15"/>
        <v>0</v>
      </c>
      <c r="AO9" s="2">
        <f t="shared" ca="1" si="11"/>
        <v>0.01</v>
      </c>
      <c r="AP9" s="2">
        <f t="shared" ca="1" si="11"/>
        <v>0</v>
      </c>
      <c r="AQ9" s="2">
        <f t="shared" ca="1" si="16"/>
        <v>0</v>
      </c>
      <c r="AR9" s="2">
        <f t="shared" ca="1" si="17"/>
        <v>0</v>
      </c>
      <c r="AS9" s="2">
        <f t="shared" ca="1" si="11"/>
        <v>0</v>
      </c>
      <c r="AT9" s="2">
        <f t="shared" ca="1" si="18"/>
        <v>0</v>
      </c>
      <c r="AU9" s="32">
        <f t="shared" ca="1" si="11"/>
        <v>0</v>
      </c>
      <c r="AV9">
        <f t="shared" ca="1" si="19"/>
        <v>0</v>
      </c>
      <c r="AW9" s="2">
        <f t="shared" ca="1" si="19"/>
        <v>0</v>
      </c>
      <c r="AX9">
        <f t="shared" ca="1" si="11"/>
        <v>5</v>
      </c>
    </row>
    <row r="10" spans="1:50">
      <c r="A10" t="s">
        <v>18</v>
      </c>
      <c r="B10" s="30" t="s">
        <v>949</v>
      </c>
      <c r="C10">
        <f t="shared" ca="1" si="2"/>
        <v>0</v>
      </c>
      <c r="D10">
        <f t="shared" ca="1" si="2"/>
        <v>29</v>
      </c>
      <c r="E10">
        <f t="shared" ca="1" si="2"/>
        <v>25</v>
      </c>
      <c r="F10">
        <f t="shared" ca="1" si="3"/>
        <v>20</v>
      </c>
      <c r="G10">
        <f t="shared" ca="1" si="3"/>
        <v>29</v>
      </c>
      <c r="H10">
        <f t="shared" ca="1" si="2"/>
        <v>20</v>
      </c>
      <c r="I10">
        <f t="shared" ca="1" si="4"/>
        <v>20</v>
      </c>
      <c r="J10">
        <f t="shared" ca="1" si="5"/>
        <v>0</v>
      </c>
      <c r="K10" s="2">
        <f t="shared" ca="1" si="5"/>
        <v>0</v>
      </c>
      <c r="L10">
        <f t="shared" ca="1" si="2"/>
        <v>0</v>
      </c>
      <c r="M10">
        <f t="shared" ca="1" si="2"/>
        <v>20</v>
      </c>
      <c r="N10" s="2">
        <f t="shared" ca="1" si="6"/>
        <v>0</v>
      </c>
      <c r="O10" s="2">
        <f t="shared" ca="1" si="2"/>
        <v>0.05</v>
      </c>
      <c r="P10" s="2">
        <f t="shared" ca="1" si="2"/>
        <v>0</v>
      </c>
      <c r="Q10" s="2">
        <f t="shared" ca="1" si="7"/>
        <v>0.01</v>
      </c>
      <c r="R10" s="2">
        <f t="shared" ca="1" si="8"/>
        <v>0</v>
      </c>
      <c r="S10" s="2">
        <f t="shared" ca="1" si="2"/>
        <v>0</v>
      </c>
      <c r="T10" s="2">
        <f t="shared" ca="1" si="9"/>
        <v>0</v>
      </c>
      <c r="U10" s="32">
        <f t="shared" ca="1" si="2"/>
        <v>31</v>
      </c>
      <c r="V10">
        <f t="shared" ca="1" si="10"/>
        <v>0</v>
      </c>
      <c r="W10" s="2">
        <f t="shared" ca="1" si="10"/>
        <v>0</v>
      </c>
      <c r="X10">
        <f t="shared" ca="1" si="2"/>
        <v>3</v>
      </c>
      <c r="Z10" t="str">
        <f>IF(B10=AB10, "=", "-")</f>
        <v>=</v>
      </c>
      <c r="AA10" t="s">
        <v>18</v>
      </c>
      <c r="AB10" s="30" t="s">
        <v>949</v>
      </c>
      <c r="AC10">
        <f t="shared" ca="1" si="11"/>
        <v>0</v>
      </c>
      <c r="AD10">
        <f t="shared" ca="1" si="11"/>
        <v>29</v>
      </c>
      <c r="AE10">
        <f t="shared" ca="1" si="11"/>
        <v>25</v>
      </c>
      <c r="AF10">
        <f t="shared" ca="1" si="12"/>
        <v>20</v>
      </c>
      <c r="AG10">
        <f ca="1">IF(ISBLANK($AB10), 0, VLOOKUP($AB10, INDIRECT($AA10), MATCH(AG$2, StatHeader, 0), 0))</f>
        <v>29</v>
      </c>
      <c r="AH10">
        <f t="shared" ca="1" si="11"/>
        <v>20</v>
      </c>
      <c r="AI10">
        <f t="shared" ca="1" si="13"/>
        <v>20</v>
      </c>
      <c r="AJ10">
        <f t="shared" ca="1" si="14"/>
        <v>0</v>
      </c>
      <c r="AK10" s="2">
        <f t="shared" ca="1" si="14"/>
        <v>0</v>
      </c>
      <c r="AL10">
        <f t="shared" ca="1" si="11"/>
        <v>0</v>
      </c>
      <c r="AM10">
        <f t="shared" ca="1" si="11"/>
        <v>20</v>
      </c>
      <c r="AN10" s="2">
        <f t="shared" ca="1" si="15"/>
        <v>0</v>
      </c>
      <c r="AO10" s="2">
        <f t="shared" ca="1" si="11"/>
        <v>0.05</v>
      </c>
      <c r="AP10" s="2">
        <f t="shared" ca="1" si="11"/>
        <v>0</v>
      </c>
      <c r="AQ10" s="2">
        <f t="shared" ca="1" si="16"/>
        <v>0.01</v>
      </c>
      <c r="AR10" s="2">
        <f t="shared" ca="1" si="17"/>
        <v>0</v>
      </c>
      <c r="AS10" s="2">
        <f t="shared" ca="1" si="11"/>
        <v>0</v>
      </c>
      <c r="AT10" s="2">
        <f t="shared" ca="1" si="18"/>
        <v>0</v>
      </c>
      <c r="AU10" s="32">
        <f t="shared" ca="1" si="11"/>
        <v>31</v>
      </c>
      <c r="AV10">
        <f t="shared" ca="1" si="19"/>
        <v>0</v>
      </c>
      <c r="AW10" s="2">
        <f t="shared" ca="1" si="19"/>
        <v>0</v>
      </c>
      <c r="AX10">
        <f t="shared" ca="1" si="11"/>
        <v>3</v>
      </c>
    </row>
    <row r="11" spans="1:50">
      <c r="A11" t="s">
        <v>19</v>
      </c>
      <c r="B11" s="30" t="s">
        <v>951</v>
      </c>
      <c r="C11">
        <f t="shared" ca="1" si="2"/>
        <v>0</v>
      </c>
      <c r="D11">
        <f t="shared" ca="1" si="2"/>
        <v>39</v>
      </c>
      <c r="E11">
        <f t="shared" ca="1" si="2"/>
        <v>35</v>
      </c>
      <c r="F11">
        <f t="shared" ca="1" si="3"/>
        <v>0</v>
      </c>
      <c r="G11">
        <f t="shared" ca="1" si="3"/>
        <v>0</v>
      </c>
      <c r="H11">
        <f t="shared" ca="1" si="2"/>
        <v>0</v>
      </c>
      <c r="I11">
        <f t="shared" ca="1" si="4"/>
        <v>0</v>
      </c>
      <c r="J11">
        <f t="shared" ca="1" si="5"/>
        <v>0</v>
      </c>
      <c r="K11" s="2">
        <f t="shared" ca="1" si="5"/>
        <v>0</v>
      </c>
      <c r="L11">
        <f t="shared" ca="1" si="2"/>
        <v>40</v>
      </c>
      <c r="M11">
        <f t="shared" ca="1" si="2"/>
        <v>25</v>
      </c>
      <c r="N11" s="2">
        <f t="shared" ca="1" si="6"/>
        <v>0</v>
      </c>
      <c r="O11" s="2">
        <f t="shared" ca="1" si="2"/>
        <v>0.03</v>
      </c>
      <c r="P11" s="2">
        <f t="shared" ca="1" si="2"/>
        <v>0</v>
      </c>
      <c r="Q11" s="2">
        <f t="shared" ca="1" si="7"/>
        <v>0</v>
      </c>
      <c r="R11" s="2">
        <f t="shared" ca="1" si="8"/>
        <v>0</v>
      </c>
      <c r="S11" s="2">
        <f t="shared" ca="1" si="2"/>
        <v>0</v>
      </c>
      <c r="T11" s="2">
        <f t="shared" ca="1" si="9"/>
        <v>0</v>
      </c>
      <c r="U11" s="32">
        <f t="shared" ca="1" si="2"/>
        <v>70</v>
      </c>
      <c r="V11">
        <f t="shared" ca="1" si="10"/>
        <v>0</v>
      </c>
      <c r="W11" s="2">
        <f t="shared" ca="1" si="10"/>
        <v>0</v>
      </c>
      <c r="X11">
        <f t="shared" ca="1" si="2"/>
        <v>6</v>
      </c>
      <c r="Z11" t="str">
        <f>IF(B11=AB11, "=", "-")</f>
        <v>-</v>
      </c>
      <c r="AA11" t="s">
        <v>19</v>
      </c>
      <c r="AB11" s="30" t="s">
        <v>950</v>
      </c>
      <c r="AC11">
        <f t="shared" ca="1" si="11"/>
        <v>0</v>
      </c>
      <c r="AD11">
        <f t="shared" ca="1" si="11"/>
        <v>23</v>
      </c>
      <c r="AE11">
        <f t="shared" ca="1" si="11"/>
        <v>46</v>
      </c>
      <c r="AF11">
        <f t="shared" ca="1" si="12"/>
        <v>8</v>
      </c>
      <c r="AG11">
        <f ca="1">IF(ISBLANK($AB11), 0, VLOOKUP($AB11, INDIRECT($AA11), MATCH(AG$2, StatHeader, 0), 0))</f>
        <v>35</v>
      </c>
      <c r="AH11">
        <f t="shared" ca="1" si="11"/>
        <v>7</v>
      </c>
      <c r="AI11">
        <f t="shared" ca="1" si="13"/>
        <v>24</v>
      </c>
      <c r="AJ11">
        <f t="shared" ca="1" si="14"/>
        <v>60</v>
      </c>
      <c r="AK11" s="2">
        <f t="shared" ca="1" si="14"/>
        <v>0</v>
      </c>
      <c r="AL11">
        <f t="shared" ca="1" si="11"/>
        <v>0</v>
      </c>
      <c r="AM11">
        <f t="shared" ca="1" si="11"/>
        <v>43</v>
      </c>
      <c r="AN11" s="2">
        <f t="shared" ca="1" si="15"/>
        <v>0</v>
      </c>
      <c r="AO11" s="2">
        <f t="shared" ca="1" si="11"/>
        <v>0</v>
      </c>
      <c r="AP11" s="2">
        <f t="shared" ca="1" si="11"/>
        <v>0</v>
      </c>
      <c r="AQ11" s="2">
        <f t="shared" ca="1" si="16"/>
        <v>0</v>
      </c>
      <c r="AR11" s="2">
        <f t="shared" ca="1" si="17"/>
        <v>0</v>
      </c>
      <c r="AS11" s="2">
        <f t="shared" ca="1" si="11"/>
        <v>0.08</v>
      </c>
      <c r="AT11" s="2">
        <f t="shared" ca="1" si="18"/>
        <v>0</v>
      </c>
      <c r="AU11" s="32">
        <f t="shared" ca="1" si="11"/>
        <v>41</v>
      </c>
      <c r="AV11">
        <f t="shared" ca="1" si="19"/>
        <v>0</v>
      </c>
      <c r="AW11" s="2">
        <f t="shared" ca="1" si="19"/>
        <v>0</v>
      </c>
      <c r="AX11">
        <f t="shared" ca="1" si="11"/>
        <v>6</v>
      </c>
    </row>
    <row r="12" spans="1:50">
      <c r="A12" t="s">
        <v>72</v>
      </c>
      <c r="B12" s="30" t="s">
        <v>895</v>
      </c>
      <c r="C12">
        <f t="shared" ca="1" si="2"/>
        <v>0</v>
      </c>
      <c r="D12">
        <f t="shared" ca="1" si="2"/>
        <v>0</v>
      </c>
      <c r="E12">
        <f t="shared" ca="1" si="2"/>
        <v>0</v>
      </c>
      <c r="F12">
        <f t="shared" ca="1" si="3"/>
        <v>0</v>
      </c>
      <c r="G12">
        <f t="shared" ca="1" si="3"/>
        <v>0</v>
      </c>
      <c r="H12">
        <f t="shared" ca="1" si="2"/>
        <v>0</v>
      </c>
      <c r="I12">
        <f t="shared" ca="1" si="4"/>
        <v>0</v>
      </c>
      <c r="J12">
        <f t="shared" ca="1" si="5"/>
        <v>0</v>
      </c>
      <c r="K12" s="2">
        <f t="shared" ca="1" si="5"/>
        <v>0</v>
      </c>
      <c r="L12">
        <f t="shared" ca="1" si="2"/>
        <v>0</v>
      </c>
      <c r="M12">
        <f t="shared" ca="1" si="2"/>
        <v>0</v>
      </c>
      <c r="N12" s="2">
        <f t="shared" ca="1" si="6"/>
        <v>0</v>
      </c>
      <c r="O12" s="2">
        <f t="shared" ca="1" si="2"/>
        <v>0</v>
      </c>
      <c r="P12" s="2">
        <f t="shared" ca="1" si="2"/>
        <v>0.02</v>
      </c>
      <c r="Q12" s="2">
        <f t="shared" ca="1" si="7"/>
        <v>0</v>
      </c>
      <c r="R12" s="2">
        <f t="shared" ca="1" si="8"/>
        <v>0</v>
      </c>
      <c r="S12" s="2">
        <f t="shared" ca="1" si="2"/>
        <v>0.01</v>
      </c>
      <c r="T12" s="2">
        <f t="shared" ca="1" si="9"/>
        <v>0</v>
      </c>
      <c r="U12" s="32">
        <f t="shared" ca="1" si="2"/>
        <v>0</v>
      </c>
      <c r="V12">
        <f t="shared" ca="1" si="10"/>
        <v>0</v>
      </c>
      <c r="W12" s="2">
        <f t="shared" ca="1" si="10"/>
        <v>0</v>
      </c>
      <c r="X12">
        <f t="shared" ca="1" si="2"/>
        <v>0</v>
      </c>
      <c r="Z12" t="str">
        <f>IF(B12=AB12, "=", "-")</f>
        <v>=</v>
      </c>
      <c r="AA12" t="s">
        <v>72</v>
      </c>
      <c r="AB12" s="30" t="s">
        <v>895</v>
      </c>
      <c r="AC12">
        <f t="shared" ca="1" si="11"/>
        <v>0</v>
      </c>
      <c r="AD12">
        <f t="shared" ca="1" si="11"/>
        <v>0</v>
      </c>
      <c r="AE12">
        <f t="shared" ca="1" si="11"/>
        <v>0</v>
      </c>
      <c r="AF12">
        <f t="shared" ca="1" si="12"/>
        <v>0</v>
      </c>
      <c r="AG12">
        <f ca="1">IF(ISBLANK($AB12), 0, VLOOKUP($AB12, INDIRECT($AA12), MATCH(AG$2, StatHeader, 0), 0))</f>
        <v>0</v>
      </c>
      <c r="AH12">
        <f t="shared" ca="1" si="11"/>
        <v>0</v>
      </c>
      <c r="AI12">
        <f t="shared" ca="1" si="13"/>
        <v>0</v>
      </c>
      <c r="AJ12">
        <f t="shared" ca="1" si="14"/>
        <v>0</v>
      </c>
      <c r="AK12" s="2">
        <f t="shared" ca="1" si="14"/>
        <v>0</v>
      </c>
      <c r="AL12">
        <f t="shared" ca="1" si="11"/>
        <v>0</v>
      </c>
      <c r="AM12">
        <f t="shared" ca="1" si="11"/>
        <v>0</v>
      </c>
      <c r="AN12" s="2">
        <f t="shared" ca="1" si="15"/>
        <v>0</v>
      </c>
      <c r="AO12" s="2">
        <f t="shared" ca="1" si="11"/>
        <v>0</v>
      </c>
      <c r="AP12" s="2">
        <f t="shared" ca="1" si="11"/>
        <v>0.02</v>
      </c>
      <c r="AQ12" s="2">
        <f t="shared" ca="1" si="16"/>
        <v>0</v>
      </c>
      <c r="AR12" s="2">
        <f t="shared" ca="1" si="17"/>
        <v>0</v>
      </c>
      <c r="AS12" s="2">
        <f t="shared" ca="1" si="11"/>
        <v>0.01</v>
      </c>
      <c r="AT12" s="2">
        <f t="shared" ca="1" si="18"/>
        <v>0</v>
      </c>
      <c r="AU12" s="32">
        <f t="shared" ca="1" si="11"/>
        <v>0</v>
      </c>
      <c r="AV12">
        <f t="shared" ca="1" si="19"/>
        <v>0</v>
      </c>
      <c r="AW12" s="2">
        <f t="shared" ca="1" si="19"/>
        <v>0</v>
      </c>
      <c r="AX12">
        <f t="shared" ca="1" si="11"/>
        <v>0</v>
      </c>
    </row>
    <row r="13" spans="1:50">
      <c r="A13" t="s">
        <v>72</v>
      </c>
      <c r="B13" s="30" t="s">
        <v>930</v>
      </c>
      <c r="C13">
        <f t="shared" ca="1" si="2"/>
        <v>0</v>
      </c>
      <c r="D13">
        <f t="shared" ca="1" si="2"/>
        <v>10</v>
      </c>
      <c r="E13">
        <f t="shared" ca="1" si="2"/>
        <v>10</v>
      </c>
      <c r="F13">
        <f t="shared" ca="1" si="3"/>
        <v>0</v>
      </c>
      <c r="G13">
        <f t="shared" ca="1" si="3"/>
        <v>10</v>
      </c>
      <c r="H13">
        <f t="shared" ca="1" si="2"/>
        <v>0</v>
      </c>
      <c r="I13">
        <f t="shared" ca="1" si="4"/>
        <v>0</v>
      </c>
      <c r="J13">
        <f t="shared" ca="1" si="5"/>
        <v>0</v>
      </c>
      <c r="K13" s="2">
        <f t="shared" ca="1" si="5"/>
        <v>0</v>
      </c>
      <c r="L13">
        <f t="shared" ca="1" si="2"/>
        <v>0</v>
      </c>
      <c r="M13">
        <f t="shared" ca="1" si="2"/>
        <v>0</v>
      </c>
      <c r="N13" s="2">
        <f t="shared" ca="1" si="6"/>
        <v>0</v>
      </c>
      <c r="O13" s="2">
        <f t="shared" ca="1" si="2"/>
        <v>0</v>
      </c>
      <c r="P13" s="2">
        <f t="shared" ca="1" si="2"/>
        <v>0</v>
      </c>
      <c r="Q13" s="2">
        <f t="shared" ca="1" si="7"/>
        <v>0.03</v>
      </c>
      <c r="R13" s="2">
        <f t="shared" ca="1" si="8"/>
        <v>0</v>
      </c>
      <c r="S13" s="2">
        <f t="shared" ca="1" si="2"/>
        <v>0</v>
      </c>
      <c r="T13" s="2">
        <f t="shared" ca="1" si="9"/>
        <v>0</v>
      </c>
      <c r="U13" s="32">
        <f t="shared" ca="1" si="2"/>
        <v>0</v>
      </c>
      <c r="V13">
        <f t="shared" ca="1" si="10"/>
        <v>0</v>
      </c>
      <c r="W13" s="2">
        <f t="shared" ca="1" si="10"/>
        <v>0</v>
      </c>
      <c r="X13">
        <f t="shared" ca="1" si="2"/>
        <v>0</v>
      </c>
      <c r="Z13" t="str">
        <f>IF(B13=AB13, "=", "-")</f>
        <v>=</v>
      </c>
      <c r="AA13" t="s">
        <v>72</v>
      </c>
      <c r="AB13" s="30" t="s">
        <v>930</v>
      </c>
      <c r="AC13">
        <f t="shared" ca="1" si="11"/>
        <v>0</v>
      </c>
      <c r="AD13">
        <f t="shared" ca="1" si="11"/>
        <v>10</v>
      </c>
      <c r="AE13">
        <f t="shared" ca="1" si="11"/>
        <v>10</v>
      </c>
      <c r="AF13">
        <f t="shared" ca="1" si="12"/>
        <v>0</v>
      </c>
      <c r="AG13">
        <f ca="1">IF(ISBLANK($AB13), 0, VLOOKUP($AB13, INDIRECT($AA13), MATCH(AG$2, StatHeader, 0), 0))</f>
        <v>10</v>
      </c>
      <c r="AH13">
        <f t="shared" ca="1" si="11"/>
        <v>0</v>
      </c>
      <c r="AI13">
        <f t="shared" ca="1" si="13"/>
        <v>0</v>
      </c>
      <c r="AJ13">
        <f t="shared" ca="1" si="14"/>
        <v>0</v>
      </c>
      <c r="AK13" s="2">
        <f t="shared" ca="1" si="14"/>
        <v>0</v>
      </c>
      <c r="AL13">
        <f t="shared" ca="1" si="11"/>
        <v>0</v>
      </c>
      <c r="AM13">
        <f t="shared" ca="1" si="11"/>
        <v>0</v>
      </c>
      <c r="AN13" s="2">
        <f t="shared" ca="1" si="15"/>
        <v>0</v>
      </c>
      <c r="AO13" s="2">
        <f t="shared" ca="1" si="11"/>
        <v>0</v>
      </c>
      <c r="AP13" s="2">
        <f t="shared" ca="1" si="11"/>
        <v>0</v>
      </c>
      <c r="AQ13" s="2">
        <f t="shared" ca="1" si="16"/>
        <v>0.03</v>
      </c>
      <c r="AR13" s="2">
        <f t="shared" ca="1" si="17"/>
        <v>0</v>
      </c>
      <c r="AS13" s="2">
        <f t="shared" ca="1" si="11"/>
        <v>0</v>
      </c>
      <c r="AT13" s="2">
        <f t="shared" ca="1" si="18"/>
        <v>0</v>
      </c>
      <c r="AU13" s="32">
        <f t="shared" ca="1" si="11"/>
        <v>0</v>
      </c>
      <c r="AV13">
        <f t="shared" ca="1" si="19"/>
        <v>0</v>
      </c>
      <c r="AW13" s="2">
        <f t="shared" ca="1" si="19"/>
        <v>0</v>
      </c>
      <c r="AX13">
        <f t="shared" ca="1" si="11"/>
        <v>0</v>
      </c>
    </row>
    <row r="14" spans="1:50">
      <c r="A14" t="s">
        <v>20</v>
      </c>
      <c r="B14" s="30" t="s">
        <v>939</v>
      </c>
      <c r="C14">
        <f t="shared" ca="1" si="2"/>
        <v>0</v>
      </c>
      <c r="D14">
        <f t="shared" ca="1" si="2"/>
        <v>0</v>
      </c>
      <c r="E14">
        <f t="shared" ca="1" si="2"/>
        <v>30</v>
      </c>
      <c r="F14">
        <f t="shared" ca="1" si="3"/>
        <v>0</v>
      </c>
      <c r="G14">
        <f t="shared" ca="1" si="3"/>
        <v>0</v>
      </c>
      <c r="H14">
        <f t="shared" ca="1" si="2"/>
        <v>0</v>
      </c>
      <c r="I14">
        <f t="shared" ca="1" si="4"/>
        <v>0</v>
      </c>
      <c r="J14">
        <f t="shared" ca="1" si="5"/>
        <v>0</v>
      </c>
      <c r="K14" s="2">
        <f t="shared" ca="1" si="5"/>
        <v>0</v>
      </c>
      <c r="L14">
        <f t="shared" ca="1" si="2"/>
        <v>20</v>
      </c>
      <c r="M14">
        <f t="shared" ca="1" si="2"/>
        <v>20</v>
      </c>
      <c r="N14" s="2">
        <f t="shared" ca="1" si="6"/>
        <v>0</v>
      </c>
      <c r="O14" s="2">
        <f t="shared" ca="1" si="2"/>
        <v>0.1</v>
      </c>
      <c r="P14" s="2">
        <f t="shared" ca="1" si="2"/>
        <v>0</v>
      </c>
      <c r="Q14" s="2">
        <f t="shared" ca="1" si="7"/>
        <v>0</v>
      </c>
      <c r="R14" s="2">
        <f t="shared" ca="1" si="8"/>
        <v>0</v>
      </c>
      <c r="S14" s="2">
        <f t="shared" ca="1" si="2"/>
        <v>0</v>
      </c>
      <c r="T14" s="2">
        <f t="shared" ca="1" si="9"/>
        <v>0</v>
      </c>
      <c r="U14" s="32">
        <f t="shared" ca="1" si="2"/>
        <v>0</v>
      </c>
      <c r="V14">
        <f t="shared" ca="1" si="10"/>
        <v>0</v>
      </c>
      <c r="W14" s="2">
        <f t="shared" ca="1" si="10"/>
        <v>0</v>
      </c>
      <c r="X14">
        <f t="shared" ca="1" si="2"/>
        <v>0</v>
      </c>
      <c r="Z14" t="str">
        <f>IF(B14=AB14, "=", "-")</f>
        <v>=</v>
      </c>
      <c r="AA14" t="s">
        <v>20</v>
      </c>
      <c r="AB14" s="30" t="s">
        <v>939</v>
      </c>
      <c r="AC14">
        <f t="shared" ca="1" si="11"/>
        <v>0</v>
      </c>
      <c r="AD14">
        <f t="shared" ca="1" si="11"/>
        <v>0</v>
      </c>
      <c r="AE14">
        <f t="shared" ca="1" si="11"/>
        <v>30</v>
      </c>
      <c r="AF14">
        <f t="shared" ca="1" si="12"/>
        <v>0</v>
      </c>
      <c r="AG14">
        <f ca="1">IF(ISBLANK($AB14), 0, VLOOKUP($AB14, INDIRECT($AA14), MATCH(AG$2, StatHeader, 0), 0))</f>
        <v>0</v>
      </c>
      <c r="AH14">
        <f t="shared" ca="1" si="11"/>
        <v>0</v>
      </c>
      <c r="AI14">
        <f t="shared" ca="1" si="13"/>
        <v>0</v>
      </c>
      <c r="AJ14">
        <f t="shared" ca="1" si="14"/>
        <v>0</v>
      </c>
      <c r="AK14" s="2">
        <f t="shared" ca="1" si="14"/>
        <v>0</v>
      </c>
      <c r="AL14">
        <f t="shared" ca="1" si="11"/>
        <v>20</v>
      </c>
      <c r="AM14">
        <f t="shared" ca="1" si="11"/>
        <v>20</v>
      </c>
      <c r="AN14" s="2">
        <f t="shared" ca="1" si="15"/>
        <v>0</v>
      </c>
      <c r="AO14" s="2">
        <f t="shared" ca="1" si="11"/>
        <v>0.1</v>
      </c>
      <c r="AP14" s="2">
        <f t="shared" ca="1" si="11"/>
        <v>0</v>
      </c>
      <c r="AQ14" s="2">
        <f t="shared" ca="1" si="16"/>
        <v>0</v>
      </c>
      <c r="AR14" s="2">
        <f t="shared" ca="1" si="17"/>
        <v>0</v>
      </c>
      <c r="AS14" s="2">
        <f t="shared" ca="1" si="11"/>
        <v>0</v>
      </c>
      <c r="AT14" s="2">
        <f t="shared" ca="1" si="18"/>
        <v>0</v>
      </c>
      <c r="AU14" s="32">
        <f t="shared" ca="1" si="11"/>
        <v>0</v>
      </c>
      <c r="AV14">
        <f t="shared" ca="1" si="19"/>
        <v>0</v>
      </c>
      <c r="AW14" s="2">
        <f t="shared" ca="1" si="19"/>
        <v>0</v>
      </c>
      <c r="AX14">
        <f t="shared" ca="1" si="11"/>
        <v>0</v>
      </c>
    </row>
    <row r="15" spans="1:50">
      <c r="A15" t="s">
        <v>21</v>
      </c>
      <c r="B15" s="30" t="s">
        <v>764</v>
      </c>
      <c r="C15">
        <f t="shared" ca="1" si="2"/>
        <v>0</v>
      </c>
      <c r="D15">
        <f t="shared" ca="1" si="2"/>
        <v>0</v>
      </c>
      <c r="E15">
        <f t="shared" ca="1" si="2"/>
        <v>0</v>
      </c>
      <c r="F15">
        <f t="shared" ca="1" si="3"/>
        <v>0</v>
      </c>
      <c r="G15">
        <f t="shared" ca="1" si="3"/>
        <v>0</v>
      </c>
      <c r="H15">
        <f t="shared" ca="1" si="2"/>
        <v>0</v>
      </c>
      <c r="I15">
        <f t="shared" ca="1" si="4"/>
        <v>0</v>
      </c>
      <c r="J15">
        <f t="shared" ca="1" si="5"/>
        <v>0</v>
      </c>
      <c r="K15" s="2">
        <f t="shared" ca="1" si="5"/>
        <v>0</v>
      </c>
      <c r="L15">
        <f t="shared" ca="1" si="2"/>
        <v>0</v>
      </c>
      <c r="M15">
        <f t="shared" ca="1" si="2"/>
        <v>2</v>
      </c>
      <c r="N15" s="2">
        <f t="shared" ca="1" si="6"/>
        <v>0</v>
      </c>
      <c r="O15" s="2">
        <f t="shared" ca="1" si="2"/>
        <v>0</v>
      </c>
      <c r="P15" s="2">
        <f t="shared" ca="1" si="2"/>
        <v>0.02</v>
      </c>
      <c r="Q15" s="2">
        <f t="shared" ca="1" si="7"/>
        <v>0.02</v>
      </c>
      <c r="R15" s="2">
        <f t="shared" ca="1" si="8"/>
        <v>0</v>
      </c>
      <c r="S15" s="2">
        <f t="shared" ca="1" si="2"/>
        <v>0</v>
      </c>
      <c r="T15" s="2">
        <f t="shared" ca="1" si="9"/>
        <v>0</v>
      </c>
      <c r="U15" s="32">
        <f t="shared" ca="1" si="2"/>
        <v>0</v>
      </c>
      <c r="V15">
        <f t="shared" ca="1" si="10"/>
        <v>0</v>
      </c>
      <c r="W15" s="2">
        <f t="shared" ca="1" si="10"/>
        <v>0</v>
      </c>
      <c r="X15">
        <f t="shared" ca="1" si="2"/>
        <v>0</v>
      </c>
      <c r="Z15" t="str">
        <f>IF(B15=AB15, "=", "-")</f>
        <v>-</v>
      </c>
      <c r="AA15" t="s">
        <v>21</v>
      </c>
      <c r="AB15" s="30" t="s">
        <v>920</v>
      </c>
      <c r="AC15">
        <f t="shared" ca="1" si="11"/>
        <v>0</v>
      </c>
      <c r="AD15">
        <f t="shared" ca="1" si="11"/>
        <v>0</v>
      </c>
      <c r="AE15">
        <f t="shared" ca="1" si="11"/>
        <v>0</v>
      </c>
      <c r="AF15">
        <f t="shared" ca="1" si="12"/>
        <v>0</v>
      </c>
      <c r="AG15">
        <f ca="1">IF(ISBLANK($AB15), 0, VLOOKUP($AB15, INDIRECT($AA15), MATCH(AG$2, StatHeader, 0), 0))</f>
        <v>0</v>
      </c>
      <c r="AH15">
        <f t="shared" ca="1" si="11"/>
        <v>0</v>
      </c>
      <c r="AI15">
        <f t="shared" ca="1" si="13"/>
        <v>0</v>
      </c>
      <c r="AJ15">
        <f t="shared" ca="1" si="14"/>
        <v>0</v>
      </c>
      <c r="AK15" s="2">
        <f t="shared" ca="1" si="14"/>
        <v>0</v>
      </c>
      <c r="AL15">
        <f t="shared" ca="1" si="11"/>
        <v>0</v>
      </c>
      <c r="AM15">
        <f t="shared" ca="1" si="11"/>
        <v>12</v>
      </c>
      <c r="AN15" s="2">
        <f t="shared" ca="1" si="15"/>
        <v>0</v>
      </c>
      <c r="AO15" s="2">
        <f t="shared" ca="1" si="11"/>
        <v>0.08</v>
      </c>
      <c r="AP15" s="2">
        <f t="shared" ca="1" si="11"/>
        <v>0</v>
      </c>
      <c r="AQ15" s="2">
        <f t="shared" ca="1" si="16"/>
        <v>0</v>
      </c>
      <c r="AR15" s="2">
        <f t="shared" ca="1" si="17"/>
        <v>0</v>
      </c>
      <c r="AS15" s="2">
        <f t="shared" ca="1" si="11"/>
        <v>0</v>
      </c>
      <c r="AT15" s="2">
        <f t="shared" ca="1" si="18"/>
        <v>0</v>
      </c>
      <c r="AU15" s="32">
        <f t="shared" ca="1" si="11"/>
        <v>71</v>
      </c>
      <c r="AV15">
        <f t="shared" ca="1" si="19"/>
        <v>0</v>
      </c>
      <c r="AW15" s="2">
        <f t="shared" ca="1" si="19"/>
        <v>0</v>
      </c>
      <c r="AX15">
        <f t="shared" ca="1" si="11"/>
        <v>0</v>
      </c>
    </row>
    <row r="16" spans="1:50">
      <c r="A16" t="s">
        <v>22</v>
      </c>
      <c r="B16" s="30" t="s">
        <v>858</v>
      </c>
      <c r="C16">
        <f t="shared" ca="1" si="2"/>
        <v>0</v>
      </c>
      <c r="D16">
        <f t="shared" ca="1" si="2"/>
        <v>37</v>
      </c>
      <c r="E16">
        <f t="shared" ca="1" si="2"/>
        <v>0</v>
      </c>
      <c r="F16">
        <f t="shared" ca="1" si="3"/>
        <v>16</v>
      </c>
      <c r="G16">
        <f t="shared" ca="1" si="3"/>
        <v>23</v>
      </c>
      <c r="H16">
        <f t="shared" ca="1" si="2"/>
        <v>26</v>
      </c>
      <c r="I16">
        <f t="shared" ca="1" si="4"/>
        <v>12</v>
      </c>
      <c r="J16">
        <f t="shared" ca="1" si="5"/>
        <v>0</v>
      </c>
      <c r="K16" s="2">
        <f t="shared" ca="1" si="5"/>
        <v>0</v>
      </c>
      <c r="L16">
        <f t="shared" ca="1" si="2"/>
        <v>20</v>
      </c>
      <c r="M16">
        <f t="shared" ca="1" si="2"/>
        <v>29</v>
      </c>
      <c r="N16" s="2">
        <f t="shared" ca="1" si="6"/>
        <v>0</v>
      </c>
      <c r="O16" s="2">
        <f t="shared" ca="1" si="2"/>
        <v>0.02</v>
      </c>
      <c r="P16" s="2">
        <f t="shared" ca="1" si="2"/>
        <v>0</v>
      </c>
      <c r="Q16" s="2">
        <f t="shared" ca="1" si="7"/>
        <v>0</v>
      </c>
      <c r="R16" s="2">
        <f t="shared" ca="1" si="8"/>
        <v>0</v>
      </c>
      <c r="S16" s="2">
        <f t="shared" ca="1" si="2"/>
        <v>0</v>
      </c>
      <c r="T16" s="2">
        <f t="shared" ca="1" si="9"/>
        <v>0</v>
      </c>
      <c r="U16" s="32">
        <f t="shared" ca="1" si="2"/>
        <v>51</v>
      </c>
      <c r="V16">
        <f t="shared" ca="1" si="10"/>
        <v>0</v>
      </c>
      <c r="W16" s="2">
        <f t="shared" ca="1" si="10"/>
        <v>0</v>
      </c>
      <c r="X16">
        <f t="shared" ca="1" si="2"/>
        <v>15</v>
      </c>
      <c r="Z16" t="str">
        <f>IF(B16=AB16, "=", "-")</f>
        <v>=</v>
      </c>
      <c r="AA16" t="s">
        <v>22</v>
      </c>
      <c r="AB16" s="30" t="s">
        <v>858</v>
      </c>
      <c r="AC16">
        <f t="shared" ca="1" si="11"/>
        <v>0</v>
      </c>
      <c r="AD16">
        <f t="shared" ca="1" si="11"/>
        <v>37</v>
      </c>
      <c r="AE16">
        <f t="shared" ca="1" si="11"/>
        <v>0</v>
      </c>
      <c r="AF16">
        <f t="shared" ca="1" si="12"/>
        <v>16</v>
      </c>
      <c r="AG16">
        <f ca="1">IF(ISBLANK($AB16), 0, VLOOKUP($AB16, INDIRECT($AA16), MATCH(AG$2, StatHeader, 0), 0))</f>
        <v>23</v>
      </c>
      <c r="AH16">
        <f t="shared" ca="1" si="11"/>
        <v>26</v>
      </c>
      <c r="AI16">
        <f t="shared" ca="1" si="13"/>
        <v>12</v>
      </c>
      <c r="AJ16">
        <f t="shared" ca="1" si="14"/>
        <v>0</v>
      </c>
      <c r="AK16" s="2">
        <f t="shared" ca="1" si="14"/>
        <v>0</v>
      </c>
      <c r="AL16">
        <f t="shared" ca="1" si="11"/>
        <v>20</v>
      </c>
      <c r="AM16">
        <f t="shared" ca="1" si="11"/>
        <v>29</v>
      </c>
      <c r="AN16" s="2">
        <f t="shared" ca="1" si="15"/>
        <v>0</v>
      </c>
      <c r="AO16" s="2">
        <f t="shared" ca="1" si="11"/>
        <v>0.02</v>
      </c>
      <c r="AP16" s="2">
        <f t="shared" ca="1" si="11"/>
        <v>0</v>
      </c>
      <c r="AQ16" s="2">
        <f t="shared" ca="1" si="16"/>
        <v>0</v>
      </c>
      <c r="AR16" s="2">
        <f t="shared" ca="1" si="17"/>
        <v>0</v>
      </c>
      <c r="AS16" s="2">
        <f t="shared" ca="1" si="11"/>
        <v>0</v>
      </c>
      <c r="AT16" s="2">
        <f t="shared" ca="1" si="18"/>
        <v>0</v>
      </c>
      <c r="AU16" s="32">
        <f t="shared" ca="1" si="11"/>
        <v>51</v>
      </c>
      <c r="AV16">
        <f t="shared" ca="1" si="19"/>
        <v>0</v>
      </c>
      <c r="AW16" s="2">
        <f t="shared" ca="1" si="19"/>
        <v>0</v>
      </c>
      <c r="AX16">
        <f t="shared" ca="1" si="11"/>
        <v>15</v>
      </c>
    </row>
    <row r="17" spans="1:50">
      <c r="A17" t="s">
        <v>23</v>
      </c>
      <c r="B17" s="30" t="s">
        <v>951</v>
      </c>
      <c r="C17">
        <f t="shared" ca="1" si="2"/>
        <v>0</v>
      </c>
      <c r="D17">
        <f t="shared" ca="1" si="2"/>
        <v>36</v>
      </c>
      <c r="E17">
        <f t="shared" ca="1" si="2"/>
        <v>32</v>
      </c>
      <c r="F17">
        <f t="shared" ca="1" si="3"/>
        <v>0</v>
      </c>
      <c r="G17">
        <f t="shared" ca="1" si="3"/>
        <v>0</v>
      </c>
      <c r="H17">
        <f t="shared" ca="1" si="2"/>
        <v>0</v>
      </c>
      <c r="I17">
        <f t="shared" ca="1" si="4"/>
        <v>0</v>
      </c>
      <c r="J17">
        <f t="shared" ca="1" si="5"/>
        <v>0</v>
      </c>
      <c r="K17" s="2">
        <f t="shared" ca="1" si="5"/>
        <v>0</v>
      </c>
      <c r="L17">
        <f t="shared" ca="1" si="2"/>
        <v>50</v>
      </c>
      <c r="M17">
        <f t="shared" ca="1" si="2"/>
        <v>35</v>
      </c>
      <c r="N17" s="2">
        <f t="shared" ca="1" si="6"/>
        <v>0</v>
      </c>
      <c r="O17" s="2">
        <f t="shared" ca="1" si="2"/>
        <v>0</v>
      </c>
      <c r="P17" s="2">
        <f t="shared" ca="1" si="2"/>
        <v>0</v>
      </c>
      <c r="Q17" s="2">
        <f t="shared" ca="1" si="7"/>
        <v>0</v>
      </c>
      <c r="R17" s="2">
        <f t="shared" ca="1" si="8"/>
        <v>0</v>
      </c>
      <c r="S17" s="2">
        <f t="shared" ca="1" si="2"/>
        <v>0</v>
      </c>
      <c r="T17" s="2">
        <f t="shared" ca="1" si="9"/>
        <v>0</v>
      </c>
      <c r="U17" s="32">
        <f t="shared" ca="1" si="2"/>
        <v>31</v>
      </c>
      <c r="V17">
        <f t="shared" ca="1" si="10"/>
        <v>0</v>
      </c>
      <c r="W17" s="2">
        <f t="shared" ca="1" si="10"/>
        <v>0</v>
      </c>
      <c r="X17">
        <f t="shared" ca="1" si="2"/>
        <v>5</v>
      </c>
      <c r="Z17" t="str">
        <f>IF(B17=AB17, "=", "-")</f>
        <v>-</v>
      </c>
      <c r="AA17" t="s">
        <v>23</v>
      </c>
      <c r="AB17" s="30" t="s">
        <v>949</v>
      </c>
      <c r="AC17">
        <f t="shared" ca="1" si="11"/>
        <v>0</v>
      </c>
      <c r="AD17">
        <f t="shared" ca="1" si="11"/>
        <v>17</v>
      </c>
      <c r="AE17">
        <f t="shared" ca="1" si="11"/>
        <v>20</v>
      </c>
      <c r="AF17">
        <f t="shared" ca="1" si="12"/>
        <v>26</v>
      </c>
      <c r="AG17">
        <f ca="1">IF(ISBLANK($AB17), 0, VLOOKUP($AB17, INDIRECT($AA17), MATCH(AG$2, StatHeader, 0), 0))</f>
        <v>17</v>
      </c>
      <c r="AH17">
        <f t="shared" ca="1" si="11"/>
        <v>0</v>
      </c>
      <c r="AI17">
        <f t="shared" ca="1" si="13"/>
        <v>6</v>
      </c>
      <c r="AJ17">
        <f t="shared" ca="1" si="14"/>
        <v>0</v>
      </c>
      <c r="AK17" s="2">
        <f t="shared" ca="1" si="14"/>
        <v>0</v>
      </c>
      <c r="AL17">
        <f t="shared" ca="1" si="11"/>
        <v>12</v>
      </c>
      <c r="AM17">
        <f t="shared" ca="1" si="11"/>
        <v>12</v>
      </c>
      <c r="AN17" s="2">
        <f t="shared" ca="1" si="15"/>
        <v>0</v>
      </c>
      <c r="AO17" s="2">
        <f t="shared" ca="1" si="11"/>
        <v>0.02</v>
      </c>
      <c r="AP17" s="2">
        <f t="shared" ca="1" si="11"/>
        <v>0</v>
      </c>
      <c r="AQ17" s="2">
        <f t="shared" ca="1" si="16"/>
        <v>0.02</v>
      </c>
      <c r="AR17" s="2">
        <f t="shared" ca="1" si="17"/>
        <v>0</v>
      </c>
      <c r="AS17" s="2">
        <f t="shared" ca="1" si="11"/>
        <v>0</v>
      </c>
      <c r="AT17" s="2">
        <f t="shared" ca="1" si="18"/>
        <v>0.04</v>
      </c>
      <c r="AU17" s="32">
        <f t="shared" ca="1" si="11"/>
        <v>31</v>
      </c>
      <c r="AV17">
        <f t="shared" ca="1" si="19"/>
        <v>0</v>
      </c>
      <c r="AW17" s="2">
        <f t="shared" ca="1" si="19"/>
        <v>0</v>
      </c>
      <c r="AX17">
        <f t="shared" ca="1" si="11"/>
        <v>5</v>
      </c>
    </row>
    <row r="18" spans="1:50">
      <c r="A18" t="s">
        <v>24</v>
      </c>
      <c r="B18" s="142"/>
      <c r="C18">
        <f t="shared" ref="C18:X18" si="20">SUMIF(INDEX(SetBonusLookup, 0, 1), "="&amp;C2, INDEX(SetBonusLookup, 0, MATCH("TPSet1Gear", INDEX(SetBonusLookup, 1, 0), 0)))</f>
        <v>0</v>
      </c>
      <c r="D18">
        <f t="shared" ca="1" si="20"/>
        <v>0</v>
      </c>
      <c r="E18">
        <f t="shared" ca="1" si="20"/>
        <v>0</v>
      </c>
      <c r="F18">
        <f t="shared" si="20"/>
        <v>0</v>
      </c>
      <c r="G18">
        <f t="shared" ca="1" si="20"/>
        <v>0</v>
      </c>
      <c r="H18">
        <f t="shared" ca="1" si="20"/>
        <v>0</v>
      </c>
      <c r="I18">
        <f t="shared" ca="1" si="20"/>
        <v>0</v>
      </c>
      <c r="J18">
        <f t="shared" si="20"/>
        <v>0</v>
      </c>
      <c r="K18">
        <f t="shared" si="20"/>
        <v>0</v>
      </c>
      <c r="L18">
        <f t="shared" ca="1" si="20"/>
        <v>0</v>
      </c>
      <c r="M18">
        <f t="shared" ca="1" si="20"/>
        <v>0</v>
      </c>
      <c r="N18" s="79">
        <f t="shared" si="20"/>
        <v>0</v>
      </c>
      <c r="O18" s="79">
        <f t="shared" ca="1" si="20"/>
        <v>0.04</v>
      </c>
      <c r="P18" s="79">
        <f t="shared" si="20"/>
        <v>0</v>
      </c>
      <c r="Q18" s="79">
        <f t="shared" si="20"/>
        <v>0</v>
      </c>
      <c r="R18" s="79">
        <f t="shared" si="20"/>
        <v>0</v>
      </c>
      <c r="S18" s="79">
        <f t="shared" si="20"/>
        <v>0</v>
      </c>
      <c r="T18" s="79">
        <f t="shared" si="20"/>
        <v>0</v>
      </c>
      <c r="U18">
        <f t="shared" ca="1" si="20"/>
        <v>0</v>
      </c>
      <c r="V18">
        <f t="shared" si="20"/>
        <v>0</v>
      </c>
      <c r="W18" s="79">
        <f t="shared" ca="1" si="20"/>
        <v>0</v>
      </c>
      <c r="X18">
        <f t="shared" si="20"/>
        <v>0</v>
      </c>
      <c r="Z18" t="str">
        <f ca="1">IF(AND(C18=AC18, D18=AD18, E18=AE18, F18=AF18, G18=AG18, H18=AH18, I18=AI18, J18=AJ18, K18=AK18, L18=AL18, M18=AM18, N18=AN18, O18=AO18, P18=AP18, Q18=AQ18, S18=AS18, T18=AT18, U18=AU18, V18=AV18, W18=AW18, X18=AX18), "=", "-")</f>
        <v>-</v>
      </c>
      <c r="AA18" t="s">
        <v>24</v>
      </c>
      <c r="AB18" s="142"/>
      <c r="AC18">
        <f t="shared" ref="AC18:AX18" si="21">SUMIF(INDEX(SetBonusLookup, 0, 1), "="&amp;AC2, INDEX(SetBonusLookup, 0, MATCH("TPSet2Gear", INDEX(SetBonusLookup, 1, 0), 0)))</f>
        <v>0</v>
      </c>
      <c r="AD18">
        <f t="shared" ca="1" si="21"/>
        <v>8</v>
      </c>
      <c r="AE18">
        <f t="shared" ca="1" si="21"/>
        <v>8</v>
      </c>
      <c r="AF18">
        <f t="shared" si="21"/>
        <v>0</v>
      </c>
      <c r="AG18">
        <f t="shared" ca="1" si="21"/>
        <v>8</v>
      </c>
      <c r="AH18">
        <f t="shared" ca="1" si="21"/>
        <v>0</v>
      </c>
      <c r="AI18">
        <f t="shared" ca="1" si="21"/>
        <v>0</v>
      </c>
      <c r="AJ18">
        <f t="shared" si="21"/>
        <v>0</v>
      </c>
      <c r="AK18">
        <f t="shared" si="21"/>
        <v>0</v>
      </c>
      <c r="AL18">
        <f t="shared" ca="1" si="21"/>
        <v>0</v>
      </c>
      <c r="AM18">
        <f t="shared" ca="1" si="21"/>
        <v>0</v>
      </c>
      <c r="AN18" s="79">
        <f t="shared" si="21"/>
        <v>0</v>
      </c>
      <c r="AO18" s="79">
        <f t="shared" ca="1" si="21"/>
        <v>0</v>
      </c>
      <c r="AP18" s="79">
        <f t="shared" si="21"/>
        <v>0</v>
      </c>
      <c r="AQ18" s="79">
        <f t="shared" si="21"/>
        <v>0</v>
      </c>
      <c r="AR18" s="79">
        <f t="shared" si="21"/>
        <v>0</v>
      </c>
      <c r="AS18" s="79">
        <f t="shared" si="21"/>
        <v>0</v>
      </c>
      <c r="AT18" s="79">
        <f t="shared" si="21"/>
        <v>0</v>
      </c>
      <c r="AU18">
        <f t="shared" ca="1" si="21"/>
        <v>0</v>
      </c>
      <c r="AV18">
        <f t="shared" si="21"/>
        <v>0</v>
      </c>
      <c r="AW18" s="79">
        <f t="shared" ca="1" si="21"/>
        <v>0</v>
      </c>
      <c r="AX18">
        <f t="shared" si="21"/>
        <v>0</v>
      </c>
    </row>
    <row r="19" spans="1:50">
      <c r="A19" t="s">
        <v>585</v>
      </c>
      <c r="C19" s="30"/>
      <c r="D19" s="30"/>
      <c r="E19" s="30"/>
      <c r="F19" s="30"/>
      <c r="G19" s="30"/>
      <c r="H19" s="30"/>
      <c r="I19" s="30"/>
      <c r="J19" s="30"/>
      <c r="K19" s="31"/>
      <c r="L19" s="30"/>
      <c r="M19" s="30"/>
      <c r="N19" s="31"/>
      <c r="O19" s="31"/>
      <c r="P19" s="31"/>
      <c r="Q19" s="31"/>
      <c r="R19" s="31"/>
      <c r="S19" s="31"/>
      <c r="T19" s="31"/>
      <c r="U19" s="33"/>
      <c r="V19" s="33"/>
      <c r="W19" s="33"/>
      <c r="X19" s="30"/>
      <c r="Z19" t="str">
        <f>IF(AND(C19=AC19, D19=AD19, E19=AE19, F19=AF19, G19=AG19, H19=AH19, I19=AI19, J19=AJ19, K19=AK19, L19=AL19, M19=AM19, N19=AN19, O19=AO19, P19=AP19, Q19=AQ19, S19=AS19, T19=AT19, U19=AU19, V19=AV19, W19=AW19, X19=AX19), "=", "-")</f>
        <v>=</v>
      </c>
      <c r="AA19" t="s">
        <v>585</v>
      </c>
      <c r="AC19" s="30"/>
      <c r="AD19" s="30"/>
      <c r="AE19" s="30"/>
      <c r="AF19" s="30"/>
      <c r="AG19" s="30"/>
      <c r="AH19" s="30"/>
      <c r="AI19" s="30"/>
      <c r="AJ19" s="30"/>
      <c r="AK19" s="31"/>
      <c r="AL19" s="30"/>
      <c r="AM19" s="30"/>
      <c r="AN19" s="31"/>
      <c r="AO19" s="31"/>
      <c r="AP19" s="31"/>
      <c r="AQ19" s="31"/>
      <c r="AR19" s="31"/>
      <c r="AS19" s="31"/>
      <c r="AT19" s="31"/>
      <c r="AU19" s="33"/>
      <c r="AV19" s="33"/>
      <c r="AW19" s="33"/>
      <c r="AX19" s="30"/>
    </row>
    <row r="20" spans="1:50">
      <c r="K20" s="2"/>
      <c r="O20" s="2"/>
      <c r="P20" s="2"/>
      <c r="Q20" s="2"/>
      <c r="R20" s="2"/>
      <c r="S20" s="2"/>
      <c r="T20" s="2"/>
      <c r="U20" s="2"/>
      <c r="V20" s="2"/>
      <c r="W20" s="2"/>
      <c r="AK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50">
      <c r="A21" t="s">
        <v>7</v>
      </c>
      <c r="C21">
        <f t="shared" ref="C21:X21" ca="1" si="22">SUM(C3:C19)</f>
        <v>0</v>
      </c>
      <c r="D21">
        <f t="shared" ca="1" si="22"/>
        <v>187</v>
      </c>
      <c r="E21">
        <f t="shared" ca="1" si="22"/>
        <v>164</v>
      </c>
      <c r="F21">
        <f t="shared" ca="1" si="22"/>
        <v>52</v>
      </c>
      <c r="G21">
        <f t="shared" ca="1" si="22"/>
        <v>140</v>
      </c>
      <c r="H21">
        <f ca="1">SUM(H3:H19)</f>
        <v>58</v>
      </c>
      <c r="I21">
        <f ca="1">SUM(I3:I19)</f>
        <v>44</v>
      </c>
      <c r="J21">
        <f ca="1">SUM(J3:J19)</f>
        <v>80</v>
      </c>
      <c r="K21" s="2">
        <f ca="1">SUM(K3:K19)</f>
        <v>0</v>
      </c>
      <c r="L21">
        <f t="shared" ca="1" si="22"/>
        <v>180</v>
      </c>
      <c r="M21">
        <f t="shared" ca="1" si="22"/>
        <v>220</v>
      </c>
      <c r="N21" s="2">
        <f t="shared" ca="1" si="22"/>
        <v>0</v>
      </c>
      <c r="O21" s="2">
        <f t="shared" ca="1" si="22"/>
        <v>0.3</v>
      </c>
      <c r="P21" s="2">
        <f t="shared" ca="1" si="22"/>
        <v>9.0000000000000011E-2</v>
      </c>
      <c r="Q21" s="2">
        <f t="shared" ca="1" si="22"/>
        <v>0.08</v>
      </c>
      <c r="R21" s="2">
        <f t="shared" ca="1" si="22"/>
        <v>0</v>
      </c>
      <c r="S21" s="2">
        <f t="shared" ca="1" si="22"/>
        <v>0.01</v>
      </c>
      <c r="T21" s="2">
        <f t="shared" ca="1" si="22"/>
        <v>0</v>
      </c>
      <c r="U21" s="2">
        <f ca="1">SUM(U3:U19)/1024</f>
        <v>0.21875</v>
      </c>
      <c r="V21">
        <f t="shared" ca="1" si="22"/>
        <v>0</v>
      </c>
      <c r="W21" s="2">
        <f t="shared" ca="1" si="22"/>
        <v>0</v>
      </c>
      <c r="X21">
        <f t="shared" ca="1" si="22"/>
        <v>44</v>
      </c>
      <c r="Z21" t="str">
        <f ca="1">IF(AND(C21=AC21, D21=AD21, E21=AE21, F21=AF21, G21=AG21, H21=AH21, I21=AI21, J21=AJ21, K21=AK21, L21=AL21, M21=AM21, N21=AN21, O21=AO21, P21=AP21, Q21=AQ21, S21=AS21, T21=AT21, U21=AU21, V21=AV21, W21=AW21, X21=AX21), "=", "-")</f>
        <v>-</v>
      </c>
      <c r="AA21" t="s">
        <v>7</v>
      </c>
      <c r="AC21">
        <f t="shared" ref="AC21:AX21" ca="1" si="23">SUM(AC3:AC19)</f>
        <v>0</v>
      </c>
      <c r="AD21">
        <f t="shared" ca="1" si="23"/>
        <v>160</v>
      </c>
      <c r="AE21">
        <f t="shared" ca="1" si="23"/>
        <v>171</v>
      </c>
      <c r="AF21">
        <f t="shared" ca="1" si="23"/>
        <v>86</v>
      </c>
      <c r="AG21">
        <f t="shared" ca="1" si="23"/>
        <v>150</v>
      </c>
      <c r="AH21">
        <f ca="1">SUM(AH3:AH19)</f>
        <v>65</v>
      </c>
      <c r="AI21">
        <f ca="1">SUM(AI3:AI19)</f>
        <v>74</v>
      </c>
      <c r="AJ21">
        <f ca="1">SUM(AJ3:AJ19)</f>
        <v>140</v>
      </c>
      <c r="AK21" s="2">
        <f ca="1">SUM(AK3:AK19)</f>
        <v>0</v>
      </c>
      <c r="AL21">
        <f t="shared" ca="1" si="23"/>
        <v>102</v>
      </c>
      <c r="AM21">
        <f t="shared" ca="1" si="23"/>
        <v>225</v>
      </c>
      <c r="AN21" s="2">
        <f t="shared" ca="1" si="23"/>
        <v>0</v>
      </c>
      <c r="AO21" s="2">
        <f t="shared" ca="1" si="23"/>
        <v>0.33000000000000007</v>
      </c>
      <c r="AP21" s="2">
        <f t="shared" ca="1" si="23"/>
        <v>7.0000000000000007E-2</v>
      </c>
      <c r="AQ21" s="2">
        <f t="shared" ca="1" si="23"/>
        <v>0.08</v>
      </c>
      <c r="AR21" s="2">
        <f t="shared" ca="1" si="23"/>
        <v>0</v>
      </c>
      <c r="AS21" s="2">
        <f t="shared" ca="1" si="23"/>
        <v>0.09</v>
      </c>
      <c r="AT21" s="2">
        <f t="shared" ca="1" si="23"/>
        <v>0.04</v>
      </c>
      <c r="AU21" s="2">
        <f ca="1">SUM(AU3:AU19)/1024</f>
        <v>0.259765625</v>
      </c>
      <c r="AV21">
        <f t="shared" ca="1" si="23"/>
        <v>0</v>
      </c>
      <c r="AX21">
        <f t="shared" ca="1" si="23"/>
        <v>54</v>
      </c>
    </row>
    <row r="22" spans="1:50">
      <c r="A22" s="9" t="s">
        <v>108</v>
      </c>
      <c r="B22" s="8">
        <f ca="1">Setup!B52</f>
        <v>6310.2337883374203</v>
      </c>
      <c r="M22" s="178">
        <f ca="1">Data!B114</f>
        <v>0.95</v>
      </c>
      <c r="N22" s="79"/>
      <c r="AA22" s="9" t="s">
        <v>108</v>
      </c>
      <c r="AB22" s="8">
        <f ca="1">Setup!C52</f>
        <v>5206.4412733731651</v>
      </c>
      <c r="AM22" s="79">
        <f ca="1">Data!C114</f>
        <v>0.95</v>
      </c>
    </row>
    <row r="24" spans="1:50">
      <c r="A24" t="s">
        <v>294</v>
      </c>
      <c r="AA24" t="s">
        <v>295</v>
      </c>
    </row>
    <row r="25" spans="1:50">
      <c r="A25" t="s">
        <v>8</v>
      </c>
      <c r="B25" t="s">
        <v>14</v>
      </c>
      <c r="C25" t="str">
        <f>C2</f>
        <v>GSkill</v>
      </c>
      <c r="D25" t="s">
        <v>3</v>
      </c>
      <c r="E25" t="s">
        <v>4</v>
      </c>
      <c r="F25" t="s">
        <v>42</v>
      </c>
      <c r="G25" t="s">
        <v>5</v>
      </c>
      <c r="H25" t="s">
        <v>181</v>
      </c>
      <c r="I25" t="s">
        <v>182</v>
      </c>
      <c r="J25" t="s">
        <v>217</v>
      </c>
      <c r="K25" t="s">
        <v>218</v>
      </c>
      <c r="L25" t="s">
        <v>9</v>
      </c>
      <c r="M25" t="s">
        <v>10</v>
      </c>
      <c r="N25" t="s">
        <v>436</v>
      </c>
      <c r="O25" t="s">
        <v>12</v>
      </c>
      <c r="P25" t="s">
        <v>149</v>
      </c>
      <c r="Q25" t="s">
        <v>415</v>
      </c>
      <c r="R25" t="s">
        <v>125</v>
      </c>
      <c r="S25" t="s">
        <v>124</v>
      </c>
      <c r="T25" t="s">
        <v>183</v>
      </c>
      <c r="U25" t="s">
        <v>416</v>
      </c>
      <c r="V25" t="s">
        <v>163</v>
      </c>
      <c r="W25" t="s">
        <v>563</v>
      </c>
      <c r="X25" t="s">
        <v>454</v>
      </c>
      <c r="AA25" t="s">
        <v>8</v>
      </c>
      <c r="AB25" t="s">
        <v>14</v>
      </c>
      <c r="AC25" t="str">
        <f>AC2</f>
        <v>SSkill</v>
      </c>
      <c r="AD25" t="s">
        <v>3</v>
      </c>
      <c r="AE25" t="s">
        <v>4</v>
      </c>
      <c r="AF25" t="s">
        <v>42</v>
      </c>
      <c r="AG25" t="s">
        <v>5</v>
      </c>
      <c r="AH25" t="s">
        <v>181</v>
      </c>
      <c r="AI25" t="s">
        <v>182</v>
      </c>
      <c r="AJ25" t="s">
        <v>217</v>
      </c>
      <c r="AK25" t="s">
        <v>218</v>
      </c>
      <c r="AL25" t="s">
        <v>9</v>
      </c>
      <c r="AM25" t="s">
        <v>10</v>
      </c>
      <c r="AN25" t="s">
        <v>436</v>
      </c>
      <c r="AO25" t="s">
        <v>12</v>
      </c>
      <c r="AP25" t="s">
        <v>149</v>
      </c>
      <c r="AQ25" t="s">
        <v>415</v>
      </c>
      <c r="AR25" t="s">
        <v>125</v>
      </c>
      <c r="AS25" t="s">
        <v>124</v>
      </c>
      <c r="AT25" t="s">
        <v>183</v>
      </c>
      <c r="AU25" t="s">
        <v>416</v>
      </c>
      <c r="AV25" t="s">
        <v>163</v>
      </c>
      <c r="AW25" t="s">
        <v>563</v>
      </c>
      <c r="AX25" t="s">
        <v>454</v>
      </c>
    </row>
    <row r="26" spans="1:50">
      <c r="A26" t="str">
        <f>A3</f>
        <v>GreatSword</v>
      </c>
      <c r="B26" t="str">
        <f>B3</f>
        <v>Caladbolg 119</v>
      </c>
      <c r="C26">
        <f t="shared" ref="C26:X27" ca="1" si="24">IF(ISBLANK($B26), 0, VLOOKUP($B26, INDIRECT($A26), MATCH(C$25, StatHeader, 0), 0))</f>
        <v>0</v>
      </c>
      <c r="D26">
        <f t="shared" ca="1" si="24"/>
        <v>0</v>
      </c>
      <c r="E26">
        <f t="shared" ca="1" si="24"/>
        <v>0</v>
      </c>
      <c r="F26">
        <f t="shared" ca="1" si="24"/>
        <v>0</v>
      </c>
      <c r="G26">
        <f t="shared" ca="1" si="24"/>
        <v>50</v>
      </c>
      <c r="H26">
        <f t="shared" ca="1" si="24"/>
        <v>0</v>
      </c>
      <c r="I26">
        <f t="shared" ca="1" si="24"/>
        <v>0</v>
      </c>
      <c r="J26">
        <f t="shared" ca="1" si="24"/>
        <v>0</v>
      </c>
      <c r="K26" s="2">
        <f t="shared" ca="1" si="24"/>
        <v>0</v>
      </c>
      <c r="L26">
        <f t="shared" ca="1" si="24"/>
        <v>0</v>
      </c>
      <c r="M26">
        <f t="shared" ca="1" si="24"/>
        <v>0</v>
      </c>
      <c r="N26" s="2">
        <f t="shared" ca="1" si="24"/>
        <v>0</v>
      </c>
      <c r="O26" s="2">
        <f t="shared" ca="1" si="24"/>
        <v>0</v>
      </c>
      <c r="P26" s="2">
        <f t="shared" ca="1" si="24"/>
        <v>0</v>
      </c>
      <c r="Q26" s="2">
        <f t="shared" ca="1" si="24"/>
        <v>0</v>
      </c>
      <c r="R26" s="2">
        <f t="shared" ref="R26:V27" ca="1" si="25">IF(ISBLANK($B26), 0, VLOOKUP($B26, INDIRECT($A26), MATCH(R$25, StatHeader, 0), 0))</f>
        <v>0</v>
      </c>
      <c r="S26" s="2">
        <f t="shared" ca="1" si="25"/>
        <v>0</v>
      </c>
      <c r="T26" s="32">
        <f t="shared" ca="1" si="25"/>
        <v>0</v>
      </c>
      <c r="U26" s="2">
        <f t="shared" ca="1" si="25"/>
        <v>0</v>
      </c>
      <c r="V26" s="2">
        <f t="shared" ca="1" si="25"/>
        <v>0</v>
      </c>
      <c r="W26" s="32">
        <f ca="1">IF(ISBLANK($B26), 0, IF(ISNUMBER(VLOOKUP($B26, INDIRECT($A26), MATCH("D"&amp;W$25, StatHeader, 0), 0)), IF(Setup!$F$42=1, VLOOKUP($B26, INDIRECT($A26), MATCH("D"&amp;W$25, StatHeader, 0), 0), 0), VLOOKUP($B26, INDIRECT($A26), MATCH(W$25, StatHeader, 0), 0)))</f>
        <v>0</v>
      </c>
      <c r="X26">
        <f t="shared" ca="1" si="24"/>
        <v>0</v>
      </c>
      <c r="AA26" t="str">
        <f>AA3</f>
        <v>Scythe</v>
      </c>
      <c r="AB26" t="str">
        <f>AB3</f>
        <v>Anguta</v>
      </c>
      <c r="AC26">
        <f ca="1">IF(ISBLANK($AB26), 0, VLOOKUP($AB26, INDIRECT($AA26), MATCH(AC$25, StatHeader, 0), 0))</f>
        <v>0</v>
      </c>
      <c r="AD26">
        <f ca="1">IF(ISBLANK($AB26), 0, VLOOKUP($AB26, INDIRECT($AA26), MATCH(AD$25, StatHeader, 0), 0))</f>
        <v>0</v>
      </c>
      <c r="AE26">
        <f ca="1">IF(ISBLANK($AB26), 0, VLOOKUP($AB26, INDIRECT($AA26), MATCH(AE$25, StatHeader, 0), 0))</f>
        <v>0</v>
      </c>
      <c r="AF26">
        <f t="shared" ref="AF26:AF27" ca="1" si="26">IF(ISBLANK($AB26), 0, VLOOKUP($AB26, INDIRECT($AA26), MATCH(AF$25, StatHeader, 0), 0))</f>
        <v>0</v>
      </c>
      <c r="AG26">
        <f ca="1">IF(ISBLANK($AB26), 0, VLOOKUP($AB26, INDIRECT($AA26), MATCH(AG$25, StatHeader, 0), 0))</f>
        <v>0</v>
      </c>
      <c r="AH26">
        <f ca="1">IF(ISBLANK($AB26), 0, VLOOKUP($AB26, INDIRECT($AA26), MATCH(AH$25, StatHeader, 0), 0))</f>
        <v>0</v>
      </c>
      <c r="AI26">
        <f ca="1">IF(ISBLANK($AB26), 0, VLOOKUP($AB26, INDIRECT($AA26), MATCH(AI$25, StatHeader, 0), 0))</f>
        <v>0</v>
      </c>
      <c r="AJ26">
        <f ca="1">IF(ISBLANK($AB26), 0, VLOOKUP($AB26, INDIRECT($AA26), MATCH(AJ$25, StatHeader, 0), 0))</f>
        <v>0</v>
      </c>
      <c r="AK26" s="2">
        <f ca="1">IF(ISBLANK($AB26), 0, VLOOKUP($AB26, INDIRECT($AA26), MATCH(AK$25, StatHeader, 0), 0))</f>
        <v>0</v>
      </c>
      <c r="AL26">
        <f ca="1">IF(ISBLANK($AB26), 0, VLOOKUP($AB26, INDIRECT($AA26), MATCH(AL$25, StatHeader, 0), 0))</f>
        <v>0</v>
      </c>
      <c r="AM26">
        <f ca="1">IF(ISBLANK($AB26), 0, VLOOKUP($AB26, INDIRECT($AA26), MATCH(AM$25, StatHeader, 0), 0))</f>
        <v>0</v>
      </c>
      <c r="AN26" s="2">
        <f ca="1">IF(ISBLANK($AB26), 0, VLOOKUP($AB26, INDIRECT($AA26), MATCH(AN$25, StatHeader, 0), 0))</f>
        <v>0</v>
      </c>
      <c r="AO26" s="2">
        <f ca="1">IF(ISBLANK($AB26), 0, VLOOKUP($AB26, INDIRECT($AA26), MATCH(AO$25, StatHeader, 0), 0))</f>
        <v>0</v>
      </c>
      <c r="AP26" s="2">
        <f ca="1">IF(ISBLANK($AB26), 0, VLOOKUP($AB26, INDIRECT($AA26), MATCH(AP$25, StatHeader, 0), 0))</f>
        <v>0</v>
      </c>
      <c r="AQ26" s="2">
        <f ca="1">IF(ISBLANK($AB26), 0, VLOOKUP($AB26, INDIRECT($AA26), MATCH(AQ$25, StatHeader, 0), 0))</f>
        <v>0</v>
      </c>
      <c r="AR26" s="2">
        <f t="shared" ref="AR26:AV27" ca="1" si="27">IF(ISBLANK($AB26), 0, VLOOKUP($AB26, INDIRECT($AA26), MATCH(AR$25, StatHeader, 0), 0))</f>
        <v>0</v>
      </c>
      <c r="AS26" s="2">
        <f t="shared" ca="1" si="27"/>
        <v>0</v>
      </c>
      <c r="AT26" s="32">
        <f t="shared" ca="1" si="27"/>
        <v>500</v>
      </c>
      <c r="AU26" s="2">
        <f t="shared" ca="1" si="27"/>
        <v>0</v>
      </c>
      <c r="AV26" s="2">
        <f t="shared" ca="1" si="27"/>
        <v>0</v>
      </c>
      <c r="AW26" s="32">
        <f ca="1">IF(ISBLANK($AB26), 0, IF(ISNUMBER(VLOOKUP($AB26, INDIRECT($AA26), MATCH("D"&amp;AW$25, StatHeader, 0), 0)), IF(Setup!$G$42=1, VLOOKUP($AB26, INDIRECT($AA26), MATCH("D"&amp;AW$25, StatHeader, 0), 0), 0), VLOOKUP($AB26, INDIRECT($AA26), MATCH(AW$25, StatHeader, 0), 0)))</f>
        <v>0</v>
      </c>
      <c r="AX26">
        <f ca="1">IF(ISBLANK($AB26), 0, VLOOKUP($AB26, INDIRECT($AA26), MATCH(AX$25, StatHeader, 0), 0))</f>
        <v>10</v>
      </c>
    </row>
    <row r="27" spans="1:50">
      <c r="A27" t="str">
        <f>A4</f>
        <v>Grip</v>
      </c>
      <c r="B27" s="38" t="str">
        <f>B4</f>
        <v>Utu</v>
      </c>
      <c r="C27">
        <f t="shared" ca="1" si="24"/>
        <v>0</v>
      </c>
      <c r="D27">
        <f t="shared" ca="1" si="24"/>
        <v>0</v>
      </c>
      <c r="E27">
        <f t="shared" ca="1" si="24"/>
        <v>0</v>
      </c>
      <c r="F27">
        <f t="shared" ca="1" si="24"/>
        <v>0</v>
      </c>
      <c r="G27">
        <f t="shared" ca="1" si="24"/>
        <v>0</v>
      </c>
      <c r="H27">
        <f t="shared" ca="1" si="24"/>
        <v>0</v>
      </c>
      <c r="I27">
        <f t="shared" ca="1" si="24"/>
        <v>0</v>
      </c>
      <c r="J27">
        <f t="shared" ca="1" si="24"/>
        <v>0</v>
      </c>
      <c r="K27" s="2">
        <f t="shared" ca="1" si="24"/>
        <v>0</v>
      </c>
      <c r="L27">
        <f t="shared" ca="1" si="24"/>
        <v>30</v>
      </c>
      <c r="M27">
        <f t="shared" ca="1" si="24"/>
        <v>30</v>
      </c>
      <c r="N27" s="2">
        <f t="shared" ca="1" si="24"/>
        <v>0</v>
      </c>
      <c r="O27" s="2">
        <f t="shared" ca="1" si="24"/>
        <v>0</v>
      </c>
      <c r="P27" s="2">
        <f t="shared" ca="1" si="24"/>
        <v>0</v>
      </c>
      <c r="Q27" s="2">
        <f t="shared" ca="1" si="24"/>
        <v>0</v>
      </c>
      <c r="R27" s="2">
        <f t="shared" ca="1" si="25"/>
        <v>0</v>
      </c>
      <c r="S27" s="2">
        <f t="shared" ca="1" si="25"/>
        <v>0</v>
      </c>
      <c r="T27" s="32">
        <f t="shared" ca="1" si="25"/>
        <v>0</v>
      </c>
      <c r="U27" s="2">
        <f t="shared" ca="1" si="25"/>
        <v>0</v>
      </c>
      <c r="V27" s="2">
        <f t="shared" ca="1" si="25"/>
        <v>0</v>
      </c>
      <c r="W27" s="32">
        <f ca="1">IF(ISBLANK($B27), 0, IF(ISNUMBER(VLOOKUP($B27, INDIRECT($A27), MATCH("D"&amp;W$25, StatHeader, 0), 0)), IF(Setup!$F$42=1, VLOOKUP($B27, INDIRECT($A27), MATCH("D"&amp;W$25, StatHeader, 0), 0), 0), VLOOKUP($B27, INDIRECT($A27), MATCH(W$25, StatHeader, 0), 0)))</f>
        <v>0</v>
      </c>
      <c r="X27">
        <f t="shared" ca="1" si="24"/>
        <v>0</v>
      </c>
      <c r="AA27" t="str">
        <f>AA4</f>
        <v>Grip</v>
      </c>
      <c r="AB27" s="38" t="str">
        <f>AB4</f>
        <v>Utu</v>
      </c>
      <c r="AC27">
        <f ca="1">IF(ISBLANK($AB27), 0, VLOOKUP($AB27, INDIRECT($AA27), MATCH(AC$25, StatHeader, 0), 0))</f>
        <v>0</v>
      </c>
      <c r="AD27">
        <f ca="1">IF(ISBLANK($AB27), 0, VLOOKUP($AB27, INDIRECT($AA27), MATCH(AD$25, StatHeader, 0), 0))</f>
        <v>0</v>
      </c>
      <c r="AE27">
        <f ca="1">IF(ISBLANK($AB27), 0, VLOOKUP($AB27, INDIRECT($AA27), MATCH(AE$25, StatHeader, 0), 0))</f>
        <v>0</v>
      </c>
      <c r="AF27">
        <f t="shared" ca="1" si="26"/>
        <v>0</v>
      </c>
      <c r="AG27">
        <f ca="1">IF(ISBLANK($AB27), 0, VLOOKUP($AB27, INDIRECT($AA27), MATCH(AG$25, StatHeader, 0), 0))</f>
        <v>0</v>
      </c>
      <c r="AH27">
        <f ca="1">IF(ISBLANK($AB27), 0, VLOOKUP($AB27, INDIRECT($AA27), MATCH(AH$25, StatHeader, 0), 0))</f>
        <v>0</v>
      </c>
      <c r="AI27">
        <f ca="1">IF(ISBLANK($AB27), 0, VLOOKUP($AB27, INDIRECT($AA27), MATCH(AI$25, StatHeader, 0), 0))</f>
        <v>0</v>
      </c>
      <c r="AJ27">
        <f ca="1">IF(ISBLANK($AB27), 0, VLOOKUP($AB27, INDIRECT($AA27), MATCH(AJ$25, StatHeader, 0), 0))</f>
        <v>0</v>
      </c>
      <c r="AK27" s="2">
        <f ca="1">IF(ISBLANK($AB27), 0, VLOOKUP($AB27, INDIRECT($AA27), MATCH(AK$25, StatHeader, 0), 0))</f>
        <v>0</v>
      </c>
      <c r="AL27">
        <f ca="1">IF(ISBLANK($AB27), 0, VLOOKUP($AB27, INDIRECT($AA27), MATCH(AL$25, StatHeader, 0), 0))</f>
        <v>30</v>
      </c>
      <c r="AM27">
        <f ca="1">IF(ISBLANK($AB27), 0, VLOOKUP($AB27, INDIRECT($AA27), MATCH(AM$25, StatHeader, 0), 0))</f>
        <v>30</v>
      </c>
      <c r="AN27" s="2">
        <f ca="1">IF(ISBLANK($AB27), 0, VLOOKUP($AB27, INDIRECT($AA27), MATCH(AN$25, StatHeader, 0), 0))</f>
        <v>0</v>
      </c>
      <c r="AO27" s="2">
        <f ca="1">IF(ISBLANK($AB27), 0, VLOOKUP($AB27, INDIRECT($AA27), MATCH(AO$25, StatHeader, 0), 0))</f>
        <v>0</v>
      </c>
      <c r="AP27" s="2">
        <f ca="1">IF(ISBLANK($AB27), 0, VLOOKUP($AB27, INDIRECT($AA27), MATCH(AP$25, StatHeader, 0), 0))</f>
        <v>0</v>
      </c>
      <c r="AQ27" s="2">
        <f ca="1">IF(ISBLANK($AB27), 0, VLOOKUP($AB27, INDIRECT($AA27), MATCH(AQ$25, StatHeader, 0), 0))</f>
        <v>0</v>
      </c>
      <c r="AR27" s="2">
        <f t="shared" ca="1" si="27"/>
        <v>0</v>
      </c>
      <c r="AS27" s="2">
        <f t="shared" ca="1" si="27"/>
        <v>0</v>
      </c>
      <c r="AT27" s="32">
        <f t="shared" ca="1" si="27"/>
        <v>0</v>
      </c>
      <c r="AU27" s="2">
        <f t="shared" ca="1" si="27"/>
        <v>0</v>
      </c>
      <c r="AV27" s="2">
        <f t="shared" ca="1" si="27"/>
        <v>0</v>
      </c>
      <c r="AW27" s="32">
        <f ca="1">IF(ISBLANK($AB27), 0, IF(ISNUMBER(VLOOKUP($AB27, INDIRECT($AA27), MATCH("D"&amp;AW$25, StatHeader, 0), 0)), IF(Setup!$G$42=1, VLOOKUP($AB27, INDIRECT($AA27), MATCH("D"&amp;AW$25, StatHeader, 0), 0), 0), VLOOKUP($AB27, INDIRECT($AA27), MATCH(AW$25, StatHeader, 0), 0)))</f>
        <v>0</v>
      </c>
      <c r="AX27">
        <f ca="1">IF(ISBLANK($AB27), 0, VLOOKUP($AB27, INDIRECT($AA27), MATCH(AX$25, StatHeader, 0), 0))</f>
        <v>0</v>
      </c>
    </row>
    <row r="28" spans="1:50">
      <c r="A28" t="s">
        <v>15</v>
      </c>
      <c r="B28" s="30" t="s">
        <v>931</v>
      </c>
      <c r="C28">
        <f t="shared" ref="C28:L40" ca="1" si="28">IF(ISBLANK($B28), 0, VLOOKUP($B28, INDIRECT($A28), MATCH(C$25, StatHeader, 0), 0))</f>
        <v>0</v>
      </c>
      <c r="D28">
        <f t="shared" ca="1" si="28"/>
        <v>0</v>
      </c>
      <c r="E28">
        <f t="shared" ca="1" si="28"/>
        <v>0</v>
      </c>
      <c r="F28">
        <f t="shared" ca="1" si="28"/>
        <v>0</v>
      </c>
      <c r="G28">
        <f t="shared" ca="1" si="28"/>
        <v>0</v>
      </c>
      <c r="H28">
        <f t="shared" ca="1" si="28"/>
        <v>0</v>
      </c>
      <c r="I28">
        <f t="shared" ca="1" si="28"/>
        <v>0</v>
      </c>
      <c r="J28">
        <f t="shared" ca="1" si="28"/>
        <v>0</v>
      </c>
      <c r="K28" s="2">
        <f t="shared" ca="1" si="28"/>
        <v>0</v>
      </c>
      <c r="L28">
        <f t="shared" ca="1" si="28"/>
        <v>23</v>
      </c>
      <c r="M28">
        <f t="shared" ref="M28:M40" ca="1" si="29">IF(ISBLANK($B28), 0, VLOOKUP($B28, INDIRECT($A28), MATCH(M$25, StatHeader, 0), 0))</f>
        <v>0</v>
      </c>
      <c r="N28" s="2">
        <f t="shared" ref="N28:N40" ca="1" si="30">IF(ISBLANK($B28), 0, VLOOKUP($B28, INDIRECT($A28), MATCH(N$25, StatHeader, 0), 0))</f>
        <v>0</v>
      </c>
      <c r="O28" s="2">
        <f t="shared" ref="O28:V40" ca="1" si="31">IF(ISBLANK($B28), 0, VLOOKUP($B28, INDIRECT($A28), MATCH(O$25, StatHeader, 0), 0))</f>
        <v>0</v>
      </c>
      <c r="P28" s="2">
        <f t="shared" ca="1" si="31"/>
        <v>0</v>
      </c>
      <c r="Q28" s="2">
        <f t="shared" ca="1" si="31"/>
        <v>0</v>
      </c>
      <c r="R28" s="2">
        <f t="shared" ca="1" si="31"/>
        <v>0</v>
      </c>
      <c r="S28" s="2">
        <f t="shared" ca="1" si="31"/>
        <v>0</v>
      </c>
      <c r="T28" s="32">
        <f t="shared" ca="1" si="31"/>
        <v>0</v>
      </c>
      <c r="U28" s="2">
        <f t="shared" ca="1" si="31"/>
        <v>0</v>
      </c>
      <c r="V28" s="2">
        <f t="shared" ca="1" si="31"/>
        <v>0.06</v>
      </c>
      <c r="W28" s="32">
        <f ca="1">IF(ISBLANK($B28), 0, IF(ISNUMBER(VLOOKUP($B28, INDIRECT($A28), MATCH("D"&amp;W$25, StatHeader, 0), 0)), IF(Setup!$F$42=1, VLOOKUP($B28, INDIRECT($A28), MATCH("D"&amp;W$25, StatHeader, 0), 0), 0), VLOOKUP($B28, INDIRECT($A28), MATCH(W$25, StatHeader, 0), 0)))</f>
        <v>0</v>
      </c>
      <c r="X28">
        <f t="shared" ref="X28:X40" ca="1" si="32">IF(ISBLANK($B28), 0, VLOOKUP($B28, INDIRECT($A28), MATCH(X$25, StatHeader, 0), 0))</f>
        <v>0</v>
      </c>
      <c r="Z28" t="str">
        <f>IF(B28=AB28, "=", "-")</f>
        <v>=</v>
      </c>
      <c r="AA28" t="s">
        <v>15</v>
      </c>
      <c r="AB28" s="30" t="s">
        <v>931</v>
      </c>
      <c r="AC28">
        <f ca="1">IF(ISBLANK($AB28), 0, VLOOKUP($AB28, INDIRECT($AA28), MATCH(AC$25, StatHeader, 0), 0))</f>
        <v>0</v>
      </c>
      <c r="AD28">
        <f ca="1">IF(ISBLANK($AB28), 0, VLOOKUP($AB28, INDIRECT($AA28), MATCH(AD$25, StatHeader, 0), 0))</f>
        <v>0</v>
      </c>
      <c r="AE28">
        <f ca="1">IF(ISBLANK($AB28), 0, VLOOKUP($AB28, INDIRECT($AA28), MATCH(AE$25, StatHeader, 0), 0))</f>
        <v>0</v>
      </c>
      <c r="AF28">
        <f t="shared" ref="AF28:AF40" ca="1" si="33">IF(ISBLANK($AB28), 0, VLOOKUP($AB28, INDIRECT($AA28), MATCH(AF$25, StatHeader, 0), 0))</f>
        <v>0</v>
      </c>
      <c r="AG28">
        <f ca="1">IF(ISBLANK($AB28), 0, VLOOKUP($AB28, INDIRECT($AA28), MATCH(AG$25, StatHeader, 0), 0))</f>
        <v>0</v>
      </c>
      <c r="AH28">
        <f ca="1">IF(ISBLANK($AB28), 0, VLOOKUP($AB28, INDIRECT($AA28), MATCH(AH$25, StatHeader, 0), 0))</f>
        <v>0</v>
      </c>
      <c r="AI28">
        <f ca="1">IF(ISBLANK($AB28), 0, VLOOKUP($AB28, INDIRECT($AA28), MATCH(AI$25, StatHeader, 0), 0))</f>
        <v>0</v>
      </c>
      <c r="AJ28">
        <f ca="1">IF(ISBLANK($AB28), 0, VLOOKUP($AB28, INDIRECT($AA28), MATCH(AJ$25, StatHeader, 0), 0))</f>
        <v>0</v>
      </c>
      <c r="AK28" s="2">
        <f ca="1">IF(ISBLANK($AB28), 0, VLOOKUP($AB28, INDIRECT($AA28), MATCH(AK$25, StatHeader, 0), 0))</f>
        <v>0</v>
      </c>
      <c r="AL28">
        <f ca="1">IF(ISBLANK($AB28), 0, VLOOKUP($AB28, INDIRECT($AA28), MATCH(AL$25, StatHeader, 0), 0))</f>
        <v>23</v>
      </c>
      <c r="AM28">
        <f t="shared" ref="AM28:AM40" ca="1" si="34">IF(ISBLANK($AB28), 0, VLOOKUP($AB28, INDIRECT($AA28), MATCH(AM$25, StatHeader, 0), 0))</f>
        <v>0</v>
      </c>
      <c r="AN28" s="2">
        <f t="shared" ref="AN28:AN40" ca="1" si="35">IF(ISBLANK($AB28), 0, VLOOKUP($AB28, INDIRECT($AA28), MATCH(AN$25, StatHeader, 0), 0))</f>
        <v>0</v>
      </c>
      <c r="AO28" s="2">
        <f t="shared" ref="AO28:AV40" ca="1" si="36">IF(ISBLANK($AB28), 0, VLOOKUP($AB28, INDIRECT($AA28), MATCH(AO$25, StatHeader, 0), 0))</f>
        <v>0</v>
      </c>
      <c r="AP28" s="2">
        <f t="shared" ca="1" si="36"/>
        <v>0</v>
      </c>
      <c r="AQ28" s="2">
        <f t="shared" ca="1" si="36"/>
        <v>0</v>
      </c>
      <c r="AR28" s="2">
        <f t="shared" ca="1" si="36"/>
        <v>0</v>
      </c>
      <c r="AS28" s="2">
        <f t="shared" ca="1" si="36"/>
        <v>0</v>
      </c>
      <c r="AT28" s="32">
        <f t="shared" ca="1" si="36"/>
        <v>0</v>
      </c>
      <c r="AU28" s="2">
        <f t="shared" ca="1" si="36"/>
        <v>0</v>
      </c>
      <c r="AV28" s="2">
        <f t="shared" ca="1" si="36"/>
        <v>0.06</v>
      </c>
      <c r="AW28" s="32">
        <f ca="1">IF(ISBLANK($AB28), 0, IF(ISNUMBER(VLOOKUP($AB28, INDIRECT($AA28), MATCH("D"&amp;AW$25, StatHeader, 0), 0)), IF(Setup!$G$42=1, VLOOKUP($AB28, INDIRECT($AA28), MATCH("D"&amp;AW$25, StatHeader, 0), 0), 0), VLOOKUP($AB28, INDIRECT($AA28), MATCH(AW$25, StatHeader, 0), 0)))</f>
        <v>0</v>
      </c>
      <c r="AX28">
        <f t="shared" ref="AX28:AX40" ca="1" si="37">IF(ISBLANK($AB28), 0, VLOOKUP($AB28, INDIRECT($AA28), MATCH(AX$25, StatHeader, 0), 0))</f>
        <v>0</v>
      </c>
    </row>
    <row r="29" spans="1:50">
      <c r="A29" t="s">
        <v>16</v>
      </c>
      <c r="B29" s="30" t="s">
        <v>933</v>
      </c>
      <c r="C29">
        <f t="shared" ca="1" si="28"/>
        <v>0</v>
      </c>
      <c r="D29">
        <f t="shared" ca="1" si="28"/>
        <v>29</v>
      </c>
      <c r="E29">
        <f t="shared" ca="1" si="28"/>
        <v>15</v>
      </c>
      <c r="F29">
        <f t="shared" ca="1" si="28"/>
        <v>18</v>
      </c>
      <c r="G29">
        <f t="shared" ca="1" si="28"/>
        <v>46</v>
      </c>
      <c r="H29">
        <f t="shared" ca="1" si="28"/>
        <v>17</v>
      </c>
      <c r="I29">
        <f t="shared" ca="1" si="28"/>
        <v>17</v>
      </c>
      <c r="J29">
        <f t="shared" ca="1" si="28"/>
        <v>0</v>
      </c>
      <c r="K29" s="2">
        <f t="shared" ca="1" si="28"/>
        <v>0</v>
      </c>
      <c r="L29">
        <f t="shared" ca="1" si="28"/>
        <v>25</v>
      </c>
      <c r="M29">
        <f t="shared" ca="1" si="29"/>
        <v>25</v>
      </c>
      <c r="N29" s="2">
        <f t="shared" ca="1" si="30"/>
        <v>0</v>
      </c>
      <c r="O29" s="2">
        <f t="shared" ca="1" si="31"/>
        <v>0</v>
      </c>
      <c r="P29" s="2">
        <f t="shared" ca="1" si="31"/>
        <v>0</v>
      </c>
      <c r="Q29" s="2">
        <f t="shared" ca="1" si="31"/>
        <v>0</v>
      </c>
      <c r="R29" s="2">
        <f t="shared" ca="1" si="31"/>
        <v>0</v>
      </c>
      <c r="S29" s="2">
        <f t="shared" ca="1" si="31"/>
        <v>0</v>
      </c>
      <c r="T29" s="32">
        <f t="shared" ca="1" si="31"/>
        <v>0</v>
      </c>
      <c r="U29" s="2">
        <f t="shared" ca="1" si="31"/>
        <v>0</v>
      </c>
      <c r="V29" s="2">
        <f t="shared" ca="1" si="31"/>
        <v>0.03</v>
      </c>
      <c r="W29" s="32">
        <f ca="1">IF(ISBLANK($B29), 0, IF(ISNUMBER(VLOOKUP($B29, INDIRECT($A29), MATCH("D"&amp;W$25, StatHeader, 0), 0)), IF(Setup!$F$42=1, VLOOKUP($B29, INDIRECT($A29), MATCH("D"&amp;W$25, StatHeader, 0), 0), 0), VLOOKUP($B29, INDIRECT($A29), MATCH(W$25, StatHeader, 0), 0)))</f>
        <v>0</v>
      </c>
      <c r="X29">
        <f t="shared" ca="1" si="32"/>
        <v>0</v>
      </c>
      <c r="Z29" t="str">
        <f>IF(B29=AB29, "=", "-")</f>
        <v>-</v>
      </c>
      <c r="AA29" t="s">
        <v>16</v>
      </c>
      <c r="AB29" s="30" t="s">
        <v>864</v>
      </c>
      <c r="AC29">
        <f ca="1">IF(ISBLANK($AB29), 0, VLOOKUP($AB29, INDIRECT($AA29), MATCH(AC$25, StatHeader, 0), 0))</f>
        <v>0</v>
      </c>
      <c r="AD29">
        <f ca="1">IF(ISBLANK($AB29), 0, VLOOKUP($AB29, INDIRECT($AA29), MATCH(AD$25, StatHeader, 0), 0))</f>
        <v>38</v>
      </c>
      <c r="AE29">
        <f ca="1">IF(ISBLANK($AB29), 0, VLOOKUP($AB29, INDIRECT($AA29), MATCH(AE$25, StatHeader, 0), 0))</f>
        <v>34</v>
      </c>
      <c r="AF29">
        <f t="shared" ca="1" si="33"/>
        <v>18</v>
      </c>
      <c r="AG29">
        <f ca="1">IF(ISBLANK($AB29), 0, VLOOKUP($AB29, INDIRECT($AA29), MATCH(AG$25, StatHeader, 0), 0))</f>
        <v>23</v>
      </c>
      <c r="AH29">
        <f ca="1">IF(ISBLANK($AB29), 0, VLOOKUP($AB29, INDIRECT($AA29), MATCH(AH$25, StatHeader, 0), 0))</f>
        <v>14</v>
      </c>
      <c r="AI29">
        <f ca="1">IF(ISBLANK($AB29), 0, VLOOKUP($AB29, INDIRECT($AA29), MATCH(AI$25, StatHeader, 0), 0))</f>
        <v>14</v>
      </c>
      <c r="AJ29">
        <f ca="1">IF(ISBLANK($AB29), 0, VLOOKUP($AB29, INDIRECT($AA29), MATCH(AJ$25, StatHeader, 0), 0))</f>
        <v>0</v>
      </c>
      <c r="AK29" s="2">
        <f ca="1">IF(ISBLANK($AB29), 0, VLOOKUP($AB29, INDIRECT($AA29), MATCH(AK$25, StatHeader, 0), 0))</f>
        <v>0</v>
      </c>
      <c r="AL29">
        <f ca="1">IF(ISBLANK($AB29), 0, VLOOKUP($AB29, INDIRECT($AA29), MATCH(AL$25, StatHeader, 0), 0))</f>
        <v>0</v>
      </c>
      <c r="AM29">
        <f t="shared" ca="1" si="34"/>
        <v>37</v>
      </c>
      <c r="AN29" s="2">
        <f t="shared" ca="1" si="35"/>
        <v>0</v>
      </c>
      <c r="AO29" s="2">
        <f t="shared" ca="1" si="36"/>
        <v>0</v>
      </c>
      <c r="AP29" s="2">
        <f t="shared" ca="1" si="36"/>
        <v>0</v>
      </c>
      <c r="AQ29" s="2">
        <f t="shared" ca="1" si="36"/>
        <v>0</v>
      </c>
      <c r="AR29" s="2">
        <f t="shared" ca="1" si="36"/>
        <v>0.02</v>
      </c>
      <c r="AS29" s="2">
        <f t="shared" ca="1" si="36"/>
        <v>0</v>
      </c>
      <c r="AT29" s="32">
        <f t="shared" ca="1" si="36"/>
        <v>0</v>
      </c>
      <c r="AU29" s="2">
        <f t="shared" ca="1" si="36"/>
        <v>0</v>
      </c>
      <c r="AV29" s="2">
        <f t="shared" ca="1" si="36"/>
        <v>0.04</v>
      </c>
      <c r="AW29" s="32">
        <f ca="1">IF(ISBLANK($AB29), 0, IF(ISNUMBER(VLOOKUP($AB29, INDIRECT($AA29), MATCH("D"&amp;AW$25, StatHeader, 0), 0)), IF(Setup!$G$42=1, VLOOKUP($AB29, INDIRECT($AA29), MATCH("D"&amp;AW$25, StatHeader, 0), 0), 0), VLOOKUP($AB29, INDIRECT($AA29), MATCH(AW$25, StatHeader, 0), 0)))</f>
        <v>0</v>
      </c>
      <c r="AX29">
        <f t="shared" ca="1" si="37"/>
        <v>0</v>
      </c>
    </row>
    <row r="30" spans="1:50">
      <c r="A30" t="s">
        <v>17</v>
      </c>
      <c r="B30" s="30" t="s">
        <v>27</v>
      </c>
      <c r="C30">
        <f t="shared" ca="1" si="28"/>
        <v>0</v>
      </c>
      <c r="D30">
        <f t="shared" ca="1" si="28"/>
        <v>0</v>
      </c>
      <c r="E30">
        <f t="shared" ca="1" si="28"/>
        <v>0</v>
      </c>
      <c r="F30">
        <f t="shared" ca="1" si="28"/>
        <v>0</v>
      </c>
      <c r="G30">
        <f t="shared" ca="1" si="28"/>
        <v>0</v>
      </c>
      <c r="H30">
        <f t="shared" ca="1" si="28"/>
        <v>0</v>
      </c>
      <c r="I30">
        <f t="shared" ca="1" si="28"/>
        <v>0</v>
      </c>
      <c r="J30">
        <f t="shared" ca="1" si="28"/>
        <v>0</v>
      </c>
      <c r="K30" s="2">
        <f t="shared" ca="1" si="28"/>
        <v>0</v>
      </c>
      <c r="L30">
        <f t="shared" ca="1" si="28"/>
        <v>0</v>
      </c>
      <c r="M30">
        <f t="shared" ca="1" si="29"/>
        <v>10</v>
      </c>
      <c r="N30" s="2">
        <f t="shared" ca="1" si="30"/>
        <v>0</v>
      </c>
      <c r="O30" s="2">
        <f t="shared" ca="1" si="31"/>
        <v>0</v>
      </c>
      <c r="P30" s="2">
        <f t="shared" ca="1" si="31"/>
        <v>0</v>
      </c>
      <c r="Q30" s="2">
        <f t="shared" ca="1" si="31"/>
        <v>0</v>
      </c>
      <c r="R30" s="2">
        <f t="shared" ca="1" si="31"/>
        <v>0</v>
      </c>
      <c r="S30" s="2">
        <f t="shared" ca="1" si="31"/>
        <v>0</v>
      </c>
      <c r="T30" s="32">
        <f t="shared" ca="1" si="31"/>
        <v>0</v>
      </c>
      <c r="U30" s="2">
        <f t="shared" ca="1" si="31"/>
        <v>0</v>
      </c>
      <c r="V30" s="2">
        <f t="shared" ca="1" si="31"/>
        <v>0</v>
      </c>
      <c r="W30" s="32">
        <f ca="1">IF(ISBLANK($B30), 0, IF(ISNUMBER(VLOOKUP($B30, INDIRECT($A30), MATCH("D"&amp;W$25, StatHeader, 0), 0)), IF(Setup!$F$42=1, VLOOKUP($B30, INDIRECT($A30), MATCH("D"&amp;W$25, StatHeader, 0), 0), 0), VLOOKUP($B30, INDIRECT($A30), MATCH(W$25, StatHeader, 0), 0)))</f>
        <v>100</v>
      </c>
      <c r="X30">
        <f t="shared" ca="1" si="32"/>
        <v>0</v>
      </c>
      <c r="Z30" t="str">
        <f>IF(B30=AB30, "=", "-")</f>
        <v>=</v>
      </c>
      <c r="AA30" t="s">
        <v>17</v>
      </c>
      <c r="AB30" s="30" t="s">
        <v>27</v>
      </c>
      <c r="AC30">
        <f ca="1">IF(ISBLANK($AB30), 0, VLOOKUP($AB30, INDIRECT($AA30), MATCH(AC$25, StatHeader, 0), 0))</f>
        <v>0</v>
      </c>
      <c r="AD30">
        <f ca="1">IF(ISBLANK($AB30), 0, VLOOKUP($AB30, INDIRECT($AA30), MATCH(AD$25, StatHeader, 0), 0))</f>
        <v>0</v>
      </c>
      <c r="AE30">
        <f ca="1">IF(ISBLANK($AB30), 0, VLOOKUP($AB30, INDIRECT($AA30), MATCH(AE$25, StatHeader, 0), 0))</f>
        <v>0</v>
      </c>
      <c r="AF30">
        <f t="shared" ca="1" si="33"/>
        <v>0</v>
      </c>
      <c r="AG30">
        <f ca="1">IF(ISBLANK($AB30), 0, VLOOKUP($AB30, INDIRECT($AA30), MATCH(AG$25, StatHeader, 0), 0))</f>
        <v>0</v>
      </c>
      <c r="AH30">
        <f ca="1">IF(ISBLANK($AB30), 0, VLOOKUP($AB30, INDIRECT($AA30), MATCH(AH$25, StatHeader, 0), 0))</f>
        <v>0</v>
      </c>
      <c r="AI30">
        <f ca="1">IF(ISBLANK($AB30), 0, VLOOKUP($AB30, INDIRECT($AA30), MATCH(AI$25, StatHeader, 0), 0))</f>
        <v>0</v>
      </c>
      <c r="AJ30">
        <f ca="1">IF(ISBLANK($AB30), 0, VLOOKUP($AB30, INDIRECT($AA30), MATCH(AJ$25, StatHeader, 0), 0))</f>
        <v>0</v>
      </c>
      <c r="AK30" s="2">
        <f ca="1">IF(ISBLANK($AB30), 0, VLOOKUP($AB30, INDIRECT($AA30), MATCH(AK$25, StatHeader, 0), 0))</f>
        <v>0</v>
      </c>
      <c r="AL30">
        <f ca="1">IF(ISBLANK($AB30), 0, VLOOKUP($AB30, INDIRECT($AA30), MATCH(AL$25, StatHeader, 0), 0))</f>
        <v>0</v>
      </c>
      <c r="AM30">
        <f t="shared" ca="1" si="34"/>
        <v>10</v>
      </c>
      <c r="AN30" s="2">
        <f t="shared" ca="1" si="35"/>
        <v>0</v>
      </c>
      <c r="AO30" s="2">
        <f t="shared" ca="1" si="36"/>
        <v>0</v>
      </c>
      <c r="AP30" s="2">
        <f t="shared" ca="1" si="36"/>
        <v>0</v>
      </c>
      <c r="AQ30" s="2">
        <f t="shared" ca="1" si="36"/>
        <v>0</v>
      </c>
      <c r="AR30" s="2">
        <f t="shared" ca="1" si="36"/>
        <v>0</v>
      </c>
      <c r="AS30" s="2">
        <f t="shared" ca="1" si="36"/>
        <v>0</v>
      </c>
      <c r="AT30" s="32">
        <f t="shared" ca="1" si="36"/>
        <v>0</v>
      </c>
      <c r="AU30" s="2">
        <f t="shared" ca="1" si="36"/>
        <v>0</v>
      </c>
      <c r="AV30" s="2">
        <f t="shared" ca="1" si="36"/>
        <v>0</v>
      </c>
      <c r="AW30" s="32">
        <f ca="1">IF(ISBLANK($AB30), 0, IF(ISNUMBER(VLOOKUP($AB30, INDIRECT($AA30), MATCH("D"&amp;AW$25, StatHeader, 0), 0)), IF(Setup!$G$42=1, VLOOKUP($AB30, INDIRECT($AA30), MATCH("D"&amp;AW$25, StatHeader, 0), 0), 0), VLOOKUP($AB30, INDIRECT($AA30), MATCH(AW$25, StatHeader, 0), 0)))</f>
        <v>100</v>
      </c>
      <c r="AX30">
        <f t="shared" ca="1" si="37"/>
        <v>0</v>
      </c>
    </row>
    <row r="31" spans="1:50">
      <c r="A31" t="s">
        <v>71</v>
      </c>
      <c r="B31" s="30" t="s">
        <v>791</v>
      </c>
      <c r="C31">
        <f t="shared" ca="1" si="28"/>
        <v>0</v>
      </c>
      <c r="D31">
        <f t="shared" ca="1" si="28"/>
        <v>8</v>
      </c>
      <c r="E31">
        <f t="shared" ca="1" si="28"/>
        <v>8</v>
      </c>
      <c r="F31">
        <f t="shared" ca="1" si="28"/>
        <v>0</v>
      </c>
      <c r="G31">
        <f t="shared" ca="1" si="28"/>
        <v>8</v>
      </c>
      <c r="H31">
        <f t="shared" ca="1" si="28"/>
        <v>8</v>
      </c>
      <c r="I31">
        <f t="shared" ca="1" si="28"/>
        <v>0</v>
      </c>
      <c r="J31">
        <f t="shared" ca="1" si="28"/>
        <v>0</v>
      </c>
      <c r="K31" s="2">
        <f t="shared" ca="1" si="28"/>
        <v>0</v>
      </c>
      <c r="L31">
        <f t="shared" ca="1" si="28"/>
        <v>0</v>
      </c>
      <c r="M31">
        <f t="shared" ca="1" si="29"/>
        <v>0</v>
      </c>
      <c r="N31" s="2">
        <f t="shared" ca="1" si="30"/>
        <v>0</v>
      </c>
      <c r="O31" s="2">
        <f t="shared" ca="1" si="31"/>
        <v>0.03</v>
      </c>
      <c r="P31" s="2">
        <f t="shared" ca="1" si="31"/>
        <v>0</v>
      </c>
      <c r="Q31" s="2">
        <f t="shared" ca="1" si="31"/>
        <v>0</v>
      </c>
      <c r="R31" s="2">
        <f t="shared" ca="1" si="31"/>
        <v>0</v>
      </c>
      <c r="S31" s="2">
        <f t="shared" ca="1" si="31"/>
        <v>0</v>
      </c>
      <c r="T31" s="32">
        <f t="shared" ca="1" si="31"/>
        <v>0</v>
      </c>
      <c r="U31" s="2">
        <f t="shared" ca="1" si="31"/>
        <v>0</v>
      </c>
      <c r="V31" s="2">
        <f t="shared" ca="1" si="31"/>
        <v>0</v>
      </c>
      <c r="W31" s="32">
        <f ca="1">IF(ISBLANK($B31), 0, IF(ISNUMBER(VLOOKUP($B31, INDIRECT($A31), MATCH("D"&amp;W$25, StatHeader, 0), 0)), IF(Setup!$F$42=1, VLOOKUP($B31, INDIRECT($A31), MATCH("D"&amp;W$25, StatHeader, 0), 0), 0), VLOOKUP($B31, INDIRECT($A31), MATCH(W$25, StatHeader, 0), 0)))</f>
        <v>0</v>
      </c>
      <c r="X31">
        <f t="shared" ca="1" si="32"/>
        <v>0</v>
      </c>
      <c r="Z31" t="str">
        <f>IF(B31=AB31, "=", "-")</f>
        <v>=</v>
      </c>
      <c r="AA31" t="s">
        <v>71</v>
      </c>
      <c r="AB31" s="30" t="s">
        <v>791</v>
      </c>
      <c r="AC31">
        <f ca="1">IF(ISBLANK($AB31), 0, VLOOKUP($AB31, INDIRECT($AA31), MATCH(AC$25, StatHeader, 0), 0))</f>
        <v>0</v>
      </c>
      <c r="AD31">
        <f ca="1">IF(ISBLANK($AB31), 0, VLOOKUP($AB31, INDIRECT($AA31), MATCH(AD$25, StatHeader, 0), 0))</f>
        <v>8</v>
      </c>
      <c r="AE31">
        <f ca="1">IF(ISBLANK($AB31), 0, VLOOKUP($AB31, INDIRECT($AA31), MATCH(AE$25, StatHeader, 0), 0))</f>
        <v>8</v>
      </c>
      <c r="AF31">
        <f t="shared" ca="1" si="33"/>
        <v>0</v>
      </c>
      <c r="AG31">
        <f ca="1">IF(ISBLANK($AB31), 0, VLOOKUP($AB31, INDIRECT($AA31), MATCH(AG$25, StatHeader, 0), 0))</f>
        <v>8</v>
      </c>
      <c r="AH31">
        <f ca="1">IF(ISBLANK($AB31), 0, VLOOKUP($AB31, INDIRECT($AA31), MATCH(AH$25, StatHeader, 0), 0))</f>
        <v>8</v>
      </c>
      <c r="AI31">
        <f ca="1">IF(ISBLANK($AB31), 0, VLOOKUP($AB31, INDIRECT($AA31), MATCH(AI$25, StatHeader, 0), 0))</f>
        <v>0</v>
      </c>
      <c r="AJ31">
        <f ca="1">IF(ISBLANK($AB31), 0, VLOOKUP($AB31, INDIRECT($AA31), MATCH(AJ$25, StatHeader, 0), 0))</f>
        <v>0</v>
      </c>
      <c r="AK31" s="2">
        <f ca="1">IF(ISBLANK($AB31), 0, VLOOKUP($AB31, INDIRECT($AA31), MATCH(AK$25, StatHeader, 0), 0))</f>
        <v>0</v>
      </c>
      <c r="AL31">
        <f ca="1">IF(ISBLANK($AB31), 0, VLOOKUP($AB31, INDIRECT($AA31), MATCH(AL$25, StatHeader, 0), 0))</f>
        <v>0</v>
      </c>
      <c r="AM31">
        <f t="shared" ca="1" si="34"/>
        <v>0</v>
      </c>
      <c r="AN31" s="2">
        <f t="shared" ca="1" si="35"/>
        <v>0</v>
      </c>
      <c r="AO31" s="2">
        <f t="shared" ca="1" si="36"/>
        <v>0.03</v>
      </c>
      <c r="AP31" s="2">
        <f t="shared" ca="1" si="36"/>
        <v>0</v>
      </c>
      <c r="AQ31" s="2">
        <f t="shared" ca="1" si="36"/>
        <v>0</v>
      </c>
      <c r="AR31" s="2">
        <f t="shared" ca="1" si="36"/>
        <v>0</v>
      </c>
      <c r="AS31" s="2">
        <f t="shared" ca="1" si="36"/>
        <v>0</v>
      </c>
      <c r="AT31" s="32">
        <f t="shared" ca="1" si="36"/>
        <v>0</v>
      </c>
      <c r="AU31" s="2">
        <f t="shared" ca="1" si="36"/>
        <v>0</v>
      </c>
      <c r="AV31" s="2">
        <f t="shared" ca="1" si="36"/>
        <v>0</v>
      </c>
      <c r="AW31" s="32">
        <f ca="1">IF(ISBLANK($AB31), 0, IF(ISNUMBER(VLOOKUP($AB31, INDIRECT($AA31), MATCH("D"&amp;AW$25, StatHeader, 0), 0)), IF(Setup!$G$42=1, VLOOKUP($AB31, INDIRECT($AA31), MATCH("D"&amp;AW$25, StatHeader, 0), 0), 0), VLOOKUP($AB31, INDIRECT($AA31), MATCH(AW$25, StatHeader, 0), 0)))</f>
        <v>0</v>
      </c>
      <c r="AX31">
        <f t="shared" ca="1" si="37"/>
        <v>0</v>
      </c>
    </row>
    <row r="32" spans="1:50">
      <c r="A32" t="s">
        <v>71</v>
      </c>
      <c r="B32" s="30" t="s">
        <v>211</v>
      </c>
      <c r="C32">
        <f t="shared" ca="1" si="28"/>
        <v>0</v>
      </c>
      <c r="D32">
        <f t="shared" ca="1" si="28"/>
        <v>0</v>
      </c>
      <c r="E32">
        <f t="shared" ca="1" si="28"/>
        <v>0</v>
      </c>
      <c r="F32">
        <f t="shared" ca="1" si="28"/>
        <v>0</v>
      </c>
      <c r="G32">
        <f t="shared" ca="1" si="28"/>
        <v>0</v>
      </c>
      <c r="H32">
        <f t="shared" ca="1" si="28"/>
        <v>0</v>
      </c>
      <c r="I32">
        <f t="shared" ca="1" si="28"/>
        <v>0</v>
      </c>
      <c r="J32">
        <f t="shared" ca="1" si="28"/>
        <v>0</v>
      </c>
      <c r="K32" s="2">
        <f t="shared" ca="1" si="28"/>
        <v>0</v>
      </c>
      <c r="L32">
        <f t="shared" ca="1" si="28"/>
        <v>4</v>
      </c>
      <c r="M32">
        <f t="shared" ca="1" si="29"/>
        <v>0</v>
      </c>
      <c r="N32" s="2">
        <f t="shared" ca="1" si="30"/>
        <v>0</v>
      </c>
      <c r="O32" s="2">
        <f t="shared" ca="1" si="31"/>
        <v>0</v>
      </c>
      <c r="P32" s="2">
        <f t="shared" ca="1" si="31"/>
        <v>0</v>
      </c>
      <c r="Q32" s="2">
        <f t="shared" ca="1" si="31"/>
        <v>0</v>
      </c>
      <c r="R32" s="2">
        <f t="shared" ca="1" si="31"/>
        <v>0</v>
      </c>
      <c r="S32" s="2">
        <f t="shared" ca="1" si="31"/>
        <v>0</v>
      </c>
      <c r="T32" s="32">
        <f t="shared" ca="1" si="31"/>
        <v>250</v>
      </c>
      <c r="U32" s="2">
        <f t="shared" ca="1" si="31"/>
        <v>0</v>
      </c>
      <c r="V32" s="2">
        <f t="shared" ca="1" si="31"/>
        <v>0</v>
      </c>
      <c r="W32" s="32">
        <f ca="1">IF(ISBLANK($B32), 0, IF(ISNUMBER(VLOOKUP($B32, INDIRECT($A32), MATCH("D"&amp;W$25, StatHeader, 0), 0)), IF(Setup!$F$42=1, VLOOKUP($B32, INDIRECT($A32), MATCH("D"&amp;W$25, StatHeader, 0), 0), 0), VLOOKUP($B32, INDIRECT($A32), MATCH(W$25, StatHeader, 0), 0)))</f>
        <v>0</v>
      </c>
      <c r="X32">
        <f t="shared" ca="1" si="32"/>
        <v>0</v>
      </c>
      <c r="Z32" t="str">
        <f>IF(B32=AB32, "=", "-")</f>
        <v>=</v>
      </c>
      <c r="AA32" t="s">
        <v>71</v>
      </c>
      <c r="AB32" s="30" t="s">
        <v>211</v>
      </c>
      <c r="AC32">
        <f ca="1">IF(ISBLANK($AB32), 0, VLOOKUP($AB32, INDIRECT($AA32), MATCH(AC$25, StatHeader, 0), 0))</f>
        <v>0</v>
      </c>
      <c r="AD32">
        <f ca="1">IF(ISBLANK($AB32), 0, VLOOKUP($AB32, INDIRECT($AA32), MATCH(AD$25, StatHeader, 0), 0))</f>
        <v>0</v>
      </c>
      <c r="AE32">
        <f ca="1">IF(ISBLANK($AB32), 0, VLOOKUP($AB32, INDIRECT($AA32), MATCH(AE$25, StatHeader, 0), 0))</f>
        <v>0</v>
      </c>
      <c r="AF32">
        <f t="shared" ca="1" si="33"/>
        <v>0</v>
      </c>
      <c r="AG32">
        <f ca="1">IF(ISBLANK($AB32), 0, VLOOKUP($AB32, INDIRECT($AA32), MATCH(AG$25, StatHeader, 0), 0))</f>
        <v>0</v>
      </c>
      <c r="AH32">
        <f ca="1">IF(ISBLANK($AB32), 0, VLOOKUP($AB32, INDIRECT($AA32), MATCH(AH$25, StatHeader, 0), 0))</f>
        <v>0</v>
      </c>
      <c r="AI32">
        <f ca="1">IF(ISBLANK($AB32), 0, VLOOKUP($AB32, INDIRECT($AA32), MATCH(AI$25, StatHeader, 0), 0))</f>
        <v>0</v>
      </c>
      <c r="AJ32">
        <f ca="1">IF(ISBLANK($AB32), 0, VLOOKUP($AB32, INDIRECT($AA32), MATCH(AJ$25, StatHeader, 0), 0))</f>
        <v>0</v>
      </c>
      <c r="AK32" s="2">
        <f ca="1">IF(ISBLANK($AB32), 0, VLOOKUP($AB32, INDIRECT($AA32), MATCH(AK$25, StatHeader, 0), 0))</f>
        <v>0</v>
      </c>
      <c r="AL32">
        <f ca="1">IF(ISBLANK($AB32), 0, VLOOKUP($AB32, INDIRECT($AA32), MATCH(AL$25, StatHeader, 0), 0))</f>
        <v>4</v>
      </c>
      <c r="AM32">
        <f t="shared" ca="1" si="34"/>
        <v>0</v>
      </c>
      <c r="AN32" s="2">
        <f t="shared" ca="1" si="35"/>
        <v>0</v>
      </c>
      <c r="AO32" s="2">
        <f t="shared" ca="1" si="36"/>
        <v>0</v>
      </c>
      <c r="AP32" s="2">
        <f t="shared" ca="1" si="36"/>
        <v>0</v>
      </c>
      <c r="AQ32" s="2">
        <f t="shared" ca="1" si="36"/>
        <v>0</v>
      </c>
      <c r="AR32" s="2">
        <f t="shared" ca="1" si="36"/>
        <v>0</v>
      </c>
      <c r="AS32" s="2">
        <f t="shared" ca="1" si="36"/>
        <v>0</v>
      </c>
      <c r="AT32" s="32">
        <f t="shared" ca="1" si="36"/>
        <v>250</v>
      </c>
      <c r="AU32" s="2">
        <f t="shared" ca="1" si="36"/>
        <v>0</v>
      </c>
      <c r="AV32" s="2">
        <f t="shared" ca="1" si="36"/>
        <v>0</v>
      </c>
      <c r="AW32" s="32">
        <f ca="1">IF(ISBLANK($AB32), 0, IF(ISNUMBER(VLOOKUP($AB32, INDIRECT($AA32), MATCH("D"&amp;AW$25, StatHeader, 0), 0)), IF(Setup!$G$42=1, VLOOKUP($AB32, INDIRECT($AA32), MATCH("D"&amp;AW$25, StatHeader, 0), 0), 0), VLOOKUP($AB32, INDIRECT($AA32), MATCH(AW$25, StatHeader, 0), 0)))</f>
        <v>0</v>
      </c>
      <c r="AX32">
        <f t="shared" ca="1" si="37"/>
        <v>0</v>
      </c>
    </row>
    <row r="33" spans="1:50">
      <c r="A33" t="s">
        <v>18</v>
      </c>
      <c r="B33" s="30" t="s">
        <v>929</v>
      </c>
      <c r="C33">
        <f t="shared" ca="1" si="28"/>
        <v>0</v>
      </c>
      <c r="D33">
        <f t="shared" ca="1" si="28"/>
        <v>46</v>
      </c>
      <c r="E33">
        <f t="shared" ca="1" si="28"/>
        <v>29</v>
      </c>
      <c r="F33">
        <f t="shared" ca="1" si="28"/>
        <v>29</v>
      </c>
      <c r="G33">
        <f t="shared" ca="1" si="28"/>
        <v>39</v>
      </c>
      <c r="H33">
        <f t="shared" ca="1" si="28"/>
        <v>29</v>
      </c>
      <c r="I33">
        <f t="shared" ca="1" si="28"/>
        <v>29</v>
      </c>
      <c r="J33">
        <f t="shared" ca="1" si="28"/>
        <v>164</v>
      </c>
      <c r="K33" s="2">
        <f t="shared" ca="1" si="28"/>
        <v>0</v>
      </c>
      <c r="L33">
        <f t="shared" ca="1" si="28"/>
        <v>48</v>
      </c>
      <c r="M33">
        <f t="shared" ca="1" si="29"/>
        <v>50</v>
      </c>
      <c r="N33" s="2">
        <f t="shared" ca="1" si="30"/>
        <v>0</v>
      </c>
      <c r="O33" s="2">
        <f t="shared" ca="1" si="31"/>
        <v>0</v>
      </c>
      <c r="P33" s="2">
        <f t="shared" ca="1" si="31"/>
        <v>0</v>
      </c>
      <c r="Q33" s="2">
        <f t="shared" ca="1" si="31"/>
        <v>0</v>
      </c>
      <c r="R33" s="2">
        <f t="shared" ca="1" si="31"/>
        <v>0</v>
      </c>
      <c r="S33" s="2">
        <f t="shared" ca="1" si="31"/>
        <v>0</v>
      </c>
      <c r="T33" s="32">
        <f t="shared" ca="1" si="31"/>
        <v>0</v>
      </c>
      <c r="U33" s="2">
        <f t="shared" ca="1" si="31"/>
        <v>0</v>
      </c>
      <c r="V33" s="2">
        <f t="shared" ca="1" si="31"/>
        <v>0.1</v>
      </c>
      <c r="W33" s="32">
        <f ca="1">IF(ISBLANK($B33), 0, IF(ISNUMBER(VLOOKUP($B33, INDIRECT($A33), MATCH("D"&amp;W$25, StatHeader, 0), 0)), IF(Setup!$F$42=1, VLOOKUP($B33, INDIRECT($A33), MATCH("D"&amp;W$25, StatHeader, 0), 0), 0), VLOOKUP($B33, INDIRECT($A33), MATCH(W$25, StatHeader, 0), 0)))</f>
        <v>0</v>
      </c>
      <c r="X33">
        <f t="shared" ca="1" si="32"/>
        <v>0</v>
      </c>
      <c r="Z33" t="str">
        <f>IF(B33=AB33, "=", "-")</f>
        <v>=</v>
      </c>
      <c r="AA33" t="s">
        <v>18</v>
      </c>
      <c r="AB33" s="30" t="s">
        <v>929</v>
      </c>
      <c r="AC33">
        <f ca="1">IF(ISBLANK($AB33), 0, VLOOKUP($AB33, INDIRECT($AA33), MATCH(AC$25, StatHeader, 0), 0))</f>
        <v>0</v>
      </c>
      <c r="AD33">
        <f ca="1">IF(ISBLANK($AB33), 0, VLOOKUP($AB33, INDIRECT($AA33), MATCH(AD$25, StatHeader, 0), 0))</f>
        <v>46</v>
      </c>
      <c r="AE33">
        <f ca="1">IF(ISBLANK($AB33), 0, VLOOKUP($AB33, INDIRECT($AA33), MATCH(AE$25, StatHeader, 0), 0))</f>
        <v>29</v>
      </c>
      <c r="AF33">
        <f t="shared" ca="1" si="33"/>
        <v>29</v>
      </c>
      <c r="AG33">
        <f ca="1">IF(ISBLANK($AB33), 0, VLOOKUP($AB33, INDIRECT($AA33), MATCH(AG$25, StatHeader, 0), 0))</f>
        <v>39</v>
      </c>
      <c r="AH33">
        <f ca="1">IF(ISBLANK($AB33), 0, VLOOKUP($AB33, INDIRECT($AA33), MATCH(AH$25, StatHeader, 0), 0))</f>
        <v>29</v>
      </c>
      <c r="AI33">
        <f ca="1">IF(ISBLANK($AB33), 0, VLOOKUP($AB33, INDIRECT($AA33), MATCH(AI$25, StatHeader, 0), 0))</f>
        <v>29</v>
      </c>
      <c r="AJ33">
        <f ca="1">IF(ISBLANK($AB33), 0, VLOOKUP($AB33, INDIRECT($AA33), MATCH(AJ$25, StatHeader, 0), 0))</f>
        <v>164</v>
      </c>
      <c r="AK33" s="2">
        <f ca="1">IF(ISBLANK($AB33), 0, VLOOKUP($AB33, INDIRECT($AA33), MATCH(AK$25, StatHeader, 0), 0))</f>
        <v>0</v>
      </c>
      <c r="AL33">
        <f ca="1">IF(ISBLANK($AB33), 0, VLOOKUP($AB33, INDIRECT($AA33), MATCH(AL$25, StatHeader, 0), 0))</f>
        <v>48</v>
      </c>
      <c r="AM33">
        <f t="shared" ca="1" si="34"/>
        <v>50</v>
      </c>
      <c r="AN33" s="2">
        <f t="shared" ca="1" si="35"/>
        <v>0</v>
      </c>
      <c r="AO33" s="2">
        <f t="shared" ca="1" si="36"/>
        <v>0</v>
      </c>
      <c r="AP33" s="2">
        <f t="shared" ca="1" si="36"/>
        <v>0</v>
      </c>
      <c r="AQ33" s="2">
        <f t="shared" ca="1" si="36"/>
        <v>0</v>
      </c>
      <c r="AR33" s="2">
        <f t="shared" ca="1" si="36"/>
        <v>0</v>
      </c>
      <c r="AS33" s="2">
        <f t="shared" ca="1" si="36"/>
        <v>0</v>
      </c>
      <c r="AT33" s="32">
        <f t="shared" ca="1" si="36"/>
        <v>0</v>
      </c>
      <c r="AU33" s="2">
        <f t="shared" ca="1" si="36"/>
        <v>0</v>
      </c>
      <c r="AV33" s="2">
        <f t="shared" ca="1" si="36"/>
        <v>0.1</v>
      </c>
      <c r="AW33" s="32">
        <f ca="1">IF(ISBLANK($AB33), 0, IF(ISNUMBER(VLOOKUP($AB33, INDIRECT($AA33), MATCH("D"&amp;AW$25, StatHeader, 0), 0)), IF(Setup!$G$42=1, VLOOKUP($AB33, INDIRECT($AA33), MATCH("D"&amp;AW$25, StatHeader, 0), 0), 0), VLOOKUP($AB33, INDIRECT($AA33), MATCH(AW$25, StatHeader, 0), 0)))</f>
        <v>0</v>
      </c>
      <c r="AX33">
        <f t="shared" ca="1" si="37"/>
        <v>0</v>
      </c>
    </row>
    <row r="34" spans="1:50">
      <c r="A34" t="s">
        <v>19</v>
      </c>
      <c r="B34" s="30" t="s">
        <v>865</v>
      </c>
      <c r="C34">
        <f t="shared" ca="1" si="28"/>
        <v>0</v>
      </c>
      <c r="D34">
        <f t="shared" ca="1" si="28"/>
        <v>12</v>
      </c>
      <c r="E34">
        <f t="shared" ca="1" si="28"/>
        <v>28</v>
      </c>
      <c r="F34">
        <f t="shared" ca="1" si="28"/>
        <v>7</v>
      </c>
      <c r="G34">
        <f t="shared" ca="1" si="28"/>
        <v>34</v>
      </c>
      <c r="H34">
        <f t="shared" ca="1" si="28"/>
        <v>8</v>
      </c>
      <c r="I34">
        <f t="shared" ca="1" si="28"/>
        <v>24</v>
      </c>
      <c r="J34">
        <f t="shared" ca="1" si="28"/>
        <v>0</v>
      </c>
      <c r="K34" s="2">
        <f t="shared" ca="1" si="28"/>
        <v>0</v>
      </c>
      <c r="L34">
        <f t="shared" ca="1" si="28"/>
        <v>27</v>
      </c>
      <c r="M34">
        <f t="shared" ca="1" si="29"/>
        <v>14</v>
      </c>
      <c r="N34" s="2">
        <f t="shared" ca="1" si="30"/>
        <v>0</v>
      </c>
      <c r="O34" s="2">
        <f t="shared" ca="1" si="31"/>
        <v>0</v>
      </c>
      <c r="P34" s="2">
        <f t="shared" ca="1" si="31"/>
        <v>0</v>
      </c>
      <c r="Q34" s="2">
        <f t="shared" ca="1" si="31"/>
        <v>0</v>
      </c>
      <c r="R34" s="2">
        <f t="shared" ca="1" si="31"/>
        <v>0</v>
      </c>
      <c r="S34" s="2">
        <f t="shared" ca="1" si="31"/>
        <v>0</v>
      </c>
      <c r="T34" s="32">
        <f t="shared" ca="1" si="31"/>
        <v>0</v>
      </c>
      <c r="U34" s="2">
        <f t="shared" ca="1" si="31"/>
        <v>0</v>
      </c>
      <c r="V34" s="2">
        <f t="shared" ca="1" si="31"/>
        <v>0.06</v>
      </c>
      <c r="W34" s="32">
        <f ca="1">IF(ISBLANK($B34), 0, IF(ISNUMBER(VLOOKUP($B34, INDIRECT($A34), MATCH("D"&amp;W$25, StatHeader, 0), 0)), IF(Setup!$F$42=1, VLOOKUP($B34, INDIRECT($A34), MATCH("D"&amp;W$25, StatHeader, 0), 0), 0), VLOOKUP($B34, INDIRECT($A34), MATCH(W$25, StatHeader, 0), 0)))</f>
        <v>0</v>
      </c>
      <c r="X34">
        <f t="shared" ca="1" si="32"/>
        <v>0</v>
      </c>
      <c r="Z34" t="str">
        <f>IF(B34=AB34, "=", "-")</f>
        <v>=</v>
      </c>
      <c r="AA34" t="s">
        <v>19</v>
      </c>
      <c r="AB34" s="30" t="s">
        <v>865</v>
      </c>
      <c r="AC34">
        <f ca="1">IF(ISBLANK($AB34), 0, VLOOKUP($AB34, INDIRECT($AA34), MATCH(AC$25, StatHeader, 0), 0))</f>
        <v>0</v>
      </c>
      <c r="AD34">
        <f ca="1">IF(ISBLANK($AB34), 0, VLOOKUP($AB34, INDIRECT($AA34), MATCH(AD$25, StatHeader, 0), 0))</f>
        <v>12</v>
      </c>
      <c r="AE34">
        <f ca="1">IF(ISBLANK($AB34), 0, VLOOKUP($AB34, INDIRECT($AA34), MATCH(AE$25, StatHeader, 0), 0))</f>
        <v>28</v>
      </c>
      <c r="AF34">
        <f t="shared" ca="1" si="33"/>
        <v>7</v>
      </c>
      <c r="AG34">
        <f ca="1">IF(ISBLANK($AB34), 0, VLOOKUP($AB34, INDIRECT($AA34), MATCH(AG$25, StatHeader, 0), 0))</f>
        <v>34</v>
      </c>
      <c r="AH34">
        <f ca="1">IF(ISBLANK($AB34), 0, VLOOKUP($AB34, INDIRECT($AA34), MATCH(AH$25, StatHeader, 0), 0))</f>
        <v>8</v>
      </c>
      <c r="AI34">
        <f ca="1">IF(ISBLANK($AB34), 0, VLOOKUP($AB34, INDIRECT($AA34), MATCH(AI$25, StatHeader, 0), 0))</f>
        <v>24</v>
      </c>
      <c r="AJ34">
        <f ca="1">IF(ISBLANK($AB34), 0, VLOOKUP($AB34, INDIRECT($AA34), MATCH(AJ$25, StatHeader, 0), 0))</f>
        <v>0</v>
      </c>
      <c r="AK34" s="2">
        <f ca="1">IF(ISBLANK($AB34), 0, VLOOKUP($AB34, INDIRECT($AA34), MATCH(AK$25, StatHeader, 0), 0))</f>
        <v>0</v>
      </c>
      <c r="AL34">
        <f ca="1">IF(ISBLANK($AB34), 0, VLOOKUP($AB34, INDIRECT($AA34), MATCH(AL$25, StatHeader, 0), 0))</f>
        <v>27</v>
      </c>
      <c r="AM34">
        <f t="shared" ca="1" si="34"/>
        <v>14</v>
      </c>
      <c r="AN34" s="2">
        <f t="shared" ca="1" si="35"/>
        <v>0</v>
      </c>
      <c r="AO34" s="2">
        <f t="shared" ca="1" si="36"/>
        <v>0</v>
      </c>
      <c r="AP34" s="2">
        <f t="shared" ca="1" si="36"/>
        <v>0</v>
      </c>
      <c r="AQ34" s="2">
        <f t="shared" ca="1" si="36"/>
        <v>0</v>
      </c>
      <c r="AR34" s="2">
        <f t="shared" ca="1" si="36"/>
        <v>0</v>
      </c>
      <c r="AS34" s="2">
        <f t="shared" ca="1" si="36"/>
        <v>0</v>
      </c>
      <c r="AT34" s="32">
        <f t="shared" ca="1" si="36"/>
        <v>0</v>
      </c>
      <c r="AU34" s="2">
        <f t="shared" ca="1" si="36"/>
        <v>0</v>
      </c>
      <c r="AV34" s="2">
        <f t="shared" ca="1" si="36"/>
        <v>0.06</v>
      </c>
      <c r="AW34" s="32">
        <f ca="1">IF(ISBLANK($AB34), 0, IF(ISNUMBER(VLOOKUP($AB34, INDIRECT($AA34), MATCH("D"&amp;AW$25, StatHeader, 0), 0)), IF(Setup!$G$42=1, VLOOKUP($AB34, INDIRECT($AA34), MATCH("D"&amp;AW$25, StatHeader, 0), 0), 0), VLOOKUP($AB34, INDIRECT($AA34), MATCH(AW$25, StatHeader, 0), 0)))</f>
        <v>0</v>
      </c>
      <c r="AX34">
        <f t="shared" ca="1" si="37"/>
        <v>0</v>
      </c>
    </row>
    <row r="35" spans="1:50">
      <c r="A35" t="s">
        <v>72</v>
      </c>
      <c r="B35" s="30" t="s">
        <v>948</v>
      </c>
      <c r="C35">
        <f t="shared" ca="1" si="28"/>
        <v>0</v>
      </c>
      <c r="D35">
        <f t="shared" ca="1" si="28"/>
        <v>10</v>
      </c>
      <c r="E35">
        <f t="shared" ca="1" si="28"/>
        <v>10</v>
      </c>
      <c r="F35">
        <f t="shared" ca="1" si="28"/>
        <v>10</v>
      </c>
      <c r="G35">
        <f t="shared" ca="1" si="28"/>
        <v>10</v>
      </c>
      <c r="H35">
        <f t="shared" ca="1" si="28"/>
        <v>0</v>
      </c>
      <c r="I35">
        <f t="shared" ca="1" si="28"/>
        <v>0</v>
      </c>
      <c r="J35">
        <f t="shared" ca="1" si="28"/>
        <v>0</v>
      </c>
      <c r="K35" s="2">
        <f t="shared" ca="1" si="28"/>
        <v>0</v>
      </c>
      <c r="L35">
        <f t="shared" ca="1" si="28"/>
        <v>20</v>
      </c>
      <c r="M35">
        <f t="shared" ca="1" si="29"/>
        <v>0</v>
      </c>
      <c r="N35" s="2">
        <f t="shared" ca="1" si="30"/>
        <v>0</v>
      </c>
      <c r="O35" s="2">
        <f t="shared" ca="1" si="31"/>
        <v>0</v>
      </c>
      <c r="P35" s="2">
        <f t="shared" ca="1" si="31"/>
        <v>0</v>
      </c>
      <c r="Q35" s="2">
        <f t="shared" ca="1" si="31"/>
        <v>0</v>
      </c>
      <c r="R35" s="2">
        <f t="shared" ca="1" si="31"/>
        <v>0</v>
      </c>
      <c r="S35" s="2">
        <f t="shared" ca="1" si="31"/>
        <v>0</v>
      </c>
      <c r="T35" s="32">
        <f t="shared" ca="1" si="31"/>
        <v>0</v>
      </c>
      <c r="U35" s="2">
        <f t="shared" ca="1" si="31"/>
        <v>0</v>
      </c>
      <c r="V35" s="2">
        <f t="shared" ca="1" si="31"/>
        <v>0</v>
      </c>
      <c r="W35" s="32">
        <f ca="1">IF(ISBLANK($B35), 0, IF(ISNUMBER(VLOOKUP($B35, INDIRECT($A35), MATCH("D"&amp;W$25, StatHeader, 0), 0)), IF(Setup!$F$42=1, VLOOKUP($B35, INDIRECT($A35), MATCH("D"&amp;W$25, StatHeader, 0), 0), 0), VLOOKUP($B35, INDIRECT($A35), MATCH(W$25, StatHeader, 0), 0)))</f>
        <v>0</v>
      </c>
      <c r="X35">
        <f t="shared" ca="1" si="32"/>
        <v>0</v>
      </c>
      <c r="Z35" t="str">
        <f>IF(B35=AB35, "=", "-")</f>
        <v>=</v>
      </c>
      <c r="AA35" t="s">
        <v>72</v>
      </c>
      <c r="AB35" s="30" t="s">
        <v>948</v>
      </c>
      <c r="AC35">
        <f ca="1">IF(ISBLANK($AB35), 0, VLOOKUP($AB35, INDIRECT($AA35), MATCH(AC$25, StatHeader, 0), 0))</f>
        <v>0</v>
      </c>
      <c r="AD35">
        <f ca="1">IF(ISBLANK($AB35), 0, VLOOKUP($AB35, INDIRECT($AA35), MATCH(AD$25, StatHeader, 0), 0))</f>
        <v>10</v>
      </c>
      <c r="AE35">
        <f ca="1">IF(ISBLANK($AB35), 0, VLOOKUP($AB35, INDIRECT($AA35), MATCH(AE$25, StatHeader, 0), 0))</f>
        <v>10</v>
      </c>
      <c r="AF35">
        <f t="shared" ca="1" si="33"/>
        <v>10</v>
      </c>
      <c r="AG35">
        <f ca="1">IF(ISBLANK($AB35), 0, VLOOKUP($AB35, INDIRECT($AA35), MATCH(AG$25, StatHeader, 0), 0))</f>
        <v>10</v>
      </c>
      <c r="AH35">
        <f ca="1">IF(ISBLANK($AB35), 0, VLOOKUP($AB35, INDIRECT($AA35), MATCH(AH$25, StatHeader, 0), 0))</f>
        <v>0</v>
      </c>
      <c r="AI35">
        <f ca="1">IF(ISBLANK($AB35), 0, VLOOKUP($AB35, INDIRECT($AA35), MATCH(AI$25, StatHeader, 0), 0))</f>
        <v>0</v>
      </c>
      <c r="AJ35">
        <f ca="1">IF(ISBLANK($AB35), 0, VLOOKUP($AB35, INDIRECT($AA35), MATCH(AJ$25, StatHeader, 0), 0))</f>
        <v>0</v>
      </c>
      <c r="AK35" s="2">
        <f ca="1">IF(ISBLANK($AB35), 0, VLOOKUP($AB35, INDIRECT($AA35), MATCH(AK$25, StatHeader, 0), 0))</f>
        <v>0</v>
      </c>
      <c r="AL35">
        <f ca="1">IF(ISBLANK($AB35), 0, VLOOKUP($AB35, INDIRECT($AA35), MATCH(AL$25, StatHeader, 0), 0))</f>
        <v>20</v>
      </c>
      <c r="AM35">
        <f t="shared" ca="1" si="34"/>
        <v>0</v>
      </c>
      <c r="AN35" s="2">
        <f t="shared" ca="1" si="35"/>
        <v>0</v>
      </c>
      <c r="AO35" s="2">
        <f t="shared" ca="1" si="36"/>
        <v>0</v>
      </c>
      <c r="AP35" s="2">
        <f t="shared" ca="1" si="36"/>
        <v>0</v>
      </c>
      <c r="AQ35" s="2">
        <f t="shared" ca="1" si="36"/>
        <v>0</v>
      </c>
      <c r="AR35" s="2">
        <f t="shared" ca="1" si="36"/>
        <v>0</v>
      </c>
      <c r="AS35" s="2">
        <f t="shared" ca="1" si="36"/>
        <v>0</v>
      </c>
      <c r="AT35" s="32">
        <f t="shared" ca="1" si="36"/>
        <v>0</v>
      </c>
      <c r="AU35" s="2">
        <f t="shared" ca="1" si="36"/>
        <v>0</v>
      </c>
      <c r="AV35" s="2">
        <f t="shared" ca="1" si="36"/>
        <v>0</v>
      </c>
      <c r="AW35" s="32">
        <f ca="1">IF(ISBLANK($AB35), 0, IF(ISNUMBER(VLOOKUP($AB35, INDIRECT($AA35), MATCH("D"&amp;AW$25, StatHeader, 0), 0)), IF(Setup!$G$42=1, VLOOKUP($AB35, INDIRECT($AA35), MATCH("D"&amp;AW$25, StatHeader, 0), 0), 0), VLOOKUP($AB35, INDIRECT($AA35), MATCH(AW$25, StatHeader, 0), 0)))</f>
        <v>0</v>
      </c>
      <c r="AX35">
        <f t="shared" ca="1" si="37"/>
        <v>0</v>
      </c>
    </row>
    <row r="36" spans="1:50">
      <c r="A36" t="s">
        <v>72</v>
      </c>
      <c r="B36" s="30" t="s">
        <v>930</v>
      </c>
      <c r="C36">
        <f t="shared" ca="1" si="28"/>
        <v>0</v>
      </c>
      <c r="D36">
        <f t="shared" ca="1" si="28"/>
        <v>10</v>
      </c>
      <c r="E36">
        <f t="shared" ca="1" si="28"/>
        <v>10</v>
      </c>
      <c r="F36">
        <f t="shared" ca="1" si="28"/>
        <v>0</v>
      </c>
      <c r="G36">
        <f t="shared" ca="1" si="28"/>
        <v>10</v>
      </c>
      <c r="H36">
        <f t="shared" ca="1" si="28"/>
        <v>0</v>
      </c>
      <c r="I36">
        <f t="shared" ca="1" si="28"/>
        <v>0</v>
      </c>
      <c r="J36">
        <f t="shared" ca="1" si="28"/>
        <v>0</v>
      </c>
      <c r="K36" s="2">
        <f t="shared" ca="1" si="28"/>
        <v>0</v>
      </c>
      <c r="L36">
        <f t="shared" ca="1" si="28"/>
        <v>0</v>
      </c>
      <c r="M36">
        <f t="shared" ca="1" si="29"/>
        <v>0</v>
      </c>
      <c r="N36" s="2">
        <f t="shared" ca="1" si="30"/>
        <v>0</v>
      </c>
      <c r="O36" s="2">
        <f t="shared" ca="1" si="31"/>
        <v>0</v>
      </c>
      <c r="P36" s="2">
        <f t="shared" ca="1" si="31"/>
        <v>0</v>
      </c>
      <c r="Q36" s="2">
        <f t="shared" ca="1" si="31"/>
        <v>0.03</v>
      </c>
      <c r="R36" s="2">
        <f t="shared" ca="1" si="31"/>
        <v>0</v>
      </c>
      <c r="S36" s="2">
        <f t="shared" ca="1" si="31"/>
        <v>0</v>
      </c>
      <c r="T36" s="32">
        <f t="shared" ca="1" si="31"/>
        <v>0</v>
      </c>
      <c r="U36" s="2">
        <f t="shared" ca="1" si="31"/>
        <v>0</v>
      </c>
      <c r="V36" s="2">
        <f t="shared" ca="1" si="31"/>
        <v>0</v>
      </c>
      <c r="W36" s="32">
        <f ca="1">IF(ISBLANK($B36), 0, IF(ISNUMBER(VLOOKUP($B36, INDIRECT($A36), MATCH("D"&amp;W$25, StatHeader, 0), 0)), IF(Setup!$F$42=1, VLOOKUP($B36, INDIRECT($A36), MATCH("D"&amp;W$25, StatHeader, 0), 0), 0), VLOOKUP($B36, INDIRECT($A36), MATCH(W$25, StatHeader, 0), 0)))</f>
        <v>0</v>
      </c>
      <c r="X36">
        <f t="shared" ca="1" si="32"/>
        <v>0</v>
      </c>
      <c r="Z36" t="str">
        <f>IF(B36=AB36, "=", "-")</f>
        <v>=</v>
      </c>
      <c r="AA36" t="s">
        <v>72</v>
      </c>
      <c r="AB36" s="30" t="s">
        <v>930</v>
      </c>
      <c r="AC36">
        <f ca="1">IF(ISBLANK($AB36), 0, VLOOKUP($AB36, INDIRECT($AA36), MATCH(AC$25, StatHeader, 0), 0))</f>
        <v>0</v>
      </c>
      <c r="AD36">
        <f ca="1">IF(ISBLANK($AB36), 0, VLOOKUP($AB36, INDIRECT($AA36), MATCH(AD$25, StatHeader, 0), 0))</f>
        <v>10</v>
      </c>
      <c r="AE36">
        <f ca="1">IF(ISBLANK($AB36), 0, VLOOKUP($AB36, INDIRECT($AA36), MATCH(AE$25, StatHeader, 0), 0))</f>
        <v>10</v>
      </c>
      <c r="AF36">
        <f t="shared" ca="1" si="33"/>
        <v>0</v>
      </c>
      <c r="AG36">
        <f ca="1">IF(ISBLANK($AB36), 0, VLOOKUP($AB36, INDIRECT($AA36), MATCH(AG$25, StatHeader, 0), 0))</f>
        <v>10</v>
      </c>
      <c r="AH36">
        <f ca="1">IF(ISBLANK($AB36), 0, VLOOKUP($AB36, INDIRECT($AA36), MATCH(AH$25, StatHeader, 0), 0))</f>
        <v>0</v>
      </c>
      <c r="AI36">
        <f ca="1">IF(ISBLANK($AB36), 0, VLOOKUP($AB36, INDIRECT($AA36), MATCH(AI$25, StatHeader, 0), 0))</f>
        <v>0</v>
      </c>
      <c r="AJ36">
        <f ca="1">IF(ISBLANK($AB36), 0, VLOOKUP($AB36, INDIRECT($AA36), MATCH(AJ$25, StatHeader, 0), 0))</f>
        <v>0</v>
      </c>
      <c r="AK36" s="2">
        <f ca="1">IF(ISBLANK($AB36), 0, VLOOKUP($AB36, INDIRECT($AA36), MATCH(AK$25, StatHeader, 0), 0))</f>
        <v>0</v>
      </c>
      <c r="AL36">
        <f ca="1">IF(ISBLANK($AB36), 0, VLOOKUP($AB36, INDIRECT($AA36), MATCH(AL$25, StatHeader, 0), 0))</f>
        <v>0</v>
      </c>
      <c r="AM36">
        <f t="shared" ca="1" si="34"/>
        <v>0</v>
      </c>
      <c r="AN36" s="2">
        <f t="shared" ca="1" si="35"/>
        <v>0</v>
      </c>
      <c r="AO36" s="2">
        <f t="shared" ca="1" si="36"/>
        <v>0</v>
      </c>
      <c r="AP36" s="2">
        <f t="shared" ca="1" si="36"/>
        <v>0</v>
      </c>
      <c r="AQ36" s="2">
        <f t="shared" ca="1" si="36"/>
        <v>0.03</v>
      </c>
      <c r="AR36" s="2">
        <f t="shared" ca="1" si="36"/>
        <v>0</v>
      </c>
      <c r="AS36" s="2">
        <f t="shared" ca="1" si="36"/>
        <v>0</v>
      </c>
      <c r="AT36" s="32">
        <f t="shared" ca="1" si="36"/>
        <v>0</v>
      </c>
      <c r="AU36" s="2">
        <f t="shared" ca="1" si="36"/>
        <v>0</v>
      </c>
      <c r="AV36" s="2">
        <f t="shared" ca="1" si="36"/>
        <v>0</v>
      </c>
      <c r="AW36" s="32">
        <f ca="1">IF(ISBLANK($AB36), 0, IF(ISNUMBER(VLOOKUP($AB36, INDIRECT($AA36), MATCH("D"&amp;AW$25, StatHeader, 0), 0)), IF(Setup!$G$42=1, VLOOKUP($AB36, INDIRECT($AA36), MATCH("D"&amp;AW$25, StatHeader, 0), 0), 0), VLOOKUP($AB36, INDIRECT($AA36), MATCH(AW$25, StatHeader, 0), 0)))</f>
        <v>0</v>
      </c>
      <c r="AX36">
        <f t="shared" ca="1" si="37"/>
        <v>0</v>
      </c>
    </row>
    <row r="37" spans="1:50">
      <c r="A37" t="s">
        <v>20</v>
      </c>
      <c r="B37" s="30" t="s">
        <v>916</v>
      </c>
      <c r="C37">
        <f t="shared" ca="1" si="28"/>
        <v>0</v>
      </c>
      <c r="D37">
        <f t="shared" ca="1" si="28"/>
        <v>30</v>
      </c>
      <c r="E37">
        <f t="shared" ca="1" si="28"/>
        <v>0</v>
      </c>
      <c r="F37">
        <f t="shared" ca="1" si="28"/>
        <v>0</v>
      </c>
      <c r="G37">
        <f t="shared" ca="1" si="28"/>
        <v>0</v>
      </c>
      <c r="H37">
        <f t="shared" ca="1" si="28"/>
        <v>0</v>
      </c>
      <c r="I37">
        <f t="shared" ca="1" si="28"/>
        <v>0</v>
      </c>
      <c r="J37">
        <f t="shared" ca="1" si="28"/>
        <v>0</v>
      </c>
      <c r="K37" s="2">
        <f t="shared" ca="1" si="28"/>
        <v>0</v>
      </c>
      <c r="L37">
        <f t="shared" ca="1" si="28"/>
        <v>20</v>
      </c>
      <c r="M37">
        <f t="shared" ca="1" si="29"/>
        <v>20</v>
      </c>
      <c r="N37" s="2">
        <f t="shared" ca="1" si="30"/>
        <v>0</v>
      </c>
      <c r="O37" s="2">
        <f t="shared" ca="1" si="31"/>
        <v>0</v>
      </c>
      <c r="P37" s="2">
        <f t="shared" ca="1" si="31"/>
        <v>0</v>
      </c>
      <c r="Q37" s="2">
        <f t="shared" ca="1" si="31"/>
        <v>0</v>
      </c>
      <c r="R37" s="2">
        <f t="shared" ca="1" si="31"/>
        <v>0</v>
      </c>
      <c r="S37" s="2">
        <f t="shared" ca="1" si="31"/>
        <v>0</v>
      </c>
      <c r="T37" s="32">
        <f t="shared" ca="1" si="31"/>
        <v>0</v>
      </c>
      <c r="U37" s="2">
        <f t="shared" ca="1" si="31"/>
        <v>0</v>
      </c>
      <c r="V37" s="2">
        <f t="shared" ca="1" si="31"/>
        <v>0.1</v>
      </c>
      <c r="W37" s="32">
        <f ca="1">IF(ISBLANK($B37), 0, IF(ISNUMBER(VLOOKUP($B37, INDIRECT($A37), MATCH("D"&amp;W$25, StatHeader, 0), 0)), IF(Setup!$F$42=1, VLOOKUP($B37, INDIRECT($A37), MATCH("D"&amp;W$25, StatHeader, 0), 0), 0), VLOOKUP($B37, INDIRECT($A37), MATCH(W$25, StatHeader, 0), 0)))</f>
        <v>0</v>
      </c>
      <c r="X37">
        <f t="shared" ca="1" si="32"/>
        <v>0</v>
      </c>
      <c r="Z37" t="str">
        <f>IF(B37=AB37, "=", "-")</f>
        <v>=</v>
      </c>
      <c r="AA37" t="s">
        <v>20</v>
      </c>
      <c r="AB37" s="30" t="s">
        <v>916</v>
      </c>
      <c r="AC37">
        <f ca="1">IF(ISBLANK($AB37), 0, VLOOKUP($AB37, INDIRECT($AA37), MATCH(AC$25, StatHeader, 0), 0))</f>
        <v>0</v>
      </c>
      <c r="AD37">
        <f ca="1">IF(ISBLANK($AB37), 0, VLOOKUP($AB37, INDIRECT($AA37), MATCH(AD$25, StatHeader, 0), 0))</f>
        <v>30</v>
      </c>
      <c r="AE37">
        <f ca="1">IF(ISBLANK($AB37), 0, VLOOKUP($AB37, INDIRECT($AA37), MATCH(AE$25, StatHeader, 0), 0))</f>
        <v>0</v>
      </c>
      <c r="AF37">
        <f t="shared" ca="1" si="33"/>
        <v>0</v>
      </c>
      <c r="AG37">
        <f ca="1">IF(ISBLANK($AB37), 0, VLOOKUP($AB37, INDIRECT($AA37), MATCH(AG$25, StatHeader, 0), 0))</f>
        <v>0</v>
      </c>
      <c r="AH37">
        <f ca="1">IF(ISBLANK($AB37), 0, VLOOKUP($AB37, INDIRECT($AA37), MATCH(AH$25, StatHeader, 0), 0))</f>
        <v>0</v>
      </c>
      <c r="AI37">
        <f ca="1">IF(ISBLANK($AB37), 0, VLOOKUP($AB37, INDIRECT($AA37), MATCH(AI$25, StatHeader, 0), 0))</f>
        <v>0</v>
      </c>
      <c r="AJ37">
        <f ca="1">IF(ISBLANK($AB37), 0, VLOOKUP($AB37, INDIRECT($AA37), MATCH(AJ$25, StatHeader, 0), 0))</f>
        <v>0</v>
      </c>
      <c r="AK37" s="2">
        <f ca="1">IF(ISBLANK($AB37), 0, VLOOKUP($AB37, INDIRECT($AA37), MATCH(AK$25, StatHeader, 0), 0))</f>
        <v>0</v>
      </c>
      <c r="AL37">
        <f ca="1">IF(ISBLANK($AB37), 0, VLOOKUP($AB37, INDIRECT($AA37), MATCH(AL$25, StatHeader, 0), 0))</f>
        <v>20</v>
      </c>
      <c r="AM37">
        <f t="shared" ca="1" si="34"/>
        <v>20</v>
      </c>
      <c r="AN37" s="2">
        <f t="shared" ca="1" si="35"/>
        <v>0</v>
      </c>
      <c r="AO37" s="2">
        <f t="shared" ca="1" si="36"/>
        <v>0</v>
      </c>
      <c r="AP37" s="2">
        <f t="shared" ca="1" si="36"/>
        <v>0</v>
      </c>
      <c r="AQ37" s="2">
        <f t="shared" ca="1" si="36"/>
        <v>0</v>
      </c>
      <c r="AR37" s="2">
        <f t="shared" ca="1" si="36"/>
        <v>0</v>
      </c>
      <c r="AS37" s="2">
        <f t="shared" ca="1" si="36"/>
        <v>0</v>
      </c>
      <c r="AT37" s="32">
        <f t="shared" ca="1" si="36"/>
        <v>0</v>
      </c>
      <c r="AU37" s="2">
        <f t="shared" ca="1" si="36"/>
        <v>0</v>
      </c>
      <c r="AV37" s="2">
        <f t="shared" ca="1" si="36"/>
        <v>0.1</v>
      </c>
      <c r="AW37" s="32">
        <f ca="1">IF(ISBLANK($AB37), 0, IF(ISNUMBER(VLOOKUP($AB37, INDIRECT($AA37), MATCH("D"&amp;AW$25, StatHeader, 0), 0)), IF(Setup!$G$42=1, VLOOKUP($AB37, INDIRECT($AA37), MATCH("D"&amp;AW$25, StatHeader, 0), 0), 0), VLOOKUP($AB37, INDIRECT($AA37), MATCH(AW$25, StatHeader, 0), 0)))</f>
        <v>0</v>
      </c>
      <c r="AX37">
        <f t="shared" ca="1" si="37"/>
        <v>0</v>
      </c>
    </row>
    <row r="38" spans="1:50">
      <c r="A38" t="s">
        <v>21</v>
      </c>
      <c r="B38" s="30" t="s">
        <v>157</v>
      </c>
      <c r="C38">
        <f t="shared" ca="1" si="28"/>
        <v>0</v>
      </c>
      <c r="D38">
        <f t="shared" ca="1" si="28"/>
        <v>0</v>
      </c>
      <c r="E38">
        <f t="shared" ca="1" si="28"/>
        <v>0</v>
      </c>
      <c r="F38">
        <f t="shared" ca="1" si="28"/>
        <v>0</v>
      </c>
      <c r="G38">
        <f t="shared" ca="1" si="28"/>
        <v>0</v>
      </c>
      <c r="H38">
        <f t="shared" ca="1" si="28"/>
        <v>0</v>
      </c>
      <c r="I38">
        <f t="shared" ca="1" si="28"/>
        <v>0</v>
      </c>
      <c r="J38">
        <f t="shared" ca="1" si="28"/>
        <v>0</v>
      </c>
      <c r="K38" s="2">
        <f t="shared" ca="1" si="28"/>
        <v>0</v>
      </c>
      <c r="L38">
        <f t="shared" ca="1" si="28"/>
        <v>0</v>
      </c>
      <c r="M38">
        <f t="shared" ca="1" si="29"/>
        <v>10</v>
      </c>
      <c r="N38" s="2">
        <f t="shared" ca="1" si="30"/>
        <v>0</v>
      </c>
      <c r="O38" s="2">
        <f t="shared" ca="1" si="31"/>
        <v>0</v>
      </c>
      <c r="P38" s="2">
        <f t="shared" ca="1" si="31"/>
        <v>0</v>
      </c>
      <c r="Q38" s="2">
        <f t="shared" ca="1" si="31"/>
        <v>0</v>
      </c>
      <c r="R38" s="2">
        <f t="shared" ca="1" si="31"/>
        <v>0</v>
      </c>
      <c r="S38" s="2">
        <f t="shared" ca="1" si="31"/>
        <v>0</v>
      </c>
      <c r="T38" s="32">
        <f t="shared" ca="1" si="31"/>
        <v>0</v>
      </c>
      <c r="U38" s="2">
        <f t="shared" ca="1" si="31"/>
        <v>7.0000000000000007E-2</v>
      </c>
      <c r="V38" s="2">
        <f t="shared" ca="1" si="31"/>
        <v>0</v>
      </c>
      <c r="W38" s="32">
        <f ca="1">IF(ISBLANK($B38), 0, IF(ISNUMBER(VLOOKUP($B38, INDIRECT($A38), MATCH("D"&amp;W$25, StatHeader, 0), 0)), IF(Setup!$F$42=1, VLOOKUP($B38, INDIRECT($A38), MATCH("D"&amp;W$25, StatHeader, 0), 0), 0), VLOOKUP($B38, INDIRECT($A38), MATCH(W$25, StatHeader, 0), 0)))</f>
        <v>100</v>
      </c>
      <c r="X38">
        <f t="shared" ca="1" si="32"/>
        <v>0</v>
      </c>
      <c r="Z38" t="str">
        <f>IF(B38=AB38, "=", "-")</f>
        <v>=</v>
      </c>
      <c r="AA38" t="s">
        <v>21</v>
      </c>
      <c r="AB38" s="30" t="s">
        <v>157</v>
      </c>
      <c r="AC38">
        <f ca="1">IF(ISBLANK($AB38), 0, VLOOKUP($AB38, INDIRECT($AA38), MATCH(AC$25, StatHeader, 0), 0))</f>
        <v>0</v>
      </c>
      <c r="AD38">
        <f ca="1">IF(ISBLANK($AB38), 0, VLOOKUP($AB38, INDIRECT($AA38), MATCH(AD$25, StatHeader, 0), 0))</f>
        <v>0</v>
      </c>
      <c r="AE38">
        <f ca="1">IF(ISBLANK($AB38), 0, VLOOKUP($AB38, INDIRECT($AA38), MATCH(AE$25, StatHeader, 0), 0))</f>
        <v>0</v>
      </c>
      <c r="AF38">
        <f t="shared" ca="1" si="33"/>
        <v>0</v>
      </c>
      <c r="AG38">
        <f ca="1">IF(ISBLANK($AB38), 0, VLOOKUP($AB38, INDIRECT($AA38), MATCH(AG$25, StatHeader, 0), 0))</f>
        <v>0</v>
      </c>
      <c r="AH38">
        <f ca="1">IF(ISBLANK($AB38), 0, VLOOKUP($AB38, INDIRECT($AA38), MATCH(AH$25, StatHeader, 0), 0))</f>
        <v>0</v>
      </c>
      <c r="AI38">
        <f ca="1">IF(ISBLANK($AB38), 0, VLOOKUP($AB38, INDIRECT($AA38), MATCH(AI$25, StatHeader, 0), 0))</f>
        <v>0</v>
      </c>
      <c r="AJ38">
        <f ca="1">IF(ISBLANK($AB38), 0, VLOOKUP($AB38, INDIRECT($AA38), MATCH(AJ$25, StatHeader, 0), 0))</f>
        <v>0</v>
      </c>
      <c r="AK38" s="2">
        <f ca="1">IF(ISBLANK($AB38), 0, VLOOKUP($AB38, INDIRECT($AA38), MATCH(AK$25, StatHeader, 0), 0))</f>
        <v>0</v>
      </c>
      <c r="AL38">
        <f ca="1">IF(ISBLANK($AB38), 0, VLOOKUP($AB38, INDIRECT($AA38), MATCH(AL$25, StatHeader, 0), 0))</f>
        <v>0</v>
      </c>
      <c r="AM38">
        <f t="shared" ca="1" si="34"/>
        <v>10</v>
      </c>
      <c r="AN38" s="2">
        <f t="shared" ca="1" si="35"/>
        <v>0</v>
      </c>
      <c r="AO38" s="2">
        <f t="shared" ca="1" si="36"/>
        <v>0</v>
      </c>
      <c r="AP38" s="2">
        <f t="shared" ca="1" si="36"/>
        <v>0</v>
      </c>
      <c r="AQ38" s="2">
        <f t="shared" ca="1" si="36"/>
        <v>0</v>
      </c>
      <c r="AR38" s="2">
        <f t="shared" ca="1" si="36"/>
        <v>0</v>
      </c>
      <c r="AS38" s="2">
        <f t="shared" ca="1" si="36"/>
        <v>0</v>
      </c>
      <c r="AT38" s="32">
        <f t="shared" ca="1" si="36"/>
        <v>0</v>
      </c>
      <c r="AU38" s="2">
        <f t="shared" ca="1" si="36"/>
        <v>7.0000000000000007E-2</v>
      </c>
      <c r="AV38" s="2">
        <f t="shared" ca="1" si="36"/>
        <v>0</v>
      </c>
      <c r="AW38" s="32">
        <f ca="1">IF(ISBLANK($AB38), 0, IF(ISNUMBER(VLOOKUP($AB38, INDIRECT($AA38), MATCH("D"&amp;AW$25, StatHeader, 0), 0)), IF(Setup!$G$42=1, VLOOKUP($AB38, INDIRECT($AA38), MATCH("D"&amp;AW$25, StatHeader, 0), 0), 0), VLOOKUP($AB38, INDIRECT($AA38), MATCH(AW$25, StatHeader, 0), 0)))</f>
        <v>100</v>
      </c>
      <c r="AX38">
        <f t="shared" ca="1" si="37"/>
        <v>0</v>
      </c>
    </row>
    <row r="39" spans="1:50">
      <c r="A39" t="s">
        <v>22</v>
      </c>
      <c r="B39" s="30" t="s">
        <v>892</v>
      </c>
      <c r="C39">
        <f t="shared" ca="1" si="28"/>
        <v>0</v>
      </c>
      <c r="D39">
        <f t="shared" ca="1" si="28"/>
        <v>37</v>
      </c>
      <c r="E39">
        <f t="shared" ca="1" si="28"/>
        <v>0</v>
      </c>
      <c r="F39">
        <f t="shared" ca="1" si="28"/>
        <v>16</v>
      </c>
      <c r="G39">
        <f t="shared" ca="1" si="28"/>
        <v>35</v>
      </c>
      <c r="H39">
        <f t="shared" ca="1" si="28"/>
        <v>26</v>
      </c>
      <c r="I39">
        <f t="shared" ca="1" si="28"/>
        <v>12</v>
      </c>
      <c r="J39">
        <f t="shared" ca="1" si="28"/>
        <v>0</v>
      </c>
      <c r="K39" s="2">
        <f t="shared" ca="1" si="28"/>
        <v>0</v>
      </c>
      <c r="L39">
        <f t="shared" ca="1" si="28"/>
        <v>4</v>
      </c>
      <c r="M39">
        <f t="shared" ca="1" si="29"/>
        <v>15</v>
      </c>
      <c r="N39" s="2">
        <f t="shared" ca="1" si="30"/>
        <v>0</v>
      </c>
      <c r="O39" s="2">
        <f t="shared" ca="1" si="31"/>
        <v>0.02</v>
      </c>
      <c r="P39" s="2">
        <f t="shared" ca="1" si="31"/>
        <v>0</v>
      </c>
      <c r="Q39" s="2">
        <f t="shared" ca="1" si="31"/>
        <v>0</v>
      </c>
      <c r="R39" s="2">
        <f t="shared" ca="1" si="31"/>
        <v>0</v>
      </c>
      <c r="S39" s="2">
        <f t="shared" ca="1" si="31"/>
        <v>0</v>
      </c>
      <c r="T39" s="32">
        <f t="shared" ca="1" si="31"/>
        <v>0</v>
      </c>
      <c r="U39" s="2">
        <f t="shared" ca="1" si="31"/>
        <v>0</v>
      </c>
      <c r="V39" s="2">
        <f t="shared" ca="1" si="31"/>
        <v>0.03</v>
      </c>
      <c r="W39" s="32">
        <f ca="1">IF(ISBLANK($B39), 0, IF(ISNUMBER(VLOOKUP($B39, INDIRECT($A39), MATCH("D"&amp;W$25, StatHeader, 0), 0)), IF(Setup!$F$42=1, VLOOKUP($B39, INDIRECT($A39), MATCH("D"&amp;W$25, StatHeader, 0), 0), 0), VLOOKUP($B39, INDIRECT($A39), MATCH(W$25, StatHeader, 0), 0)))</f>
        <v>0</v>
      </c>
      <c r="X39">
        <f t="shared" ca="1" si="32"/>
        <v>5</v>
      </c>
      <c r="Z39" t="str">
        <f>IF(B39=AB39, "=", "-")</f>
        <v>-</v>
      </c>
      <c r="AA39" t="s">
        <v>22</v>
      </c>
      <c r="AB39" s="30" t="s">
        <v>864</v>
      </c>
      <c r="AC39">
        <f ca="1">IF(ISBLANK($AB39), 0, VLOOKUP($AB39, INDIRECT($AA39), MATCH(AC$25, StatHeader, 0), 0))</f>
        <v>0</v>
      </c>
      <c r="AD39">
        <f ca="1">IF(ISBLANK($AB39), 0, VLOOKUP($AB39, INDIRECT($AA39), MATCH(AD$25, StatHeader, 0), 0))</f>
        <v>39</v>
      </c>
      <c r="AE39">
        <f ca="1">IF(ISBLANK($AB39), 0, VLOOKUP($AB39, INDIRECT($AA39), MATCH(AE$25, StatHeader, 0), 0))</f>
        <v>0</v>
      </c>
      <c r="AF39">
        <f t="shared" ca="1" si="33"/>
        <v>16</v>
      </c>
      <c r="AG39">
        <f ca="1">IF(ISBLANK($AB39), 0, VLOOKUP($AB39, INDIRECT($AA39), MATCH(AG$25, StatHeader, 0), 0))</f>
        <v>26</v>
      </c>
      <c r="AH39">
        <f ca="1">IF(ISBLANK($AB39), 0, VLOOKUP($AB39, INDIRECT($AA39), MATCH(AH$25, StatHeader, 0), 0))</f>
        <v>25</v>
      </c>
      <c r="AI39">
        <f ca="1">IF(ISBLANK($AB39), 0, VLOOKUP($AB39, INDIRECT($AA39), MATCH(AI$25, StatHeader, 0), 0))</f>
        <v>14</v>
      </c>
      <c r="AJ39">
        <f ca="1">IF(ISBLANK($AB39), 0, VLOOKUP($AB39, INDIRECT($AA39), MATCH(AJ$25, StatHeader, 0), 0))</f>
        <v>95</v>
      </c>
      <c r="AK39" s="2">
        <f ca="1">IF(ISBLANK($AB39), 0, VLOOKUP($AB39, INDIRECT($AA39), MATCH(AK$25, StatHeader, 0), 0))</f>
        <v>0</v>
      </c>
      <c r="AL39">
        <f ca="1">IF(ISBLANK($AB39), 0, VLOOKUP($AB39, INDIRECT($AA39), MATCH(AL$25, StatHeader, 0), 0))</f>
        <v>15</v>
      </c>
      <c r="AM39">
        <f t="shared" ca="1" si="34"/>
        <v>14</v>
      </c>
      <c r="AN39" s="2">
        <f t="shared" ca="1" si="35"/>
        <v>0</v>
      </c>
      <c r="AO39" s="2">
        <f t="shared" ca="1" si="36"/>
        <v>0.03</v>
      </c>
      <c r="AP39" s="2">
        <f t="shared" ca="1" si="36"/>
        <v>0</v>
      </c>
      <c r="AQ39" s="2">
        <f t="shared" ca="1" si="36"/>
        <v>0</v>
      </c>
      <c r="AR39" s="2">
        <f t="shared" ca="1" si="36"/>
        <v>0</v>
      </c>
      <c r="AS39" s="2">
        <f t="shared" ca="1" si="36"/>
        <v>0</v>
      </c>
      <c r="AT39" s="32">
        <f t="shared" ca="1" si="36"/>
        <v>0</v>
      </c>
      <c r="AU39" s="2">
        <f t="shared" ca="1" si="36"/>
        <v>0</v>
      </c>
      <c r="AV39" s="2">
        <f t="shared" ca="1" si="36"/>
        <v>0.06</v>
      </c>
      <c r="AW39" s="32">
        <f ca="1">IF(ISBLANK($AB39), 0, IF(ISNUMBER(VLOOKUP($AB39, INDIRECT($AA39), MATCH("D"&amp;AW$25, StatHeader, 0), 0)), IF(Setup!$G$42=1, VLOOKUP($AB39, INDIRECT($AA39), MATCH("D"&amp;AW$25, StatHeader, 0), 0), 0), VLOOKUP($AB39, INDIRECT($AA39), MATCH(AW$25, StatHeader, 0), 0)))</f>
        <v>0</v>
      </c>
      <c r="AX39">
        <f t="shared" ca="1" si="37"/>
        <v>0</v>
      </c>
    </row>
    <row r="40" spans="1:50">
      <c r="A40" t="s">
        <v>23</v>
      </c>
      <c r="B40" s="30" t="s">
        <v>945</v>
      </c>
      <c r="C40">
        <f t="shared" ca="1" si="28"/>
        <v>0</v>
      </c>
      <c r="D40">
        <f t="shared" ca="1" si="28"/>
        <v>29</v>
      </c>
      <c r="E40">
        <f t="shared" ca="1" si="28"/>
        <v>19</v>
      </c>
      <c r="F40">
        <f t="shared" ca="1" si="28"/>
        <v>26</v>
      </c>
      <c r="G40">
        <f t="shared" ca="1" si="28"/>
        <v>29</v>
      </c>
      <c r="H40">
        <f t="shared" ca="1" si="28"/>
        <v>0</v>
      </c>
      <c r="I40">
        <f t="shared" ca="1" si="28"/>
        <v>18</v>
      </c>
      <c r="J40">
        <f t="shared" ca="1" si="28"/>
        <v>0</v>
      </c>
      <c r="K40" s="2">
        <f t="shared" ca="1" si="28"/>
        <v>0</v>
      </c>
      <c r="L40">
        <f t="shared" ca="1" si="28"/>
        <v>46</v>
      </c>
      <c r="M40">
        <f t="shared" ca="1" si="29"/>
        <v>42</v>
      </c>
      <c r="N40" s="2">
        <f t="shared" ca="1" si="30"/>
        <v>0</v>
      </c>
      <c r="O40" s="2">
        <f t="shared" ca="1" si="31"/>
        <v>0</v>
      </c>
      <c r="P40" s="2">
        <f t="shared" ca="1" si="31"/>
        <v>0</v>
      </c>
      <c r="Q40" s="2">
        <f t="shared" ca="1" si="31"/>
        <v>0</v>
      </c>
      <c r="R40" s="2">
        <f t="shared" ca="1" si="31"/>
        <v>0</v>
      </c>
      <c r="S40" s="2">
        <f t="shared" ca="1" si="31"/>
        <v>0</v>
      </c>
      <c r="T40" s="32">
        <f t="shared" ca="1" si="31"/>
        <v>0</v>
      </c>
      <c r="U40" s="2">
        <f t="shared" ca="1" si="31"/>
        <v>0</v>
      </c>
      <c r="V40" s="2">
        <f t="shared" ca="1" si="31"/>
        <v>7.0000000000000007E-2</v>
      </c>
      <c r="W40" s="32">
        <f ca="1">IF(ISBLANK($B40), 0, IF(ISNUMBER(VLOOKUP($B40, INDIRECT($A40), MATCH("D"&amp;W$25, StatHeader, 0), 0)), IF(Setup!$F$42=1, VLOOKUP($B40, INDIRECT($A40), MATCH("D"&amp;W$25, StatHeader, 0), 0), 0), VLOOKUP($B40, INDIRECT($A40), MATCH(W$25, StatHeader, 0), 0)))</f>
        <v>0</v>
      </c>
      <c r="X40">
        <f t="shared" ca="1" si="32"/>
        <v>0</v>
      </c>
      <c r="Z40" t="str">
        <f>IF(B40=AB40, "=", "-")</f>
        <v>=</v>
      </c>
      <c r="AA40" t="s">
        <v>23</v>
      </c>
      <c r="AB40" s="30" t="s">
        <v>945</v>
      </c>
      <c r="AC40">
        <f ca="1">IF(ISBLANK($AB40), 0, VLOOKUP($AB40, INDIRECT($AA40), MATCH(AC$25, StatHeader, 0), 0))</f>
        <v>0</v>
      </c>
      <c r="AD40">
        <f ca="1">IF(ISBLANK($AB40), 0, VLOOKUP($AB40, INDIRECT($AA40), MATCH(AD$25, StatHeader, 0), 0))</f>
        <v>29</v>
      </c>
      <c r="AE40">
        <f ca="1">IF(ISBLANK($AB40), 0, VLOOKUP($AB40, INDIRECT($AA40), MATCH(AE$25, StatHeader, 0), 0))</f>
        <v>19</v>
      </c>
      <c r="AF40">
        <f t="shared" ca="1" si="33"/>
        <v>26</v>
      </c>
      <c r="AG40">
        <f ca="1">IF(ISBLANK($AB40), 0, VLOOKUP($AB40, INDIRECT($AA40), MATCH(AG$25, StatHeader, 0), 0))</f>
        <v>29</v>
      </c>
      <c r="AH40">
        <f ca="1">IF(ISBLANK($AB40), 0, VLOOKUP($AB40, INDIRECT($AA40), MATCH(AH$25, StatHeader, 0), 0))</f>
        <v>0</v>
      </c>
      <c r="AI40">
        <f ca="1">IF(ISBLANK($AB40), 0, VLOOKUP($AB40, INDIRECT($AA40), MATCH(AI$25, StatHeader, 0), 0))</f>
        <v>18</v>
      </c>
      <c r="AJ40">
        <f ca="1">IF(ISBLANK($AB40), 0, VLOOKUP($AB40, INDIRECT($AA40), MATCH(AJ$25, StatHeader, 0), 0))</f>
        <v>0</v>
      </c>
      <c r="AK40" s="2">
        <f ca="1">IF(ISBLANK($AB40), 0, VLOOKUP($AB40, INDIRECT($AA40), MATCH(AK$25, StatHeader, 0), 0))</f>
        <v>0</v>
      </c>
      <c r="AL40">
        <f ca="1">IF(ISBLANK($AB40), 0, VLOOKUP($AB40, INDIRECT($AA40), MATCH(AL$25, StatHeader, 0), 0))</f>
        <v>46</v>
      </c>
      <c r="AM40">
        <f t="shared" ca="1" si="34"/>
        <v>42</v>
      </c>
      <c r="AN40" s="2">
        <f t="shared" ca="1" si="35"/>
        <v>0</v>
      </c>
      <c r="AO40" s="2">
        <f t="shared" ca="1" si="36"/>
        <v>0</v>
      </c>
      <c r="AP40" s="2">
        <f t="shared" ca="1" si="36"/>
        <v>0</v>
      </c>
      <c r="AQ40" s="2">
        <f t="shared" ca="1" si="36"/>
        <v>0</v>
      </c>
      <c r="AR40" s="2">
        <f t="shared" ca="1" si="36"/>
        <v>0</v>
      </c>
      <c r="AS40" s="2">
        <f t="shared" ca="1" si="36"/>
        <v>0</v>
      </c>
      <c r="AT40" s="32">
        <f t="shared" ca="1" si="36"/>
        <v>0</v>
      </c>
      <c r="AU40" s="2">
        <f t="shared" ca="1" si="36"/>
        <v>0</v>
      </c>
      <c r="AV40" s="2">
        <f t="shared" ca="1" si="36"/>
        <v>7.0000000000000007E-2</v>
      </c>
      <c r="AW40" s="32">
        <f ca="1">IF(ISBLANK($AB40), 0, IF(ISNUMBER(VLOOKUP($AB40, INDIRECT($AA40), MATCH("D"&amp;AW$25, StatHeader, 0), 0)), IF(Setup!$G$42=1, VLOOKUP($AB40, INDIRECT($AA40), MATCH("D"&amp;AW$25, StatHeader, 0), 0), 0), VLOOKUP($AB40, INDIRECT($AA40), MATCH(AW$25, StatHeader, 0), 0)))</f>
        <v>0</v>
      </c>
      <c r="AX40">
        <f t="shared" ca="1" si="37"/>
        <v>0</v>
      </c>
    </row>
    <row r="41" spans="1:50">
      <c r="A41" t="s">
        <v>24</v>
      </c>
      <c r="B41" s="142"/>
      <c r="C41">
        <f t="shared" ref="C41:X41" si="38">SUMIF(INDEX(SetBonusLookup, 0, 1), "="&amp;C25, INDEX(SetBonusLookup, 0, MATCH("WSSet1Gear", INDEX(SetBonusLookup, 1, 0), 0)))</f>
        <v>0</v>
      </c>
      <c r="D41">
        <f t="shared" ca="1" si="38"/>
        <v>0</v>
      </c>
      <c r="E41">
        <f t="shared" ca="1" si="38"/>
        <v>0</v>
      </c>
      <c r="F41">
        <f t="shared" si="38"/>
        <v>0</v>
      </c>
      <c r="G41">
        <f t="shared" ca="1" si="38"/>
        <v>0</v>
      </c>
      <c r="H41">
        <f t="shared" ca="1" si="38"/>
        <v>0</v>
      </c>
      <c r="I41">
        <f t="shared" ca="1" si="38"/>
        <v>0</v>
      </c>
      <c r="J41">
        <f t="shared" si="38"/>
        <v>0</v>
      </c>
      <c r="K41">
        <f t="shared" si="38"/>
        <v>0</v>
      </c>
      <c r="L41">
        <f t="shared" ca="1" si="38"/>
        <v>0</v>
      </c>
      <c r="M41">
        <f t="shared" ca="1" si="38"/>
        <v>0</v>
      </c>
      <c r="N41" s="79">
        <f t="shared" si="38"/>
        <v>0</v>
      </c>
      <c r="O41" s="79">
        <f t="shared" ca="1" si="38"/>
        <v>0</v>
      </c>
      <c r="P41" s="79">
        <f t="shared" si="38"/>
        <v>0</v>
      </c>
      <c r="Q41" s="79">
        <f t="shared" si="38"/>
        <v>0</v>
      </c>
      <c r="R41" s="79">
        <f t="shared" si="38"/>
        <v>0</v>
      </c>
      <c r="S41" s="79">
        <f t="shared" si="38"/>
        <v>0</v>
      </c>
      <c r="T41">
        <f t="shared" si="38"/>
        <v>0</v>
      </c>
      <c r="U41" s="79">
        <f t="shared" si="38"/>
        <v>0</v>
      </c>
      <c r="V41" s="79">
        <f t="shared" si="38"/>
        <v>0</v>
      </c>
      <c r="W41">
        <f t="shared" si="38"/>
        <v>0</v>
      </c>
      <c r="X41">
        <f t="shared" si="38"/>
        <v>0</v>
      </c>
      <c r="Z41" t="str">
        <f ca="1">IF(AND(C41=AC41, D41=AD41, E41=AE41, F41=AF41, G41=AG41, H41=AH41, I41=AI41, J41=AJ41, K41=AK41, L41=AL41, M41=AM41, N41=AN41, O41=AO41, P41=AP41, Q41=AQ41, R41=AR41, S41=AS41, T41=AT41, U41=AU41, V41=AV41, X41=AX41), "=", "-")</f>
        <v>=</v>
      </c>
      <c r="AA41" t="s">
        <v>24</v>
      </c>
      <c r="AB41" s="142"/>
      <c r="AC41">
        <f t="shared" ref="AC41:AX41" si="39">SUMIF(INDEX(SetBonusLookup, 0, 1), "="&amp;AC25, INDEX(SetBonusLookup, 0, MATCH("WSSet2Gear", INDEX(SetBonusLookup, 1, 0), 0)))</f>
        <v>0</v>
      </c>
      <c r="AD41">
        <f t="shared" ca="1" si="39"/>
        <v>0</v>
      </c>
      <c r="AE41">
        <f t="shared" ca="1" si="39"/>
        <v>0</v>
      </c>
      <c r="AF41">
        <f t="shared" si="39"/>
        <v>0</v>
      </c>
      <c r="AG41">
        <f t="shared" ca="1" si="39"/>
        <v>0</v>
      </c>
      <c r="AH41">
        <f t="shared" ca="1" si="39"/>
        <v>0</v>
      </c>
      <c r="AI41">
        <f t="shared" ca="1" si="39"/>
        <v>0</v>
      </c>
      <c r="AJ41">
        <f t="shared" si="39"/>
        <v>0</v>
      </c>
      <c r="AK41">
        <f t="shared" si="39"/>
        <v>0</v>
      </c>
      <c r="AL41">
        <f t="shared" ca="1" si="39"/>
        <v>0</v>
      </c>
      <c r="AM41">
        <f t="shared" ca="1" si="39"/>
        <v>0</v>
      </c>
      <c r="AN41" s="79">
        <f t="shared" si="39"/>
        <v>0</v>
      </c>
      <c r="AO41" s="79">
        <f t="shared" ca="1" si="39"/>
        <v>0</v>
      </c>
      <c r="AP41" s="79">
        <f t="shared" si="39"/>
        <v>0</v>
      </c>
      <c r="AQ41" s="79">
        <f t="shared" si="39"/>
        <v>0</v>
      </c>
      <c r="AR41" s="79">
        <f t="shared" si="39"/>
        <v>0</v>
      </c>
      <c r="AS41" s="79">
        <f t="shared" si="39"/>
        <v>0</v>
      </c>
      <c r="AT41">
        <f t="shared" si="39"/>
        <v>0</v>
      </c>
      <c r="AU41" s="79">
        <f t="shared" si="39"/>
        <v>0</v>
      </c>
      <c r="AV41" s="79">
        <f t="shared" si="39"/>
        <v>0</v>
      </c>
      <c r="AW41">
        <f t="shared" si="39"/>
        <v>0</v>
      </c>
      <c r="AX41">
        <f t="shared" si="39"/>
        <v>0</v>
      </c>
    </row>
    <row r="42" spans="1:50">
      <c r="A42" t="s">
        <v>585</v>
      </c>
      <c r="C42" s="30"/>
      <c r="D42" s="30"/>
      <c r="E42" s="30"/>
      <c r="F42" s="30"/>
      <c r="G42" s="30"/>
      <c r="H42" s="30"/>
      <c r="I42" s="30"/>
      <c r="J42" s="30"/>
      <c r="K42" s="31"/>
      <c r="L42" s="30"/>
      <c r="M42" s="30"/>
      <c r="N42" s="31"/>
      <c r="O42" s="31"/>
      <c r="P42" s="31"/>
      <c r="Q42" s="31"/>
      <c r="R42" s="31"/>
      <c r="S42" s="31"/>
      <c r="T42" s="33"/>
      <c r="U42" s="33"/>
      <c r="V42" s="31"/>
      <c r="W42" s="30"/>
      <c r="X42" s="30"/>
      <c r="Z42" t="str">
        <f>IF(AND(C42=AC42, D42=AD42, E42=AE42, F42=AF42, G42=AG42, H42=AH42, I42=AI42, J42=AJ42, K42=AK42, L42=AL42, M42=AM42, N42=AN42, O42=AO42, P42=AP42, Q42=AQ42, R42=AR42, S42=AS42, T42=AT42, U42=AU42, V42=AV42, X42=AX42), "=", "-")</f>
        <v>=</v>
      </c>
      <c r="AA42" t="s">
        <v>585</v>
      </c>
      <c r="AC42" s="30"/>
      <c r="AD42" s="30"/>
      <c r="AE42" s="30"/>
      <c r="AF42" s="30"/>
      <c r="AG42" s="30"/>
      <c r="AH42" s="30"/>
      <c r="AI42" s="30"/>
      <c r="AJ42" s="30"/>
      <c r="AK42" s="31"/>
      <c r="AL42" s="30"/>
      <c r="AM42" s="30"/>
      <c r="AN42" s="31"/>
      <c r="AO42" s="31"/>
      <c r="AP42" s="31"/>
      <c r="AQ42" s="31"/>
      <c r="AR42" s="31"/>
      <c r="AS42" s="31"/>
      <c r="AT42" s="33"/>
      <c r="AU42" s="33"/>
      <c r="AV42" s="31"/>
      <c r="AW42" s="30"/>
      <c r="AX42" s="30"/>
    </row>
    <row r="43" spans="1:50">
      <c r="K43" s="2"/>
      <c r="O43" s="2"/>
      <c r="P43" s="2"/>
      <c r="Q43" s="2"/>
      <c r="R43" s="2"/>
      <c r="S43" s="2"/>
      <c r="T43" s="2"/>
      <c r="U43" s="2"/>
      <c r="V43" s="2"/>
      <c r="AK43" s="2"/>
      <c r="AM43">
        <f ca="1">AM44-M44+(AE44-E44)*0.75</f>
        <v>25.25</v>
      </c>
      <c r="AO43" s="2"/>
      <c r="AP43" s="2"/>
      <c r="AQ43" s="2"/>
      <c r="AR43" s="2"/>
      <c r="AS43" s="2"/>
      <c r="AT43" s="2"/>
      <c r="AU43" s="2"/>
      <c r="AV43" s="2"/>
    </row>
    <row r="44" spans="1:50">
      <c r="A44" t="s">
        <v>7</v>
      </c>
      <c r="C44">
        <f t="shared" ref="C44:X44" ca="1" si="40">SUM(C26:C42)</f>
        <v>0</v>
      </c>
      <c r="D44">
        <f t="shared" ca="1" si="40"/>
        <v>211</v>
      </c>
      <c r="E44">
        <f t="shared" ca="1" si="40"/>
        <v>119</v>
      </c>
      <c r="F44">
        <f t="shared" ca="1" si="40"/>
        <v>106</v>
      </c>
      <c r="G44">
        <f t="shared" ca="1" si="40"/>
        <v>261</v>
      </c>
      <c r="H44">
        <f ca="1">SUM(H26:H42)</f>
        <v>88</v>
      </c>
      <c r="I44">
        <f ca="1">SUM(I26:I42)</f>
        <v>100</v>
      </c>
      <c r="J44">
        <f ca="1">SUM(J26:J42)</f>
        <v>164</v>
      </c>
      <c r="K44" s="2">
        <f ca="1">SUM(K26:K42)</f>
        <v>0</v>
      </c>
      <c r="L44">
        <f t="shared" ca="1" si="40"/>
        <v>247</v>
      </c>
      <c r="M44">
        <f t="shared" ca="1" si="40"/>
        <v>216</v>
      </c>
      <c r="N44" s="2">
        <f t="shared" ca="1" si="40"/>
        <v>0</v>
      </c>
      <c r="O44" s="2">
        <f t="shared" ca="1" si="40"/>
        <v>0.05</v>
      </c>
      <c r="P44" s="2">
        <f t="shared" ca="1" si="40"/>
        <v>0</v>
      </c>
      <c r="Q44" s="2">
        <f t="shared" ca="1" si="40"/>
        <v>0.03</v>
      </c>
      <c r="R44" s="2">
        <f ca="1">SUM(R26:R42)</f>
        <v>0</v>
      </c>
      <c r="S44" s="2">
        <f ca="1">SUM(S26:S42)</f>
        <v>0</v>
      </c>
      <c r="T44">
        <f ca="1">SUM(T26:T42)</f>
        <v>250</v>
      </c>
      <c r="U44" s="2">
        <f ca="1">SUM(U26:U42)</f>
        <v>7.0000000000000007E-2</v>
      </c>
      <c r="V44" s="2">
        <f ca="1">SUM(V26:V42)</f>
        <v>0.45</v>
      </c>
      <c r="W44" s="4">
        <f ca="1">SUM(W26:W42)/1024</f>
        <v>0.1953125</v>
      </c>
      <c r="X44">
        <f t="shared" ca="1" si="40"/>
        <v>5</v>
      </c>
      <c r="Z44" t="str">
        <f ca="1">IF(AND(C44=AC44, D44=AD44, E44=AE44, F44=AF44, G44=AG44, H44=AH44, I44=AI44, J44=AJ44, K44=AK44, L44=AL44, M44=AM44, N44=AN44, O44=AO44, P44=AP44, Q44=AQ44, R44=AR44, S44=AS44, T44=AT44, U44=AU44, V44=AV44, X44=AX44), "=", "-")</f>
        <v>-</v>
      </c>
      <c r="AA44" t="s">
        <v>7</v>
      </c>
      <c r="AC44">
        <f t="shared" ref="AC44:AX44" ca="1" si="41">SUM(AC26:AC42)</f>
        <v>0</v>
      </c>
      <c r="AD44">
        <f t="shared" ca="1" si="41"/>
        <v>222</v>
      </c>
      <c r="AE44">
        <f t="shared" ca="1" si="41"/>
        <v>138</v>
      </c>
      <c r="AF44">
        <f t="shared" ca="1" si="41"/>
        <v>106</v>
      </c>
      <c r="AG44">
        <f t="shared" ca="1" si="41"/>
        <v>179</v>
      </c>
      <c r="AH44">
        <f ca="1">SUM(AH26:AH42)</f>
        <v>84</v>
      </c>
      <c r="AI44">
        <f ca="1">SUM(AI26:AI42)</f>
        <v>99</v>
      </c>
      <c r="AJ44">
        <f ca="1">SUM(AJ26:AJ42)</f>
        <v>259</v>
      </c>
      <c r="AK44" s="2">
        <f ca="1">SUM(AK26:AK42)</f>
        <v>0</v>
      </c>
      <c r="AL44">
        <f t="shared" ca="1" si="41"/>
        <v>233</v>
      </c>
      <c r="AM44">
        <f t="shared" ca="1" si="41"/>
        <v>227</v>
      </c>
      <c r="AN44" s="2">
        <f t="shared" ca="1" si="41"/>
        <v>0</v>
      </c>
      <c r="AO44" s="2">
        <f t="shared" ca="1" si="41"/>
        <v>0.06</v>
      </c>
      <c r="AP44" s="2">
        <f t="shared" ca="1" si="41"/>
        <v>0</v>
      </c>
      <c r="AQ44" s="2">
        <f t="shared" ca="1" si="41"/>
        <v>0.03</v>
      </c>
      <c r="AR44" s="2">
        <f ca="1">SUM(AR26:AR42)</f>
        <v>0.02</v>
      </c>
      <c r="AS44" s="2">
        <f ca="1">SUM(AS26:AS42)</f>
        <v>0</v>
      </c>
      <c r="AT44">
        <f ca="1">SUM(AT26:AT42)</f>
        <v>750</v>
      </c>
      <c r="AU44" s="2">
        <f ca="1">SUM(AU26:AU42)</f>
        <v>7.0000000000000007E-2</v>
      </c>
      <c r="AV44" s="2">
        <f ca="1">SUM(AV26:AV42)</f>
        <v>0.49</v>
      </c>
      <c r="AW44" s="4">
        <f ca="1">SUM(AW26:AW42)/1024</f>
        <v>0.1953125</v>
      </c>
      <c r="AX44">
        <f t="shared" ca="1" si="41"/>
        <v>10</v>
      </c>
    </row>
    <row r="45" spans="1:50">
      <c r="A45" s="9" t="s">
        <v>107</v>
      </c>
      <c r="B45" s="160">
        <f ca="1">Setup!B47</f>
        <v>29763.419428124995</v>
      </c>
      <c r="M45" s="79">
        <f ca="1">Set1WSHitRate</f>
        <v>0.95</v>
      </c>
      <c r="AA45" s="9" t="s">
        <v>107</v>
      </c>
      <c r="AB45" s="160">
        <f ca="1">Setup!C47</f>
        <v>32082.887475000003</v>
      </c>
      <c r="AM45" s="79">
        <f ca="1">Set2WSHitRate</f>
        <v>0.95</v>
      </c>
    </row>
    <row r="46" spans="1:50">
      <c r="A46" s="29" t="s">
        <v>640</v>
      </c>
      <c r="B46" s="4">
        <f ca="1">Data!D241</f>
        <v>4.0663797476181074</v>
      </c>
      <c r="AA46" s="29" t="s">
        <v>640</v>
      </c>
      <c r="AB46" s="4">
        <f ca="1">Data!E241</f>
        <v>3.4232147067135088</v>
      </c>
    </row>
    <row r="47" spans="1:50">
      <c r="A47" s="18"/>
      <c r="B47" s="143"/>
    </row>
    <row r="49" spans="2:28">
      <c r="B49">
        <f ca="1">B45/AB45</f>
        <v>0.92770388735482701</v>
      </c>
      <c r="AB49">
        <f ca="1">AB45/B45</f>
        <v>1.0779301602921076</v>
      </c>
    </row>
  </sheetData>
  <phoneticPr fontId="2" type="noConversion"/>
  <conditionalFormatting sqref="Z3:Z19 Z44 Z21 Z28:Z42">
    <cfRule type="cellIs" dxfId="1" priority="3" stopIfTrue="1" operator="equal">
      <formula>"="</formula>
    </cfRule>
    <cfRule type="cellIs" dxfId="0" priority="4" stopIfTrue="1" operator="equal">
      <formula>"-"</formula>
    </cfRule>
  </conditionalFormatting>
  <dataValidations count="17">
    <dataValidation type="list" allowBlank="1" showInputMessage="1" showErrorMessage="1" sqref="B4 AB4">
      <formula1>INDIRECT($AA$4&amp;"List")</formula1>
    </dataValidation>
    <dataValidation type="list" allowBlank="1" showInputMessage="1" showErrorMessage="1" sqref="AB3">
      <formula1>INDIRECT($AA$3&amp;"List")</formula1>
    </dataValidation>
    <dataValidation type="list" allowBlank="1" showInputMessage="1" showErrorMessage="1" sqref="AB5 B5 B28 AB28">
      <formula1>AmmoList</formula1>
    </dataValidation>
    <dataValidation type="list" allowBlank="1" showInputMessage="1" showErrorMessage="1" sqref="B29 B6 AB6 AB29">
      <formula1>HeadList</formula1>
    </dataValidation>
    <dataValidation type="list" allowBlank="1" showInputMessage="1" showErrorMessage="1" sqref="AB7 B7 B30 AB30">
      <formula1>NeckList</formula1>
    </dataValidation>
    <dataValidation type="list" allowBlank="1" showInputMessage="1" showErrorMessage="1" sqref="B8:B9 B31:B32 AB8:AB9 AB31:AB32">
      <formula1>EarringList</formula1>
    </dataValidation>
    <dataValidation type="list" allowBlank="1" showInputMessage="1" showErrorMessage="1" sqref="AB10 B10 B33 AB33">
      <formula1>BodyList</formula1>
    </dataValidation>
    <dataValidation type="list" allowBlank="1" showInputMessage="1" showErrorMessage="1" sqref="AB11 B11 B34 AB34">
      <formula1>HandsList</formula1>
    </dataValidation>
    <dataValidation type="list" allowBlank="1" showInputMessage="1" showErrorMessage="1" sqref="B35:B36 AB12:AB13 B12:B13 AB35:AB36">
      <formula1>RingList</formula1>
    </dataValidation>
    <dataValidation type="list" allowBlank="1" showInputMessage="1" showErrorMessage="1" sqref="B14 B37 AB14 AB37">
      <formula1>BackList</formula1>
    </dataValidation>
    <dataValidation type="list" allowBlank="1" showInputMessage="1" showErrorMessage="1" sqref="AB15 B38 B15 AB38">
      <formula1>WaistList</formula1>
    </dataValidation>
    <dataValidation type="list" allowBlank="1" showInputMessage="1" showErrorMessage="1" sqref="AB16 B39 B16 AB39">
      <formula1>LegsList</formula1>
    </dataValidation>
    <dataValidation type="list" allowBlank="1" showInputMessage="1" showErrorMessage="1" sqref="B17 AB17 B40 AB40">
      <formula1>FeetList</formula1>
    </dataValidation>
    <dataValidation type="list" allowBlank="1" showInputMessage="1" showErrorMessage="1" sqref="A3 AA3">
      <formula1>MainWeapons</formula1>
    </dataValidation>
    <dataValidation type="list" allowBlank="1" showInputMessage="1" showErrorMessage="1" sqref="A4">
      <formula1>INDIRECT("Sub"&amp;VLOOKUP($A$3, MainWeaponsGroup, 2, 0)&amp;"Weapons")</formula1>
    </dataValidation>
    <dataValidation type="list" allowBlank="1" showInputMessage="1" showErrorMessage="1" sqref="AA4">
      <formula1>INDIRECT("Sub"&amp;VLOOKUP($AA$3, MainWeaponsGroup, 2, 0)&amp;"Weapons")</formula1>
    </dataValidation>
    <dataValidation type="list" allowBlank="1" showInputMessage="1" showErrorMessage="1" sqref="B3">
      <formula1>INDIRECT($A$3&amp;"List")</formula1>
    </dataValidation>
  </dataValidations>
  <pageMargins left="0.75" right="0.75" top="1" bottom="1" header="0.5" footer="0.5"/>
  <pageSetup orientation="portrait" r:id="rId1"/>
  <headerFooter alignWithMargins="0"/>
  <ignoredErrors>
    <ignoredError sqref="AU21 U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41"/>
  </sheetPr>
  <dimension ref="A1:P244"/>
  <sheetViews>
    <sheetView topLeftCell="A205" workbookViewId="0">
      <selection activeCell="F240" sqref="F240"/>
    </sheetView>
  </sheetViews>
  <sheetFormatPr defaultRowHeight="12.75"/>
  <cols>
    <col min="1" max="1" width="16" customWidth="1"/>
    <col min="2" max="4" width="10.7109375" customWidth="1"/>
    <col min="5" max="5" width="11.42578125" customWidth="1"/>
    <col min="6" max="6" width="10.7109375" customWidth="1"/>
    <col min="7" max="7" width="11.5703125" customWidth="1"/>
    <col min="8" max="8" width="11.7109375" customWidth="1"/>
    <col min="9" max="10" width="10.7109375" customWidth="1"/>
    <col min="11" max="11" width="13.42578125" customWidth="1"/>
    <col min="12" max="12" width="13.85546875" customWidth="1"/>
    <col min="13" max="13" width="13" customWidth="1"/>
    <col min="14" max="15" width="12.85546875" customWidth="1"/>
    <col min="16" max="16" width="13.42578125" customWidth="1"/>
  </cols>
  <sheetData>
    <row r="1" spans="1:16">
      <c r="A1" t="str">
        <f>Setup!B3</f>
        <v>Hume</v>
      </c>
      <c r="B1">
        <f>Setup!B4</f>
        <v>99</v>
      </c>
      <c r="C1" t="s">
        <v>215</v>
      </c>
      <c r="D1" t="str">
        <f>Setup!B5</f>
        <v>Sam</v>
      </c>
      <c r="E1" t="str">
        <f>Setup!B6</f>
        <v>Sublime Sushi</v>
      </c>
      <c r="K1" t="s">
        <v>31</v>
      </c>
      <c r="L1" t="str">
        <f>Setup!N1</f>
        <v>ilvl130</v>
      </c>
      <c r="M1" t="s">
        <v>35</v>
      </c>
    </row>
    <row r="2" spans="1:16">
      <c r="B2" t="s">
        <v>250</v>
      </c>
      <c r="C2" t="s">
        <v>80</v>
      </c>
      <c r="D2" t="s">
        <v>539</v>
      </c>
      <c r="E2" t="s">
        <v>538</v>
      </c>
      <c r="F2" t="s">
        <v>251</v>
      </c>
      <c r="G2" t="s">
        <v>253</v>
      </c>
      <c r="H2" t="s">
        <v>252</v>
      </c>
      <c r="I2" t="s">
        <v>254</v>
      </c>
      <c r="K2" t="s">
        <v>32</v>
      </c>
      <c r="L2">
        <f>VLOOKUP($L$1,Mobs,MATCH($K2,MobHeader,0), FALSE)</f>
        <v>130</v>
      </c>
      <c r="M2" s="29" t="s">
        <v>152</v>
      </c>
      <c r="N2" s="29" t="s">
        <v>156</v>
      </c>
      <c r="O2" s="29" t="s">
        <v>683</v>
      </c>
      <c r="P2" s="29" t="s">
        <v>684</v>
      </c>
    </row>
    <row r="3" spans="1:16">
      <c r="A3" t="s">
        <v>3</v>
      </c>
      <c r="B3">
        <f>HLOOKUP(A3, PlayerStats, 2, 0) + Setup!B9</f>
        <v>109</v>
      </c>
      <c r="C3" s="7">
        <f t="shared" ref="C3:C9" si="0">IF(ISBLANK($E$1), 0, VLOOKUP($E$1, Food, MATCH(A3, FoodHeader, 0), 0))</f>
        <v>6</v>
      </c>
      <c r="D3">
        <f>IF(Setup!F$25=1, Setup!F$26, 0)</f>
        <v>0</v>
      </c>
      <c r="E3">
        <f>IF(Setup!G$25=1, Setup!G$26, 0)</f>
        <v>0</v>
      </c>
      <c r="F3" s="37">
        <f>IF(Setup!F$25=1, IF(ISBLANK($K$16),0,VLOOKUP($K$16,AtmaList,MATCH($A3,AtmaHeader,0), FALSE))+IF(ISBLANK($K$17),0,VLOOKUP($K$17,AtmaList,MATCH($A3,AtmaHeader,0), FALSE))+IF(ISBLANK($K$18),0,VLOOKUP($K$18,AtmaList,MATCH($A3,AtmaHeader,0), FALSE)), 0)</f>
        <v>0</v>
      </c>
      <c r="G3" s="37">
        <f>IF(Setup!G$25=1, IF(ISBLANK($L$16),0,VLOOKUP($L$16,AtmaList,MATCH($A3,AtmaHeader,0), FALSE))+IF(ISBLANK($L$17),0,VLOOKUP($L$17,AtmaList,MATCH($A3,AtmaHeader,0), FALSE))+IF(ISBLANK($L$18),0,VLOOKUP($L$18,AtmaList,MATCH($A3,AtmaHeader,0), FALSE)), 0)</f>
        <v>0</v>
      </c>
      <c r="H3" s="37">
        <f>B3+C3+D3+F3</f>
        <v>115</v>
      </c>
      <c r="I3" s="37">
        <f>B3+C3+E3+G3</f>
        <v>115</v>
      </c>
      <c r="K3" t="s">
        <v>33</v>
      </c>
      <c r="L3">
        <f>VLOOKUP($L$1,Mobs,MATCH($K3,MobHeader,0), FALSE)</f>
        <v>1239</v>
      </c>
      <c r="M3">
        <f>L3-TRUNC(L3*MIN(0.99,Setup!N4+IF(Setup!$J48=1,Setup!$M48*IF(Setup!J43=1,2,IF(Setup!J44=1,IF(Setup!J45=1,1.75,1.5),1)),0)))</f>
        <v>248</v>
      </c>
      <c r="N3">
        <f>L3-TRUNC(L3*MIN(0.99,Setup!N4+IF(Setup!$K48=1,Setup!$N48*IF(Setup!K43=1,2,IF(Setup!K44=1,IF(Setup!K45=1,1.75,1.5),1)),0)))</f>
        <v>248</v>
      </c>
      <c r="O3">
        <f>L3-TRUNC(L3*MIN(0.99,Setup!N4+IF(ISNUMBER(SEARCH("Quietus",Setup!B36)),Weaponskill!N6,0)+IF(Setup!$J48=1,Setup!$M48*IF(Setup!J43=1,2,IF(Setup!J44=1,IF(Setup!J45=1,1.75,1.5),1)),0)))</f>
        <v>248</v>
      </c>
      <c r="P3">
        <f>L3-TRUNC(L3*MIN(0.99,Setup!N4+IF(ISNUMBER(SEARCH("Quietus",Setup!C36)),Weaponskill!N6,0)+IF(Setup!$K48=1,Setup!$N48*IF(Setup!K43=1,2,IF(Setup!K44=1,IF(Setup!K45=1,1.75,1.5),1)),0)))</f>
        <v>248</v>
      </c>
    </row>
    <row r="4" spans="1:16">
      <c r="A4" t="s">
        <v>4</v>
      </c>
      <c r="B4">
        <f>HLOOKUP(A4, PlayerStats, 2, 0) + Setup!B10</f>
        <v>104</v>
      </c>
      <c r="C4" s="7">
        <f t="shared" si="0"/>
        <v>7</v>
      </c>
      <c r="D4">
        <f>IF(Setup!F$25=1, Setup!F$26, 0)</f>
        <v>0</v>
      </c>
      <c r="E4">
        <f>IF(Setup!G$25=1, Setup!G$26, 0)</f>
        <v>0</v>
      </c>
      <c r="F4" s="37">
        <f>IF(Setup!F$25=1, IF(ISBLANK($K$16),0,VLOOKUP($K$16,AtmaList,MATCH($A4,AtmaHeader,0), FALSE))+IF(ISBLANK($K$17),0,VLOOKUP($K$17,AtmaList,MATCH($A4,AtmaHeader,0), FALSE))+IF(ISBLANK($K$18),0,VLOOKUP($K$18,AtmaList,MATCH($A4,AtmaHeader,0), FALSE)), 0)</f>
        <v>0</v>
      </c>
      <c r="G4" s="37">
        <f>IF(Setup!G$25=1, IF(ISBLANK($L$16),0,VLOOKUP($L$16,AtmaList,MATCH($A4,AtmaHeader,0), FALSE))+IF(ISBLANK($L$17),0,VLOOKUP($L$17,AtmaList,MATCH($A4,AtmaHeader,0), FALSE))+IF(ISBLANK($L$18),0,VLOOKUP($L$18,AtmaList,MATCH($A4,AtmaHeader,0), FALSE)), 0)</f>
        <v>0</v>
      </c>
      <c r="H4" s="37">
        <f t="shared" ref="H4:H9" si="1">B4+C4+D4+F4</f>
        <v>111</v>
      </c>
      <c r="I4" s="37">
        <f t="shared" ref="I4:I9" si="2">B4+C4+E4+G4</f>
        <v>111</v>
      </c>
      <c r="K4" t="s">
        <v>36</v>
      </c>
      <c r="M4">
        <f>IF(VLOOKUP($L$1,Mobs,MATCH("Level Correct",MobHeader,0),FALSE) = "Yes", IF(L2&gt;($B$1+1),0.05*(L2-($B$1+1)),0), 0)</f>
        <v>0</v>
      </c>
    </row>
    <row r="5" spans="1:16">
      <c r="A5" t="s">
        <v>42</v>
      </c>
      <c r="B5">
        <f>HLOOKUP(A5, PlayerStats, 2, 0)</f>
        <v>84</v>
      </c>
      <c r="C5" s="7">
        <f t="shared" si="0"/>
        <v>0</v>
      </c>
      <c r="D5">
        <f>IF(Setup!F$25=1, Setup!F$26, 0)</f>
        <v>0</v>
      </c>
      <c r="E5">
        <f>IF(Setup!G$25=1, Setup!G$26, 0)</f>
        <v>0</v>
      </c>
      <c r="F5" s="37">
        <f>IF(Setup!F$25=1, IF(ISBLANK($K$16),0,VLOOKUP($K$16,AtmaList,MATCH($A5,AtmaHeader,0), FALSE))+IF(ISBLANK($K$17),0,VLOOKUP($K$17,AtmaList,MATCH($A5,AtmaHeader,0), FALSE))+IF(ISBLANK($K$18),0,VLOOKUP($K$18,AtmaList,MATCH($A5,AtmaHeader,0), FALSE)), 0)</f>
        <v>0</v>
      </c>
      <c r="G5" s="37">
        <f>IF(Setup!G$25=1, IF(ISBLANK($L$16),0,VLOOKUP($L$16,AtmaList,MATCH($A5,AtmaHeader,0), FALSE))+IF(ISBLANK($L$17),0,VLOOKUP($L$17,AtmaList,MATCH($A5,AtmaHeader,0), FALSE))+IF(ISBLANK($L$18),0,VLOOKUP($L$18,AtmaList,MATCH($A5,AtmaHeader,0), FALSE)), 0)</f>
        <v>0</v>
      </c>
      <c r="H5" s="37">
        <f t="shared" si="1"/>
        <v>84</v>
      </c>
      <c r="I5" s="37">
        <f t="shared" si="2"/>
        <v>84</v>
      </c>
      <c r="K5" t="s">
        <v>34</v>
      </c>
      <c r="L5">
        <f>VLOOKUP($L$1,Mobs,MATCH($K5,MobHeader,0), FALSE)</f>
        <v>1119</v>
      </c>
      <c r="M5">
        <f>L5-TRUNC(IF(Setup!$J47=1,Setup!$M47,0)*IF(Setup!J43=1,2,IF(Setup!J44=1,IF(Setup!J45=1,1.75,1.5),1)))</f>
        <v>1119</v>
      </c>
      <c r="N5">
        <f>L5-TRUNC(IF(Setup!$K47=1,Setup!$N47,0)*IF(Setup!K43=1,2,IF(Setup!K44=1,IF(Setup!K45=1,1.75,1.5),1)))</f>
        <v>1119</v>
      </c>
    </row>
    <row r="6" spans="1:16">
      <c r="A6" t="s">
        <v>5</v>
      </c>
      <c r="B6">
        <f>HLOOKUP(A6, PlayerStats, 2, 0) + Setup!B11</f>
        <v>104</v>
      </c>
      <c r="C6" s="7">
        <f t="shared" si="0"/>
        <v>0</v>
      </c>
      <c r="D6">
        <f>IF(Setup!F$25=1, Setup!F$26, 0)</f>
        <v>0</v>
      </c>
      <c r="E6">
        <f>IF(Setup!G$25=1, Setup!G$26, 0)</f>
        <v>0</v>
      </c>
      <c r="F6" s="37">
        <f>IF(Setup!F$25=1, IF(ISBLANK($K$16),0,VLOOKUP($K$16,AtmaList,MATCH($A6,AtmaHeader,0), FALSE))+IF(ISBLANK($K$17),0,VLOOKUP($K$17,AtmaList,MATCH($A6,AtmaHeader,0), FALSE))+IF(ISBLANK($K$18),0,VLOOKUP($K$18,AtmaList,MATCH($A6,AtmaHeader,0), FALSE)), 0)</f>
        <v>0</v>
      </c>
      <c r="G6" s="37">
        <f>IF(Setup!G$25=1, IF(ISBLANK($L$16),0,VLOOKUP($L$16,AtmaList,MATCH($A6,AtmaHeader,0), FALSE))+IF(ISBLANK($L$17),0,VLOOKUP($L$17,AtmaList,MATCH($A6,AtmaHeader,0), FALSE))+IF(ISBLANK($L$18),0,VLOOKUP($L$18,AtmaList,MATCH($A6,AtmaHeader,0), FALSE)), 0)</f>
        <v>0</v>
      </c>
      <c r="H6" s="37">
        <f t="shared" si="1"/>
        <v>104</v>
      </c>
      <c r="I6" s="37">
        <f t="shared" si="2"/>
        <v>104</v>
      </c>
      <c r="K6" t="s">
        <v>36</v>
      </c>
      <c r="M6">
        <f>IF(VLOOKUP($L$1,Mobs,MATCH("Level Correct",MobHeader,0),FALSE)="Yes",MAX((L2-($B$1+1))*4,0),0)</f>
        <v>0</v>
      </c>
    </row>
    <row r="7" spans="1:16">
      <c r="A7" t="s">
        <v>181</v>
      </c>
      <c r="B7">
        <f>HLOOKUP(A7, PlayerStats, 2, 0) + Setup!B12</f>
        <v>101</v>
      </c>
      <c r="C7" s="7">
        <f t="shared" si="0"/>
        <v>-3</v>
      </c>
      <c r="D7">
        <f>IF(Setup!F$25=1, Setup!F$26, 0)</f>
        <v>0</v>
      </c>
      <c r="E7">
        <f>IF(Setup!G$25=1, Setup!G$26, 0)</f>
        <v>0</v>
      </c>
      <c r="F7" s="37">
        <f>IF(Setup!F$25=1, IF(ISBLANK($K$16),0,VLOOKUP($K$16,AtmaList,MATCH($A7,AtmaHeader,0), FALSE))+IF(ISBLANK($K$17),0,VLOOKUP($K$17,AtmaList,MATCH($A7,AtmaHeader,0), FALSE))+IF(ISBLANK($K$18),0,VLOOKUP($K$18,AtmaList,MATCH($A7,AtmaHeader,0), FALSE)), 0)</f>
        <v>0</v>
      </c>
      <c r="G7" s="37">
        <f>IF(Setup!G$25=1, IF(ISBLANK($L$16),0,VLOOKUP($L$16,AtmaList,MATCH($A7,AtmaHeader,0), FALSE))+IF(ISBLANK($L$17),0,VLOOKUP($L$17,AtmaList,MATCH($A7,AtmaHeader,0), FALSE))+IF(ISBLANK($L$18),0,VLOOKUP($L$18,AtmaList,MATCH($A7,AtmaHeader,0), FALSE)), 0)</f>
        <v>0</v>
      </c>
      <c r="H7" s="37">
        <f t="shared" si="1"/>
        <v>98</v>
      </c>
      <c r="I7" s="37">
        <f t="shared" si="2"/>
        <v>98</v>
      </c>
      <c r="K7" t="s">
        <v>42</v>
      </c>
      <c r="L7">
        <f>VLOOKUP($L$1,Mobs,MATCH($K7,MobHeader,0), FALSE)</f>
        <v>272</v>
      </c>
    </row>
    <row r="8" spans="1:16">
      <c r="A8" t="s">
        <v>182</v>
      </c>
      <c r="B8">
        <f>HLOOKUP(A8, PlayerStats, 2, 0) + Setup!B13</f>
        <v>74</v>
      </c>
      <c r="C8" s="7">
        <f t="shared" si="0"/>
        <v>0</v>
      </c>
      <c r="D8">
        <f>IF(Setup!F$25=1, Setup!F$26, 0)</f>
        <v>0</v>
      </c>
      <c r="E8">
        <f>IF(Setup!G$25=1, Setup!G$26, 0)</f>
        <v>0</v>
      </c>
      <c r="F8" s="37">
        <f>IF(Setup!F$25=1, IF(ISBLANK($K$16),0,VLOOKUP($K$16,AtmaList,MATCH($A8,AtmaHeader,0), FALSE))+IF(ISBLANK($K$17),0,VLOOKUP($K$17,AtmaList,MATCH($A8,AtmaHeader,0), FALSE))+IF(ISBLANK($K$18),0,VLOOKUP($K$18,AtmaList,MATCH($A8,AtmaHeader,0), FALSE)), 0)</f>
        <v>0</v>
      </c>
      <c r="G8" s="37">
        <f>IF(Setup!G$25=1, IF(ISBLANK($L$16),0,VLOOKUP($L$16,AtmaList,MATCH($A8,AtmaHeader,0), FALSE))+IF(ISBLANK($L$17),0,VLOOKUP($L$17,AtmaList,MATCH($A8,AtmaHeader,0), FALSE))+IF(ISBLANK($L$18),0,VLOOKUP($L$18,AtmaList,MATCH($A8,AtmaHeader,0), FALSE)), 0)</f>
        <v>0</v>
      </c>
      <c r="H8" s="37">
        <f t="shared" si="1"/>
        <v>74</v>
      </c>
      <c r="I8" s="37">
        <f t="shared" si="2"/>
        <v>74</v>
      </c>
      <c r="K8" t="s">
        <v>5</v>
      </c>
      <c r="L8">
        <f>VLOOKUP($L$1,Mobs,MATCH($K8,MobHeader,0), FALSE)</f>
        <v>271</v>
      </c>
    </row>
    <row r="9" spans="1:16">
      <c r="A9" t="s">
        <v>217</v>
      </c>
      <c r="B9">
        <f>HLOOKUP(A9, PlayerStats, 2, 0) + Setup!B14</f>
        <v>1850</v>
      </c>
      <c r="C9" s="7">
        <f t="shared" si="0"/>
        <v>0</v>
      </c>
      <c r="D9">
        <f>IF(Setup!F$25=1, Setup!F$26, 0)</f>
        <v>0</v>
      </c>
      <c r="E9">
        <f>IF(Setup!G$25=1, Setup!G$26, 0)</f>
        <v>0</v>
      </c>
      <c r="F9" s="37">
        <f>IF(Setup!F$25=1, IF(ISBLANK($K$16),0,VLOOKUP($K$16,AtmaList,MATCH($A9,AtmaHeader,0), FALSE))+IF(ISBLANK($K$17),0,VLOOKUP($K$17,AtmaList,MATCH($A9,AtmaHeader,0), FALSE))+IF(ISBLANK($K$18),0,VLOOKUP($K$18,AtmaList,MATCH($A9,AtmaHeader,0), FALSE)), 0)</f>
        <v>0</v>
      </c>
      <c r="G9" s="37">
        <f>IF(Setup!G$25=1, IF(ISBLANK($L$16),0,VLOOKUP($L$16,AtmaList,MATCH($A9,AtmaHeader,0), FALSE))+IF(ISBLANK($L$17),0,VLOOKUP($L$17,AtmaList,MATCH($A9,AtmaHeader,0), FALSE))+IF(ISBLANK($L$18),0,VLOOKUP($L$18,AtmaList,MATCH($A9,AtmaHeader,0), FALSE)), 0)</f>
        <v>0</v>
      </c>
      <c r="H9" s="37">
        <f t="shared" si="1"/>
        <v>1850</v>
      </c>
      <c r="I9" s="37">
        <f t="shared" si="2"/>
        <v>1850</v>
      </c>
      <c r="K9" s="29" t="s">
        <v>495</v>
      </c>
      <c r="L9" s="79">
        <f>VLOOKUP($L$1,Mobs,MATCH($K9,MobHeader,0), FALSE)</f>
        <v>0</v>
      </c>
    </row>
    <row r="10" spans="1:16">
      <c r="K10" s="29" t="s">
        <v>496</v>
      </c>
      <c r="L10" s="79">
        <f>VLOOKUP($L$1,Mobs,MATCH($K10,MobHeader,0), FALSE)</f>
        <v>0</v>
      </c>
    </row>
    <row r="11" spans="1:16">
      <c r="A11" t="s">
        <v>80</v>
      </c>
      <c r="B11" s="29" t="s">
        <v>255</v>
      </c>
      <c r="C11" t="s">
        <v>58</v>
      </c>
      <c r="D11" t="s">
        <v>57</v>
      </c>
      <c r="E11" t="s">
        <v>251</v>
      </c>
      <c r="F11" t="s">
        <v>253</v>
      </c>
    </row>
    <row r="12" spans="1:16">
      <c r="A12" t="s">
        <v>9</v>
      </c>
      <c r="B12" s="2">
        <f>IF(ISBLANK($E$1), 0, VLOOKUP($E$1, Food, MATCH("Att Mult", FoodHeader, 0), 0))</f>
        <v>0</v>
      </c>
      <c r="C12" s="32">
        <f>IF(ISBLANK($E$1), 0, VLOOKUP($E$1, Food, MATCH("Att Mult Cap", FoodHeader, 0), 0))</f>
        <v>0</v>
      </c>
      <c r="D12" s="32">
        <f>IF(ISBLANK($E$1), 0, VLOOKUP($E$1, Food, MATCH("Att Add", FoodHeader, 0), 0))</f>
        <v>0</v>
      </c>
      <c r="E12" s="37">
        <f>IF(Setup!F$25=1, IF(ISBLANK($K$16),0,VLOOKUP($K$16,AtmaList,MATCH($A12,AtmaHeader,0), FALSE))+IF(ISBLANK($K$17),0,VLOOKUP($K$17,AtmaList,MATCH($A12,AtmaHeader,0), FALSE))+IF(ISBLANK($K$18),0,VLOOKUP($K$18,AtmaList,MATCH($A12,AtmaHeader,0), FALSE)), 0)</f>
        <v>0</v>
      </c>
      <c r="F12" s="37">
        <f>IF(Setup!G$25=1, IF(ISBLANK($K$16),0,VLOOKUP($K$16,AtmaList,MATCH($A12,AtmaHeader,0), FALSE))+IF(ISBLANK($K$17),0,VLOOKUP($K$17,AtmaList,MATCH($A12,AtmaHeader,0), FALSE))+IF(ISBLANK($K$18),0,VLOOKUP($K$18,AtmaList,MATCH($A12,AtmaHeader,0), FALSE)), 0)</f>
        <v>0</v>
      </c>
      <c r="G12" t="s">
        <v>286</v>
      </c>
      <c r="H12">
        <f>IF(B1&gt;90, 72, IF(B1&gt;75, 60, 48))</f>
        <v>72</v>
      </c>
      <c r="L12" s="2"/>
    </row>
    <row r="13" spans="1:16">
      <c r="A13" t="s">
        <v>10</v>
      </c>
      <c r="B13" s="2">
        <f>IF(ISBLANK($E$1), 0, VLOOKUP($E$1, Food, MATCH("Acc Mult", FoodHeader, 0), 0))</f>
        <v>0.1</v>
      </c>
      <c r="C13" s="32">
        <f>IF(ISBLANK($E$1), 0, VLOOKUP($E$1, Food, MATCH("Acc Mult Cap", FoodHeader, 0), 0))</f>
        <v>100</v>
      </c>
      <c r="D13" s="32">
        <f>IF(ISBLANK($E$1), 0, VLOOKUP($E$1, Food, MATCH("Acc Add", FoodHeader, 0), 0))</f>
        <v>0</v>
      </c>
      <c r="E13" s="37">
        <f>IF(Setup!F$25=1, IF(ISBLANK($K$16),0,VLOOKUP($K$16,AtmaList,MATCH($A13,AtmaHeader,0), FALSE))+IF(ISBLANK($K$17),0,VLOOKUP($K$17,AtmaList,MATCH($A13,AtmaHeader,0), FALSE))+IF(ISBLANK($K$18),0,VLOOKUP($K$18,AtmaList,MATCH($A13,AtmaHeader,0), FALSE)), 0)</f>
        <v>0</v>
      </c>
      <c r="F13" s="37">
        <f>IF(Setup!G$25=1, IF(ISBLANK($K$16),0,VLOOKUP($K$16,AtmaList,MATCH($A13,AtmaHeader,0), FALSE))+IF(ISBLANK($K$17),0,VLOOKUP($K$17,AtmaList,MATCH($A13,AtmaHeader,0), FALSE))+IF(ISBLANK($K$18),0,VLOOKUP($K$18,AtmaList,MATCH($A13,AtmaHeader,0), FALSE)), 0)</f>
        <v>0</v>
      </c>
      <c r="G13" t="s">
        <v>540</v>
      </c>
      <c r="H13">
        <v>0</v>
      </c>
      <c r="K13" t="s">
        <v>258</v>
      </c>
      <c r="L13" s="12">
        <f>IF(D1="Nin", 25%, 0%)</f>
        <v>0</v>
      </c>
    </row>
    <row r="14" spans="1:16">
      <c r="B14" s="2"/>
      <c r="C14" s="32"/>
      <c r="D14" s="32"/>
      <c r="E14" s="37"/>
      <c r="F14" s="37"/>
      <c r="L14" s="29"/>
    </row>
    <row r="15" spans="1:16">
      <c r="E15" s="37"/>
      <c r="F15" s="29"/>
      <c r="G15" s="37"/>
      <c r="H15" s="37"/>
      <c r="K15" s="9" t="s">
        <v>256</v>
      </c>
      <c r="L15" s="9" t="s">
        <v>257</v>
      </c>
      <c r="N15" s="131" t="s">
        <v>551</v>
      </c>
      <c r="O15" s="131" t="s">
        <v>152</v>
      </c>
      <c r="P15" t="s">
        <v>156</v>
      </c>
    </row>
    <row r="16" spans="1:16">
      <c r="B16" s="2" t="s">
        <v>2</v>
      </c>
      <c r="C16" s="7" t="s">
        <v>251</v>
      </c>
      <c r="D16" s="7" t="s">
        <v>253</v>
      </c>
      <c r="G16" t="s">
        <v>152</v>
      </c>
      <c r="H16" t="s">
        <v>156</v>
      </c>
      <c r="K16" s="29" t="str">
        <f>Setup!F27</f>
        <v>Apocolypse</v>
      </c>
      <c r="L16" s="29" t="str">
        <f>Setup!G27</f>
        <v>Razed Ruin</v>
      </c>
      <c r="N16" t="s">
        <v>396</v>
      </c>
      <c r="O16" s="132">
        <f>Setup!B39</f>
        <v>210</v>
      </c>
      <c r="P16" s="132">
        <f>Setup!C39</f>
        <v>210</v>
      </c>
    </row>
    <row r="17" spans="1:16">
      <c r="A17" t="s">
        <v>12</v>
      </c>
      <c r="B17" s="2">
        <f>IF(D1="War", 10%, 0%)</f>
        <v>0</v>
      </c>
      <c r="C17" s="12">
        <f>IF(Setup!F$25=1, IF(ISBLANK($K$16),0,VLOOKUP($K$16,AtmaList,MATCH($A17,AtmaHeader,0), FALSE))+IF(ISBLANK($K$17),0,VLOOKUP($K$17,AtmaList,MATCH($A17,AtmaHeader,0), FALSE))+IF(ISBLANK($K$18),0,VLOOKUP($K$18,AtmaList,MATCH($A17,AtmaHeader,0), FALSE)), 0)</f>
        <v>0</v>
      </c>
      <c r="D17" s="12">
        <f>IF(Setup!G$25=1, IF(ISBLANK($L$16),0,VLOOKUP($L$16,AtmaList,MATCH($A17,AtmaHeader,0), FALSE))+IF(ISBLANK($L$17),0,VLOOKUP($L$17,AtmaList,MATCH($A17,AtmaHeader,0), FALSE))+IF(ISBLANK($L$18),0,VLOOKUP($L$18,AtmaList,MATCH($A17,AtmaHeader,0), FALSE)), 0)</f>
        <v>0</v>
      </c>
      <c r="F17" s="29" t="s">
        <v>622</v>
      </c>
      <c r="G17" t="str">
        <f>Gear!A3</f>
        <v>GreatSword</v>
      </c>
      <c r="H17" t="str">
        <f>Gear!AA3</f>
        <v>Scythe</v>
      </c>
      <c r="K17" s="29" t="str">
        <f>Setup!F28</f>
        <v>V. Violet</v>
      </c>
      <c r="L17" s="29" t="str">
        <f>Setup!G28</f>
        <v>V. Violet</v>
      </c>
      <c r="N17" s="131">
        <v>75</v>
      </c>
      <c r="O17" s="131">
        <f>MAX(TRUNC(2*O$16/5-60), 0)</f>
        <v>24</v>
      </c>
      <c r="P17" s="131">
        <f>MAX(TRUNC(2*P$16/5-60), 0)</f>
        <v>24</v>
      </c>
    </row>
    <row r="18" spans="1:16">
      <c r="A18" t="s">
        <v>149</v>
      </c>
      <c r="B18" s="12">
        <f>0%</f>
        <v>0</v>
      </c>
      <c r="C18" s="12">
        <f>IF(Setup!F$25=1, IF(ISBLANK($K$16),0,VLOOKUP($K$16,AtmaList,MATCH($A18,AtmaHeader,0), FALSE))+IF(ISBLANK($K$17),0,VLOOKUP($K$17,AtmaList,MATCH($A18,AtmaHeader,0), FALSE))+IF(ISBLANK($K$18),0,VLOOKUP($K$18,AtmaList,MATCH($A18,AtmaHeader,0), FALSE)), 0)</f>
        <v>0</v>
      </c>
      <c r="D18" s="12">
        <f>IF(Setup!G$25=1, IF(ISBLANK($L$16),0,VLOOKUP($L$16,AtmaList,MATCH($A18,AtmaHeader,0), FALSE))+IF(ISBLANK($L$17),0,VLOOKUP($L$17,AtmaList,MATCH($A18,AtmaHeader,0), FALSE))+IF(ISBLANK($L$18),0,VLOOKUP($L$18,AtmaList,MATCH($A18,AtmaHeader,0), FALSE)), 0)</f>
        <v>0</v>
      </c>
      <c r="F18" s="29" t="s">
        <v>30</v>
      </c>
      <c r="G18">
        <f>VLOOKUP(G17, Skills, 3, 0) + VLOOKUP(G17, Skills, 4, 0) + 5*(MAX(0, MIN($B$1-75, 5)))+6*(MAX(0, MIN($B$1-80, 10)))+7*(MAX(0,$B$1-90))</f>
        <v>433</v>
      </c>
      <c r="H18">
        <f>VLOOKUP(H17, Skills, 3, 0) + VLOOKUP(H17, Skills, 4, 0) + 5*(MAX(0, MIN($B$1-75, 5)))+6*(MAX(0, MIN($B$1-80, 10)))+7*(MAX(0,$B$1-90))</f>
        <v>440</v>
      </c>
      <c r="K18" s="29" t="str">
        <f>Setup!F29</f>
        <v>Griffon's Claw</v>
      </c>
      <c r="L18" s="29" t="str">
        <f>Setup!G29</f>
        <v>Apocolypse</v>
      </c>
      <c r="N18" s="131">
        <v>80</v>
      </c>
      <c r="O18" s="131">
        <f t="shared" ref="O18:P20" si="3">MAX(TRUNC(3*O$16/5-90), 0)</f>
        <v>36</v>
      </c>
      <c r="P18" s="131">
        <f t="shared" si="3"/>
        <v>36</v>
      </c>
    </row>
    <row r="19" spans="1:16">
      <c r="A19" t="s">
        <v>296</v>
      </c>
      <c r="B19" s="129" t="s">
        <v>541</v>
      </c>
      <c r="C19" s="79">
        <f>IF(AND(D1="Sam", G17="Axe"), 25%, 0)</f>
        <v>0</v>
      </c>
      <c r="D19" s="79">
        <f>IF(AND(D1="Sam", H17="Axe"), 25%, 0)</f>
        <v>0</v>
      </c>
      <c r="F19" t="s">
        <v>417</v>
      </c>
      <c r="G19" s="29">
        <f ca="1">VLOOKUP(Gear!$B$3, INDIRECT(Gear!$A$3), MATCH("Dmg", StatHeader, 0), 0)</f>
        <v>303</v>
      </c>
      <c r="H19" s="29">
        <f ca="1">VLOOKUP(Gear!$AB$3, INDIRECT(Gear!$AA$3), MATCH("Dmg", StatHeader, 0), 0)</f>
        <v>370</v>
      </c>
      <c r="N19">
        <v>85</v>
      </c>
      <c r="O19" s="131">
        <f t="shared" si="3"/>
        <v>36</v>
      </c>
      <c r="P19" s="131">
        <f t="shared" si="3"/>
        <v>36</v>
      </c>
    </row>
    <row r="20" spans="1:16">
      <c r="A20" s="37" t="s">
        <v>112</v>
      </c>
      <c r="B20" s="2">
        <v>0</v>
      </c>
      <c r="C20" s="12">
        <f>IF(Setup!F$25=1, IF(ISBLANK($K$16),0,VLOOKUP($K$16,AtmaList,MATCH($A20,AtmaHeader,0), FALSE))+IF(ISBLANK($K$17),0,VLOOKUP($K$17,AtmaList,MATCH($A20,AtmaHeader,0), FALSE))+IF(ISBLANK($K$18),0,VLOOKUP($K$18,AtmaList,MATCH($A20,AtmaHeader,0), FALSE)), 0)</f>
        <v>0</v>
      </c>
      <c r="D20" s="12">
        <f>IF(Setup!G$25=1, IF(ISBLANK($L$16),0,VLOOKUP($L$16,AtmaList,MATCH($A20,AtmaHeader,0), FALSE))+IF(ISBLANK($L$17),0,VLOOKUP($L$17,AtmaList,MATCH($A20,AtmaHeader,0), FALSE))+IF(ISBLANK($L$18),0,VLOOKUP($L$18,AtmaList,MATCH($A20,AtmaHeader,0), FALSE)), 0)</f>
        <v>0</v>
      </c>
      <c r="F20" t="s">
        <v>418</v>
      </c>
      <c r="G20">
        <f ca="1">VLOOKUP(Gear!$B$3, INDIRECT(Gear!$A$3), MATCH("Dly", StatHeader, 0), 0)</f>
        <v>430</v>
      </c>
      <c r="H20">
        <f ca="1">VLOOKUP(Gear!$AB$3, INDIRECT(Gear!$AA$3), MATCH("Dly", StatHeader, 0), 0)</f>
        <v>528</v>
      </c>
      <c r="I20">
        <f ca="1">TRUNC(VLOOKUP(Gear!$B$3, INDIRECT(Gear!$A$3), MATCH("Dly", StatHeader, 0), 0) * IF(AND(OR(G17="Scythe", G17="Great Sword"), Gear!$B$4="Sword Strap"), 0.97, 1))</f>
        <v>430</v>
      </c>
      <c r="K20" t="s">
        <v>229</v>
      </c>
      <c r="L20" t="s">
        <v>230</v>
      </c>
      <c r="N20">
        <v>90</v>
      </c>
      <c r="O20" s="131">
        <f t="shared" si="3"/>
        <v>36</v>
      </c>
      <c r="P20" s="131">
        <f t="shared" si="3"/>
        <v>36</v>
      </c>
    </row>
    <row r="21" spans="1:16">
      <c r="A21" t="s">
        <v>114</v>
      </c>
      <c r="B21" s="2">
        <f>IF(B1&gt;=95, 8%, IF(B1&gt;=85, 5%, 0))</f>
        <v>0.08</v>
      </c>
      <c r="C21" s="12">
        <f>IF(Setup!F$25=1, IF(ISBLANK($K$16),0,VLOOKUP($K$16,AtmaList,MATCH($A21,AtmaHeader,0), FALSE))+IF(ISBLANK($K$17),0,VLOOKUP($K$17,AtmaList,MATCH($A21,AtmaHeader,0), FALSE))+IF(ISBLANK($K$18),0,VLOOKUP($K$18,AtmaList,MATCH($A21,AtmaHeader,0), FALSE)), 0)</f>
        <v>0</v>
      </c>
      <c r="D21" s="12">
        <f>IF(Setup!G$25=1, IF(ISBLANK($L$16),0,VLOOKUP($L$16,AtmaList,MATCH($A21,AtmaHeader,0), FALSE))+IF(ISBLANK($L$17),0,VLOOKUP($L$17,AtmaList,MATCH($A21,AtmaHeader,0), FALSE))+IF(ISBLANK($L$18),0,VLOOKUP($L$18,AtmaList,MATCH($A21,AtmaHeader,0), FALSE)), 0)</f>
        <v>0</v>
      </c>
      <c r="F21" s="29" t="s">
        <v>623</v>
      </c>
      <c r="G21" t="str">
        <f>Gear!A4</f>
        <v>Grip</v>
      </c>
      <c r="H21" t="str">
        <f>Gear!AA4</f>
        <v>Grip</v>
      </c>
      <c r="J21" t="s">
        <v>30</v>
      </c>
      <c r="K21">
        <f>IF(AND(Setup!F$25=1, OR(G17="Great Sword", G17="Scythe")), IF(ISBLANK($K$16),0,VLOOKUP($K$16,AtmaList,MATCH($J21,AtmaHeader,0), FALSE))+IF(ISBLANK($K$17),0,VLOOKUP($K$17,AtmaList,MATCH($J21,AtmaHeader,0), FALSE))+IF(ISBLANK($K$18),0,VLOOKUP($K$18,AtmaList,MATCH($J21,AtmaHeader,0), FALSE)), 0)</f>
        <v>0</v>
      </c>
      <c r="L21">
        <f>IF(AND(Setup!G$25=1, OR(H17="Great Sword", H17="Scythe")), IF(ISBLANK($L$16),0,VLOOKUP($L$16,AtmaList,MATCH($J21,AtmaHeader,0), FALSE))+IF(ISBLANK($L$17),0,VLOOKUP($L$17,AtmaList,MATCH($J21,AtmaHeader,0), FALSE))+IF(ISBLANK($L$18),0,VLOOKUP($L$18,AtmaList,MATCH($J21,AtmaHeader,0), FALSE)), 0)</f>
        <v>0</v>
      </c>
      <c r="M21" s="12"/>
      <c r="N21">
        <v>95</v>
      </c>
      <c r="O21" s="131">
        <f t="shared" ref="O21:P23" si="4">MAX(TRUNC(O$16/2-60), 0)</f>
        <v>45</v>
      </c>
      <c r="P21" s="131">
        <f t="shared" si="4"/>
        <v>45</v>
      </c>
    </row>
    <row r="22" spans="1:16">
      <c r="A22" t="s">
        <v>13</v>
      </c>
      <c r="B22" s="29">
        <f>IF(D1="Sam", 15, 0)</f>
        <v>15</v>
      </c>
      <c r="C22" s="42">
        <f>IF(Setup!F$25=1, IF(ISBLANK($K$16),0,VLOOKUP($K$16,AtmaList,MATCH($A22,AtmaHeader,0), FALSE))+IF(ISBLANK($K$17),0,VLOOKUP($K$17,AtmaList,MATCH($A22,AtmaHeader,0), FALSE))+IF(ISBLANK($K$18),0,VLOOKUP($K$18,AtmaList,MATCH($A22,AtmaHeader,0), FALSE)), 0)</f>
        <v>0</v>
      </c>
      <c r="D22" s="42">
        <f>IF(Setup!G$25=1, IF(ISBLANK($L$16),0,VLOOKUP($L$16,AtmaList,MATCH($A22,AtmaHeader,0), FALSE))+IF(ISBLANK($L$17),0,VLOOKUP($L$17,AtmaList,MATCH($A22,AtmaHeader,0), FALSE))+IF(ISBLANK($L$18),0,VLOOKUP($L$18,AtmaList,MATCH($A22,AtmaHeader,0), FALSE)), 0)</f>
        <v>0</v>
      </c>
      <c r="F22" s="29" t="s">
        <v>30</v>
      </c>
      <c r="G22">
        <f>IF(VLOOKUP(G21, Skills, 3, 0)&gt;0, VLOOKUP(G21, Skills, 3, 0) + VLOOKUP(G21, Skills, 4, 0) + 5*(MAX(0, MIN($B$1-75, 5)))+6*(MAX(0, MIN($B$1-80, 10)))+7*(MAX(0,$B$1-90)), 0)</f>
        <v>0</v>
      </c>
      <c r="H22">
        <f>IF(VLOOKUP(H21, Skills, 3, 0)&gt;0, VLOOKUP(H21, Skills, 3, 0) + VLOOKUP(H21, Skills, 4, 0) + 5*(MAX(0, MIN($B$1-75, 5)))+6*(MAX(0, MIN($B$1-80, 10)))+7*(MAX(0,$B$1-90)), 0)</f>
        <v>0</v>
      </c>
      <c r="J22" t="s">
        <v>163</v>
      </c>
      <c r="K22" s="79">
        <f>IF(Setup!F$25=1, IF(ISBLANK($K$16),0,VLOOKUP($K$16,AtmaList,MATCH($J22,AtmaHeader,0), FALSE))+IF(ISBLANK($K$17),0,VLOOKUP($K$17,AtmaList,MATCH($J22,AtmaHeader,0), FALSE))+IF(ISBLANK($K$18),0,VLOOKUP($K$18,AtmaList,MATCH($J22,AtmaHeader,0), FALSE)), 0)</f>
        <v>0</v>
      </c>
      <c r="L22" s="79">
        <f>IF(Setup!G$25=1, IF(ISBLANK($L$16),0,VLOOKUP($L$16,AtmaList,MATCH($J22,AtmaHeader,0), FALSE))+IF(ISBLANK($L$17),0,VLOOKUP($L$17,AtmaList,MATCH($J22,AtmaHeader,0), FALSE))+IF(ISBLANK($L$18),0,VLOOKUP($L$18,AtmaList,MATCH($J22,AtmaHeader,0), FALSE)), 0)</f>
        <v>0</v>
      </c>
      <c r="N22">
        <v>99</v>
      </c>
      <c r="O22" s="131">
        <f t="shared" si="4"/>
        <v>45</v>
      </c>
      <c r="P22" s="131">
        <f t="shared" si="4"/>
        <v>45</v>
      </c>
    </row>
    <row r="23" spans="1:16">
      <c r="A23" s="37" t="s">
        <v>259</v>
      </c>
      <c r="B23">
        <f>VLOOKUP(E1,Food,MATCH("Store TP",FoodHeader,0), 0)</f>
        <v>0</v>
      </c>
      <c r="F23" t="s">
        <v>419</v>
      </c>
      <c r="G23" s="29">
        <f ca="1">IF(G17="Axe", VLOOKUP(Gear!$B$4, INDIRECT(Gear!$A$3), MATCH("Dmg", StatHeader, 0), 0), 0)</f>
        <v>0</v>
      </c>
      <c r="H23" s="29">
        <f ca="1">IF(H17="Axe", VLOOKUP(Gear!$AB$4, INDIRECT(Gear!$AA$3), MATCH("Dmg", StatHeader, 0), 0), 0)</f>
        <v>0</v>
      </c>
      <c r="N23">
        <v>119</v>
      </c>
      <c r="O23" s="131">
        <f t="shared" si="4"/>
        <v>45</v>
      </c>
      <c r="P23" s="131">
        <f t="shared" si="4"/>
        <v>45</v>
      </c>
    </row>
    <row r="24" spans="1:16">
      <c r="A24" t="s">
        <v>183</v>
      </c>
      <c r="B24">
        <v>0</v>
      </c>
      <c r="C24" s="42">
        <f>IF(Setup!F$25=1, IF(ISBLANK($K$16),0,VLOOKUP($K$16,AtmaList,MATCH($A24,AtmaHeader,0), FALSE))+IF(ISBLANK($K$17),0,VLOOKUP($K$17,AtmaList,MATCH($A24,AtmaHeader,0), FALSE))+IF(ISBLANK($K$18),0,VLOOKUP($K$18,AtmaList,MATCH($A24,AtmaHeader,0), FALSE)), 0)</f>
        <v>0</v>
      </c>
      <c r="D24" s="42">
        <f>IF(Setup!G$25=1, IF(ISBLANK($L$16),0,VLOOKUP($L$16,AtmaList,MATCH($A24,AtmaHeader,0), FALSE))+IF(ISBLANK($L$17),0,VLOOKUP($L$17,AtmaList,MATCH($A24,AtmaHeader,0), FALSE))+IF(ISBLANK($L$18),0,VLOOKUP($L$18,AtmaList,MATCH($A24,AtmaHeader,0), FALSE)), 0)</f>
        <v>0</v>
      </c>
      <c r="F24" t="s">
        <v>420</v>
      </c>
      <c r="G24" s="29">
        <f ca="1">IF(G17="Axe", VLOOKUP(Gear!$B$4, INDIRECT(Gear!$A$3), MATCH("Dly", StatHeader, 0), 0), 0)</f>
        <v>0</v>
      </c>
      <c r="H24" s="29">
        <f ca="1">IF(H17="Axe", VLOOKUP(Gear!$AB$4, INDIRECT(Gear!$AA$3), MATCH("Dly", StatHeader, 0), 0), 0)</f>
        <v>0</v>
      </c>
      <c r="J24" s="42" t="s">
        <v>421</v>
      </c>
      <c r="K24" s="2">
        <f>Setup!B37</f>
        <v>0.6</v>
      </c>
      <c r="L24" s="2">
        <f>Setup!C37</f>
        <v>0</v>
      </c>
    </row>
    <row r="25" spans="1:16">
      <c r="A25" t="s">
        <v>122</v>
      </c>
      <c r="B25" s="29">
        <v>0</v>
      </c>
      <c r="C25" s="42">
        <f>IF(Setup!F$25=1, IF(ISBLANK($K$16),0,VLOOKUP($K$16,AtmaList,MATCH($A25,AtmaHeader,0), FALSE))+IF(ISBLANK($K$17),0,VLOOKUP($K$17,AtmaList,MATCH($A25,AtmaHeader,0), FALSE))+IF(ISBLANK($K$18),0,VLOOKUP($K$18,AtmaList,MATCH($A25,AtmaHeader,0), FALSE)), 0)</f>
        <v>0</v>
      </c>
      <c r="D25" s="42">
        <f>IF(Setup!G$25=1, IF(ISBLANK($L$16),0,VLOOKUP($L$16,AtmaList,MATCH($A25,AtmaHeader,0), FALSE))+IF(ISBLANK($L$17),0,VLOOKUP($L$17,AtmaList,MATCH($A25,AtmaHeader,0), FALSE))+IF(ISBLANK($L$18),0,VLOOKUP($L$18,AtmaList,MATCH($A25,AtmaHeader,0), FALSE)), 0)</f>
        <v>0</v>
      </c>
      <c r="J25" s="42" t="s">
        <v>537</v>
      </c>
      <c r="K25">
        <f ca="1">MIN(Setup!F46 + IF(Setup!J40=1, Setup!M40, 0) + IF(Setup!F39=1, VLOOKUP("Save TP", Ionis, 2, 0), 0) + VLOOKUP(Gear!$B$3, INDIRECT(Gear!$A$3), MATCH("Save TP", StatHeader, 0), 0), 500)</f>
        <v>0</v>
      </c>
      <c r="L25">
        <f ca="1">MIN(Setup!G46 + IF(Setup!K40=1, Setup!N40, 0) + IF(Setup!G39=1, VLOOKUP("Save TP", Ionis, 2, 0), 0) + VLOOKUP(Gear!$AB$3, INDIRECT(Gear!$AA$3), MATCH("Save TP", StatHeader, 0), 0), 500)</f>
        <v>0</v>
      </c>
    </row>
    <row r="26" spans="1:16">
      <c r="B26" s="29"/>
      <c r="C26" s="29"/>
      <c r="D26" s="2"/>
      <c r="F26" s="42"/>
    </row>
    <row r="27" spans="1:16">
      <c r="B27" s="12"/>
      <c r="C27" s="12"/>
      <c r="D27" s="2"/>
    </row>
    <row r="28" spans="1:16">
      <c r="A28" s="14" t="s">
        <v>28</v>
      </c>
      <c r="B28" s="23" t="s">
        <v>287</v>
      </c>
      <c r="C28" s="23" t="s">
        <v>288</v>
      </c>
      <c r="D28" s="47" t="s">
        <v>289</v>
      </c>
      <c r="E28" s="23" t="s">
        <v>290</v>
      </c>
    </row>
    <row r="29" spans="1:16">
      <c r="A29" s="20" t="s">
        <v>557</v>
      </c>
      <c r="B29" s="19">
        <f>TRUNC(MIN(200, MAX(0, Setup!$J7-300))/10) + 5</f>
        <v>22</v>
      </c>
      <c r="C29" s="63">
        <f>TRUNC(MIN(200, MAX(0, Setup!$K7-300))/10) + 5</f>
        <v>22</v>
      </c>
      <c r="D29" s="19">
        <f>TRUNC(MIN(200, MAX(0, Setup!$J7-300))/10) + 5</f>
        <v>22</v>
      </c>
      <c r="E29" s="19">
        <f>TRUNC(MIN(200, MAX(0, Setup!$K7-300))/10) + 5</f>
        <v>22</v>
      </c>
    </row>
    <row r="30" spans="1:16">
      <c r="A30" s="20" t="s">
        <v>558</v>
      </c>
      <c r="B30" s="19">
        <f>IF(Setup!$M24=5, 5, IF(Setup!$M24&lt;2, 0, Setup!$M24-1))</f>
        <v>5</v>
      </c>
      <c r="C30" s="62">
        <f>IF(Setup!$N24=5, 5, IF(Setup!$N24&lt;2, 0, Setup!$N24-1))</f>
        <v>5</v>
      </c>
      <c r="D30" s="19">
        <f>IF(Setup!$M24=5, 5, IF(Setup!$M24&lt;2, 0, Setup!$M24-1))</f>
        <v>5</v>
      </c>
      <c r="E30" s="19">
        <f>IF(Setup!$N24=5, 5, IF(Setup!$N24&lt;2, 0, Setup!$N24-1))</f>
        <v>5</v>
      </c>
    </row>
    <row r="31" spans="1:16">
      <c r="A31" t="s">
        <v>3</v>
      </c>
      <c r="B31" s="7">
        <f ca="1">$H3+HLOOKUP($A31, INDIRECT(B$28), MATCH("Total", Slots, 0)+1, 0) + IF(AND(Setup!$F16=1, $D$1="Sam"), FLOOR($B$1/2/7, 1), 0) + IF(AND(Setup!$J8=1,Setup!$I$8="Boost-Str"), B29, 0) + IF(Setup!$J27=1, B30, 0) + IF(Setup!$J28=1, B30, 0) + IF(Setup!$J29=1, B30, 0)</f>
        <v>309</v>
      </c>
      <c r="C31" s="64">
        <f ca="1">$I3+HLOOKUP($A31, INDIRECT(C$28), MATCH("Total", Slots, 0)+1, 0) + IF(AND(Setup!$G16=1, $D$1="Sam"), FLOOR($B$1/2/7, 1), 0) + IF(AND(Setup!$K8=1,Setup!$I$8="Boost-Str"), C29, 0) + IF(Setup!$K27=1, C30, 0) + IF(Setup!$K28=1, C30, 0) + IF(Setup!$K29=1, C30, 0)</f>
        <v>282</v>
      </c>
      <c r="D31" s="7">
        <f ca="1">$H3+HLOOKUP($A31, INDIRECT(D$28), MATCH("Total", Slots, 0)+1, 0) + IF(AND(Setup!$F16=1, $D$1="Sam"), FLOOR($B$1/2/7, 1), 0) + IF(AND(Setup!$J8=1,Setup!$I$8="Boost-Str"), D29, 0) + IF(Setup!$J27=1, D30, 0) + IF(Setup!$J28=1, D30, 0) + IF(Setup!$J29=1, D30, 0)</f>
        <v>333</v>
      </c>
      <c r="E31" s="7">
        <f ca="1">$I3+HLOOKUP($A31, INDIRECT(E$28), MATCH("Total", Slots, 0)+1, 0) + IF(AND(Setup!$G16=1, $D$1="Sam"), FLOOR($B$1/2/7, 1), 0) + IF(AND(Setup!$K8=1,Setup!$I$8="Boost-Str"), E29, 0) + IF(Setup!$K27=1, E30, 0) + IF(Setup!$K28=1, E30, 0) + IF(Setup!$K29=1, E30, 0)</f>
        <v>344</v>
      </c>
    </row>
    <row r="32" spans="1:16">
      <c r="A32" t="s">
        <v>4</v>
      </c>
      <c r="B32" s="7">
        <f ca="1">$H4+HLOOKUP($A32, INDIRECT(B$28), MATCH("Total", Slots, 0)+1, 0) + IF(AND(Setup!$J8=1,Setup!$I$8="Boost-Dex"), B29, 0) + IF(Setup!$J25=1, B30, 0) + IF(Setup!$J26=1, B30, 0) + IF(Setup!$J30=1, B30, 0) + IF(Setup!$J31=1, B30, 0)</f>
        <v>285</v>
      </c>
      <c r="C32" s="64">
        <f ca="1">$I4+HLOOKUP($A32, INDIRECT(C$28), MATCH("Total", Slots, 0)+1, 0) + IF(AND(Setup!$K8=1,Setup!$I$8="Boost-Dex"), C29, 0) + IF(Setup!$K25=1, C30, 0) + IF(Setup!$K26=1, C30, 0) + IF(Setup!$K30=1, C30, 0) + IF(Setup!$K31=1, C30, 0)</f>
        <v>292</v>
      </c>
      <c r="D32" s="7">
        <f ca="1">$H4+HLOOKUP($A32, INDIRECT(D$28), MATCH("Total", Slots, 0)+1, 0) + IF(AND(Setup!$J8=1,Setup!$I$8="Boost-Dex"), D29, 0) + IF(Setup!$J25=1, D30, 0) + IF(Setup!$J26=1, D30, 0) + IF(Setup!$J30=1, D30, 0) + IF(Setup!$J31=1, D30, 0)</f>
        <v>240</v>
      </c>
      <c r="E32" s="49">
        <f ca="1">$I4+HLOOKUP($A32, INDIRECT(E$28), MATCH("Total", Slots, 0)+1, 0) + IF(AND(Setup!$K8=1,Setup!$I$8="Boost-Dex"), E29, 0) + IF(Setup!$K25=1, E30, 0) + IF(Setup!$K26=1, E30, 0) + IF(Setup!$K30=1, E30, 0) + IF(Setup!$K31=1, E30, 0)</f>
        <v>259</v>
      </c>
      <c r="F32" s="26"/>
    </row>
    <row r="33" spans="1:5">
      <c r="A33" s="26" t="s">
        <v>42</v>
      </c>
      <c r="B33" s="7">
        <f ca="1">$H5+HLOOKUP($A33, INDIRECT(B$28), MATCH("Total", Slots, 0)+1, 0)</f>
        <v>136</v>
      </c>
      <c r="C33" s="64">
        <f ca="1">$I5+HLOOKUP($A33, INDIRECT(C$28), MATCH("Total", Slots, 0)+1, 0)</f>
        <v>170</v>
      </c>
      <c r="D33" s="7">
        <f ca="1">$H5+HLOOKUP($A33, INDIRECT(D$28), MATCH("Total", Slots, 0)+1, 0)</f>
        <v>190</v>
      </c>
      <c r="E33" s="7">
        <f ca="1">$I5+HLOOKUP($A33, INDIRECT(E$28), MATCH("Total", Slots, 0)+1, 0)</f>
        <v>190</v>
      </c>
    </row>
    <row r="34" spans="1:5">
      <c r="A34" s="20" t="s">
        <v>5</v>
      </c>
      <c r="B34" s="7">
        <f ca="1">$H6+HLOOKUP($A34, INDIRECT(B$28), MATCH("Total", Slots, 0)+1, 0)</f>
        <v>244</v>
      </c>
      <c r="C34" s="64">
        <f ca="1">$I6+HLOOKUP($A34, INDIRECT(C$28), MATCH("Total", Slots, 0)+1, 0)</f>
        <v>254</v>
      </c>
      <c r="D34" s="7">
        <f ca="1">$H6+HLOOKUP($A34, INDIRECT(D$28), MATCH("Total", Slots, 0)+1, 0)</f>
        <v>365</v>
      </c>
      <c r="E34" s="7">
        <f ca="1">$I6+HLOOKUP($A34, INDIRECT(E$28), MATCH("Total", Slots, 0)+1, 0)</f>
        <v>283</v>
      </c>
    </row>
    <row r="35" spans="1:5">
      <c r="A35" s="20" t="s">
        <v>181</v>
      </c>
      <c r="B35" s="7">
        <f ca="1">$H7+HLOOKUP($A35, INDIRECT(B$28), MATCH("Total", Slots, 0)+1, 0)</f>
        <v>156</v>
      </c>
      <c r="C35" s="64">
        <f ca="1">$I7+HLOOKUP($A35, INDIRECT(C$28), MATCH("Total", Slots, 0)+1, 0)</f>
        <v>163</v>
      </c>
      <c r="D35" s="7">
        <f ca="1">$H7+HLOOKUP($A35, INDIRECT(D$28), MATCH("Total", Slots, 0)+1, 0)</f>
        <v>186</v>
      </c>
      <c r="E35" s="7">
        <f ca="1">$I7+HLOOKUP($A35, INDIRECT(E$28), MATCH("Total", Slots, 0)+1, 0)</f>
        <v>182</v>
      </c>
    </row>
    <row r="36" spans="1:5">
      <c r="A36" s="21" t="s">
        <v>182</v>
      </c>
      <c r="B36" s="50">
        <f ca="1">$H8+HLOOKUP($A36, INDIRECT(B$28), MATCH("Total", Slots, 0)+1, 0)</f>
        <v>118</v>
      </c>
      <c r="C36" s="66">
        <f ca="1">$I8+HLOOKUP($A36, INDIRECT(C$28), MATCH("Total", Slots, 0)+1, 0)</f>
        <v>148</v>
      </c>
      <c r="D36" s="50">
        <f ca="1">$H8+HLOOKUP($A36, INDIRECT(D$28), MATCH("Total", Slots, 0)+1, 0)</f>
        <v>174</v>
      </c>
      <c r="E36" s="50">
        <f ca="1">$I8+HLOOKUP($A36, INDIRECT(E$28), MATCH("Total", Slots, 0)+1, 0)</f>
        <v>173</v>
      </c>
    </row>
    <row r="37" spans="1:5">
      <c r="A37" s="29" t="s">
        <v>608</v>
      </c>
      <c r="B37" s="7">
        <f ca="1">B31-$L$8</f>
        <v>38</v>
      </c>
      <c r="C37" s="64">
        <f ca="1">C31-$L$8</f>
        <v>11</v>
      </c>
      <c r="D37" s="7">
        <f ca="1">D31-$L$8</f>
        <v>62</v>
      </c>
      <c r="E37" s="7">
        <f ca="1">E31-$L$8</f>
        <v>73</v>
      </c>
    </row>
    <row r="38" spans="1:5">
      <c r="A38" s="22" t="s">
        <v>609</v>
      </c>
      <c r="B38" s="50">
        <f ca="1">IF(B37&lt;20, TRUNC(8 - B37/5), 4)</f>
        <v>4</v>
      </c>
      <c r="C38" s="66">
        <f ca="1">IF(C37&lt;20, TRUNC(8 - C37/5), 4)</f>
        <v>5</v>
      </c>
      <c r="D38" s="50">
        <f ca="1">IF(D37&lt;20, TRUNC(8 - D37/5), 4)</f>
        <v>4</v>
      </c>
      <c r="E38" s="50">
        <f ca="1">IF(E37&lt;20, TRUNC(8 - E37/5), 4)</f>
        <v>4</v>
      </c>
    </row>
    <row r="39" spans="1:5">
      <c r="A39" s="20" t="s">
        <v>99</v>
      </c>
      <c r="B39" s="25">
        <f>(IF(Setup!$J27=1, 62 + Setup!$M28 + IF(Setup!$M27=1, 1, IF(Setup!$M27=2, 5, IF(Setup!$M27=3, 9, IF(Setup!$M27=4, 13, IF(Setup!$M27=5, 17, 0))))), 0) + IF(Setup!$J28=1, 56 + Setup!$M28 + IF(Setup!$M27=1, 1, IF(Setup!$M27=2, 5, IF(Setup!$M27=3, 9, IF(Setup!$M27=4, 13, IF(Setup!$M27=5, 17, 0))))), 0) + IF(Setup!$J29=1, 48 + Setup!$M28 + IF(Setup!$M27=1, 1, IF(Setup!$M27=2, 5, IF(Setup!$M27=3, 9, IF(Setup!$M27=4, 13, IF(Setup!$M27=5, 17, 0))))), 0)) * IF(Setup!$J24=1, 2, 1)</f>
        <v>0</v>
      </c>
      <c r="C39" s="68">
        <f>(IF(Setup!$K27=1, 62 + Setup!$N28 + IF(Setup!$N27=1, 1, IF(Setup!$N27=2, 5, IF(Setup!$N27=3, 9, IF(Setup!$N27=4, 13, IF(Setup!$N27=5, 17, 0))))), 0) + IF(Setup!$K28=1, 56 + Setup!$N28 + IF(Setup!$N27=1, 1, IF(Setup!$N27=2, 5, IF(Setup!$N27=3, 9, IF(Setup!$N27=4, 13, IF(Setup!$N27=5, 17, 0))))), 0) + IF(Setup!$K29=1, 48 + Setup!$N28 + IF(Setup!$N27=1, 1, IF(Setup!$N27=2, 5, IF(Setup!$N27=3, 9, IF(Setup!$N27=4, 13, IF(Setup!$N27=5, 17, 0))))), 0)) * IF(Setup!$K24=1, 2, 1)</f>
        <v>0</v>
      </c>
      <c r="D39" s="25">
        <f>(IF(Setup!$J27=1, 62 + Setup!$M28 + IF(Setup!$M27=1, 1, IF(Setup!$M27=2, 5, IF(Setup!$M27=3, 9, IF(Setup!$M27=4, 13, IF(Setup!$M27=5, 17, 0))))), 0) + IF(Setup!$J28=1, 56 + Setup!$M28 + IF(Setup!$M27=1, 1, IF(Setup!$M27=2, 5, IF(Setup!$M27=3, 9, IF(Setup!$M27=4, 13, IF(Setup!$M27=5, 17, 0))))), 0) + IF(Setup!$J29=1, 48 + Setup!$M28 + IF(Setup!$M27=1, 1, IF(Setup!$M27=2, 5, IF(Setup!$M27=3, 9, IF(Setup!$M27=4, 13, IF(Setup!$M27=5, 17, 0))))), 0)) * IF(Setup!$J24=1, 2, 1)</f>
        <v>0</v>
      </c>
      <c r="E39" s="25">
        <f>(IF(Setup!$K27=1, 62 + Setup!$N28 + IF(Setup!$N27=1, 1, IF(Setup!$N27=2, 5, IF(Setup!$N27=3, 9, IF(Setup!$N27=4, 13, IF(Setup!$N27=5, 17, 0))))), 0) + IF(Setup!$K28=1, 56 + Setup!$N28 + IF(Setup!$N27=1, 1, IF(Setup!$N27=2, 5, IF(Setup!$N27=3, 9, IF(Setup!$N27=4, 13, IF(Setup!$N27=5, 17, 0))))), 0) + IF(Setup!$K29=1, 48 + Setup!$N28 + IF(Setup!$N27=1, 1, IF(Setup!$N27=2, 5, IF(Setup!$N27=3, 9, IF(Setup!$N27=4, 13, IF(Setup!$N27=5, 17, 0))))), 0)) * IF(Setup!$K24=1, 2, 1)</f>
        <v>0</v>
      </c>
    </row>
    <row r="40" spans="1:5">
      <c r="A40" s="144" t="s">
        <v>654</v>
      </c>
      <c r="B40" s="25">
        <f>IF(Setup!$F$39=1, VLOOKUP("Att", Ionis, 2, 0), 0)</f>
        <v>0</v>
      </c>
      <c r="C40" s="68">
        <f>IF(Setup!$G$39=1, VLOOKUP("Att", Ionis, 2, 0), 0)</f>
        <v>0</v>
      </c>
      <c r="D40" s="25">
        <f>IF(Setup!$F$39=1, VLOOKUP("Att", Ionis, 2, 0), 0)</f>
        <v>0</v>
      </c>
      <c r="E40" s="25">
        <f>IF(Setup!$G$39=1, VLOOKUP("Att", Ionis, 2, 0), 0)</f>
        <v>0</v>
      </c>
    </row>
    <row r="41" spans="1:5">
      <c r="A41" s="20" t="s">
        <v>550</v>
      </c>
      <c r="B41" s="25">
        <f>IF(LEFT(Gear!$B3,9)="Liberator", IF(ISERROR(VALUE(RIGHT(Gear!$B3,3))), 0, VALUE(RIGHT(Gear!$B3,3))), 0)</f>
        <v>0</v>
      </c>
      <c r="C41" s="68">
        <f>IF(LEFT(Gear!$AB3,9)="Liberator", IF(ISERROR(VALUE(RIGHT(Gear!$AB3,3))), 0, VALUE(RIGHT(Gear!$AB3,3))), 0)</f>
        <v>0</v>
      </c>
      <c r="D41" s="25">
        <f>IF(LEFT(Gear!$B3,9)="Liberator", IF(ISERROR(VALUE(RIGHT(Gear!$B3,3))), 0, VALUE(RIGHT(Gear!$B3,3))), 0)</f>
        <v>0</v>
      </c>
      <c r="E41" s="25">
        <f>IF(LEFT(Gear!$AB3,9)="Liberator", IF(ISERROR(VALUE(RIGHT(Gear!$AB3,3))), 0, VALUE(RIGHT(Gear!$AB3,3))), 0)</f>
        <v>0</v>
      </c>
    </row>
    <row r="42" spans="1:5">
      <c r="A42" s="21" t="s">
        <v>543</v>
      </c>
      <c r="B42" s="22">
        <f>IF(AND(B41&gt;0, Setup!$B38=1, Setup!$B40=0), VLOOKUP(B41, AM2Table, 2, 0), 0)</f>
        <v>0</v>
      </c>
      <c r="C42" s="69">
        <f>IF(AND(C41&gt;0, Setup!$C38=1, Setup!$C40=0), VLOOKUP(C41, AM2Table, 3, 0), 0)</f>
        <v>0</v>
      </c>
      <c r="D42" s="22">
        <f>IF(AND(D41&gt;0, Setup!$B38=1, Setup!$B40=0), VLOOKUP(D41, AM2Table, 2, 0), 0)</f>
        <v>0</v>
      </c>
      <c r="E42" s="22">
        <f>IF(AND(E41&gt;0, Setup!$C38=1, Setup!$C40=0), VLOOKUP(E41, AM2Table, 3, 0), 0)</f>
        <v>0</v>
      </c>
    </row>
    <row r="43" spans="1:5">
      <c r="A43" s="20" t="s">
        <v>549</v>
      </c>
      <c r="B43" s="25">
        <f>(IF(Setup!$J30=1, 30 + Setup!$M31 + IF(Setup!$M30=1, 1, IF(Setup!$M30=2, 4, IF(Setup!$M30=3, 7, IF(Setup!$M30=4, 10, IF(Setup!$M30=5, 13, 0))))), 0) + IF(Setup!$J31=1, 15 + Setup!$M31 + IF(Setup!$M30=1, 1, IF(Setup!$M30=2, 4, IF(Setup!$M30=3, 7, IF(Setup!$M30=4, 10, IF(Setup!$M30=5, 13, 0))))), 0)) * IF(Setup!$J24=1, 2, 1)</f>
        <v>0</v>
      </c>
      <c r="C43" s="68">
        <f>(IF(Setup!$K30=1, 30 + Setup!$N31 + IF(Setup!$N30=1, 1, IF(Setup!$N30=2, 4, IF(Setup!$N30=3, 7, IF(Setup!$N30=4, 10, IF(Setup!$N30=5, 13, 0))))), 0) + IF(Setup!$K31=1, 15 + Setup!$N31 + IF(Setup!$N30=1, 1, IF(Setup!$N30=2, 4, IF(Setup!$N30=3, 7, IF(Setup!$N30=4, 10, IF(Setup!$N30=5, 13, 0))))), 0)) * IF(Setup!$K24=1, 2, 1)</f>
        <v>0</v>
      </c>
      <c r="D43" s="25">
        <f>(IF(Setup!$J30=1, 30 + Setup!$M31 + IF(Setup!$M30=1, 1, IF(Setup!$M30=2, 4, IF(Setup!$M30=3, 7, IF(Setup!$M30=4, 10, IF(Setup!$M30=5, 13, 0))))), 0) + IF(Setup!$J31=1, 15 + Setup!$M31 + IF(Setup!$M30=1, 1, IF(Setup!$M30=2, 4, IF(Setup!$M30=3, 7, IF(Setup!$M30=4, 10, IF(Setup!$M30=5, 13, 0))))), 0)) * IF(Setup!$J24=1, 2, 1)</f>
        <v>0</v>
      </c>
      <c r="E43" s="25">
        <f>(IF(Setup!$K30=1, 30 + Setup!$N31 + IF(Setup!$N30=1, 1, IF(Setup!$N30=2, 4, IF(Setup!$N30=3, 7, IF(Setup!$N30=4, 10, IF(Setup!$N30=5, 13, 0))))), 0) + IF(Setup!$K31=1, 15 + Setup!$N31 + IF(Setup!$N30=1, 1, IF(Setup!$N30=2, 4, IF(Setup!$N30=3, 7, IF(Setup!$N30=4, 10, IF(Setup!$N30=5, 13, 0))))), 0)) * IF(Setup!$K24=1, 2, 1)</f>
        <v>0</v>
      </c>
    </row>
    <row r="44" spans="1:5">
      <c r="A44" s="144" t="s">
        <v>655</v>
      </c>
      <c r="B44" s="25">
        <f>IF(Setup!$F$39=1, VLOOKUP("Acc", Ionis, 2, 0), 0)</f>
        <v>0</v>
      </c>
      <c r="C44" s="68">
        <f>IF(Setup!$G$39=1, VLOOKUP("Acc", Ionis, 2, 0), 0)</f>
        <v>0</v>
      </c>
      <c r="D44" s="25">
        <f>IF(Setup!$F$39=1, VLOOKUP("Acc", Ionis, 2, 0), 0)</f>
        <v>0</v>
      </c>
      <c r="E44" s="25">
        <f>IF(Setup!$G$39=1, VLOOKUP("Acc", Ionis, 2, 0), 0)</f>
        <v>0</v>
      </c>
    </row>
    <row r="45" spans="1:5">
      <c r="A45" s="20" t="s">
        <v>142</v>
      </c>
      <c r="B45" s="25">
        <f>IF(AND(OR(Setup!F$25=1, Setup!$F$31=1), Setup!$F$36=1), 50, 0)</f>
        <v>0</v>
      </c>
      <c r="C45" s="68">
        <f>IF(AND(OR(Setup!G$25=1, Setup!$G$31=1), Setup!$G$36=1), 50, 0)</f>
        <v>0</v>
      </c>
      <c r="D45" s="25">
        <f>IF(AND(OR(Setup!F$25=1, Setup!$F$31=1), Setup!$F$36=1), 50, 0)</f>
        <v>0</v>
      </c>
      <c r="E45" s="25">
        <f>IF(AND(OR(Setup!G$25=1, Setup!$G$31=1), Setup!$G$36=1), 50, 0)</f>
        <v>0</v>
      </c>
    </row>
    <row r="46" spans="1:5">
      <c r="A46" s="20" t="s">
        <v>561</v>
      </c>
      <c r="B46" s="25">
        <f>IF(Setup!F5="On", 25, 0)</f>
        <v>0</v>
      </c>
      <c r="C46" s="68">
        <f>IF(Setup!G5="On", 25, 0)</f>
        <v>0</v>
      </c>
      <c r="D46" s="25">
        <f>IF(OR(Setup!F5="On", Setup!F5="WS Only"), 25, 0)</f>
        <v>0</v>
      </c>
      <c r="E46" s="25">
        <f>IF(OR(Setup!G5="On", Setup!G5="WS Only"), 25, 0)</f>
        <v>0</v>
      </c>
    </row>
    <row r="47" spans="1:5">
      <c r="A47" s="20" t="s">
        <v>560</v>
      </c>
      <c r="B47" s="25">
        <f>IF(Setup!F10=1, IF(Setup!B19=0, 0, 20 + (Setup!B19-1)*5), 0)</f>
        <v>0</v>
      </c>
      <c r="C47" s="68">
        <f>IF(Setup!G10=1, IF(Setup!C19=0, 0, 20 + (Setup!C19-1)*5), 0)</f>
        <v>0</v>
      </c>
      <c r="D47" s="25">
        <f>IF(Setup!F10=1, IF(Setup!B19=0, 0, 20 + (Setup!B19-1)*5), 0)</f>
        <v>0</v>
      </c>
      <c r="E47" s="25">
        <f>IF(Setup!G10=1, IF(Setup!C19=0, 0, 20 + (Setup!C19-1)*5), 0)</f>
        <v>0</v>
      </c>
    </row>
    <row r="48" spans="1:5">
      <c r="A48" s="20" t="s">
        <v>607</v>
      </c>
      <c r="B48" s="25">
        <f>IF(Setup!$J35=1, Setup!$M35, 0)</f>
        <v>0</v>
      </c>
      <c r="C48" s="68">
        <f>IF(Setup!$K35=1, Setup!$N35, 0)</f>
        <v>0</v>
      </c>
      <c r="D48" s="25">
        <f>IF(Setup!$J35=1, Setup!$M35, 0)</f>
        <v>0</v>
      </c>
      <c r="E48" s="25">
        <f>IF(Setup!$K35=1, Setup!$N35, 0)</f>
        <v>0</v>
      </c>
    </row>
    <row r="49" spans="1:5">
      <c r="A49" s="144" t="s">
        <v>847</v>
      </c>
      <c r="B49">
        <f>IF(Setup!$J49=1, Setup!$M49, 0)</f>
        <v>0</v>
      </c>
      <c r="C49" s="73">
        <f>IF(Setup!$K49=1, Setup!$N49, 0)</f>
        <v>0</v>
      </c>
      <c r="D49">
        <f>IF(Setup!$J49=1, Setup!$M49, 0)</f>
        <v>0</v>
      </c>
      <c r="E49">
        <f>IF(Setup!$K49=1, Setup!$N49, 0)</f>
        <v>0</v>
      </c>
    </row>
    <row r="50" spans="1:5">
      <c r="A50" s="21" t="s">
        <v>130</v>
      </c>
      <c r="B50" s="22">
        <f>IF(AND(Setup!$F$15=1, $D$1="War"), 25, 0)</f>
        <v>0</v>
      </c>
      <c r="C50" s="69">
        <f>IF(AND(Setup!$G$15=1, $D$1="War"), 25, 0)</f>
        <v>0</v>
      </c>
      <c r="D50" s="22">
        <f>IF(AND(Setup!$F$15=1, $D$1="War"), 25, 0)</f>
        <v>0</v>
      </c>
      <c r="E50" s="22">
        <f>IF(AND(Setup!$G$15=1, $D$1="War"), 25, 0)</f>
        <v>0</v>
      </c>
    </row>
    <row r="51" spans="1:5">
      <c r="A51" s="20" t="s">
        <v>217</v>
      </c>
      <c r="B51" s="7">
        <f ca="1">$H9+HLOOKUP($A51, INDIRECT(B$28), MATCH("Total", Slots, 0)+1, 0)</f>
        <v>1930</v>
      </c>
      <c r="C51" s="76">
        <f ca="1">$I9+HLOOKUP($A51, INDIRECT(C$28), MATCH("Total", Slots, 0)+1, 0)</f>
        <v>1990</v>
      </c>
      <c r="D51" s="7">
        <f ca="1">$H9+HLOOKUP($A51, INDIRECT(D$28), MATCH("Total", Slots, 0)+1, 0)</f>
        <v>2014</v>
      </c>
      <c r="E51" s="7">
        <f ca="1">$I9+HLOOKUP($A51, INDIRECT(E$28), MATCH("Total", Slots, 0)+1, 0)</f>
        <v>2109</v>
      </c>
    </row>
    <row r="52" spans="1:5">
      <c r="A52" s="20" t="s">
        <v>218</v>
      </c>
      <c r="B52" s="79">
        <f ca="1">HLOOKUP($A52, INDIRECT(B$28), MATCH("Total", Slots, 0)+1, 0) - IF(Setup!F10=1, 15%, 0)</f>
        <v>0</v>
      </c>
      <c r="C52" s="80">
        <f ca="1">HLOOKUP($A52, INDIRECT(C$28), MATCH("Total", Slots, 0)+1, 0) - IF(Setup!G10=1, 15%, 0)</f>
        <v>0</v>
      </c>
      <c r="D52" s="79">
        <f ca="1">HLOOKUP($A52, INDIRECT(D$28), MATCH("Total", Slots, 0)+1, 0) - IF(Setup!F10=1, 15%, 0)</f>
        <v>0</v>
      </c>
      <c r="E52" s="79">
        <f ca="1">HLOOKUP($A52, INDIRECT(E$28), MATCH("Total", Slots, 0)+1, 0) - IF(Setup!G10=1, 15%, 0)</f>
        <v>0</v>
      </c>
    </row>
    <row r="53" spans="1:5">
      <c r="A53" s="20" t="s">
        <v>571</v>
      </c>
      <c r="B53" s="139">
        <f ca="1">B51 + TRUNC(B51*B52)</f>
        <v>1930</v>
      </c>
      <c r="C53" s="140">
        <f ca="1">C51 + TRUNC(C51*C52)</f>
        <v>1990</v>
      </c>
      <c r="D53" s="139">
        <f ca="1">D51 + TRUNC(D51*D52)</f>
        <v>2014</v>
      </c>
      <c r="E53" s="139">
        <f ca="1">E51 + TRUNC(E51*E52)</f>
        <v>2109</v>
      </c>
    </row>
    <row r="54" spans="1:5">
      <c r="A54" s="20" t="s">
        <v>572</v>
      </c>
      <c r="B54" s="79">
        <f>IF(ISBLANK($E$1), 0, VLOOKUP($E$1, Food, MATCH("HP Mult", FoodHeader, 0), 0))</f>
        <v>0</v>
      </c>
      <c r="C54" s="80">
        <f>IF(ISBLANK($E$1), 0, VLOOKUP($E$1, Food, MATCH("HP Mult", FoodHeader, 0), 0))</f>
        <v>0</v>
      </c>
      <c r="D54" s="79">
        <f>IF(ISBLANK($E$1), 0, VLOOKUP($E$1, Food, MATCH("HP Mult", FoodHeader, 0), 0))</f>
        <v>0</v>
      </c>
      <c r="E54" s="79">
        <f>IF(ISBLANK($E$1), 0, VLOOKUP($E$1, Food, MATCH("HP Mult", FoodHeader, 0), 0))</f>
        <v>0</v>
      </c>
    </row>
    <row r="55" spans="1:5">
      <c r="A55" s="20" t="s">
        <v>573</v>
      </c>
      <c r="B55" s="139">
        <f>IF(ISBLANK($E$1), 0, VLOOKUP($E$1, Food, MATCH("HP Cap", FoodHeader, 0), 0))</f>
        <v>0</v>
      </c>
      <c r="C55" s="140">
        <f>IF(ISBLANK($E$1), 0, VLOOKUP($E$1, Food, MATCH("HP Cap", FoodHeader, 0), 0))</f>
        <v>0</v>
      </c>
      <c r="D55" s="139">
        <f>IF(ISBLANK($E$1), 0, VLOOKUP($E$1, Food, MATCH("HP Cap", FoodHeader, 0), 0))</f>
        <v>0</v>
      </c>
      <c r="E55" s="139">
        <f>IF(ISBLANK($E$1), 0, VLOOKUP($E$1, Food, MATCH("HP Cap", FoodHeader, 0), 0))</f>
        <v>0</v>
      </c>
    </row>
    <row r="56" spans="1:5">
      <c r="A56" s="20" t="s">
        <v>574</v>
      </c>
      <c r="B56" s="139">
        <f ca="1">MIN(TRUNC(B53*B54), B55)</f>
        <v>0</v>
      </c>
      <c r="C56" s="140">
        <f ca="1">MIN(TRUNC(C53*C54), C55)</f>
        <v>0</v>
      </c>
      <c r="D56" s="139">
        <f ca="1">MIN(TRUNC(D53*D54), D55)</f>
        <v>0</v>
      </c>
      <c r="E56" s="139">
        <f ca="1">MIN(TRUNC(E53*E54), E55)</f>
        <v>0</v>
      </c>
    </row>
    <row r="57" spans="1:5">
      <c r="A57" s="21" t="s">
        <v>305</v>
      </c>
      <c r="B57" s="50">
        <f ca="1">B53+B56</f>
        <v>1930</v>
      </c>
      <c r="C57" s="66">
        <f ca="1">C53+C56</f>
        <v>1990</v>
      </c>
      <c r="D57" s="50">
        <f ca="1">D53+D56</f>
        <v>2014</v>
      </c>
      <c r="E57" s="50">
        <f ca="1">E53+E56</f>
        <v>2109</v>
      </c>
    </row>
    <row r="58" spans="1:5">
      <c r="A58" s="20" t="s">
        <v>298</v>
      </c>
      <c r="B58" s="25">
        <f>Setup!F9</f>
        <v>16</v>
      </c>
      <c r="C58" s="68">
        <f>Setup!G9</f>
        <v>16</v>
      </c>
      <c r="D58" s="25">
        <f>Setup!F9</f>
        <v>16</v>
      </c>
      <c r="E58" s="25">
        <f>Setup!G9</f>
        <v>16</v>
      </c>
    </row>
    <row r="59" spans="1:5">
      <c r="A59" s="21" t="s">
        <v>193</v>
      </c>
      <c r="B59" s="22">
        <f ca="1">IF(Setup!F$8=1, TRUNC(VLOOKUP(B58, EndarkTable, 8)), 0)</f>
        <v>124</v>
      </c>
      <c r="C59" s="69">
        <f ca="1">IF(Setup!G$8=1, TRUNC(VLOOKUP(C58, EndarkTable, 8)), 0)</f>
        <v>124</v>
      </c>
      <c r="D59" s="22">
        <f ca="1">IF(Setup!F$8=1, TRUNC(VLOOKUP(D58, EndarkTable, 8)), 0)</f>
        <v>124</v>
      </c>
      <c r="E59" s="22">
        <f ca="1">IF(Setup!G$8=1, TRUNC(VLOOKUP(E58, EndarkTable, 8)), 0)</f>
        <v>124</v>
      </c>
    </row>
    <row r="60" spans="1:5">
      <c r="A60" s="26"/>
      <c r="B60" s="136"/>
      <c r="C60" s="136"/>
      <c r="D60" s="136"/>
      <c r="E60" s="136"/>
    </row>
    <row r="61" spans="1:5">
      <c r="A61" s="87" t="s">
        <v>624</v>
      </c>
      <c r="B61" s="23"/>
      <c r="C61" s="23"/>
      <c r="D61" s="23"/>
      <c r="E61" s="23"/>
    </row>
    <row r="62" spans="1:5">
      <c r="A62" s="20" t="s">
        <v>30</v>
      </c>
      <c r="B62" s="19">
        <f ca="1">$G$18+HLOOKUP(VLOOKUP($G17, Skills, 2, 0), INDIRECT(B$28), MATCH("Total", Slots, 0)+1, 0) + VLOOKUP(Gear!$B$3, INDIRECT(Gear!$A$3), MATCH("CombatSkill", StatHeader, 0), 0)</f>
        <v>702</v>
      </c>
      <c r="C62" s="63">
        <f ca="1">$H$18+HLOOKUP(VLOOKUP($H17, Skills, 2, 0), INDIRECT(C$28), MATCH("Total", Slots, 0)+1, 0) + VLOOKUP(Gear!$AB$3, INDIRECT(Gear!$AA$3), MATCH("CombatSkill", StatHeader, 0), 0)</f>
        <v>709</v>
      </c>
      <c r="D62" s="19">
        <f ca="1">$G$18+HLOOKUP(VLOOKUP($G17, Skills, 2, 0), INDIRECT(D$28), MATCH("Total", Slots, 0)+1, 0) + VLOOKUP(Gear!$B$3, INDIRECT(Gear!$A$3), MATCH("CombatSkill", StatHeader, 0), 0)</f>
        <v>702</v>
      </c>
      <c r="E62" s="19">
        <f ca="1">$H$18+HLOOKUP(VLOOKUP($H17, Skills, 2, 0), INDIRECT(E$28), MATCH("Total", Slots, 0)+1, 0) + VLOOKUP(Gear!$AB$3, INDIRECT(Gear!$AA$3), MATCH("CombatSkill", StatHeader, 0), 0)</f>
        <v>709</v>
      </c>
    </row>
    <row r="63" spans="1:5">
      <c r="A63" s="20" t="s">
        <v>9</v>
      </c>
      <c r="B63" s="35">
        <f ca="1">8+B62+Data!B31</f>
        <v>1019</v>
      </c>
      <c r="C63" s="130">
        <f ca="1">8+C62+Data!B31</f>
        <v>1026</v>
      </c>
      <c r="D63" s="35">
        <f ca="1">8+D62+Data!B31</f>
        <v>1019</v>
      </c>
      <c r="E63" s="35">
        <f ca="1">8+E62+Data!B31</f>
        <v>1026</v>
      </c>
    </row>
    <row r="64" spans="1:5">
      <c r="A64" s="21" t="s">
        <v>10</v>
      </c>
      <c r="B64" s="36">
        <f ca="1">MIN(B62, 200) + TRUNC(MAX(MIN(B62-200, 200), 0)*0.9) + TRUNC(MAX(MIN(B62-400, 200), 0)*0.8) + TRUNC(MAX(MIN(B62-600, 200), 0)*0.9)+Setup!B30</f>
        <v>653</v>
      </c>
      <c r="C64" s="65">
        <f ca="1">MIN(C62, 200) + TRUNC(MAX(MIN(C62-200, 200), 0)*0.9) + TRUNC(MAX(MIN(C62-400, 200), 0)*0.8) + TRUNC(MAX(MIN(C62-600, 200), 0)*0.9)+Setup!B30</f>
        <v>660</v>
      </c>
      <c r="D64" s="36">
        <f ca="1">MIN(D62, 200) + TRUNC(MAX(MIN(D62-200, 200), 0)*0.9) + TRUNC(MAX(MIN(D62-400, 200), 0)*0.8) + TRUNC(MAX(MIN(D62-600, 200), 0)*0.9)+Setup!B30</f>
        <v>653</v>
      </c>
      <c r="E64" s="36">
        <f ca="1">MIN(E62, 200) + TRUNC(MAX(MIN(E62-200, 200), 0)*0.9) + TRUNC(MAX(MIN(E62-400, 200), 0)*0.8) + TRUNC(MAX(MIN(E62-600, 200), 0)*0.9)+Setup!B30</f>
        <v>660</v>
      </c>
    </row>
    <row r="65" spans="1:6">
      <c r="A65" s="144" t="s">
        <v>625</v>
      </c>
      <c r="B65" s="145">
        <f>75%</f>
        <v>0.75</v>
      </c>
      <c r="C65" s="146">
        <f>75%</f>
        <v>0.75</v>
      </c>
      <c r="D65" s="145">
        <f>75%</f>
        <v>0.75</v>
      </c>
      <c r="E65" s="145">
        <f>75%</f>
        <v>0.75</v>
      </c>
    </row>
    <row r="66" spans="1:6">
      <c r="A66" s="147" t="s">
        <v>626</v>
      </c>
      <c r="B66" s="148">
        <f>75%</f>
        <v>0.75</v>
      </c>
      <c r="C66" s="149">
        <f>75%</f>
        <v>0.75</v>
      </c>
      <c r="D66" s="148">
        <f>75%</f>
        <v>0.75</v>
      </c>
      <c r="E66" s="148">
        <f>75%</f>
        <v>0.75</v>
      </c>
    </row>
    <row r="67" spans="1:6">
      <c r="A67" s="20" t="s">
        <v>59</v>
      </c>
      <c r="B67" s="35">
        <f ca="1">B63 + TRUNC(B$31*B65) + B$39+B$40+B$42+B$59+$E$12+$H$12+HLOOKUP("Att", INDIRECT(B$28), MATCH("Total", Slots, 0)+1, 0)</f>
        <v>1626</v>
      </c>
      <c r="C67" s="161">
        <f ca="1">C63 + TRUNC(C$31*C65) + C$39+C$40+C$42+C$59+$F$12+$H$12+HLOOKUP("Att", INDIRECT(C$28), MATCH("Total", Slots, 0)+1, 0)</f>
        <v>1535</v>
      </c>
      <c r="D67" s="35">
        <f ca="1">D63 + TRUNC(D$31*D65) + D$39+D$40+D$42+D$59+$E$12+$H$12+HLOOKUP("Att", INDIRECT(D$28), MATCH("Total", Slots, 0)+1, 0)</f>
        <v>1711</v>
      </c>
      <c r="E67" s="35">
        <f ca="1">E63 + TRUNC(E$31*E65) + E$39+E$40+E$42+E$59+$F$12+$H$12+HLOOKUP("Att", INDIRECT(E$28), MATCH("Total", Slots, 0)+1, 0)</f>
        <v>1713</v>
      </c>
    </row>
    <row r="68" spans="1:6">
      <c r="A68" s="21" t="s">
        <v>60</v>
      </c>
      <c r="B68" s="36">
        <f ca="1">B64 + TRUNC(B$32*B66) + B$43+B$44+B$45+B$46+B$47+B$48+B$49+B$50+$E$13+$H$13+HLOOKUP("Acc", INDIRECT(B$28), MATCH("Total", Slots, 0)+1, 0) +   IF( AND( LEFT(Gear!B3, 10)="Apocalypse",Setup!F11=1), 10, 0) +  IF(AND($D$1="Sam", Setup!F16=1), 10, 0)</f>
        <v>1096</v>
      </c>
      <c r="C68" s="65">
        <f ca="1">C64 + TRUNC(C$32*C66) + C$43+C$44+C$45+C$46+C$47+C$48+C$49+C$50+$F$13+$H$13+HLOOKUP("Acc", INDIRECT(C$28), MATCH("Total", Slots, 0)+1, 0)  + IF( AND( LEFT(Gear!AB3, 10)="Apocalypse",Setup!G11=1), 10, 0) +  IF(AND($D$1="Sam", Setup!G16=1), 10, 0)</f>
        <v>1114</v>
      </c>
      <c r="D68" s="36">
        <f ca="1">D64 + TRUNC(D$32*D66) + D$43+D$44+D$45+D$46+D$47+D$48+D$49+D$50+$E$13+$H$13+HLOOKUP("Acc", INDIRECT(D$28), MATCH("Total", Slots, 0)+1, 0) +   IF( AND( LEFT(Gear!B3, 10)="Apocalypse",Setup!F11=1), 10, 0) +  IF(AND($D$1="Sam", Setup!F16=1), 10, 0)</f>
        <v>1059</v>
      </c>
      <c r="E68" s="36">
        <f ca="1">E64 + TRUNC(E$32*E66) + E$43+E$44+E$45+E$46+E$47+E$48+E$49+E$50+$F$13+$H$13+HLOOKUP("Acc", INDIRECT(E$28), MATCH("Total", Slots, 0)+1, 0) +   IF( AND( LEFT(Gear!AB3, 10)="Apocalypse",Setup!G11=1), 10, 0) +  IF(AND($D$1="Sam", Setup!G16=1), 10, 0)</f>
        <v>1091</v>
      </c>
    </row>
    <row r="69" spans="1:6">
      <c r="A69" s="20" t="s">
        <v>55</v>
      </c>
      <c r="B69" s="35">
        <f ca="1">TRUNC(MIN(B67*$B$12, $C$12))+$D$12</f>
        <v>0</v>
      </c>
      <c r="C69" s="130">
        <f ca="1">TRUNC(MIN(C67*$B$12, $C$12))+$D$12</f>
        <v>0</v>
      </c>
      <c r="D69" s="35">
        <f ca="1">TRUNC(MIN(D67*$B$12, $C$12))+$D$12</f>
        <v>0</v>
      </c>
      <c r="E69" s="35">
        <f ca="1">TRUNC(MIN(E67*$B$12, $C$12))+$D$12</f>
        <v>0</v>
      </c>
    </row>
    <row r="70" spans="1:6">
      <c r="A70" s="21" t="s">
        <v>56</v>
      </c>
      <c r="B70" s="36">
        <f ca="1">TRUNC(MIN(B68*$B$13, $C$13))+$D$13</f>
        <v>100</v>
      </c>
      <c r="C70" s="65">
        <f ca="1">TRUNC(MIN(C68*$B$13, $C$13))+$D$13</f>
        <v>100</v>
      </c>
      <c r="D70" s="36">
        <f ca="1">TRUNC(MIN(D68*$B$13, $C$13))+$D$13</f>
        <v>100</v>
      </c>
      <c r="E70" s="36">
        <f ca="1">TRUNC(MIN(E68*$B$13, $C$13))+$D$13</f>
        <v>100</v>
      </c>
    </row>
    <row r="71" spans="1:6">
      <c r="A71" s="20" t="s">
        <v>127</v>
      </c>
      <c r="B71" s="25">
        <f>IF(Setup!$J$34=1, TRUNC(Setup!$M$34*B67), 0)</f>
        <v>0</v>
      </c>
      <c r="C71" s="68">
        <f>IF(Setup!$K$34=1, TRUNC(Setup!$N$34*C67), 0)</f>
        <v>0</v>
      </c>
      <c r="D71" s="25">
        <f>IF(Setup!$J$34=1, TRUNC(Setup!$M$34*D67), 0)</f>
        <v>0</v>
      </c>
      <c r="E71" s="25">
        <f>IF(Setup!$K$34=1, TRUNC(Setup!$N$34*E67), 0)</f>
        <v>0</v>
      </c>
    </row>
    <row r="72" spans="1:6">
      <c r="A72" s="20" t="s">
        <v>141</v>
      </c>
      <c r="B72" s="25">
        <f>IF(AND(OR(Setup!F$25=1, Setup!$F$31=1), Setup!$F$36=1), FLOOR(0.25*B67, 1), 0)</f>
        <v>0</v>
      </c>
      <c r="C72" s="68">
        <f>IF(AND(OR(Setup!G$25=1, Setup!$G$31=1), Setup!$G$36=1), FLOOR(0.25*C67, 1), 0)</f>
        <v>0</v>
      </c>
      <c r="D72" s="25">
        <f>IF(AND(OR(Setup!F$25=1, Setup!$F$31=1), Setup!$F$36=1), FLOOR(0.25*D67, 1), 0)</f>
        <v>0</v>
      </c>
      <c r="E72" s="25">
        <f>IF(AND(OR(Setup!G$25=1, Setup!$G$31=1), Setup!$G$36=1), FLOOR(0.25*E67, 1), 0)</f>
        <v>0</v>
      </c>
      <c r="F72" s="26"/>
    </row>
    <row r="73" spans="1:6">
      <c r="A73" s="20" t="s">
        <v>126</v>
      </c>
      <c r="B73" s="25">
        <f>IF(AND(Setup!$F$14=1, $D$1="War"), FLOOR(0.25*B67, 1), 0)</f>
        <v>0</v>
      </c>
      <c r="C73" s="68">
        <f>IF(AND(Setup!$G$14=1, $D$1="War"), FLOOR(0.25*C67, 1), 0)</f>
        <v>0</v>
      </c>
      <c r="D73" s="25">
        <f>IF(AND(Setup!$F$14=1, $D$1="War"), FLOOR(0.25*D67, 1), 0)</f>
        <v>0</v>
      </c>
      <c r="E73" s="25">
        <f>IF(AND(Setup!$G$14=1, $D$1="War"), FLOOR(0.25*E67, 1), 0)</f>
        <v>0</v>
      </c>
    </row>
    <row r="74" spans="1:6">
      <c r="A74" s="20" t="s">
        <v>249</v>
      </c>
      <c r="B74" s="25">
        <f ca="1">IF(Setup!$F$4=1, FLOOR(B67*(64+5*Setup!$B$17)/256, 1), 0)</f>
        <v>565</v>
      </c>
      <c r="C74" s="68">
        <f ca="1">IF(Setup!$G$4=1, FLOOR(C67*(64+5*Setup!$C$17)/256, 1), 0)</f>
        <v>533</v>
      </c>
      <c r="D74" s="25">
        <f ca="1">IF(Setup!$F$4=1, FLOOR(D67*(64+5*Setup!$B$17)/256, 1), 0)</f>
        <v>594</v>
      </c>
      <c r="E74" s="25">
        <f ca="1">IF(Setup!$G$4=1, FLOOR(E67*(64+5*Setup!$C$17)/256, 1), 0)</f>
        <v>595</v>
      </c>
    </row>
    <row r="75" spans="1:6">
      <c r="A75" s="144" t="s">
        <v>848</v>
      </c>
      <c r="B75" s="25">
        <f>IF(Setup!$J$50=1, TRUNC(B57*Setup!$M$50), 0)</f>
        <v>0</v>
      </c>
      <c r="C75" s="68">
        <f>IF(Setup!$K$50=1, TRUNC(C57*Setup!$N$50), 0)</f>
        <v>0</v>
      </c>
      <c r="D75" s="25">
        <f>IF(Setup!$J$50=1, TRUNC(D57*Setup!$M$50), 0)</f>
        <v>0</v>
      </c>
      <c r="E75" s="25">
        <f>IF(Setup!$K$50=1, TRUNC(E57*Setup!$N$50), 0)</f>
        <v>0</v>
      </c>
    </row>
    <row r="76" spans="1:6">
      <c r="A76" s="20" t="s">
        <v>436</v>
      </c>
      <c r="B76" s="7">
        <f ca="1">FLOOR(HLOOKUP($A76, INDIRECT(B$28), MATCH("Total", Slots, 0)+1, 0) * B67, 1)</f>
        <v>0</v>
      </c>
      <c r="C76" s="64">
        <f ca="1">FLOOR(HLOOKUP($A76, INDIRECT(C$28), MATCH("Total", Slots, 0)+1, 0) * C67, 1)</f>
        <v>0</v>
      </c>
      <c r="D76" s="7">
        <f ca="1">FLOOR(HLOOKUP($A76, INDIRECT(D$28), MATCH("Total", Slots, 0)+1, 0) * D67, 1)</f>
        <v>0</v>
      </c>
      <c r="E76" s="7">
        <f ca="1">FLOOR(HLOOKUP($A76, INDIRECT(E$28), MATCH("Total", Slots, 0)+1, 0) * E67, 1)</f>
        <v>0</v>
      </c>
      <c r="F76" s="67"/>
    </row>
    <row r="77" spans="1:6">
      <c r="A77" s="21" t="s">
        <v>408</v>
      </c>
      <c r="B77" s="22">
        <v>0</v>
      </c>
      <c r="C77" s="69">
        <v>0</v>
      </c>
      <c r="D77" s="22">
        <f ca="1">TRUNC(VLOOKUP(Setup!B$36, WeaponskillData, MATCH("Att Bonus", WeaponskillDataCols, 0), 0) * D67)</f>
        <v>0</v>
      </c>
      <c r="E77" s="22">
        <f ca="1">TRUNC(VLOOKUP(Setup!C$36, WeaponskillData, MATCH("Att Bonus", WeaponskillDataCols, 0), 0) * E67)</f>
        <v>0</v>
      </c>
    </row>
    <row r="78" spans="1:6">
      <c r="A78" s="29" t="s">
        <v>9</v>
      </c>
      <c r="B78" s="37">
        <f ca="1">B67+B69+B71+B72+B73+B74+B76+B77+(B67*0.296)</f>
        <v>2672.2959999999998</v>
      </c>
      <c r="C78" s="150">
        <f ca="1">C67+C69+C71+C72+C73+C74+C76+C77+(B67*0.296)</f>
        <v>2549.2959999999998</v>
      </c>
      <c r="D78" s="37">
        <f ca="1">D67+D69+D71+D72+D73+D74+D76+D77+(B67*0.296)</f>
        <v>2786.2959999999998</v>
      </c>
      <c r="E78" s="37">
        <f ca="1">E67+E69+E71+E72+E73+E74+E76+E77+(B67*0.296)</f>
        <v>2789.2959999999998</v>
      </c>
    </row>
    <row r="79" spans="1:6">
      <c r="A79" s="177" t="s">
        <v>10</v>
      </c>
      <c r="B79" s="151">
        <f ca="1">B68+B70</f>
        <v>1196</v>
      </c>
      <c r="C79" s="152">
        <f ca="1">C68+C70</f>
        <v>1214</v>
      </c>
      <c r="D79" s="151">
        <f ca="1">D68+D70</f>
        <v>1159</v>
      </c>
      <c r="E79" s="151">
        <f ca="1">E68+E70</f>
        <v>1191</v>
      </c>
    </row>
    <row r="80" spans="1:6">
      <c r="A80" s="60" t="s">
        <v>37</v>
      </c>
      <c r="B80" s="156">
        <f ca="1">MAX(MIN(B78/$M$3, 4.125)-$M$4, 0)</f>
        <v>4.125</v>
      </c>
      <c r="C80" s="157">
        <f ca="1">MAX(MIN(C78/$N$3, 4.125)-$M$4, 0)</f>
        <v>4.125</v>
      </c>
      <c r="D80" s="156">
        <f ca="1">MAX(MIN(D78/$O$3, 4.125)-$M$4, 0)</f>
        <v>4.125</v>
      </c>
      <c r="E80" s="156">
        <f ca="1">MAX(MIN(E78/$P$3, 4.125)-$M$4, 0)</f>
        <v>4.125</v>
      </c>
      <c r="F80" s="26"/>
    </row>
    <row r="81" spans="1:6">
      <c r="A81" s="9" t="s">
        <v>663</v>
      </c>
      <c r="B81" s="162"/>
      <c r="C81" s="163"/>
      <c r="D81" s="162"/>
      <c r="E81" s="162"/>
      <c r="F81" s="26"/>
    </row>
    <row r="82" spans="1:6">
      <c r="A82" s="29" t="s">
        <v>664</v>
      </c>
      <c r="B82" s="162">
        <f ca="1">B80</f>
        <v>4.125</v>
      </c>
      <c r="C82" s="164">
        <f ca="1">C80</f>
        <v>4.125</v>
      </c>
      <c r="D82" s="162">
        <f ca="1">D80</f>
        <v>4.125</v>
      </c>
      <c r="E82" s="162">
        <f ca="1">E80</f>
        <v>4.125</v>
      </c>
      <c r="F82" s="26"/>
    </row>
    <row r="83" spans="1:6">
      <c r="A83" s="29" t="s">
        <v>665</v>
      </c>
      <c r="B83" s="162">
        <f ca="1">B82+MIN(B82*(152/1024) - (752/1024), -0.375)</f>
        <v>3.75</v>
      </c>
      <c r="C83" s="164">
        <f ca="1">C82+MIN(C82*(152/1024) - (752/1024), -0.375)</f>
        <v>3.75</v>
      </c>
      <c r="D83" s="162">
        <f ca="1">D82+MIN(D82*(152/1024) - (752/1024), -0.375)</f>
        <v>3.75</v>
      </c>
      <c r="E83" s="162">
        <f ca="1">E82+MIN(E82*(152/1024) - (752/1024), -0.375)</f>
        <v>3.75</v>
      </c>
      <c r="F83" s="26"/>
    </row>
    <row r="84" spans="1:6">
      <c r="A84" s="29" t="s">
        <v>666</v>
      </c>
      <c r="B84" s="162">
        <f ca="1">B82+MIN(1-B82, B82*152/1024 - 448/1024)</f>
        <v>1</v>
      </c>
      <c r="C84" s="164">
        <f ca="1">C82+MIN(1-C82, C82*152/1024 - 448/1024)</f>
        <v>1</v>
      </c>
      <c r="D84" s="162">
        <f ca="1">D82+MIN(1-D82, D82*152/1024 - 448/1024)</f>
        <v>1</v>
      </c>
      <c r="E84" s="162">
        <f ca="1">E82+MIN(1-E82, E82*152/1024 - 448/1024)</f>
        <v>1</v>
      </c>
      <c r="F84" s="26"/>
    </row>
    <row r="85" spans="1:6">
      <c r="A85" s="29" t="s">
        <v>667</v>
      </c>
      <c r="B85" s="162">
        <f ca="1">MAX(B83,B84)</f>
        <v>3.75</v>
      </c>
      <c r="C85" s="164">
        <f ca="1">MAX(C83,C84)</f>
        <v>3.75</v>
      </c>
      <c r="D85" s="162">
        <f ca="1">MAX(D83,D84)</f>
        <v>3.75</v>
      </c>
      <c r="E85" s="162">
        <f ca="1">MAX(E83,E84)</f>
        <v>3.75</v>
      </c>
      <c r="F85" s="26"/>
    </row>
    <row r="86" spans="1:6">
      <c r="A86" s="29" t="s">
        <v>668</v>
      </c>
      <c r="B86" s="162">
        <f ca="1">MAX(MAX(B83,B84), 0)</f>
        <v>3.75</v>
      </c>
      <c r="C86" s="164">
        <f ca="1">MAX(MAX(C83,C84), 0)</f>
        <v>3.75</v>
      </c>
      <c r="D86" s="162">
        <f ca="1">MAX(MAX(D83,D84), 0)</f>
        <v>3.75</v>
      </c>
      <c r="E86" s="162">
        <f ca="1">MAX(MAX(E83,E84), 0)</f>
        <v>3.75</v>
      </c>
      <c r="F86" s="26"/>
    </row>
    <row r="87" spans="1:6">
      <c r="A87" s="29" t="s">
        <v>669</v>
      </c>
      <c r="B87" s="162">
        <f ca="1">B82 + MAX(MIN(B82 * 0.25, 0.375), 0.25)</f>
        <v>4.5</v>
      </c>
      <c r="C87" s="164">
        <f ca="1">C82 + MAX(MIN(C82 * 0.25, 0.375), 0.25)</f>
        <v>4.5</v>
      </c>
      <c r="D87" s="162">
        <f ca="1">D82 + MAX(MIN(D82 * 0.25, 0.375), 0.25)</f>
        <v>4.5</v>
      </c>
      <c r="E87" s="162">
        <f ca="1">E82 + MAX(MIN(E82 * 0.25, 0.375), 0.25)</f>
        <v>4.5</v>
      </c>
      <c r="F87" s="26"/>
    </row>
    <row r="88" spans="1:6">
      <c r="A88" s="29" t="s">
        <v>670</v>
      </c>
      <c r="B88" s="162">
        <f ca="1">B82 + MIN(B82*341/1024 + 358/1024, 1-B82)</f>
        <v>1</v>
      </c>
      <c r="C88" s="164">
        <f ca="1">C82 + MIN(C82*341/1024 + 358/1024, 1-C82)</f>
        <v>1</v>
      </c>
      <c r="D88" s="162">
        <f ca="1">D82 + MIN(D82*341/1024 + 358/1024, 1-D82)</f>
        <v>1</v>
      </c>
      <c r="E88" s="162">
        <f ca="1">E82 + MIN(E82*341/1024 + 358/1024, 1-E82)</f>
        <v>1</v>
      </c>
      <c r="F88" s="26"/>
    </row>
    <row r="89" spans="1:6">
      <c r="A89" s="29" t="s">
        <v>671</v>
      </c>
      <c r="B89" s="162">
        <f ca="1">MAX(B87,B88)</f>
        <v>4.5</v>
      </c>
      <c r="C89" s="164">
        <f ca="1">MAX(C87,C88)</f>
        <v>4.5</v>
      </c>
      <c r="D89" s="162">
        <f ca="1">MAX(D87,D88)</f>
        <v>4.5</v>
      </c>
      <c r="E89" s="162">
        <f ca="1">MAX(E87,E88)</f>
        <v>4.5</v>
      </c>
      <c r="F89" s="26"/>
    </row>
    <row r="90" spans="1:6">
      <c r="A90" s="29" t="s">
        <v>672</v>
      </c>
      <c r="B90" s="162">
        <f ca="1">MIN(MAX(B87,B88), 3.75)</f>
        <v>3.75</v>
      </c>
      <c r="C90" s="164">
        <f ca="1">MIN(MAX(C87,C88),3.75)</f>
        <v>3.75</v>
      </c>
      <c r="D90" s="162">
        <f ca="1">MIN(MAX(D87,D88),3.75)</f>
        <v>3.75</v>
      </c>
      <c r="E90" s="162">
        <f ca="1">MIN(MAX(E87,E88), 3.75)</f>
        <v>3.75</v>
      </c>
      <c r="F90" s="26"/>
    </row>
    <row r="91" spans="1:6">
      <c r="A91" s="29" t="s">
        <v>673</v>
      </c>
      <c r="B91" s="162">
        <f t="shared" ref="B91:E92" ca="1" si="5">B89-B85</f>
        <v>0.75</v>
      </c>
      <c r="C91" s="164">
        <f t="shared" ca="1" si="5"/>
        <v>0.75</v>
      </c>
      <c r="D91" s="162">
        <f t="shared" ca="1" si="5"/>
        <v>0.75</v>
      </c>
      <c r="E91" s="162">
        <f t="shared" ca="1" si="5"/>
        <v>0.75</v>
      </c>
      <c r="F91" s="26"/>
    </row>
    <row r="92" spans="1:6">
      <c r="A92" s="29" t="s">
        <v>674</v>
      </c>
      <c r="B92" s="162">
        <f t="shared" ca="1" si="5"/>
        <v>0</v>
      </c>
      <c r="C92" s="164">
        <f t="shared" ca="1" si="5"/>
        <v>0</v>
      </c>
      <c r="D92" s="162">
        <f t="shared" ca="1" si="5"/>
        <v>0</v>
      </c>
      <c r="E92" s="162">
        <f t="shared" ca="1" si="5"/>
        <v>0</v>
      </c>
      <c r="F92" s="26"/>
    </row>
    <row r="93" spans="1:6">
      <c r="A93" s="29" t="s">
        <v>675</v>
      </c>
      <c r="B93" s="165">
        <f ca="1">IF(B85&lt;0, 1-(B92/B91), 0)</f>
        <v>0</v>
      </c>
      <c r="C93" s="166">
        <f ca="1">IF(C85&lt;0, 1-(C92/C91), 0)</f>
        <v>0</v>
      </c>
      <c r="D93" s="165">
        <f ca="1">IF(D85&lt;0, 1-(D92/D91), 0)</f>
        <v>0</v>
      </c>
      <c r="E93" s="165">
        <f ca="1">IF(E85&lt;0, 1-(E92/E91), 0)</f>
        <v>0</v>
      </c>
      <c r="F93" s="26"/>
    </row>
    <row r="94" spans="1:6">
      <c r="A94" s="29" t="s">
        <v>676</v>
      </c>
      <c r="B94" s="165">
        <f ca="1">IF(B89&gt;3, 1-(B92/B91), 0)</f>
        <v>1</v>
      </c>
      <c r="C94" s="166">
        <f ca="1">IF(C89&gt;3, 1-(C92/C91), 0)</f>
        <v>1</v>
      </c>
      <c r="D94" s="165">
        <f ca="1">IF(D89&gt;3, 1-(D92/D91), 0)</f>
        <v>1</v>
      </c>
      <c r="E94" s="165">
        <f ca="1">IF(E89&gt;3, 1-(E92/E91), 0)</f>
        <v>1</v>
      </c>
      <c r="F94" s="26"/>
    </row>
    <row r="95" spans="1:6">
      <c r="A95" s="29" t="s">
        <v>677</v>
      </c>
      <c r="B95" s="165">
        <f ca="1">MAX(0, MIN(1/3, (0.5 - ABS(B82-1)) * 1.2))</f>
        <v>0</v>
      </c>
      <c r="C95" s="166">
        <f ca="1">MAX(0, MIN(1/3, (0.5 - ABS(C82-1)) * 1.2))</f>
        <v>0</v>
      </c>
      <c r="D95" s="165">
        <f ca="1">MAX(0, MIN(1/3, (0.5 - ABS(D82-1)) * 1.2))</f>
        <v>0</v>
      </c>
      <c r="E95" s="165">
        <f ca="1">MAX(0, MIN(1/3, (0.5 - ABS(E82-1)) * 1.2))</f>
        <v>0</v>
      </c>
      <c r="F95" s="26"/>
    </row>
    <row r="96" spans="1:6">
      <c r="A96" s="29" t="s">
        <v>678</v>
      </c>
      <c r="B96" s="162">
        <f ca="1">((0 * B93) + (B90 * B94) + (1 * B95) + (1 - B93 - B94 - B95) * ((B90 + B86) / 2)) * 1.02</f>
        <v>3.8250000000000002</v>
      </c>
      <c r="C96" s="164">
        <f ca="1">((0 * C93) + (C90 * C94) + (1 * C95) + (1 - C93 - C94 - C95) * ((C90 + C86) / 2)) * 1.02</f>
        <v>3.8250000000000002</v>
      </c>
      <c r="D96" s="162">
        <f ca="1">((0 * D93) + (D90 * D94) + (1 * D95) + (1 - D93 - D94 - D95) * ((D90 + D86) / 2)) * 1.02</f>
        <v>3.8250000000000002</v>
      </c>
      <c r="E96" s="162">
        <f ca="1">((0 * E93) + (E90 * E94) + (1 * E95) + (1 - E93 - E94 - E95) * ((E90 + E86) / 2)) * 1.02</f>
        <v>3.8250000000000002</v>
      </c>
      <c r="F96" s="26"/>
    </row>
    <row r="97" spans="1:6">
      <c r="A97" s="9" t="s">
        <v>679</v>
      </c>
      <c r="B97" s="162"/>
      <c r="C97" s="164"/>
      <c r="D97" s="162"/>
      <c r="E97" s="162"/>
      <c r="F97" s="26"/>
    </row>
    <row r="98" spans="1:6">
      <c r="A98" s="29" t="s">
        <v>664</v>
      </c>
      <c r="B98" s="162">
        <f ca="1">B80+1</f>
        <v>5.125</v>
      </c>
      <c r="C98" s="164">
        <f ca="1">C80+1</f>
        <v>5.125</v>
      </c>
      <c r="D98" s="162">
        <f ca="1">D80+1</f>
        <v>5.125</v>
      </c>
      <c r="E98" s="162">
        <f ca="1">E80+1</f>
        <v>5.125</v>
      </c>
      <c r="F98" s="26"/>
    </row>
    <row r="99" spans="1:6">
      <c r="A99" s="29" t="s">
        <v>665</v>
      </c>
      <c r="B99" s="162">
        <f ca="1">B98+MIN(B98*(152/1024) - (752/1024), -0.375)</f>
        <v>4.75</v>
      </c>
      <c r="C99" s="164">
        <f ca="1">C98+MIN(C98*(152/1024) - (752/1024), -0.375)</f>
        <v>4.75</v>
      </c>
      <c r="D99" s="162">
        <f ca="1">D98+MIN(D98*(152/1024) - (752/1024), -0.375)</f>
        <v>4.75</v>
      </c>
      <c r="E99" s="162">
        <f ca="1">E98+MIN(E98*(152/1024) - (752/1024), -0.375)</f>
        <v>4.75</v>
      </c>
      <c r="F99" s="26"/>
    </row>
    <row r="100" spans="1:6">
      <c r="A100" s="29" t="s">
        <v>666</v>
      </c>
      <c r="B100" s="162">
        <f ca="1">B98+MIN(1-B98, B98*152/1024 - 448/1024)</f>
        <v>1</v>
      </c>
      <c r="C100" s="164">
        <f ca="1">C98+MIN(1-C98, C98*152/1024 - 448/1024)</f>
        <v>1</v>
      </c>
      <c r="D100" s="162">
        <f ca="1">D98+MIN(1-D98, D98*152/1024 - 448/1024)</f>
        <v>1</v>
      </c>
      <c r="E100" s="162">
        <f ca="1">E98+MIN(1-E98, E98*152/1024 - 448/1024)</f>
        <v>1</v>
      </c>
      <c r="F100" s="26"/>
    </row>
    <row r="101" spans="1:6">
      <c r="A101" s="29" t="s">
        <v>667</v>
      </c>
      <c r="B101" s="162">
        <f ca="1">MAX(B99,B100)</f>
        <v>4.75</v>
      </c>
      <c r="C101" s="164">
        <f ca="1">MAX(C99,C100)</f>
        <v>4.75</v>
      </c>
      <c r="D101" s="162">
        <f ca="1">MAX(D99,D100)</f>
        <v>4.75</v>
      </c>
      <c r="E101" s="162">
        <f ca="1">MAX(E99,E100)</f>
        <v>4.75</v>
      </c>
      <c r="F101" s="26"/>
    </row>
    <row r="102" spans="1:6">
      <c r="A102" s="29" t="s">
        <v>668</v>
      </c>
      <c r="B102" s="162">
        <f ca="1">MAX(MAX(B99,B100), 0)</f>
        <v>4.75</v>
      </c>
      <c r="C102" s="164">
        <f ca="1">MAX(MAX(C99,C100), 0)</f>
        <v>4.75</v>
      </c>
      <c r="D102" s="162">
        <f ca="1">MAX(MAX(D99,D100), 0)</f>
        <v>4.75</v>
      </c>
      <c r="E102" s="162">
        <f ca="1">MAX(MAX(E99,E100), 0)</f>
        <v>4.75</v>
      </c>
      <c r="F102" s="26"/>
    </row>
    <row r="103" spans="1:6">
      <c r="A103" s="29" t="s">
        <v>669</v>
      </c>
      <c r="B103" s="162">
        <f ca="1">B98 + MAX(MIN(B98 * 0.25, 0.375), 0.25)</f>
        <v>5.5</v>
      </c>
      <c r="C103" s="164">
        <f ca="1">C98 + MAX(MIN(C98 * 0.25, 0.375), 0.25)</f>
        <v>5.5</v>
      </c>
      <c r="D103" s="162">
        <f ca="1">D98 + MAX(MIN(D98 * 0.25, 0.375), 0.25)</f>
        <v>5.5</v>
      </c>
      <c r="E103" s="162">
        <f ca="1">E98 + MAX(MIN(E98 * 0.25, 0.375), 0.25)</f>
        <v>5.5</v>
      </c>
      <c r="F103" s="26"/>
    </row>
    <row r="104" spans="1:6">
      <c r="A104" s="29" t="s">
        <v>670</v>
      </c>
      <c r="B104" s="162">
        <f ca="1">B98 + MIN(B98*341/1024 + 358/1024, 1-B98)</f>
        <v>1</v>
      </c>
      <c r="C104" s="164">
        <f ca="1">C98 + MIN(C98*341/1024 + 358/1024, 1-C98)</f>
        <v>1</v>
      </c>
      <c r="D104" s="162">
        <f ca="1">D98 + MIN(D98*341/1024 + 358/1024, 1-D98)</f>
        <v>1</v>
      </c>
      <c r="E104" s="162">
        <f ca="1">E98 + MIN(E98*341/1024 + 358/1024, 1-E98)</f>
        <v>1</v>
      </c>
      <c r="F104" s="26"/>
    </row>
    <row r="105" spans="1:6">
      <c r="A105" s="29" t="s">
        <v>671</v>
      </c>
      <c r="B105" s="162">
        <f ca="1">MAX(B103,B104)</f>
        <v>5.5</v>
      </c>
      <c r="C105" s="164">
        <f ca="1">MAX(C103,C104)</f>
        <v>5.5</v>
      </c>
      <c r="D105" s="162">
        <f ca="1">MAX(D103,D104)</f>
        <v>5.5</v>
      </c>
      <c r="E105" s="162">
        <f ca="1">MAX(E103,E104)</f>
        <v>5.5</v>
      </c>
      <c r="F105" s="26"/>
    </row>
    <row r="106" spans="1:6">
      <c r="A106" s="29" t="s">
        <v>672</v>
      </c>
      <c r="B106" s="162">
        <f ca="1">MIN(MAX(B103,B104), 4.75)</f>
        <v>4.75</v>
      </c>
      <c r="C106" s="164">
        <f ca="1">MIN(MAX(C103,C104), 4.75)</f>
        <v>4.75</v>
      </c>
      <c r="D106" s="162">
        <f ca="1">MIN(MAX(D103,D104), 4.75)</f>
        <v>4.75</v>
      </c>
      <c r="E106" s="162">
        <f ca="1">MIN(MAX(E103,E104), 4.75)</f>
        <v>4.75</v>
      </c>
      <c r="F106" s="26"/>
    </row>
    <row r="107" spans="1:6">
      <c r="A107" s="29" t="s">
        <v>673</v>
      </c>
      <c r="B107" s="162">
        <f t="shared" ref="B107:E108" ca="1" si="6">B105-B101</f>
        <v>0.75</v>
      </c>
      <c r="C107" s="164">
        <f t="shared" ca="1" si="6"/>
        <v>0.75</v>
      </c>
      <c r="D107" s="162">
        <f t="shared" ca="1" si="6"/>
        <v>0.75</v>
      </c>
      <c r="E107" s="162">
        <f t="shared" ca="1" si="6"/>
        <v>0.75</v>
      </c>
      <c r="F107" s="26"/>
    </row>
    <row r="108" spans="1:6">
      <c r="A108" s="29" t="s">
        <v>674</v>
      </c>
      <c r="B108" s="162">
        <f t="shared" ca="1" si="6"/>
        <v>0</v>
      </c>
      <c r="C108" s="164">
        <f t="shared" ca="1" si="6"/>
        <v>0</v>
      </c>
      <c r="D108" s="162">
        <f t="shared" ca="1" si="6"/>
        <v>0</v>
      </c>
      <c r="E108" s="162">
        <f t="shared" ca="1" si="6"/>
        <v>0</v>
      </c>
      <c r="F108" s="26"/>
    </row>
    <row r="109" spans="1:6">
      <c r="A109" s="29" t="s">
        <v>675</v>
      </c>
      <c r="B109" s="167">
        <f ca="1">IF(B101&lt;0, 1-(B108/B107), 0)</f>
        <v>0</v>
      </c>
      <c r="C109" s="168">
        <f ca="1">IF(C101&lt;0, 1-(C108/C107), 0)</f>
        <v>0</v>
      </c>
      <c r="D109" s="167">
        <f ca="1">IF(D101&lt;0, 1-(D108/D107), 0)</f>
        <v>0</v>
      </c>
      <c r="E109" s="167">
        <f ca="1">IF(E101&lt;0, 1-(E108/E107), 0)</f>
        <v>0</v>
      </c>
      <c r="F109" s="26"/>
    </row>
    <row r="110" spans="1:6">
      <c r="A110" s="29" t="s">
        <v>676</v>
      </c>
      <c r="B110" s="167">
        <f ca="1">IF(B105&gt;3, 1-(B108/B107), 0)</f>
        <v>1</v>
      </c>
      <c r="C110" s="168">
        <f ca="1">IF(C105&gt;3, 1-(C108/C107), 0)</f>
        <v>1</v>
      </c>
      <c r="D110" s="167">
        <f ca="1">IF(D105&gt;3, 1-(D108/D107), 0)</f>
        <v>1</v>
      </c>
      <c r="E110" s="167">
        <f ca="1">IF(E105&gt;3, 1-(E108/E107), 0)</f>
        <v>1</v>
      </c>
      <c r="F110" s="26"/>
    </row>
    <row r="111" spans="1:6">
      <c r="A111" s="29" t="s">
        <v>677</v>
      </c>
      <c r="B111" s="167">
        <f ca="1">MAX(0, MIN(1/3, (0.5 - ABS(B98-1)) * 1.2))</f>
        <v>0</v>
      </c>
      <c r="C111" s="168">
        <f ca="1">MAX(0, MIN(1/3, (0.5 - ABS(C98-1)) * 1.2))</f>
        <v>0</v>
      </c>
      <c r="D111" s="167">
        <f ca="1">MAX(0, MIN(1/3, (0.5 - ABS(D98-1)) * 1.2))</f>
        <v>0</v>
      </c>
      <c r="E111" s="167">
        <f ca="1">MAX(0, MIN(1/3, (0.5 - ABS(E98-1)) * 1.2))</f>
        <v>0</v>
      </c>
      <c r="F111" s="26"/>
    </row>
    <row r="112" spans="1:6">
      <c r="A112" s="22" t="s">
        <v>680</v>
      </c>
      <c r="B112" s="169">
        <f ca="1">((0 * B109) + (B106 * B110) + (1 * B111) + (1 - B109 - B110 - B111) * ((B106 + B102) / 2)) * 1.02</f>
        <v>4.8449999999999998</v>
      </c>
      <c r="C112" s="170">
        <f ca="1">((0 * C109) + (C106 * C110) + (1 * C111) + (1 - C109 - C110 - C111) * ((C106 + C102) / 2)) * 1.02</f>
        <v>4.8449999999999998</v>
      </c>
      <c r="D112" s="169">
        <f ca="1">((0 * D109) + (D106 * D110) + (1 * D111) + (1 - D109 - D110 - D111) * ((D106 + D102) / 2)) * 1.02</f>
        <v>4.8449999999999998</v>
      </c>
      <c r="E112" s="169">
        <f ca="1">((0 * E109) + (E106 * E110) + (1 * E111) + (1 - E109 - E110 - E111) * ((E106 + E102) / 2)) * 1.02</f>
        <v>4.8449999999999998</v>
      </c>
    </row>
    <row r="113" spans="1:7">
      <c r="A113" t="s">
        <v>39</v>
      </c>
      <c r="B113" s="5">
        <f ca="1">((B79-($M$5+$M$6))/2)/100+75%</f>
        <v>1.135</v>
      </c>
      <c r="C113" s="153">
        <f ca="1">((C79-($M$5+$M$6))/2)/100+75%</f>
        <v>1.2250000000000001</v>
      </c>
      <c r="D113" s="41">
        <f ca="1">((D79-($M$5+$M$6))/2)/100+75%</f>
        <v>0.95</v>
      </c>
      <c r="E113" s="5">
        <f ca="1">((E79-($M$5+$M$6))/2)/100+75%</f>
        <v>1.1099999999999999</v>
      </c>
    </row>
    <row r="114" spans="1:7">
      <c r="A114" s="176" t="s">
        <v>38</v>
      </c>
      <c r="B114" s="41">
        <f ca="1">MAX(MIN(B113,95%), 20%)</f>
        <v>0.95</v>
      </c>
      <c r="C114" s="153">
        <f ca="1">MAX(MIN(C113,95%), 20%)</f>
        <v>0.95</v>
      </c>
      <c r="D114" s="41">
        <f ca="1">MAX(MIN(D113,95%), 20%)</f>
        <v>0.95</v>
      </c>
      <c r="E114" s="41">
        <f ca="1">MAX(MIN(E113,95%), 20%)</f>
        <v>0.95</v>
      </c>
    </row>
    <row r="115" spans="1:7">
      <c r="A115" s="21" t="s">
        <v>452</v>
      </c>
      <c r="B115" s="113">
        <f ca="1">MAX(MIN(95%, B113+17%), 20%)</f>
        <v>0.95</v>
      </c>
      <c r="C115" s="114">
        <f ca="1">MAX(MIN(95%, C113+17%), 20%)</f>
        <v>0.95</v>
      </c>
      <c r="D115" s="24">
        <f ca="1">D114</f>
        <v>0.95</v>
      </c>
      <c r="E115" s="24">
        <f ca="1">E114</f>
        <v>0.95</v>
      </c>
    </row>
    <row r="116" spans="1:7">
      <c r="A116" s="144" t="s">
        <v>627</v>
      </c>
      <c r="B116">
        <f ca="1">$G$19</f>
        <v>303</v>
      </c>
      <c r="C116" s="73">
        <f ca="1">$H$19</f>
        <v>370</v>
      </c>
      <c r="D116">
        <f ca="1">$G$19</f>
        <v>303</v>
      </c>
      <c r="E116">
        <f ca="1">$H$19</f>
        <v>370</v>
      </c>
    </row>
    <row r="117" spans="1:7">
      <c r="A117" t="s">
        <v>447</v>
      </c>
      <c r="B117" s="32">
        <f ca="1">TRUNC(B116/9)</f>
        <v>33</v>
      </c>
      <c r="C117" s="71">
        <f ca="1">TRUNC(C116/9)</f>
        <v>41</v>
      </c>
      <c r="D117" s="32">
        <f ca="1">TRUNC(D116/9)</f>
        <v>33</v>
      </c>
      <c r="E117" s="32">
        <f ca="1">TRUNC(E116/9)</f>
        <v>41</v>
      </c>
    </row>
    <row r="118" spans="1:7">
      <c r="A118" t="s">
        <v>269</v>
      </c>
      <c r="B118" s="29">
        <f ca="1">TRUNC(MAX(MIN(TRUNC((B$37+B$38)/2), (8+B117)*2), (0-B117)*2)/2)</f>
        <v>10</v>
      </c>
      <c r="C118" s="68">
        <f ca="1">TRUNC(MAX(MIN(TRUNC((C$37+C$38)/2), (8+C117)*2), (0-C117)*2)/2)</f>
        <v>4</v>
      </c>
      <c r="D118" s="29">
        <f ca="1">TRUNC(MAX(MIN(TRUNC((D$37+D$38)/2), (8+D117)*2), (0-D117)*2)/2)</f>
        <v>16</v>
      </c>
      <c r="E118" s="29">
        <f ca="1">TRUNC(MAX(MIN(TRUNC((E$37+E$38)/2), (8+E117)*2), (0-E117)*2)/2)</f>
        <v>19</v>
      </c>
    </row>
    <row r="119" spans="1:7">
      <c r="A119" s="14" t="s">
        <v>270</v>
      </c>
      <c r="B119" s="14">
        <f ca="1">B116+B118</f>
        <v>313</v>
      </c>
      <c r="C119" s="78">
        <f ca="1">C116+C118</f>
        <v>374</v>
      </c>
      <c r="D119" s="14">
        <f ca="1">D116+D118</f>
        <v>319</v>
      </c>
      <c r="E119" s="14">
        <f ca="1">E116+E118</f>
        <v>389</v>
      </c>
    </row>
    <row r="121" spans="1:7">
      <c r="A121" s="87" t="s">
        <v>630</v>
      </c>
      <c r="B121" s="23"/>
      <c r="C121" s="23"/>
      <c r="D121" s="23"/>
      <c r="E121" s="23"/>
    </row>
    <row r="122" spans="1:7">
      <c r="A122" s="20" t="s">
        <v>30</v>
      </c>
      <c r="B122" s="19">
        <f ca="1">$G$22+IF(VLOOKUP($G21, Skills, 2, 0)&lt;&gt;"None", HLOOKUP(VLOOKUP($G21, Skills, 2, 0), INDIRECT(B$28), MATCH("Total", Slots, 0)+1, 0) + VLOOKUP(Gear!$B$4, INDIRECT(Gear!$A$4), MATCH("CombatSkill", StatHeader, 0), 0), 0)</f>
        <v>0</v>
      </c>
      <c r="C122" s="63">
        <f ca="1">$H$22+IF(VLOOKUP($H21, Skills, 2, 0)&lt;&gt;"None", HLOOKUP(VLOOKUP($H21, Skills, 2, 0), INDIRECT(C$28), MATCH("Total", Slots, 0)+1, 0) + VLOOKUP(Gear!$AB$4, INDIRECT(Gear!$AA$4), MATCH("CombatSkill", StatHeader, 0), 0), 0)</f>
        <v>0</v>
      </c>
      <c r="D122" s="19">
        <f ca="1">$G$22+IF(VLOOKUP($G21, Skills, 2, 0)&lt;&gt;"None", HLOOKUP(VLOOKUP($G21, Skills, 2, 0), INDIRECT(D$28), MATCH("Total", Slots, 0)+1, 0) + VLOOKUP(Gear!$B$4, INDIRECT(Gear!$A$4), MATCH("CombatSkill", StatHeader, 0), 0), 0)</f>
        <v>0</v>
      </c>
      <c r="E122" s="19">
        <f ca="1">$H$22+IF(VLOOKUP($H21, Skills, 2, 0)&lt;&gt;"None", HLOOKUP(VLOOKUP($H21, Skills, 2, 0), INDIRECT(E$28), MATCH("Total", Slots, 0)+1, 0) + VLOOKUP(Gear!$AB$4, INDIRECT(Gear!$AA$4), MATCH("CombatSkill", StatHeader, 0), 0), 0)</f>
        <v>0</v>
      </c>
    </row>
    <row r="123" spans="1:7">
      <c r="A123" s="20" t="s">
        <v>9</v>
      </c>
      <c r="B123" s="19">
        <f ca="1">IF(B122&gt;0, 8+B122, 0)</f>
        <v>0</v>
      </c>
      <c r="C123" s="62">
        <f ca="1">IF(C122&gt;0, 8+C122, 0)</f>
        <v>0</v>
      </c>
      <c r="D123" s="19">
        <f ca="1">IF(D122&gt;0, 8+D122, 0)</f>
        <v>0</v>
      </c>
      <c r="E123" s="19">
        <f ca="1">IF(E122&gt;0, 8+E122, 0)</f>
        <v>0</v>
      </c>
    </row>
    <row r="124" spans="1:7">
      <c r="A124" s="21" t="s">
        <v>10</v>
      </c>
      <c r="B124" s="36">
        <f ca="1">MIN(B122, 200) + TRUNC(MAX(MIN(B122-200, 200), 0)*0.9) + TRUNC(MAX(MIN(B122-400, 200), 0)*0.8) + TRUNC(MAX(MIN(B122-600, 200), 0)*0.9)</f>
        <v>0</v>
      </c>
      <c r="C124" s="65">
        <f ca="1">MIN(C122, 200) + TRUNC(MAX(MIN(C122-200, 200), 0)*0.9) + TRUNC(MAX(MIN(C122-400, 200), 0)*0.8) + TRUNC(MAX(MIN(C122-600, 200), 0)*0.9)</f>
        <v>0</v>
      </c>
      <c r="D124" s="36">
        <f ca="1">MIN(D122, 200) + TRUNC(MAX(MIN(D122-200, 200), 0)*0.9) + TRUNC(MAX(MIN(D122-400, 200), 0)*0.8) + TRUNC(MAX(MIN(D122-600, 200), 0)*0.9)</f>
        <v>0</v>
      </c>
      <c r="E124" s="36">
        <f ca="1">MIN(E122, 200) + TRUNC(MAX(MIN(E122-200, 200), 0)*0.9) + TRUNC(MAX(MIN(E122-400, 200), 0)*0.8) + TRUNC(MAX(MIN(E122-600, 200), 0)*0.9)</f>
        <v>0</v>
      </c>
      <c r="G124" s="2"/>
    </row>
    <row r="125" spans="1:7">
      <c r="A125" s="144" t="s">
        <v>625</v>
      </c>
      <c r="B125" s="145">
        <f>IF($G22&gt;0, 50%, 0)</f>
        <v>0</v>
      </c>
      <c r="C125" s="158">
        <f>IF($H22&gt;0, 50%, 0)</f>
        <v>0</v>
      </c>
      <c r="D125" s="145">
        <f>IF($G22&gt;0, 50%, 0)</f>
        <v>0</v>
      </c>
      <c r="E125" s="145">
        <f>IF($H22&gt;0, 50%, 0)</f>
        <v>0</v>
      </c>
      <c r="F125" s="26"/>
    </row>
    <row r="126" spans="1:7">
      <c r="A126" s="147" t="s">
        <v>626</v>
      </c>
      <c r="B126" s="148">
        <f>IF($G22&gt;0, 75%, 0)</f>
        <v>0</v>
      </c>
      <c r="C126" s="149">
        <f>IF($H22&gt;0, 75%, 0)</f>
        <v>0</v>
      </c>
      <c r="D126" s="148">
        <f>IF($G22&gt;0, 75%, 0)</f>
        <v>0</v>
      </c>
      <c r="E126" s="148">
        <f>IF($H22&gt;0, 75%, 0)</f>
        <v>0</v>
      </c>
    </row>
    <row r="127" spans="1:7">
      <c r="A127" s="20" t="s">
        <v>59</v>
      </c>
      <c r="B127" s="35">
        <f ca="1">B123 + TRUNC(B$31*B125) + B$39+B$40+B$42+B$59+$E$12+$H$12+HLOOKUP("Att", INDIRECT(B$28), MATCH("Total", Slots, 0)+1, 0)</f>
        <v>376</v>
      </c>
      <c r="C127" s="161">
        <f ca="1">C123 + TRUNC(C$31*C125) + C$39+C$40+C$42+C$59+$F$12+$H$12+HLOOKUP("Att", INDIRECT(C$28), MATCH("Total", Slots, 0)+1, 0)</f>
        <v>298</v>
      </c>
      <c r="D127" s="35">
        <f ca="1">D123 + TRUNC(D$31*D125) + D$39+D$40+D$42+D$59+$E$12+$H$12+HLOOKUP("Att", INDIRECT(D$28), MATCH("Total", Slots, 0)+1, 0)</f>
        <v>443</v>
      </c>
      <c r="E127" s="35">
        <f ca="1">E123 + TRUNC(E$31*E125) + E$39+E$40+E$42+E$59+$F$12+$H$12+HLOOKUP("Att", INDIRECT(E$28), MATCH("Total", Slots, 0)+1, 0)</f>
        <v>429</v>
      </c>
    </row>
    <row r="128" spans="1:7">
      <c r="A128" s="21" t="s">
        <v>60</v>
      </c>
      <c r="B128" s="36">
        <f ca="1">B124 + TRUNC(B$32*B126) + B$43+B$44+B$45+B$46+B$47+B$48+B$50+$E$13+$H$13+HLOOKUP("Acc", INDIRECT(B$28), MATCH("Total", Slots, 0)+1, 0)</f>
        <v>220</v>
      </c>
      <c r="C128" s="65">
        <f ca="1">C124 + TRUNC(C$32*C126) + C$43+C$44+C$45+C$46+C$47+C$48+C$50+$F$13+$H$13+HLOOKUP("Acc", INDIRECT(C$28), MATCH("Total", Slots, 0)+1, 0)</f>
        <v>225</v>
      </c>
      <c r="D128" s="36">
        <f ca="1">D124 + TRUNC(D$32*D126) + D$43+D$44+D$45+D$46+D$47+D$48+D$50+$E$13+$H$13+HLOOKUP("Acc", INDIRECT(D$28), MATCH("Total", Slots, 0)+1, 0)</f>
        <v>216</v>
      </c>
      <c r="E128" s="36">
        <f ca="1">E124 + TRUNC(E$32*E126) + E$43+E$44+E$45+E$46+E$47+E$48+E$50+$F$13+$H$13+HLOOKUP("Acc", INDIRECT(E$28), MATCH("Total", Slots, 0)+1, 0)</f>
        <v>227</v>
      </c>
    </row>
    <row r="129" spans="1:6">
      <c r="A129" s="20" t="s">
        <v>55</v>
      </c>
      <c r="B129" s="35">
        <f ca="1">TRUNC(MIN(B127*$B$12, $C$12))+$D$12</f>
        <v>0</v>
      </c>
      <c r="C129" s="130">
        <f ca="1">TRUNC(MIN(C127*$B$12, $C$12))+$D$12</f>
        <v>0</v>
      </c>
      <c r="D129" s="35">
        <f ca="1">TRUNC(MIN(D127*$B$12, $C$12))+$D$12</f>
        <v>0</v>
      </c>
      <c r="E129" s="35">
        <f ca="1">TRUNC(MIN(E127*$B$12, $C$12))+$D$12</f>
        <v>0</v>
      </c>
    </row>
    <row r="130" spans="1:6">
      <c r="A130" s="21" t="s">
        <v>56</v>
      </c>
      <c r="B130" s="36">
        <f ca="1">TRUNC(MIN(B128*$B$13, $C$13))+$D$13</f>
        <v>22</v>
      </c>
      <c r="C130" s="65">
        <f ca="1">TRUNC(MIN(C128*$B$13, $C$13))+$D$13</f>
        <v>22</v>
      </c>
      <c r="D130" s="36">
        <f ca="1">TRUNC(MIN(D128*$B$13, $C$13))+$D$13</f>
        <v>21</v>
      </c>
      <c r="E130" s="36">
        <f ca="1">TRUNC(MIN(E128*$B$13, $C$13))+$D$13</f>
        <v>22</v>
      </c>
    </row>
    <row r="131" spans="1:6">
      <c r="A131" s="20" t="s">
        <v>127</v>
      </c>
      <c r="B131" s="25">
        <f>IF(Setup!$J$34=1, TRUNC(Setup!$M$34*B127), 0)</f>
        <v>0</v>
      </c>
      <c r="C131" s="68">
        <f>IF(Setup!$K$34=1, TRUNC(Setup!$N$34*C127), 0)</f>
        <v>0</v>
      </c>
      <c r="D131" s="25">
        <f>IF(Setup!$J$34=1, TRUNC(Setup!$M$34*D127), 0)</f>
        <v>0</v>
      </c>
      <c r="E131" s="25">
        <f>IF(Setup!$K$34=1, TRUNC(Setup!$N$34*E127), 0)</f>
        <v>0</v>
      </c>
    </row>
    <row r="132" spans="1:6">
      <c r="A132" s="20" t="s">
        <v>141</v>
      </c>
      <c r="B132" s="25">
        <f>IF(AND(OR(Setup!F$25=1, Setup!$F$31=1), Setup!$F$36=1), FLOOR(0.25*B127, 1), 0)</f>
        <v>0</v>
      </c>
      <c r="C132" s="68">
        <f>IF(AND(OR(Setup!G$25=1, Setup!$G$31=1), Setup!$G$36=1), FLOOR(0.25*C127, 1), 0)</f>
        <v>0</v>
      </c>
      <c r="D132" s="25">
        <f>IF(AND(OR(Setup!F$25=1, Setup!$F$31=1), Setup!$F$36=1), FLOOR(0.25*D127, 1), 0)</f>
        <v>0</v>
      </c>
      <c r="E132" s="25">
        <f>IF(AND(OR(Setup!G$25=1, Setup!$G$31=1), Setup!$G$36=1), FLOOR(0.25*E127, 1), 0)</f>
        <v>0</v>
      </c>
    </row>
    <row r="133" spans="1:6">
      <c r="A133" s="20" t="s">
        <v>126</v>
      </c>
      <c r="B133" s="25">
        <f>IF(AND(Setup!$F$14=1, $D$1="War"), FLOOR(0.25*B127, 1), 0)</f>
        <v>0</v>
      </c>
      <c r="C133" s="68">
        <f>IF(AND(Setup!$G$14=1, $D$1="War"), FLOOR(0.25*C127, 1), 0)</f>
        <v>0</v>
      </c>
      <c r="D133" s="25">
        <f>IF(AND(Setup!$F$14=1, $D$1="War"), FLOOR(0.25*D127, 1), 0)</f>
        <v>0</v>
      </c>
      <c r="E133" s="25">
        <f>IF(AND(Setup!$G$14=1, $D$1="War"), FLOOR(0.25*E127, 1), 0)</f>
        <v>0</v>
      </c>
    </row>
    <row r="134" spans="1:6">
      <c r="A134" s="20" t="s">
        <v>249</v>
      </c>
      <c r="B134" s="25">
        <f ca="1">IF(Setup!$F$4=1, FLOOR(B127*(64+5*Setup!$B$17)/256, 1), 0)</f>
        <v>130</v>
      </c>
      <c r="C134" s="68">
        <f ca="1">IF(Setup!$G$4=1, FLOOR(C127*(64+5*Setup!$C$17)/256, 1), 0)</f>
        <v>103</v>
      </c>
      <c r="D134" s="25">
        <f ca="1">IF(Setup!$F$4=1, FLOOR(D127*(64+5*Setup!$B$17)/256, 1), 0)</f>
        <v>154</v>
      </c>
      <c r="E134" s="25">
        <f ca="1">IF(Setup!$G$4=1, FLOOR(E127*(64+5*Setup!$C$17)/256, 1), 0)</f>
        <v>149</v>
      </c>
    </row>
    <row r="135" spans="1:6">
      <c r="A135" s="144" t="s">
        <v>848</v>
      </c>
      <c r="B135" s="25">
        <f>IF(Setup!$J$50=1, TRUNC(B57*Setup!$M$50), 0)</f>
        <v>0</v>
      </c>
      <c r="C135" s="68">
        <f>IF(Setup!$K$50=1, TRUNC(C57*Setup!$N$50), 0)</f>
        <v>0</v>
      </c>
      <c r="D135" s="25">
        <f>IF(Setup!$J$50=1, TRUNC(D57*Setup!$M$50), 0)</f>
        <v>0</v>
      </c>
      <c r="E135" s="25">
        <f>IF(Setup!$K$50=1, TRUNC(E57*Setup!$N$50), 0)</f>
        <v>0</v>
      </c>
    </row>
    <row r="136" spans="1:6">
      <c r="A136" s="20" t="s">
        <v>436</v>
      </c>
      <c r="B136" s="7">
        <f ca="1">FLOOR(HLOOKUP($A136, INDIRECT(B$28), MATCH("Total", Slots, 0)+1, 0) * B127, 1)</f>
        <v>0</v>
      </c>
      <c r="C136" s="64">
        <f ca="1">FLOOR(HLOOKUP($A136, INDIRECT(C$28), MATCH("Total", Slots, 0)+1, 0) * C127, 1)</f>
        <v>0</v>
      </c>
      <c r="D136" s="7">
        <f ca="1">FLOOR(HLOOKUP($A136, INDIRECT(D$28), MATCH("Total", Slots, 0)+1, 0) * D127, 1)</f>
        <v>0</v>
      </c>
      <c r="E136" s="7">
        <f ca="1">FLOOR(HLOOKUP($A136, INDIRECT(E$28), MATCH("Total", Slots, 0)+1, 0) * E127, 1)</f>
        <v>0</v>
      </c>
    </row>
    <row r="137" spans="1:6">
      <c r="A137" s="21" t="s">
        <v>408</v>
      </c>
      <c r="B137" s="22">
        <v>0</v>
      </c>
      <c r="C137" s="69">
        <v>0</v>
      </c>
      <c r="D137" s="22">
        <f ca="1">TRUNC(VLOOKUP(Setup!B$36, WeaponskillData, MATCH("Att Bonus", WeaponskillDataCols, 0), 0) * D127)</f>
        <v>0</v>
      </c>
      <c r="E137" s="22">
        <f ca="1">TRUNC(VLOOKUP(Setup!C$36, WeaponskillData, MATCH("Att Bonus", WeaponskillDataCols, 0), 0) * E127)</f>
        <v>0</v>
      </c>
    </row>
    <row r="138" spans="1:6">
      <c r="A138" s="29" t="s">
        <v>9</v>
      </c>
      <c r="B138" s="37">
        <f ca="1">B127+B129+B131+B132+B133+B134+B136+B137</f>
        <v>506</v>
      </c>
      <c r="C138" s="150">
        <f ca="1">C127+C129+C131+C132+C133+C134+C136+C137</f>
        <v>401</v>
      </c>
      <c r="D138" s="37">
        <f ca="1">D127+D129+D131+D132+D133+D134+D136+D137</f>
        <v>597</v>
      </c>
      <c r="E138" s="37">
        <f ca="1">E127+E129+E131+E132+E133+E134+E136+E137</f>
        <v>578</v>
      </c>
    </row>
    <row r="139" spans="1:6">
      <c r="A139" s="22" t="s">
        <v>10</v>
      </c>
      <c r="B139" s="151">
        <f ca="1">B128+B130</f>
        <v>242</v>
      </c>
      <c r="C139" s="152">
        <f ca="1">C128+C130</f>
        <v>247</v>
      </c>
      <c r="D139" s="151">
        <f ca="1">D128+D130</f>
        <v>237</v>
      </c>
      <c r="E139" s="151">
        <f ca="1">E128+E130</f>
        <v>249</v>
      </c>
    </row>
    <row r="140" spans="1:6">
      <c r="A140" s="60" t="s">
        <v>37</v>
      </c>
      <c r="B140" s="156">
        <f ca="1">MAX(MIN(B138/$M$3, 4.125)-$M$4, 0)</f>
        <v>2.0403225806451615</v>
      </c>
      <c r="C140" s="157">
        <f ca="1">MAX(MIN(C138/$N$3, 4.125)-$M$4, 0)</f>
        <v>1.6169354838709677</v>
      </c>
      <c r="D140" s="156">
        <f ca="1">MAX(MIN(D138/$O$3, 4.125)-$M$4, 0)</f>
        <v>2.407258064516129</v>
      </c>
      <c r="E140" s="156">
        <f ca="1">MAX(MIN(E138/$P$3, 4.125)-$M$4, 0)</f>
        <v>2.3306451612903225</v>
      </c>
      <c r="F140" s="26"/>
    </row>
    <row r="141" spans="1:6">
      <c r="A141" s="9" t="s">
        <v>663</v>
      </c>
      <c r="B141" s="162"/>
      <c r="C141" s="163"/>
      <c r="D141" s="162"/>
      <c r="E141" s="162"/>
      <c r="F141" s="26"/>
    </row>
    <row r="142" spans="1:6">
      <c r="A142" s="29" t="s">
        <v>664</v>
      </c>
      <c r="B142" s="162">
        <f ca="1">B140</f>
        <v>2.0403225806451615</v>
      </c>
      <c r="C142" s="164">
        <f ca="1">C140</f>
        <v>1.6169354838709677</v>
      </c>
      <c r="D142" s="162">
        <f ca="1">D140</f>
        <v>2.407258064516129</v>
      </c>
      <c r="E142" s="162">
        <f ca="1">E140</f>
        <v>2.3306451612903225</v>
      </c>
      <c r="F142" s="26"/>
    </row>
    <row r="143" spans="1:6">
      <c r="A143" s="29" t="s">
        <v>665</v>
      </c>
      <c r="B143" s="162">
        <f ca="1">B142+MIN(B142*(152/1024) - (752/1024), -0.375)</f>
        <v>1.6088079637096777</v>
      </c>
      <c r="C143" s="164">
        <f ca="1">C142+MIN(C142*(152/1024) - (752/1024), -0.375)</f>
        <v>1.1225743447580645</v>
      </c>
      <c r="D143" s="162">
        <f ca="1">D142+MIN(D142*(152/1024) - (752/1024), -0.375)</f>
        <v>2.030210433467742</v>
      </c>
      <c r="E143" s="162">
        <f ca="1">E142+MIN(E142*(152/1024) - (752/1024), -0.375)</f>
        <v>1.9422253024193548</v>
      </c>
      <c r="F143" s="26"/>
    </row>
    <row r="144" spans="1:6">
      <c r="A144" s="29" t="s">
        <v>666</v>
      </c>
      <c r="B144" s="162">
        <f ca="1">B142+MIN(1-B142, B142*152/1024 - 448/1024)</f>
        <v>1</v>
      </c>
      <c r="C144" s="164">
        <f ca="1">C142+MIN(1-C142, C142*152/1024 - 448/1024)</f>
        <v>1</v>
      </c>
      <c r="D144" s="162">
        <f ca="1">D142+MIN(1-D142, D142*152/1024 - 448/1024)</f>
        <v>1</v>
      </c>
      <c r="E144" s="162">
        <f ca="1">E142+MIN(1-E142, E142*152/1024 - 448/1024)</f>
        <v>1</v>
      </c>
      <c r="F144" s="26"/>
    </row>
    <row r="145" spans="1:6">
      <c r="A145" s="29" t="s">
        <v>667</v>
      </c>
      <c r="B145" s="162">
        <f ca="1">MAX(B143,B144)</f>
        <v>1.6088079637096777</v>
      </c>
      <c r="C145" s="164">
        <f ca="1">MAX(C143,C144)</f>
        <v>1.1225743447580645</v>
      </c>
      <c r="D145" s="162">
        <f ca="1">MAX(D143,D144)</f>
        <v>2.030210433467742</v>
      </c>
      <c r="E145" s="162">
        <f ca="1">MAX(E143,E144)</f>
        <v>1.9422253024193548</v>
      </c>
      <c r="F145" s="26"/>
    </row>
    <row r="146" spans="1:6">
      <c r="A146" s="29" t="s">
        <v>668</v>
      </c>
      <c r="B146" s="162">
        <f ca="1">MAX(MAX(B143,B144), 0)</f>
        <v>1.6088079637096777</v>
      </c>
      <c r="C146" s="164">
        <f ca="1">MAX(MAX(C143,C144), 0)</f>
        <v>1.1225743447580645</v>
      </c>
      <c r="D146" s="162">
        <f ca="1">MAX(MAX(D143,D144), 0)</f>
        <v>2.030210433467742</v>
      </c>
      <c r="E146" s="162">
        <f ca="1">MAX(MAX(E143,E144), 0)</f>
        <v>1.9422253024193548</v>
      </c>
      <c r="F146" s="26"/>
    </row>
    <row r="147" spans="1:6">
      <c r="A147" s="29" t="s">
        <v>669</v>
      </c>
      <c r="B147" s="162">
        <f ca="1">B142 + MAX(MIN(B142 * 0.25, 0.375), 0.25)</f>
        <v>2.4153225806451615</v>
      </c>
      <c r="C147" s="164">
        <f ca="1">C142 + MAX(MIN(C142 * 0.25, 0.375), 0.25)</f>
        <v>1.9919354838709677</v>
      </c>
      <c r="D147" s="162">
        <f ca="1">D142 + MAX(MIN(D142 * 0.25, 0.375), 0.25)</f>
        <v>2.782258064516129</v>
      </c>
      <c r="E147" s="162">
        <f ca="1">E142 + MAX(MIN(E142 * 0.25, 0.375), 0.25)</f>
        <v>2.7056451612903225</v>
      </c>
      <c r="F147" s="26"/>
    </row>
    <row r="148" spans="1:6">
      <c r="A148" s="29" t="s">
        <v>670</v>
      </c>
      <c r="B148" s="162">
        <f ca="1">B142 + MIN(B142*341/1024 + 358/1024, 1-B142)</f>
        <v>1</v>
      </c>
      <c r="C148" s="164">
        <f ca="1">C142 + MIN(C142*341/1024 + 358/1024, 1-C142)</f>
        <v>1</v>
      </c>
      <c r="D148" s="162">
        <f ca="1">D142 + MIN(D142*341/1024 + 358/1024, 1-D142)</f>
        <v>1</v>
      </c>
      <c r="E148" s="162">
        <f ca="1">E142 + MIN(E142*341/1024 + 358/1024, 1-E142)</f>
        <v>1</v>
      </c>
      <c r="F148" s="26"/>
    </row>
    <row r="149" spans="1:6">
      <c r="A149" s="29" t="s">
        <v>671</v>
      </c>
      <c r="B149" s="162">
        <f ca="1">MAX(B147,B148)</f>
        <v>2.4153225806451615</v>
      </c>
      <c r="C149" s="164">
        <f ca="1">MAX(C147,C148)</f>
        <v>1.9919354838709677</v>
      </c>
      <c r="D149" s="162">
        <f ca="1">MAX(D147,D148)</f>
        <v>2.782258064516129</v>
      </c>
      <c r="E149" s="162">
        <f ca="1">MAX(E147,E148)</f>
        <v>2.7056451612903225</v>
      </c>
      <c r="F149" s="26"/>
    </row>
    <row r="150" spans="1:6">
      <c r="A150" s="29" t="s">
        <v>672</v>
      </c>
      <c r="B150" s="162">
        <f ca="1">MIN(MAX(B147,B148), 3)</f>
        <v>2.4153225806451615</v>
      </c>
      <c r="C150" s="164">
        <f ca="1">MIN(MAX(C147,C148), 3)</f>
        <v>1.9919354838709677</v>
      </c>
      <c r="D150" s="162">
        <f ca="1">MIN(MAX(D147,D148), 3)</f>
        <v>2.782258064516129</v>
      </c>
      <c r="E150" s="162">
        <f ca="1">MIN(MAX(E147,E148), 3)</f>
        <v>2.7056451612903225</v>
      </c>
      <c r="F150" s="26"/>
    </row>
    <row r="151" spans="1:6">
      <c r="A151" s="29" t="s">
        <v>673</v>
      </c>
      <c r="B151" s="162">
        <f t="shared" ref="B151:E152" ca="1" si="7">B149-B145</f>
        <v>0.80651461693548376</v>
      </c>
      <c r="C151" s="164">
        <f t="shared" ca="1" si="7"/>
        <v>0.86936113911290325</v>
      </c>
      <c r="D151" s="162">
        <f t="shared" ca="1" si="7"/>
        <v>0.75204763104838701</v>
      </c>
      <c r="E151" s="162">
        <f t="shared" ca="1" si="7"/>
        <v>0.76341985887096775</v>
      </c>
      <c r="F151" s="26"/>
    </row>
    <row r="152" spans="1:6">
      <c r="A152" s="29" t="s">
        <v>674</v>
      </c>
      <c r="B152" s="162">
        <f t="shared" ca="1" si="7"/>
        <v>0.80651461693548376</v>
      </c>
      <c r="C152" s="164">
        <f t="shared" ca="1" si="7"/>
        <v>0.86936113911290325</v>
      </c>
      <c r="D152" s="162">
        <f t="shared" ca="1" si="7"/>
        <v>0.75204763104838701</v>
      </c>
      <c r="E152" s="162">
        <f t="shared" ca="1" si="7"/>
        <v>0.76341985887096775</v>
      </c>
      <c r="F152" s="26"/>
    </row>
    <row r="153" spans="1:6">
      <c r="A153" s="29" t="s">
        <v>675</v>
      </c>
      <c r="B153" s="165">
        <f ca="1">IF(B145&lt;0, 1-(B152/B151), 0)</f>
        <v>0</v>
      </c>
      <c r="C153" s="166">
        <f ca="1">IF(C145&lt;0, 1-(C152/C151), 0)</f>
        <v>0</v>
      </c>
      <c r="D153" s="165">
        <f ca="1">IF(D145&lt;0, 1-(D152/D151), 0)</f>
        <v>0</v>
      </c>
      <c r="E153" s="165">
        <f ca="1">IF(E145&lt;0, 1-(E152/E151), 0)</f>
        <v>0</v>
      </c>
      <c r="F153" s="26"/>
    </row>
    <row r="154" spans="1:6">
      <c r="A154" s="29" t="s">
        <v>676</v>
      </c>
      <c r="B154" s="165">
        <f ca="1">IF(B149&gt;3, 1-(B152/B151), 0)</f>
        <v>0</v>
      </c>
      <c r="C154" s="166">
        <f ca="1">IF(C149&gt;3, 1-(C152/C151), 0)</f>
        <v>0</v>
      </c>
      <c r="D154" s="165">
        <f ca="1">IF(D149&gt;3, 1-(D152/D151), 0)</f>
        <v>0</v>
      </c>
      <c r="E154" s="165">
        <f ca="1">IF(E149&gt;3, 1-(E152/E151), 0)</f>
        <v>0</v>
      </c>
      <c r="F154" s="26"/>
    </row>
    <row r="155" spans="1:6">
      <c r="A155" s="29" t="s">
        <v>677</v>
      </c>
      <c r="B155" s="165">
        <f ca="1">MAX(0, MIN(1/3, (0.5 - ABS(B142-1)) * 1.2))</f>
        <v>0</v>
      </c>
      <c r="C155" s="166">
        <f ca="1">MAX(0, MIN(1/3, (0.5 - ABS(C142-1)) * 1.2))</f>
        <v>0</v>
      </c>
      <c r="D155" s="165">
        <f ca="1">MAX(0, MIN(1/3, (0.5 - ABS(D142-1)) * 1.2))</f>
        <v>0</v>
      </c>
      <c r="E155" s="165">
        <f ca="1">MAX(0, MIN(1/3, (0.5 - ABS(E142-1)) * 1.2))</f>
        <v>0</v>
      </c>
      <c r="F155" s="26"/>
    </row>
    <row r="156" spans="1:6">
      <c r="A156" s="29" t="s">
        <v>678</v>
      </c>
      <c r="B156" s="162">
        <f ca="1">((0 * B153) + (3 * B154) + (1 * B155) + (1 - B153 - B154 - B155) * ((B150 + B146) / 2)) * 1.02</f>
        <v>2.0523065776209681</v>
      </c>
      <c r="C156" s="164">
        <f ca="1">((0 * C153) + (3 * C154) + (1 * C155) + (1 - C153 - C154 - C155) * ((C150 + C146) / 2)) * 1.02</f>
        <v>1.5884000126008064</v>
      </c>
      <c r="D156" s="162">
        <f ca="1">((0 * D153) + (3 * D154) + (1 * D155) + (1 - D153 - D154 - D155) * ((D150 + D146) / 2)) * 1.02</f>
        <v>2.4543589339717742</v>
      </c>
      <c r="E156" s="162">
        <f ca="1">((0 * E153) + (3 * E154) + (1 * E155) + (1 - E153 - E154 - E155) * ((E150 + E146) / 2)) * 1.02</f>
        <v>2.3704139364919352</v>
      </c>
      <c r="F156" s="26"/>
    </row>
    <row r="157" spans="1:6">
      <c r="A157" s="9" t="s">
        <v>679</v>
      </c>
      <c r="B157" s="162"/>
      <c r="C157" s="164"/>
      <c r="D157" s="162"/>
      <c r="E157" s="162"/>
      <c r="F157" s="26"/>
    </row>
    <row r="158" spans="1:6">
      <c r="A158" s="29" t="s">
        <v>664</v>
      </c>
      <c r="B158" s="162">
        <f ca="1">B140+1</f>
        <v>3.0403225806451615</v>
      </c>
      <c r="C158" s="164">
        <f ca="1">C140+1</f>
        <v>2.616935483870968</v>
      </c>
      <c r="D158" s="162">
        <f ca="1">D140+1</f>
        <v>3.407258064516129</v>
      </c>
      <c r="E158" s="162">
        <f ca="1">E140+1</f>
        <v>3.3306451612903225</v>
      </c>
      <c r="F158" s="26"/>
    </row>
    <row r="159" spans="1:6">
      <c r="A159" s="29" t="s">
        <v>665</v>
      </c>
      <c r="B159" s="162">
        <f ca="1">B158+MIN(B158*(152/1024) - (752/1024), -0.375)</f>
        <v>2.6653225806451615</v>
      </c>
      <c r="C159" s="164">
        <f ca="1">C158+MIN(C158*(152/1024) - (752/1024), -0.375)</f>
        <v>2.241935483870968</v>
      </c>
      <c r="D159" s="162">
        <f ca="1">D158+MIN(D158*(152/1024) - (752/1024), -0.375)</f>
        <v>3.032258064516129</v>
      </c>
      <c r="E159" s="162">
        <f ca="1">E158+MIN(E158*(152/1024) - (752/1024), -0.375)</f>
        <v>2.9556451612903225</v>
      </c>
      <c r="F159" s="26"/>
    </row>
    <row r="160" spans="1:6">
      <c r="A160" s="29" t="s">
        <v>666</v>
      </c>
      <c r="B160" s="162">
        <f ca="1">B158+MIN(1-B158, B158*152/1024 - 448/1024)</f>
        <v>1</v>
      </c>
      <c r="C160" s="164">
        <f ca="1">C158+MIN(1-C158, C158*152/1024 - 448/1024)</f>
        <v>1</v>
      </c>
      <c r="D160" s="162">
        <f ca="1">D158+MIN(1-D158, D158*152/1024 - 448/1024)</f>
        <v>1</v>
      </c>
      <c r="E160" s="162">
        <f ca="1">E158+MIN(1-E158, E158*152/1024 - 448/1024)</f>
        <v>1</v>
      </c>
      <c r="F160" s="26"/>
    </row>
    <row r="161" spans="1:6">
      <c r="A161" s="29" t="s">
        <v>667</v>
      </c>
      <c r="B161" s="162">
        <f ca="1">MAX(B159,B160)</f>
        <v>2.6653225806451615</v>
      </c>
      <c r="C161" s="164">
        <f ca="1">MAX(C159,C160)</f>
        <v>2.241935483870968</v>
      </c>
      <c r="D161" s="162">
        <f ca="1">MAX(D159,D160)</f>
        <v>3.032258064516129</v>
      </c>
      <c r="E161" s="162">
        <f ca="1">MAX(E159,E160)</f>
        <v>2.9556451612903225</v>
      </c>
      <c r="F161" s="26"/>
    </row>
    <row r="162" spans="1:6">
      <c r="A162" s="29" t="s">
        <v>668</v>
      </c>
      <c r="B162" s="162">
        <f ca="1">MAX(MAX(B159,B160), 0)</f>
        <v>2.6653225806451615</v>
      </c>
      <c r="C162" s="164">
        <f ca="1">MAX(MAX(C159,C160), 0)</f>
        <v>2.241935483870968</v>
      </c>
      <c r="D162" s="162">
        <f ca="1">MAX(MAX(D159,D160), 0)</f>
        <v>3.032258064516129</v>
      </c>
      <c r="E162" s="162">
        <f ca="1">MAX(MAX(E159,E160), 0)</f>
        <v>2.9556451612903225</v>
      </c>
      <c r="F162" s="26"/>
    </row>
    <row r="163" spans="1:6">
      <c r="A163" s="29" t="s">
        <v>669</v>
      </c>
      <c r="B163" s="162">
        <f ca="1">B158 + MAX(MIN(B158 * 0.25, 0.375), 0.25)</f>
        <v>3.4153225806451615</v>
      </c>
      <c r="C163" s="164">
        <f ca="1">C158 + MAX(MIN(C158 * 0.25, 0.375), 0.25)</f>
        <v>2.991935483870968</v>
      </c>
      <c r="D163" s="162">
        <f ca="1">D158 + MAX(MIN(D158 * 0.25, 0.375), 0.25)</f>
        <v>3.782258064516129</v>
      </c>
      <c r="E163" s="162">
        <f ca="1">E158 + MAX(MIN(E158 * 0.25, 0.375), 0.25)</f>
        <v>3.7056451612903225</v>
      </c>
      <c r="F163" s="26"/>
    </row>
    <row r="164" spans="1:6">
      <c r="A164" s="29" t="s">
        <v>670</v>
      </c>
      <c r="B164" s="162">
        <f ca="1">B158 + MIN(B158*341/1024 + 358/1024, 1-B158)</f>
        <v>1</v>
      </c>
      <c r="C164" s="164">
        <f ca="1">C158 + MIN(C158*341/1024 + 358/1024, 1-C158)</f>
        <v>1</v>
      </c>
      <c r="D164" s="162">
        <f ca="1">D158 + MIN(D158*341/1024 + 358/1024, 1-D158)</f>
        <v>1</v>
      </c>
      <c r="E164" s="162">
        <f ca="1">E158 + MIN(E158*341/1024 + 358/1024, 1-E158)</f>
        <v>1</v>
      </c>
      <c r="F164" s="26"/>
    </row>
    <row r="165" spans="1:6">
      <c r="A165" s="29" t="s">
        <v>671</v>
      </c>
      <c r="B165" s="162">
        <f ca="1">MAX(B163,B164)</f>
        <v>3.4153225806451615</v>
      </c>
      <c r="C165" s="164">
        <f ca="1">MAX(C163,C164)</f>
        <v>2.991935483870968</v>
      </c>
      <c r="D165" s="162">
        <f ca="1">MAX(D163,D164)</f>
        <v>3.782258064516129</v>
      </c>
      <c r="E165" s="162">
        <f ca="1">MAX(E163,E164)</f>
        <v>3.7056451612903225</v>
      </c>
      <c r="F165" s="26"/>
    </row>
    <row r="166" spans="1:6">
      <c r="A166" s="29" t="s">
        <v>672</v>
      </c>
      <c r="B166" s="162">
        <f ca="1">MIN(MAX(B163,B164), 4.75)</f>
        <v>3.4153225806451615</v>
      </c>
      <c r="C166" s="164">
        <f ca="1">MIN(MAX(C163,C164), 4.75)</f>
        <v>2.991935483870968</v>
      </c>
      <c r="D166" s="162">
        <f ca="1">MIN(MAX(D163,D164), 4.75)</f>
        <v>3.782258064516129</v>
      </c>
      <c r="E166" s="162">
        <f ca="1">MIN(MAX(E163,E164), 4.75)</f>
        <v>3.7056451612903225</v>
      </c>
      <c r="F166" s="26"/>
    </row>
    <row r="167" spans="1:6">
      <c r="A167" s="29" t="s">
        <v>673</v>
      </c>
      <c r="B167" s="162">
        <f t="shared" ref="B167:E168" ca="1" si="8">B165-B161</f>
        <v>0.75</v>
      </c>
      <c r="C167" s="164">
        <f t="shared" ca="1" si="8"/>
        <v>0.75</v>
      </c>
      <c r="D167" s="162">
        <f t="shared" ca="1" si="8"/>
        <v>0.75</v>
      </c>
      <c r="E167" s="162">
        <f t="shared" ca="1" si="8"/>
        <v>0.75</v>
      </c>
      <c r="F167" s="26"/>
    </row>
    <row r="168" spans="1:6">
      <c r="A168" s="29" t="s">
        <v>674</v>
      </c>
      <c r="B168" s="162">
        <f t="shared" ca="1" si="8"/>
        <v>0.75</v>
      </c>
      <c r="C168" s="164">
        <f t="shared" ca="1" si="8"/>
        <v>0.75</v>
      </c>
      <c r="D168" s="162">
        <f t="shared" ca="1" si="8"/>
        <v>0.75</v>
      </c>
      <c r="E168" s="162">
        <f t="shared" ca="1" si="8"/>
        <v>0.75</v>
      </c>
      <c r="F168" s="26"/>
    </row>
    <row r="169" spans="1:6">
      <c r="A169" s="29" t="s">
        <v>675</v>
      </c>
      <c r="B169" s="167">
        <f ca="1">IF(B161&lt;0, 1-(B168/B167), 0)</f>
        <v>0</v>
      </c>
      <c r="C169" s="168">
        <f ca="1">IF(C161&lt;0, 1-(C168/C167), 0)</f>
        <v>0</v>
      </c>
      <c r="D169" s="167">
        <f ca="1">IF(D161&lt;0, 1-(D168/D167), 0)</f>
        <v>0</v>
      </c>
      <c r="E169" s="167">
        <f ca="1">IF(E161&lt;0, 1-(E168/E167), 0)</f>
        <v>0</v>
      </c>
      <c r="F169" s="26"/>
    </row>
    <row r="170" spans="1:6">
      <c r="A170" s="29" t="s">
        <v>676</v>
      </c>
      <c r="B170" s="167">
        <f ca="1">IF(B165&gt;3, 1-(B168/B167), 0)</f>
        <v>0</v>
      </c>
      <c r="C170" s="168">
        <f ca="1">IF(C165&gt;3, 1-(C168/C167), 0)</f>
        <v>0</v>
      </c>
      <c r="D170" s="167">
        <f ca="1">IF(D165&gt;3, 1-(D168/D167), 0)</f>
        <v>0</v>
      </c>
      <c r="E170" s="167">
        <f ca="1">IF(E165&gt;3, 1-(E168/E167), 0)</f>
        <v>0</v>
      </c>
      <c r="F170" s="26"/>
    </row>
    <row r="171" spans="1:6">
      <c r="A171" s="29" t="s">
        <v>677</v>
      </c>
      <c r="B171" s="167">
        <f ca="1">MAX(0, MIN(1/3, (0.5 - ABS(B158-1)) * 1.2))</f>
        <v>0</v>
      </c>
      <c r="C171" s="168">
        <f ca="1">MAX(0, MIN(1/3, (0.5 - ABS(C158-1)) * 1.2))</f>
        <v>0</v>
      </c>
      <c r="D171" s="167">
        <f ca="1">MAX(0, MIN(1/3, (0.5 - ABS(D158-1)) * 1.2))</f>
        <v>0</v>
      </c>
      <c r="E171" s="167">
        <f ca="1">MAX(0, MIN(1/3, (0.5 - ABS(E158-1)) * 1.2))</f>
        <v>0</v>
      </c>
      <c r="F171" s="26"/>
    </row>
    <row r="172" spans="1:6">
      <c r="A172" s="22" t="s">
        <v>680</v>
      </c>
      <c r="B172" s="169">
        <f ca="1">((0 * B169) + (3 * B170) + (1 * B171) + (1 - B169 - B170 - B171) * ((B166 + B162) / 2)) * 1.02</f>
        <v>3.1011290322580649</v>
      </c>
      <c r="C172" s="170">
        <f ca="1">((0 * C169) + (3 * C170) + (1 * C171) + (1 - C169 - C170 - C171) * ((C166 + C162) / 2)) * 1.02</f>
        <v>2.6692741935483872</v>
      </c>
      <c r="D172" s="169">
        <f ca="1">((0 * D169) + (3 * D170) + (1 * D171) + (1 - D169 - D170 - D171) * ((D166 + D162) / 2)) * 1.02</f>
        <v>3.4754032258064518</v>
      </c>
      <c r="E172" s="169">
        <f ca="1">((0 * E169) + (3 * E170) + (1 * E171) + (1 - E169 - E170 - E171) * ((E166 + E162) / 2)) * 1.02</f>
        <v>3.3972580645161292</v>
      </c>
    </row>
    <row r="173" spans="1:6">
      <c r="A173" t="s">
        <v>39</v>
      </c>
      <c r="B173" s="5">
        <f ca="1">((B139-($M$5+$M$6))/2)/100+75%</f>
        <v>-3.6349999999999998</v>
      </c>
      <c r="C173" s="153">
        <f ca="1">((C139-($M$5+$M$6))/2)/100+75%</f>
        <v>-3.6100000000000003</v>
      </c>
      <c r="D173" s="41">
        <f ca="1">((D139-($M$5+$M$6))/2)/100+75%</f>
        <v>-3.66</v>
      </c>
      <c r="E173" s="5">
        <f ca="1">((E139-($M$5+$M$6))/2)/100+75%</f>
        <v>-3.5999999999999996</v>
      </c>
    </row>
    <row r="174" spans="1:6">
      <c r="A174" s="26" t="s">
        <v>38</v>
      </c>
      <c r="B174" s="41">
        <f ca="1">MAX(MIN(B173,95%), 20%)</f>
        <v>0.2</v>
      </c>
      <c r="C174" s="153">
        <f ca="1">MAX(MIN(C173,95%), 20%)</f>
        <v>0.2</v>
      </c>
      <c r="D174" s="41">
        <f ca="1">MAX(MIN(D173,95%), 20%)</f>
        <v>0.2</v>
      </c>
      <c r="E174" s="41">
        <f ca="1">MAX(MIN(E173,95%), 20%)</f>
        <v>0.2</v>
      </c>
    </row>
    <row r="175" spans="1:6">
      <c r="A175" s="21" t="s">
        <v>452</v>
      </c>
      <c r="B175" s="113">
        <f ca="1">MAX(MIN(95%, B173+17%), 20%)</f>
        <v>0.2</v>
      </c>
      <c r="C175" s="114">
        <f ca="1">MAX(MIN(95%, C173+17%), 20%)</f>
        <v>0.2</v>
      </c>
      <c r="D175" s="24">
        <f ca="1">D174</f>
        <v>0.2</v>
      </c>
      <c r="E175" s="24">
        <f ca="1">E174</f>
        <v>0.2</v>
      </c>
    </row>
    <row r="176" spans="1:6">
      <c r="A176" s="144" t="s">
        <v>627</v>
      </c>
      <c r="B176">
        <f ca="1">$G23</f>
        <v>0</v>
      </c>
      <c r="C176" s="73">
        <f ca="1">$H23</f>
        <v>0</v>
      </c>
      <c r="D176">
        <f ca="1">$G23</f>
        <v>0</v>
      </c>
      <c r="E176">
        <f ca="1">$H23</f>
        <v>0</v>
      </c>
    </row>
    <row r="177" spans="1:5">
      <c r="A177" s="29" t="s">
        <v>631</v>
      </c>
      <c r="B177" s="32">
        <f ca="1">TRUNC(B176/9)</f>
        <v>0</v>
      </c>
      <c r="C177" s="71">
        <f ca="1">TRUNC(C176/9)</f>
        <v>0</v>
      </c>
      <c r="D177" s="32">
        <f ca="1">TRUNC(D176/9)</f>
        <v>0</v>
      </c>
      <c r="E177" s="32">
        <f ca="1">TRUNC(E176/9)</f>
        <v>0</v>
      </c>
    </row>
    <row r="178" spans="1:5">
      <c r="A178" s="29" t="s">
        <v>632</v>
      </c>
      <c r="B178" s="29">
        <f ca="1">IF(B176&gt;0, TRUNC(MAX(MIN(TRUNC((B37+B38)/2), (8+B177)*2), (0-B177)*2)/2), 0)</f>
        <v>0</v>
      </c>
      <c r="C178" s="68">
        <f ca="1">IF(C176&gt;0, TRUNC(MAX(MIN(TRUNC((C37+C38)/2), (8+C177)*2), (0-C177)*2)/2), 0)</f>
        <v>0</v>
      </c>
      <c r="D178" s="29">
        <f ca="1">IF(D176&gt;0, TRUNC(MAX(MIN(TRUNC((D37+D38)/2), (8+D177)*2), (0-D177)*2)/2), 0)</f>
        <v>0</v>
      </c>
      <c r="E178" s="29">
        <f ca="1">IF(E176&gt;0, TRUNC(MAX(MIN(TRUNC((E37+E38)/2), (8+E177)*2), (0-E177)*2)/2), 0)</f>
        <v>0</v>
      </c>
    </row>
    <row r="179" spans="1:5">
      <c r="A179" s="22" t="s">
        <v>102</v>
      </c>
      <c r="B179" s="14">
        <f ca="1">B176+B178</f>
        <v>0</v>
      </c>
      <c r="C179" s="78">
        <f ca="1">C176+C178</f>
        <v>0</v>
      </c>
      <c r="D179" s="14">
        <f ca="1">D176+D178</f>
        <v>0</v>
      </c>
      <c r="E179" s="14">
        <f ca="1">E176+E178</f>
        <v>0</v>
      </c>
    </row>
    <row r="181" spans="1:5">
      <c r="A181" s="23" t="s">
        <v>633</v>
      </c>
      <c r="B181" s="87"/>
      <c r="C181" s="87"/>
      <c r="D181" s="87"/>
      <c r="E181" s="87"/>
    </row>
    <row r="182" spans="1:5">
      <c r="A182" t="s">
        <v>12</v>
      </c>
      <c r="B182" s="2">
        <f ca="1">MAX($B$17+$C$17+HLOOKUP($A182, INDIRECT(B$28), MATCH("Total", Slots, 0)+1, 0) + IF(Setup!J36=1, Setup!M36, 0), 0)</f>
        <v>0.3</v>
      </c>
      <c r="C182" s="15">
        <f ca="1">MAX($B$17+$D$17+HLOOKUP($A182, INDIRECT(C$28), MATCH("Total", Slots, 0)+1, 0) + IF(Setup!K36=1, Setup!N36, 0), 0)</f>
        <v>0.33000000000000007</v>
      </c>
      <c r="D182" s="2">
        <f ca="1">MAX($B$17+$C$17+HLOOKUP($A182, INDIRECT(D$28), MATCH("Total", Slots, 0)+1, 0) + IF(Setup!J36=1, Setup!M36, 0), 0)</f>
        <v>0.05</v>
      </c>
      <c r="E182" s="2">
        <f ca="1">MAX($B$17+$D$17+HLOOKUP($A182, INDIRECT(E$28), MATCH("Total", Slots, 0)+1, 0) + IF(Setup!K36=1, Setup!N36, 0), 0)</f>
        <v>0.06</v>
      </c>
    </row>
    <row r="183" spans="1:5">
      <c r="A183" s="26" t="s">
        <v>149</v>
      </c>
      <c r="B183" s="40">
        <f ca="1">$B$18+$C$18+HLOOKUP($A183, INDIRECT(B$28), MATCH("Total", Slots, 0)+1, 0)</f>
        <v>9.0000000000000011E-2</v>
      </c>
      <c r="C183" s="15">
        <f ca="1">$B$18+$D$18+HLOOKUP($A183, INDIRECT(C$28), MATCH("Total", Slots, 0)+1, 0)</f>
        <v>7.0000000000000007E-2</v>
      </c>
      <c r="D183" s="40">
        <f ca="1">$B$18+$C$18+HLOOKUP($A183, INDIRECT(D$28), MATCH("Total", Slots, 0)+1, 0)</f>
        <v>0</v>
      </c>
      <c r="E183" s="40">
        <f ca="1">$B$18+$D$18+HLOOKUP($A183, INDIRECT(E$28), MATCH("Total", Slots, 0)+1, 0)</f>
        <v>0</v>
      </c>
    </row>
    <row r="184" spans="1:5">
      <c r="A184" s="20" t="s">
        <v>415</v>
      </c>
      <c r="B184" s="40">
        <f ca="1">HLOOKUP($A184, INDIRECT(B$28), MATCH("Total", Slots, 0)+1, 0)</f>
        <v>0.08</v>
      </c>
      <c r="C184" s="15">
        <f ca="1">HLOOKUP($A184, INDIRECT(C$28), MATCH("Total", Slots, 0)+1, 0)</f>
        <v>0.08</v>
      </c>
      <c r="D184" s="40">
        <f ca="1">HLOOKUP($A184, INDIRECT(D$28), MATCH("Total", Slots, 0)+1, 0)</f>
        <v>0.03</v>
      </c>
      <c r="E184" s="40">
        <f ca="1">HLOOKUP($A184, INDIRECT(E$28), MATCH("Total", Slots, 0)+1, 0)</f>
        <v>0.03</v>
      </c>
    </row>
    <row r="185" spans="1:5">
      <c r="A185" s="21" t="s">
        <v>296</v>
      </c>
      <c r="B185" s="52">
        <f ca="1">C19 + HLOOKUP("Zan", INDIRECT(B$28), MATCH("Total", Slots, 0)+1, 0)</f>
        <v>0</v>
      </c>
      <c r="C185" s="70">
        <f ca="1">D19 + HLOOKUP("Zan", INDIRECT(C$28), MATCH("Total", Slots, 0)+1, 0)</f>
        <v>0</v>
      </c>
      <c r="D185" s="52">
        <v>0</v>
      </c>
      <c r="E185" s="52">
        <v>0</v>
      </c>
    </row>
    <row r="186" spans="1:5">
      <c r="A186" s="20" t="s">
        <v>265</v>
      </c>
      <c r="B186" s="40">
        <f ca="1">IF(AND($D$1="Nin", $G$17="Axe", Gear!$B$4&lt;&gt;"None"), $L$13 + HLOOKUP($A186, INDIRECT(B$28), MATCH("Total", Slots, 0)+1, 0), 0)</f>
        <v>0</v>
      </c>
      <c r="C186" s="15">
        <f ca="1">IF(AND($D$1="Nin", $G$17="Axe", Gear!$B$4&lt;&gt;"None"), $L$13 + HLOOKUP($A186, INDIRECT(C$28), MATCH("Total", Slots, 0)+1, 0), 0)</f>
        <v>0</v>
      </c>
      <c r="D186" s="40">
        <f>IF(AND($D$1="Nin", $G$17="Axe", Gear!$B$4&lt;&gt;"None"), $L$13, 0)</f>
        <v>0</v>
      </c>
      <c r="E186" s="40">
        <f>IF(AND($D$1="Nin", $G$17="Axe", Gear!$B$4&lt;&gt;"None"), $L$13, 0)</f>
        <v>0</v>
      </c>
    </row>
    <row r="187" spans="1:5">
      <c r="A187" s="20" t="s">
        <v>422</v>
      </c>
      <c r="B187" s="82">
        <f ca="1">$G20+$G24</f>
        <v>430</v>
      </c>
      <c r="C187" s="84">
        <f ca="1">$H20+$H24</f>
        <v>528</v>
      </c>
      <c r="D187" s="82">
        <f ca="1">$G20+$G24</f>
        <v>430</v>
      </c>
      <c r="E187" s="82">
        <f ca="1">$H20+$H24</f>
        <v>528</v>
      </c>
    </row>
    <row r="188" spans="1:5">
      <c r="A188" s="20" t="s">
        <v>423</v>
      </c>
      <c r="B188" s="83">
        <f ca="1">IF(AND($G17="Axe", $G24&lt;&gt;0), TRUNC(B187*B186), TRUNC(VLOOKUP(Gear!$B$4,INDIRECT(Gear!$A$4),MATCH("2HDly",StatHeader,0),0) * $G$20))</f>
        <v>0</v>
      </c>
      <c r="C188" s="85">
        <f ca="1">IF(AND($H17="Axe", $H24&lt;&gt;0), TRUNC(C187*C186), TRUNC(VLOOKUP(Gear!$AB$4,INDIRECT(Gear!$AA$4),MATCH("2HDly",StatHeader,0),0) * $H$20))</f>
        <v>0</v>
      </c>
      <c r="D188" s="83">
        <f ca="1">IF(AND($G17="Axe", $G24&lt;&gt;0), TRUNC(D187*D186), TRUNC(VLOOKUP(Gear!$B$4,INDIRECT(Gear!$A$4),MATCH("2HDly",StatHeader,0),0) * $G$20))</f>
        <v>0</v>
      </c>
      <c r="E188" s="83">
        <f ca="1">IF(AND($H17="Axe", $H24&lt;&gt;0), TRUNC(E187*E186), TRUNC(VLOOKUP(Gear!$AB$4,INDIRECT(Gear!$AA$4),MATCH("2HDly",StatHeader,0),0) * $H$20))</f>
        <v>0</v>
      </c>
    </row>
    <row r="189" spans="1:5">
      <c r="A189" s="20" t="s">
        <v>266</v>
      </c>
      <c r="B189" s="49">
        <f ca="1">TRUNC((B187-B188) / IF(AND($G17="Axe", $G24&gt;0), 2, 1))</f>
        <v>430</v>
      </c>
      <c r="C189" s="64">
        <f ca="1">TRUNC((C187-C188) / IF(AND($H17="Axe", $H24&gt;0), 2, 1))</f>
        <v>528</v>
      </c>
      <c r="D189" s="49">
        <f ca="1">TRUNC((D187-D188) / IF(AND($G17="Axe", $G24&gt;0), 2, 1))</f>
        <v>430</v>
      </c>
      <c r="E189" s="49">
        <f ca="1">TRUNC((E187-E188) / IF(AND($H17="Axe", $H24&gt;0), 2, 1))</f>
        <v>528</v>
      </c>
    </row>
    <row r="190" spans="1:5">
      <c r="A190" s="20" t="s">
        <v>267</v>
      </c>
      <c r="B190" s="53">
        <f ca="1">IF(B189&lt;176, TRUNC((B189-12)*11/64)+32, IF(B189&lt;541, TRUNC(B189*489/2000)+17, IF(B189&lt;720, TRUNC((B189-1)/16)+115, TRUNC(B189/15)+113)))</f>
        <v>122</v>
      </c>
      <c r="C190" s="71">
        <f ca="1">IF(C189&lt;176, TRUNC((C189-12)*11/64)+32, IF(C189&lt;541, TRUNC(C189*489/2000)+17, IF(C189&lt;720, TRUNC((C189-1)/16)+115, TRUNC(C189/15)+113)))</f>
        <v>146</v>
      </c>
      <c r="D190" s="53">
        <f ca="1">IF(D189&lt;176, TRUNC((D189-12)*11/64)+32, IF(D189&lt;541, TRUNC(D189*489/2000)+17, IF(D189&lt;720, TRUNC((D189-1)/16)+115, TRUNC(D189/15)+113)))</f>
        <v>122</v>
      </c>
      <c r="E190" s="53">
        <f ca="1">IF(E189&lt;176, TRUNC((E189-12)*11/64)+32, IF(E189&lt;541, TRUNC(E189*489/2000)+17, IF(E189&lt;720, TRUNC((E189-1)/16)+115, TRUNC(E189/15)+113)))</f>
        <v>146</v>
      </c>
    </row>
    <row r="191" spans="1:5">
      <c r="A191" s="26" t="s">
        <v>13</v>
      </c>
      <c r="B191" s="53">
        <f ca="1">$B$23+$B$22+$C$22+IF(Setup!$J$38=1, Setup!M38, 0)+HLOOKUP("STP", INDIRECT(B$28), MATCH("Total", Slots, 0)+1, 0)</f>
        <v>129</v>
      </c>
      <c r="C191" s="71">
        <f ca="1">$B$23+$B$22+$D$22+IF(Setup!$K$38=1, Setup!N38, 0)+HLOOKUP("STP", INDIRECT(C$28), MATCH("Total", Slots, 0)+1, 0)</f>
        <v>139</v>
      </c>
      <c r="D191" s="53">
        <f ca="1">$B$23+$B$22+$C$22+IF(Setup!$J$38=1, Setup!M38, 0)+HLOOKUP("STP", INDIRECT(D$28), MATCH("Total", Slots, 0)+1, 0)</f>
        <v>90</v>
      </c>
      <c r="E191" s="53">
        <f ca="1">$B$23+$B$22+$D$22+IF(Setup!$K$38=1, Setup!N38, 0)+HLOOKUP("STP", INDIRECT(E$28), MATCH("Total", Slots, 0)+1, 0)</f>
        <v>95</v>
      </c>
    </row>
    <row r="192" spans="1:5">
      <c r="A192" s="14" t="s">
        <v>268</v>
      </c>
      <c r="B192" s="54">
        <f ca="1">TRUNC(B190*(1+B191/100))</f>
        <v>279</v>
      </c>
      <c r="C192" s="171">
        <f ca="1">TRUNC(C190*(1+C191/100))</f>
        <v>348</v>
      </c>
      <c r="D192" s="54">
        <f ca="1">TRUNC(D190*(1+D191/100))</f>
        <v>231</v>
      </c>
      <c r="E192" s="54">
        <f ca="1">TRUNC(E190*(1+E191/100))</f>
        <v>284</v>
      </c>
    </row>
    <row r="193" spans="1:5">
      <c r="A193" s="20" t="s">
        <v>552</v>
      </c>
      <c r="B193" s="49">
        <f ca="1">B32-$L$7</f>
        <v>13</v>
      </c>
      <c r="C193" s="76">
        <f ca="1">C32-$L$7</f>
        <v>20</v>
      </c>
      <c r="D193" s="49">
        <f ca="1">D32-$L$7</f>
        <v>-32</v>
      </c>
      <c r="E193" s="49">
        <f ca="1">E32-$L$7</f>
        <v>-13</v>
      </c>
    </row>
    <row r="194" spans="1:5">
      <c r="A194" t="s">
        <v>67</v>
      </c>
      <c r="B194" s="12">
        <f ca="1">IF(B193&gt;50, 15%, IF(B193&gt;39,5%+(B193-40)/100,IF(B193&gt;29,4%,IF(B193&gt;19,3%,IF(B193&gt;13,2%,IF(B193&gt;6,1%,0))))))+5%</f>
        <v>6.0000000000000005E-2</v>
      </c>
      <c r="C194" s="133">
        <f ca="1">IF(C193&gt;50, 15%, IF(C193&gt;39,5%+(C193-40)/100,IF(C193&gt;29,4%,IF(C193&gt;19,3%,IF(C193&gt;13,2%,IF(C193&gt;6,1%,0))))))+5%</f>
        <v>0.08</v>
      </c>
      <c r="D194" s="12">
        <f ca="1">IF(D193&gt;50, 15%, IF(D193&gt;39,5%+(D193-40)/100,IF(D193&gt;29,4%,IF(D193&gt;19,3%,IF(D193&gt;13,2%,IF(D193&gt;6,1%,0))))))+5%</f>
        <v>0.05</v>
      </c>
      <c r="E194" s="12">
        <f ca="1">IF(E193&gt;50, 15%, IF(E193&gt;39,5%+(E193-40)/100,IF(E193&gt;29,4%,IF(E193&gt;19,3%,IF(E193&gt;13,2%,IF(E193&gt;6,1%,0))))))+5%</f>
        <v>0.05</v>
      </c>
    </row>
    <row r="195" spans="1:5">
      <c r="A195" s="29" t="s">
        <v>656</v>
      </c>
      <c r="B195" s="12">
        <f>IF(Setup!$F$39=1, VLOOKUP("C.Rate", Ionis, 2, 0), 0)</f>
        <v>0</v>
      </c>
      <c r="C195" s="133">
        <f>IF(Setup!$G$39=1, VLOOKUP("C.Rate", Ionis, 2, 0), 0)</f>
        <v>0</v>
      </c>
      <c r="D195" s="12">
        <f>IF(Setup!$F$39=1, VLOOKUP("C.Rate", Ionis, 2, 0), 0)</f>
        <v>0</v>
      </c>
      <c r="E195" s="12">
        <f>IF(Setup!$G$39=1, VLOOKUP("C.Rate", Ionis, 2, 0), 0)</f>
        <v>0</v>
      </c>
    </row>
    <row r="196" spans="1:5">
      <c r="A196" t="s">
        <v>125</v>
      </c>
      <c r="B196" s="2">
        <f ca="1">MAX(MIN(B194+B195+Setup!$B$15+$B$20+$C$20+HLOOKUP($A196, INDIRECT(B$28), MATCH("Total", Slots, 0)+1, 0) + IF(Setup!J37=1, Setup!M37, 0) + $L$10, 100%), 0)</f>
        <v>0.32</v>
      </c>
      <c r="C196" s="15">
        <f ca="1">MAX(MIN(C194+C195+Setup!$B$15+$B$20+$D$20+HLOOKUP($A196, INDIRECT(C$28), MATCH("Total", Slots, 0)+1, 0) + IF(Setup!K37=1, Setup!N37, 0) + $L$10, 100%), 0)</f>
        <v>0.42000000000000004</v>
      </c>
      <c r="D196" s="2">
        <f ca="1">MAX(MIN(D194+D195+Setup!$B$15+$B$20+$C$20+HLOOKUP($A196, INDIRECT(D$28), MATCH("Total", Slots, 0)+1, 0) + IF(Setup!J37=1, Setup!M37, 0) + $L$10, 100%), 0)</f>
        <v>0.30000000000000004</v>
      </c>
      <c r="E196" s="2">
        <f ca="1">MAX(MIN(E194+E195+Setup!$B$15+$B$20+$D$20+HLOOKUP($A196, INDIRECT(E$28), MATCH("Total", Slots, 0)+1, 0) + IF(Setup!K37=1, Setup!N37, 0) + $L$10, 100%), 0)</f>
        <v>0.32</v>
      </c>
    </row>
    <row r="197" spans="1:5">
      <c r="A197" s="14" t="s">
        <v>124</v>
      </c>
      <c r="B197" s="52">
        <f ca="1">MAX(MIN(100% + $B$21+$C$21 + HLOOKUP($A197, INDIRECT(B$28), MATCH("Total", Slots, 0)+1, 0) - $L$9, 200%), 0)</f>
        <v>1.08</v>
      </c>
      <c r="C197" s="70">
        <f ca="1">MAX(MIN(100% + $B$21+$D$21 + HLOOKUP($A197, INDIRECT(C$28), MATCH("Total", Slots, 0)+1, 0) - $L$9, 200%), 0)</f>
        <v>1.1200000000000001</v>
      </c>
      <c r="D197" s="52">
        <f ca="1">MAX(MIN(100% + $B$21+$C$21 + HLOOKUP($A197, INDIRECT(D$28), MATCH("Total", Slots, 0)+1, 0) - $L$9, 200%), 0)</f>
        <v>1.08</v>
      </c>
      <c r="E197" s="52">
        <f ca="1">MAX(MIN(100% + $B$21+$D$21 + HLOOKUP($A197, INDIRECT(E$28), MATCH("Total", Slots, 0)+1, 0) - $L$9, 200%), 0)</f>
        <v>1.08</v>
      </c>
    </row>
    <row r="198" spans="1:5">
      <c r="A198" s="20" t="s">
        <v>306</v>
      </c>
      <c r="B198" s="26" t="str">
        <f>Setup!F5</f>
        <v>None</v>
      </c>
      <c r="C198" s="77" t="str">
        <f>Setup!G5</f>
        <v>None</v>
      </c>
      <c r="D198" s="26" t="str">
        <f>Setup!F5</f>
        <v>None</v>
      </c>
      <c r="E198" s="26" t="str">
        <f>Setup!G5</f>
        <v>None</v>
      </c>
    </row>
    <row r="199" spans="1:5">
      <c r="A199" s="20" t="s">
        <v>320</v>
      </c>
      <c r="B199" s="40">
        <f>IF(OR(Gear!B10="Gloom Breastplate", Gear!B16="Sable Cuisses", Gear!B6="Chaos", Gear!B6="Chaos +1", Gear!B6="Ignominy", Gear!B6="Ignominy +1"), 2%, 0%)</f>
        <v>0</v>
      </c>
      <c r="C199" s="15">
        <f>IF(OR(Gear!AB10="Gloom Breastplate", Gear!AB16="Sable Cuisses", Gear!AB6="Chaos", Gear!AB6="Chaos +1", Gear!AB6="Ignominy", Gear!AB6="Ignominy +1"), 2%, 0%)</f>
        <v>0</v>
      </c>
      <c r="D199" s="40">
        <f>IF(OR(Gear!B33="Gloom Breastplate", Gear!B39="Sable Cuisses", Gear!B29="Chaos", Gear!B29="Chaos +1", Gear!B29="Ignominy", Gear!B29="Ignominy +1"), 2%, 0%)</f>
        <v>0</v>
      </c>
      <c r="E199" s="40">
        <f>IF(OR(Gear!AB33="Gloom Breastplate", Gear!AB39="Sable Cuisses", Gear!AB29="Chaos", Gear!AB29="Chaos +1", Gear!AB29="Ignominy", Gear!AB29="Ignominy +1"), 2%, 0%)</f>
        <v>0</v>
      </c>
    </row>
    <row r="200" spans="1:5">
      <c r="A200" s="20" t="s">
        <v>307</v>
      </c>
      <c r="B200" s="40">
        <f>10%+B199</f>
        <v>0.1</v>
      </c>
      <c r="C200" s="15">
        <f>10%+C199</f>
        <v>0.1</v>
      </c>
      <c r="D200" s="40">
        <f>10%+D199</f>
        <v>0.1</v>
      </c>
      <c r="E200" s="40">
        <f>10%+E199</f>
        <v>0.1</v>
      </c>
    </row>
    <row r="201" spans="1:5">
      <c r="A201" s="20" t="s">
        <v>316</v>
      </c>
      <c r="B201" s="40">
        <f>Setup!F7</f>
        <v>0.85</v>
      </c>
      <c r="C201" s="15">
        <f>Setup!G7</f>
        <v>0.85</v>
      </c>
      <c r="D201" s="40">
        <f>Setup!F6</f>
        <v>0.9</v>
      </c>
      <c r="E201" s="40">
        <f>Setup!G6</f>
        <v>0.9</v>
      </c>
    </row>
    <row r="202" spans="1:5">
      <c r="A202" s="14" t="s">
        <v>315</v>
      </c>
      <c r="B202" s="14">
        <f>IF(B198="On", TRUNC(B57*B200*B201), 0)</f>
        <v>0</v>
      </c>
      <c r="C202" s="78">
        <f>IF(C198="On", TRUNC(C57*C200*C201), 0)</f>
        <v>0</v>
      </c>
      <c r="D202" s="14">
        <f>IF(OR(D198="WS Only", D198="On"), TRUNC(D57*D200*D201), 0)</f>
        <v>0</v>
      </c>
      <c r="E202" s="14">
        <f>IF(OR(E198="WS Only", E198="On"), TRUNC(E57*E200*E201), 0)</f>
        <v>0</v>
      </c>
    </row>
    <row r="204" spans="1:5">
      <c r="A204" s="14" t="s">
        <v>28</v>
      </c>
      <c r="B204" s="23" t="s">
        <v>260</v>
      </c>
      <c r="C204" s="23" t="s">
        <v>261</v>
      </c>
      <c r="D204" s="47" t="s">
        <v>262</v>
      </c>
      <c r="E204" s="23" t="s">
        <v>263</v>
      </c>
    </row>
    <row r="205" spans="1:5">
      <c r="A205" s="154" t="s">
        <v>628</v>
      </c>
      <c r="B205" s="25">
        <f ca="1">VLOOKUP(Gear!$B$3, INDIRECT(G17), MATCH("AE Dmg", StatHeader, 0), 0)</f>
        <v>0</v>
      </c>
      <c r="C205" s="25">
        <f ca="1">VLOOKUP(Gear!$AB$3, INDIRECT(H17), MATCH("AE Dmg", StatHeader, 0), 0)</f>
        <v>0</v>
      </c>
      <c r="D205" s="155"/>
      <c r="E205" s="25"/>
    </row>
    <row r="206" spans="1:5">
      <c r="A206" s="154" t="s">
        <v>629</v>
      </c>
      <c r="B206" s="25">
        <f ca="1">VLOOKUP(Gear!$B$4, INDIRECT(G21), MATCH("AE Dmg", StatHeader, 0), 0)</f>
        <v>0</v>
      </c>
      <c r="C206" s="25">
        <f ca="1">VLOOKUP(Gear!$AB$4, INDIRECT(H21), MATCH("AE Dmg", StatHeader, 0), 0)</f>
        <v>0</v>
      </c>
      <c r="D206" s="155"/>
      <c r="E206" s="25"/>
    </row>
    <row r="207" spans="1:5">
      <c r="A207" s="20" t="s">
        <v>553</v>
      </c>
      <c r="B207" s="72">
        <f ca="1">B59</f>
        <v>124</v>
      </c>
      <c r="C207" s="72">
        <f ca="1">C59</f>
        <v>124</v>
      </c>
      <c r="D207" s="137"/>
      <c r="E207" s="136"/>
    </row>
    <row r="208" spans="1:5">
      <c r="A208" s="20" t="s">
        <v>554</v>
      </c>
      <c r="B208" s="72">
        <f>TRUNC(MAX(0, Setup!J11-300)/10) + 20</f>
        <v>35</v>
      </c>
      <c r="C208" s="72">
        <f>TRUNC(MAX(0, Setup!K11-300)/10) + 20</f>
        <v>35</v>
      </c>
      <c r="D208" s="137"/>
      <c r="E208" s="136"/>
    </row>
    <row r="209" spans="1:6">
      <c r="A209" s="20" t="s">
        <v>555</v>
      </c>
      <c r="B209" s="72">
        <f>IF(Setup!J15&lt;150, MAX(1, TRUNC(SQRT(Setup!J15))-1), TRUNC(Setup!J15/20)+5)</f>
        <v>28</v>
      </c>
      <c r="C209" s="72">
        <f>IF(Setup!K15&lt;150, MAX(1, TRUNC(SQRT(Setup!K15))-1), TRUNC(Setup!K15/20)+5)</f>
        <v>28</v>
      </c>
      <c r="D209" s="137"/>
      <c r="E209" s="136"/>
    </row>
    <row r="210" spans="1:6">
      <c r="A210" s="21" t="s">
        <v>556</v>
      </c>
      <c r="B210" s="138">
        <f ca="1">IF(Setup!F8=1, Data!B207, IF(Setup!J12=1, Data!B208, IF(Setup!J17=1, Data!B209, 0)))</f>
        <v>124</v>
      </c>
      <c r="C210" s="138">
        <f ca="1">IF(Setup!G8=1, Data!C207, IF(Setup!K12=1, Data!C208, IF(Setup!K17=1, Data!C209, 0)))</f>
        <v>124</v>
      </c>
      <c r="D210" s="47"/>
      <c r="E210" s="23"/>
    </row>
    <row r="211" spans="1:6">
      <c r="A211" t="s">
        <v>271</v>
      </c>
      <c r="B211" s="6">
        <f ca="1">AvgHitsPerHand1TP1</f>
        <v>1.5739219999999998</v>
      </c>
      <c r="C211" s="6">
        <f ca="1">AvgHitsPerHand1TP2</f>
        <v>1.5685906000000003</v>
      </c>
      <c r="D211" s="48"/>
    </row>
    <row r="212" spans="1:6">
      <c r="A212" t="s">
        <v>272</v>
      </c>
      <c r="B212" s="6">
        <f ca="1">AvgHitsPerHand2TP1</f>
        <v>0</v>
      </c>
      <c r="C212" s="6">
        <f ca="1">AvgHitsPerHand2TP2</f>
        <v>0</v>
      </c>
      <c r="D212" s="48"/>
      <c r="F212" s="26"/>
    </row>
    <row r="213" spans="1:6">
      <c r="A213" s="26" t="s">
        <v>264</v>
      </c>
      <c r="B213" s="40">
        <f>IF(COUNTIF(Gear!$B$7:$B$19, "Bale +2") &gt; 1, (COUNTIF(Gear!$B$7:$B$19, "Bale +2")-1) * 1% + IF(COUNTIF(Gear!$B$7:$B$19, "Bale +2")=5, 1%, 0), 0)</f>
        <v>0</v>
      </c>
      <c r="C213" s="15">
        <f>IF(COUNTIF(Gear!$AB$7:$AB$19, "Bale +2") &gt; 1, (COUNTIF(Gear!$AB$7:$AB$19, "Bale +2")-1) * 1% + IF(COUNTIF(Gear!$AB$7:$AB$19, "Bale +2")=5, 1%, 0), 0)</f>
        <v>0</v>
      </c>
      <c r="D213" s="40"/>
      <c r="E213" s="40"/>
    </row>
    <row r="214" spans="1:6">
      <c r="A214" t="s">
        <v>273</v>
      </c>
      <c r="B214" s="6">
        <f ca="1">((B119*B96*(100%-B$196)) + (B119*B112*B$196*B$197)) * (1+(B$213*90%))</f>
        <v>1338.2102159999999</v>
      </c>
      <c r="C214" s="6">
        <f ca="1">((C119*C96*(100%-C$196)) + (C119*C112*C$196*C$197)) * (1+(C$213*90%))</f>
        <v>1682.0979120000002</v>
      </c>
      <c r="D214" s="48"/>
    </row>
    <row r="215" spans="1:6">
      <c r="A215" t="s">
        <v>274</v>
      </c>
      <c r="B215" s="4">
        <f ca="1">IF(ISBLANK(Gear!$B$3), 0, IF(B205&gt;0, B205, B210))</f>
        <v>124</v>
      </c>
      <c r="C215" s="4">
        <f ca="1">IF(ISBLANK(Gear!$AB$3), 0, IF(VLOOKUP(Gear!$AB$3, INDIRECT(H17), MATCH("AE Dmg", StatHeader, 0), 0) &gt; 0, VLOOKUP(Gear!$AB$3, INDIRECT(H17), MATCH("AE Dmg", StatHeader, 0), 0), C210))</f>
        <v>124</v>
      </c>
      <c r="D215" s="48"/>
    </row>
    <row r="216" spans="1:6">
      <c r="A216" t="s">
        <v>275</v>
      </c>
      <c r="B216" s="6">
        <f ca="1">((B179*B156*(1-B$196)) + (B179*B172*B$196*B$197)) * (1+(B$213*90%))</f>
        <v>0</v>
      </c>
      <c r="C216" s="6">
        <f ca="1">((C179*C156*(1-C$196)) + (C179*C172*C$196*C$197)) * (1+(C$213*90%))</f>
        <v>0</v>
      </c>
      <c r="D216" s="48"/>
    </row>
    <row r="217" spans="1:6">
      <c r="A217" t="s">
        <v>276</v>
      </c>
      <c r="B217" s="4">
        <f ca="1">IF(OR(ISBLANK(Gear!$B$4), G23=0), 0, IF(B206&gt;0, B206, B210))</f>
        <v>0</v>
      </c>
      <c r="C217" s="4">
        <f ca="1">IF(OR(ISBLANK(Gear!$AB$4), H23=0), 0, IF(C206&gt;0, C206, C210))</f>
        <v>0</v>
      </c>
      <c r="D217" s="48"/>
    </row>
    <row r="218" spans="1:6">
      <c r="A218" s="29" t="s">
        <v>658</v>
      </c>
      <c r="B218" s="32">
        <f>IF(LEFT(Gear!$B3,10)="Apocalypse", IF(ISERROR(VALUE(RIGHT(Gear!$B3,3))), 0, VALUE(RIGHT(Gear!$B3,3))), IF(LEFT(Gear!$B3,8)="Ragnarok", IF(ISERROR(VALUE(RIGHT(Gear!$B3,3))), 0, VALUE(RIGHT(Gear!$B3,3))), 0))</f>
        <v>0</v>
      </c>
      <c r="C218" s="32">
        <f>IF(LEFT(Gear!$AB3,10)="Apocalypse", IF(ISERROR(VALUE(RIGHT(Gear!$AB3,3))), 0, VALUE(RIGHT(Gear!$AB3,3))), IF(LEFT(Gear!$AB3,8)="Ragnarok", IF(ISERROR(VALUE(RIGHT(Gear!$AB3,3))), 0, VALUE(RIGHT(Gear!$AB3,3))), 0))</f>
        <v>0</v>
      </c>
      <c r="D218" s="48"/>
    </row>
    <row r="219" spans="1:6">
      <c r="A219" s="29" t="s">
        <v>659</v>
      </c>
      <c r="B219" s="4">
        <f ca="1">IF(B218&gt;0, IF(LEFT(Gear!$B3,10)="Apocalypse", IF(B218&lt;95, 8%, 20%), IF(LEFT(Gear!$B3,8)="Ragnarok", IF(B218&lt;95, 6%, 16%)*2.5, 0))) * B214 * B114</f>
        <v>0</v>
      </c>
      <c r="C219" s="4">
        <f ca="1">IF(C218&gt;0, IF(LEFT(Gear!$AB3,10)="Apocalypse", IF(C218&lt;95, 8%, 20%), IF(LEFT(Gear!$AB3,8)="Ragnarok", IF(C218&lt;95, 6%, 16%)*2.5, 0))) * C214 * C114</f>
        <v>0</v>
      </c>
      <c r="D219" s="48"/>
    </row>
    <row r="220" spans="1:6">
      <c r="A220" s="29" t="s">
        <v>940</v>
      </c>
      <c r="B220" s="4">
        <f ca="1">IF(B218=0, K24*B214*B211*2, 0)</f>
        <v>2527.4861995045821</v>
      </c>
      <c r="C220" s="4">
        <f ca="1">IF(C218=0, L24*C214*C211*2, 0)</f>
        <v>0</v>
      </c>
      <c r="D220" s="48"/>
    </row>
    <row r="221" spans="1:6">
      <c r="A221" s="29" t="s">
        <v>660</v>
      </c>
      <c r="B221" s="4">
        <f ca="1">(1-B184)*(1-B183)*B182*2*B114</f>
        <v>0.47720399999999996</v>
      </c>
      <c r="C221" s="4">
        <f ca="1">(1-C184)*(1-C183)*C182*2*C114</f>
        <v>0.53646120000000008</v>
      </c>
      <c r="D221" s="48"/>
    </row>
    <row r="222" spans="1:6">
      <c r="A222" s="29" t="s">
        <v>661</v>
      </c>
      <c r="B222" s="4">
        <f ca="1">IF(B122&gt;0, (1-B184)*(1-B183)*B182*2*B174, 0)</f>
        <v>0</v>
      </c>
      <c r="C222" s="4">
        <f ca="1">IF(C122&gt;0, (1-C184)*(1-C183)*C182*2*C174, 0)</f>
        <v>0</v>
      </c>
      <c r="D222" s="48"/>
    </row>
    <row r="223" spans="1:6">
      <c r="A223" s="29" t="s">
        <v>662</v>
      </c>
      <c r="B223" s="4">
        <f>IF(Gear!B6="Quiahuiz", 5% * (B221*B214 + B222*B216), 0)</f>
        <v>0</v>
      </c>
      <c r="C223" s="4">
        <f>IF(Gear!AB6="Quiahuiz", 5% * (C221*C214 + C222*C216), 0)</f>
        <v>0</v>
      </c>
      <c r="D223" s="48"/>
    </row>
    <row r="224" spans="1:6">
      <c r="A224" s="23" t="s">
        <v>277</v>
      </c>
      <c r="B224" s="55">
        <f ca="1">(B211*(B214+B215)) + (B212*(B216+B217)) + B219 + B220 + B223</f>
        <v>4828.8910270917331</v>
      </c>
      <c r="C224" s="55">
        <f ca="1">(C211*(C214+C215)) + (C212*(C216+C217)) + C219 + C220 + C223</f>
        <v>2833.0282074428278</v>
      </c>
      <c r="D224" s="51"/>
      <c r="E224" s="14"/>
    </row>
    <row r="225" spans="1:8">
      <c r="A225" t="s">
        <v>132</v>
      </c>
      <c r="B225" s="2">
        <f>MIN(IF(Setup!J$4=1, IF(Setup!$I$4="Haste",150, IF(Setup!$I$4="Haste II", 307, 0)), 0) + (IF(Setup!J$25=1, 96 + 16 * Setup!M$25, 0) + IF(Setup!J$26=1, 64 + 16 * Setup!M$25, 0)) * IF(Setup!J24=1, 2, 1) + IF(Setup!J16=1, TRUNC(((Setup!J15/15)/100)*1024), 0), 448) / 1024</f>
        <v>0.4375</v>
      </c>
      <c r="C225" s="2">
        <f>MIN(IF(Setup!K$4=1, IF(Setup!$I$4="Haste",150, IF(Setup!$I$4="Haste II", 307, 0)), 0) + (IF(Setup!K$25=1, 96 + 16 * Setup!N$25, 0) + IF(Setup!K$26=1, 64 + 16 * Setup!N$25, 0)) * IF(Setup!K24=1, 2, 1) + IF(Setup!K16=1, TRUNC(((Setup!K15/15)/100)*1024), 0), 448) / 1024</f>
        <v>0.4375</v>
      </c>
      <c r="D225" s="48"/>
    </row>
    <row r="226" spans="1:8">
      <c r="A226" t="s">
        <v>133</v>
      </c>
      <c r="B226" s="12">
        <f>MAX(0, MIN(256, IF( AND( LEFT(Gear!B3, 10)="Apocalypse",Setup!F11=1), 100, 0) +  IF(AND($D$1="Sam", Setup!F16=1), 100, 0) + IF(AND(Setup!F19=1, $D$1="Dnc"), 50, IF(Setup!J21=1, 100, 0)) + IF(Setup!F4=1, 50*Setup!$B$18, 0))) / 1024</f>
        <v>0.25</v>
      </c>
      <c r="C226" s="12">
        <f>MAX(0, MIN(256,  IF( AND( LEFT(Gear!AB3, 10)="Apocalypse",Setup!G11=1), 100, 0) + IF(AND($D$1="Sam", Setup!G16=1), 100, 0) + IF(AND(Setup!G19=1, $D$1="Dnc"), 50, IF(Setup!K21=1, 100, 0)) + IF(Setup!G4=1, 50*Setup!$B$18, 0))) / 1024</f>
        <v>0.25</v>
      </c>
      <c r="D226" s="48"/>
    </row>
    <row r="227" spans="1:8">
      <c r="A227" t="s">
        <v>66</v>
      </c>
      <c r="B227" s="2">
        <f ca="1">MIN(HLOOKUP("Haste", INDIRECT(B$28), MATCH("Total", Slots, 0)+1, 0) + IF(Setup!$F$39=1, VLOOKUP("Haste", Ionis, 2, 0)/1024, 0), 25%)</f>
        <v>0.21875</v>
      </c>
      <c r="C227" s="2">
        <f ca="1">MIN(HLOOKUP("Haste", INDIRECT(C$28), MATCH("Total", Slots, 0)+1, 0) + IF(Setup!$G$39=1, VLOOKUP("Haste", Ionis, 2, 0)/1024, 0), 25%)</f>
        <v>0.25</v>
      </c>
      <c r="D227" s="48"/>
    </row>
    <row r="228" spans="1:8">
      <c r="A228" t="s">
        <v>41</v>
      </c>
      <c r="B228" s="2">
        <f ca="1">B225+B226+B227</f>
        <v>0.90625</v>
      </c>
      <c r="C228" s="2">
        <f ca="1">C225+C226+C227</f>
        <v>0.9375</v>
      </c>
      <c r="D228" s="48"/>
    </row>
    <row r="229" spans="1:8">
      <c r="A229" t="s">
        <v>278</v>
      </c>
      <c r="B229" s="13">
        <f ca="1">IF(B186&gt;0, (B189*2), B189) * (1-B228)</f>
        <v>40.3125</v>
      </c>
      <c r="C229" s="13">
        <f ca="1">IF(C186&gt;0, (C189*2), C189) * (1-C228)</f>
        <v>33</v>
      </c>
      <c r="D229" s="48"/>
    </row>
    <row r="230" spans="1:8">
      <c r="A230" t="s">
        <v>279</v>
      </c>
      <c r="B230" s="13">
        <f ca="1">20%*($G$20+$G$24)</f>
        <v>86</v>
      </c>
      <c r="C230" s="13">
        <f ca="1">20%*($H$20+$H$24)</f>
        <v>105.60000000000001</v>
      </c>
      <c r="D230" s="48"/>
    </row>
    <row r="231" spans="1:8">
      <c r="A231" s="14" t="s">
        <v>280</v>
      </c>
      <c r="B231" s="56">
        <f ca="1">MAX(B229,B230)</f>
        <v>86</v>
      </c>
      <c r="C231" s="56">
        <f ca="1">MAX(C229,C230)</f>
        <v>105.60000000000001</v>
      </c>
      <c r="D231" s="51"/>
      <c r="E231" s="14"/>
    </row>
    <row r="232" spans="1:8">
      <c r="A232" s="57" t="s">
        <v>281</v>
      </c>
      <c r="B232" s="58">
        <f ca="1">B224/(B231/60)</f>
        <v>3368.9937398314419</v>
      </c>
      <c r="C232" s="58">
        <f ca="1">C224/(C231/60)</f>
        <v>1609.6751178652428</v>
      </c>
      <c r="D232" s="59"/>
      <c r="E232" s="60"/>
    </row>
    <row r="233" spans="1:8">
      <c r="A233" t="s">
        <v>563</v>
      </c>
      <c r="B233" s="7"/>
      <c r="C233" s="7"/>
      <c r="D233" s="4">
        <f ca="1">HLOOKUP($A233, INDIRECT(D$28), MATCH("Total", Slots, 0)+1, 0)</f>
        <v>0.1953125</v>
      </c>
      <c r="E233" s="4">
        <f ca="1">HLOOKUP($A233, INDIRECT(E$28), MATCH("Total", Slots, 0)+1, 0)</f>
        <v>0.1953125</v>
      </c>
    </row>
    <row r="234" spans="1:8">
      <c r="A234" t="s">
        <v>416</v>
      </c>
      <c r="B234" s="7"/>
      <c r="C234" s="7"/>
      <c r="D234" s="79">
        <f ca="1">HLOOKUP($A234, INDIRECT(D$28), MATCH("Total", Slots, 0)+1, 0)</f>
        <v>7.0000000000000007E-2</v>
      </c>
      <c r="E234" s="79">
        <f ca="1">HLOOKUP($A234, INDIRECT(E$28), MATCH("Total", Slots, 0)+1, 0)</f>
        <v>7.0000000000000007E-2</v>
      </c>
    </row>
    <row r="235" spans="1:8">
      <c r="A235" t="s">
        <v>183</v>
      </c>
      <c r="B235" s="7"/>
      <c r="C235" s="7"/>
      <c r="D235">
        <f ca="1">C24+HLOOKUP($A235, INDIRECT(D$28), MATCH("Total", Slots, 0)+1, 0)</f>
        <v>250</v>
      </c>
      <c r="E235">
        <f ca="1">D24+HLOOKUP($A235, INDIRECT(E$28), MATCH("Total", Slots, 0)+1, 0)</f>
        <v>750</v>
      </c>
    </row>
    <row r="236" spans="1:8">
      <c r="A236" t="s">
        <v>163</v>
      </c>
      <c r="B236" s="7"/>
      <c r="C236" s="7"/>
      <c r="D236" s="79">
        <f ca="1">1 + HLOOKUP($A236, INDIRECT(D$28), MATCH("Total", Slots, 0)+1, 0) + K22+Setup!B32</f>
        <v>1.53</v>
      </c>
      <c r="E236" s="79">
        <f ca="1">1 + HLOOKUP($A236, INDIRECT(E$28), MATCH("Total", Slots, 0)+1, 0) + L22+Setup!B32</f>
        <v>1.57</v>
      </c>
    </row>
    <row r="237" spans="1:8">
      <c r="A237" t="s">
        <v>432</v>
      </c>
      <c r="B237" s="7"/>
      <c r="C237" s="7"/>
      <c r="D237" s="79">
        <f>100% + IF(Setup!B36="Catastrophe", IF(OR(Gear!B3="Apocalypse 90", Gear!B3="Apocalypse 95"), 25%, IF(OR(Gear!B3="Apocalypse 99",Gear!B3="Apocalypse 119"), 40%, 0)), 0) + IF(Setup!B36="Insurgency", IF(OR(Gear!B3="Liberator 90", Gear!B3="Liberator 95"), 15%, IF(OR(Gear!B3="Liberator 99",Gear!B3="Liberator 119"), 30%, 0)), 0)</f>
        <v>1</v>
      </c>
      <c r="E237" s="79">
        <f>100% + IF(Setup!C36="Catastrophe", IF(OR(Gear!AB3="Apocalypse 90", Gear!AB3="Apocalypse 95"), 25%, IF(OR(Gear!AB3="Apocalypse 99",Gear!AB3="Apocalypse 119"), 40%, 0)), 0) + IF(Setup!C36="Insurgency", IF(OR(Gear!AB3="Liberator 90", Gear!AB3="Liberator 95"), 15%, IF(OR(Gear!AB3="Liberator 99",Gear!AB3="Liberator 119"), 30%, 0)), 0)</f>
        <v>1</v>
      </c>
    </row>
    <row r="238" spans="1:8">
      <c r="A238" t="s">
        <v>122</v>
      </c>
      <c r="B238" s="7"/>
      <c r="C238" s="7"/>
      <c r="D238">
        <f ca="1">C25 + IF(Setup!J18=1, 10, 0) + IF(Setup!J39=1, Setup!M39, 0) + IF(Setup!J16=1, (TRUNC(Setup!J15/100)+1)*10, 0) + HLOOKUP($A238, INDIRECT(B$28), MATCH("Total", Slots, 0)+1, 0)</f>
        <v>0</v>
      </c>
      <c r="E238">
        <f ca="1">D25 + IF(Setup!K18=1, 10, 0) + IF(Setup!K39=1, Setup!N39, 0) + IF(Setup!K16=1, (TRUNC(Setup!K15/100)+1)*10, 0) + HLOOKUP($A238, INDIRECT(C$28), MATCH("Total", Slots, 0)+1, 0)</f>
        <v>0</v>
      </c>
      <c r="F238" t="s">
        <v>397</v>
      </c>
      <c r="G238">
        <v>3</v>
      </c>
      <c r="H238">
        <v>3</v>
      </c>
    </row>
    <row r="239" spans="1:8">
      <c r="A239" t="s">
        <v>283</v>
      </c>
      <c r="B239" s="7"/>
      <c r="C239" s="7"/>
      <c r="D239" s="81">
        <f ca="1">TRUNC(B231*G238/180) * D238 + Setup!F48</f>
        <v>0</v>
      </c>
      <c r="E239" s="81">
        <f ca="1">TRUNC(C231*H238/180) * E238 + Setup!G48</f>
        <v>0</v>
      </c>
    </row>
    <row r="240" spans="1:8">
      <c r="A240" t="s">
        <v>40</v>
      </c>
      <c r="D240" s="43">
        <f ca="1">Weaponskill!Q3 * D237</f>
        <v>29763.419428124995</v>
      </c>
      <c r="E240" s="43">
        <f ca="1">Weaponskill!R3 * E237</f>
        <v>32082.887475000003</v>
      </c>
    </row>
    <row r="241" spans="1:5">
      <c r="A241" t="s">
        <v>284</v>
      </c>
      <c r="D241" s="61">
        <f ca="1">Weaponskill!Q2</f>
        <v>4.0663797476181074</v>
      </c>
      <c r="E241" s="61">
        <f ca="1">Weaponskill!R2</f>
        <v>3.4232147067135088</v>
      </c>
    </row>
    <row r="242" spans="1:5">
      <c r="A242" t="s">
        <v>285</v>
      </c>
      <c r="D242" s="6">
        <f ca="1">D241*$B$231+120</f>
        <v>469.70865829515725</v>
      </c>
      <c r="E242" s="6">
        <f ca="1">E241*$C$231+120</f>
        <v>481.49147302894659</v>
      </c>
    </row>
    <row r="243" spans="1:5">
      <c r="A243" t="s">
        <v>302</v>
      </c>
      <c r="D243" s="6">
        <f ca="1">B224*D241+D240</f>
        <v>49399.524104145617</v>
      </c>
      <c r="E243" s="6">
        <f ca="1">C224*E241+E240</f>
        <v>41780.951299252498</v>
      </c>
    </row>
    <row r="244" spans="1:5">
      <c r="A244" t="s">
        <v>299</v>
      </c>
      <c r="D244" s="6">
        <f ca="1">D243/(D242/60)</f>
        <v>6310.2337883374203</v>
      </c>
      <c r="E244" s="6">
        <f ca="1">E243/(E242/60)</f>
        <v>5206.4412733731651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indexed="47"/>
  </sheetPr>
  <dimension ref="A1:AE1064"/>
  <sheetViews>
    <sheetView workbookViewId="0">
      <selection activeCell="J5" sqref="J5"/>
    </sheetView>
  </sheetViews>
  <sheetFormatPr defaultRowHeight="12.75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3" width="9.28515625" customWidth="1"/>
    <col min="24" max="24" width="8.5703125" bestFit="1" customWidth="1"/>
    <col min="25" max="25" width="8.140625" customWidth="1"/>
    <col min="27" max="27" width="10.42578125" customWidth="1"/>
    <col min="28" max="28" width="7.28515625" customWidth="1"/>
    <col min="29" max="29" width="8.42578125" customWidth="1"/>
    <col min="30" max="30" width="8.5703125" customWidth="1"/>
  </cols>
  <sheetData>
    <row r="1" spans="1:28">
      <c r="A1" t="s">
        <v>479</v>
      </c>
      <c r="Q1" s="26" t="s">
        <v>376</v>
      </c>
      <c r="R1" s="26" t="s">
        <v>377</v>
      </c>
    </row>
    <row r="2" spans="1:28">
      <c r="A2" s="9" t="str">
        <f>Setup!B36</f>
        <v>Torcleaver</v>
      </c>
      <c r="F2" s="2"/>
      <c r="I2" t="str">
        <f>VLOOKUP($A$2, WeaponskillData, MATCH("WSC1 Name", WeaponskillDataCols, 0), 0)</f>
        <v>Vit</v>
      </c>
      <c r="J2" s="7">
        <f ca="1">INDIRECT($A$1 &amp; "WS" &amp; I2)</f>
        <v>365</v>
      </c>
      <c r="K2" s="118">
        <f>VLOOKUP($A$2, WeaponskillData, MATCH("WSC1 Value", WeaponskillDataCols, 0), 0)</f>
        <v>0.8</v>
      </c>
      <c r="P2" s="26" t="s">
        <v>214</v>
      </c>
      <c r="Q2" s="119">
        <f ca="1">T531+Set1OverTP</f>
        <v>4.0663797476181074</v>
      </c>
      <c r="R2" s="119">
        <f ca="1">T1064+Set2OverTP</f>
        <v>3.4232147067135088</v>
      </c>
    </row>
    <row r="3" spans="1:28">
      <c r="A3" t="s">
        <v>48</v>
      </c>
      <c r="B3" s="32">
        <f ca="1">Set1MeleeTP</f>
        <v>279</v>
      </c>
      <c r="D3" t="s">
        <v>44</v>
      </c>
      <c r="E3" s="2">
        <f ca="1">Set1DA</f>
        <v>0.05</v>
      </c>
      <c r="F3" s="2">
        <f ca="1">Set1DA</f>
        <v>0.05</v>
      </c>
      <c r="I3" t="str">
        <f>VLOOKUP($A$2, WeaponskillData, MATCH("WSC2 Name", WeaponskillDataCols, 0), 0)</f>
        <v>N/A</v>
      </c>
      <c r="J3" s="7">
        <f ca="1">IF(I3&lt;&gt;"N/A", INDIRECT($A$1 &amp; "WS" &amp; I3), 0)</f>
        <v>0</v>
      </c>
      <c r="K3" s="118">
        <f>IF(I3&lt;&gt;"N/A", VLOOKUP($A$2, WeaponskillData, MATCH("WSC2 Value", WeaponskillDataCols, 0), 0), 0)</f>
        <v>0</v>
      </c>
      <c r="P3" s="26" t="s">
        <v>29</v>
      </c>
      <c r="Q3" s="120">
        <f ca="1">AA531</f>
        <v>29763.419428124995</v>
      </c>
      <c r="R3" s="120">
        <f ca="1">AA1064</f>
        <v>32082.887475000003</v>
      </c>
    </row>
    <row r="4" spans="1:28">
      <c r="A4" t="s">
        <v>49</v>
      </c>
      <c r="B4">
        <f ca="1">Set1WSTP</f>
        <v>231</v>
      </c>
      <c r="D4" t="s">
        <v>153</v>
      </c>
      <c r="E4" s="2">
        <f ca="1">Set1TA</f>
        <v>0</v>
      </c>
      <c r="F4" s="2">
        <f ca="1">Set1TA</f>
        <v>0</v>
      </c>
      <c r="I4" t="s">
        <v>103</v>
      </c>
      <c r="J4">
        <f ca="1">TRUNC(J2*K2+J3*K3+IF(Gear!B4="Utu",0.1,0)*Set1WSDex)</f>
        <v>316</v>
      </c>
    </row>
    <row r="5" spans="1:28">
      <c r="A5" t="s">
        <v>480</v>
      </c>
      <c r="B5">
        <f ca="1">Set1WSStoreTP</f>
        <v>90</v>
      </c>
      <c r="D5" t="s">
        <v>378</v>
      </c>
      <c r="E5" s="2">
        <f ca="1">Set1QA</f>
        <v>0.03</v>
      </c>
      <c r="F5" s="2">
        <f ca="1">Set1QA</f>
        <v>0.03</v>
      </c>
      <c r="I5" t="s">
        <v>104</v>
      </c>
      <c r="J5" s="3">
        <f>VLOOKUP($A$2, WeaponskillData, MATCH("FTP1", WeaponskillDataCols, 0), 0)</f>
        <v>4.75</v>
      </c>
      <c r="K5" s="3">
        <f>VLOOKUP($A$2, WeaponskillData, MATCH("FTP2", WeaponskillDataCols, 0), 0)</f>
        <v>7.5</v>
      </c>
      <c r="L5" s="3">
        <f>VLOOKUP($A$2, WeaponskillData, MATCH("FTP3", WeaponskillDataCols, 0), 0)</f>
        <v>10</v>
      </c>
      <c r="N5" t="s">
        <v>427</v>
      </c>
    </row>
    <row r="6" spans="1:28">
      <c r="A6" t="s">
        <v>379</v>
      </c>
      <c r="B6">
        <f ca="1">TRUNC(10*(1+B5/100))</f>
        <v>19</v>
      </c>
      <c r="D6" t="s">
        <v>546</v>
      </c>
      <c r="E6" s="2">
        <f ca="1">Melee!B25</f>
        <v>0</v>
      </c>
      <c r="F6" s="2">
        <v>0</v>
      </c>
      <c r="I6" s="28" t="s">
        <v>380</v>
      </c>
      <c r="J6" s="3">
        <f ca="1">J5+Set1FTP</f>
        <v>4.9453125</v>
      </c>
      <c r="K6" s="3">
        <f ca="1">K5+Set1FTP</f>
        <v>7.6953125</v>
      </c>
      <c r="L6" s="3">
        <f ca="1">L5+Set1FTP</f>
        <v>10.1953125</v>
      </c>
      <c r="N6" s="1">
        <f ca="1">VLOOKUP($A$2,WeaponskillData,MATCH("Def0",WeaponskillDataCols,0),0) + (MIN(MAX($J$7-1000, 0),1000)/1000)*VLOOKUP($A$2,WeaponskillData,MATCH("Def1",WeaponskillDataCols,0),0) + (MAX($J$7-2000,0)/1000)*VLOOKUP($A$2,WeaponskillData,MATCH("Def2",WeaponskillDataCols,0),0)</f>
        <v>0</v>
      </c>
    </row>
    <row r="7" spans="1:28">
      <c r="A7" t="s">
        <v>51</v>
      </c>
      <c r="B7" s="5">
        <f ca="1">Set1WSHitRate</f>
        <v>0.95</v>
      </c>
      <c r="D7" t="s">
        <v>547</v>
      </c>
      <c r="E7" s="2">
        <f ca="1">Melee!B26</f>
        <v>0</v>
      </c>
      <c r="F7" s="2">
        <v>0</v>
      </c>
      <c r="I7" t="s">
        <v>158</v>
      </c>
      <c r="J7" s="4">
        <f ca="1">MIN(TRUNC(V531+Set1TPBonus), 3000)</f>
        <v>2258</v>
      </c>
      <c r="K7" t="s">
        <v>381</v>
      </c>
      <c r="L7" s="3">
        <f ca="1">IF(J7&lt;1000, 0, IF(J7&lt;2000, J6+(J7-1000)/1000*(K6-J6), K6+(J7-2000)/1000*(L6-K6)))</f>
        <v>8.3403124999999996</v>
      </c>
    </row>
    <row r="8" spans="1:28">
      <c r="D8" t="s">
        <v>548</v>
      </c>
      <c r="E8" s="2">
        <f ca="1">Melee!B27</f>
        <v>0</v>
      </c>
      <c r="F8" s="2">
        <v>0</v>
      </c>
      <c r="I8" t="s">
        <v>383</v>
      </c>
      <c r="J8" s="118">
        <f>VLOOKUP($A$2, WeaponskillData, MATCH("Crit0", WeaponskillDataCols, 0), 0)</f>
        <v>0</v>
      </c>
      <c r="K8" s="1">
        <f ca="1">(MIN($J$7-1000, 1000)/1000)*VLOOKUP($A$2, WeaponskillData, MATCH("Crit1", WeaponskillDataCols, 0), 0) + (MAX($J$7-2000, 0)/1000)*VLOOKUP($A$2, WeaponskillData, MATCH("Crit2", WeaponskillDataCols, 0), 0)</f>
        <v>0</v>
      </c>
      <c r="P8" t="s">
        <v>384</v>
      </c>
      <c r="Q8" s="4">
        <f>Set1OverTP</f>
        <v>0.5</v>
      </c>
    </row>
    <row r="9" spans="1:28">
      <c r="A9" t="s">
        <v>382</v>
      </c>
      <c r="B9">
        <f>VLOOKUP($A$2, WeaponskillData, MATCH("Extra Hits", WeaponskillDataCols, 0), 0)</f>
        <v>0</v>
      </c>
      <c r="K9" t="s">
        <v>337</v>
      </c>
      <c r="L9" t="s">
        <v>105</v>
      </c>
      <c r="M9" t="s">
        <v>114</v>
      </c>
      <c r="P9" t="s">
        <v>424</v>
      </c>
      <c r="Q9" s="2">
        <f ca="1">Set1ConserveTP</f>
        <v>7.0000000000000007E-2</v>
      </c>
    </row>
    <row r="10" spans="1:28">
      <c r="A10" t="s">
        <v>385</v>
      </c>
      <c r="B10">
        <f ca="1">IF(Data!G23&gt;0, 1, 0)</f>
        <v>0</v>
      </c>
      <c r="I10" t="s">
        <v>386</v>
      </c>
      <c r="J10">
        <f ca="1">Set1MainDmg</f>
        <v>319</v>
      </c>
      <c r="K10">
        <f ca="1">FLOOR((J10+J4)*L7, 1)</f>
        <v>5296</v>
      </c>
      <c r="L10" s="1">
        <f>IF(J8=0, 0, MIN($J$8+$K$8+Set1CritMain, 100%))</f>
        <v>0</v>
      </c>
      <c r="M10" s="2">
        <f ca="1">Set1CritDmg</f>
        <v>1.08</v>
      </c>
      <c r="P10" t="s">
        <v>412</v>
      </c>
      <c r="Q10">
        <f ca="1">Set1SaveTP</f>
        <v>0</v>
      </c>
    </row>
    <row r="11" spans="1:28">
      <c r="I11" t="s">
        <v>185</v>
      </c>
      <c r="J11">
        <f ca="1">Set1MainDmg</f>
        <v>319</v>
      </c>
      <c r="K11">
        <f ca="1">IF(J11&gt;0, FLOOR((J11+$J$4) * IF(VLOOKUP($A$2, WeaponskillData, MATCH("FTPCarry", WeaponskillDataCols, 0), 0)=1, $L$7, 1), 1), 0)</f>
        <v>635</v>
      </c>
      <c r="L11" s="1">
        <f>IF(J8=0, 0, MIN($J$8+$K$8+Set1CritMain, 100%))</f>
        <v>0</v>
      </c>
      <c r="M11" s="2">
        <f ca="1">Set1CritDmg</f>
        <v>1.08</v>
      </c>
      <c r="P11" t="s">
        <v>455</v>
      </c>
      <c r="Q11">
        <f>Set1MinTP</f>
        <v>1500</v>
      </c>
      <c r="AA11" s="13"/>
    </row>
    <row r="12" spans="1:28">
      <c r="A12" t="s">
        <v>306</v>
      </c>
      <c r="B12">
        <f>IF(OR(Setup!$F$5="WS Only", Setup!$F$5="On"), 1, 0)</f>
        <v>0</v>
      </c>
      <c r="I12" t="s">
        <v>387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>IF(J8=0, 0, MIN($J$8+$K$8+Set1CritMain, 100%))</f>
        <v>0</v>
      </c>
      <c r="P12" t="s">
        <v>494</v>
      </c>
      <c r="Q12" s="79">
        <f ca="1">Set1WSDmg</f>
        <v>1.53</v>
      </c>
      <c r="V12" s="32"/>
      <c r="AB12" s="4"/>
    </row>
    <row r="13" spans="1:28">
      <c r="A13" t="s">
        <v>307</v>
      </c>
      <c r="B13" s="2">
        <f>Data!$D$200</f>
        <v>0.1</v>
      </c>
      <c r="I13" t="s">
        <v>388</v>
      </c>
      <c r="J13">
        <f ca="1">Set1OffDmg</f>
        <v>0</v>
      </c>
      <c r="K13">
        <f ca="1">IF(J13&gt;0, FLOOR((J13+$J$4) * IF(VLOOKUP($A$2, WeaponskillData, MATCH("FTPCarry", WeaponskillDataCols, 0), 0)=1, $L$7, 1), 1), 0)</f>
        <v>0</v>
      </c>
      <c r="L13" s="1">
        <f>IF(J8=0, 0, MIN($J$8+$K$8+Set1CritOff, 100%))</f>
        <v>0</v>
      </c>
      <c r="AA13" s="7"/>
    </row>
    <row r="14" spans="1:28">
      <c r="A14" t="s">
        <v>217</v>
      </c>
      <c r="B14">
        <f ca="1">FLOOR(Setup!F$6*Data!$D$57, 1)</f>
        <v>1812</v>
      </c>
      <c r="I14" t="s">
        <v>37</v>
      </c>
      <c r="J14" s="6">
        <f ca="1">Set1CRatio</f>
        <v>4.125</v>
      </c>
      <c r="K14" s="29" t="s">
        <v>681</v>
      </c>
      <c r="L14" s="6">
        <f ca="1">Data!D96</f>
        <v>3.8250000000000002</v>
      </c>
      <c r="M14" s="6">
        <f ca="1">Data!D112</f>
        <v>4.8449999999999998</v>
      </c>
      <c r="AA14" s="13"/>
    </row>
    <row r="15" spans="1:28">
      <c r="I15" t="s">
        <v>123</v>
      </c>
      <c r="J15" s="7">
        <f ca="1">Set1Regain</f>
        <v>0</v>
      </c>
      <c r="K15" s="29" t="s">
        <v>682</v>
      </c>
      <c r="L15" s="6">
        <f ca="1">Data!D156</f>
        <v>2.4543589339717742</v>
      </c>
      <c r="M15" s="6">
        <f ca="1">Data!D172</f>
        <v>3.4754032258064518</v>
      </c>
    </row>
    <row r="17" spans="1:31">
      <c r="A17" t="s">
        <v>481</v>
      </c>
      <c r="B17" t="s">
        <v>482</v>
      </c>
      <c r="C17" t="s">
        <v>45</v>
      </c>
      <c r="D17" s="28" t="s">
        <v>390</v>
      </c>
      <c r="E17" t="s">
        <v>389</v>
      </c>
      <c r="F17" t="s">
        <v>483</v>
      </c>
      <c r="G17" t="s">
        <v>391</v>
      </c>
      <c r="H17" t="s">
        <v>392</v>
      </c>
      <c r="I17" t="s">
        <v>393</v>
      </c>
      <c r="J17" t="s">
        <v>394</v>
      </c>
      <c r="K17" s="2" t="s">
        <v>395</v>
      </c>
      <c r="L17" t="s">
        <v>396</v>
      </c>
      <c r="M17" t="s">
        <v>458</v>
      </c>
      <c r="N17" s="26" t="s">
        <v>459</v>
      </c>
      <c r="O17" s="16" t="s">
        <v>397</v>
      </c>
      <c r="P17" s="16" t="s">
        <v>398</v>
      </c>
      <c r="Q17" s="16" t="s">
        <v>399</v>
      </c>
      <c r="R17" s="16" t="s">
        <v>400</v>
      </c>
      <c r="S17" s="16" t="s">
        <v>401</v>
      </c>
      <c r="T17" s="20" t="s">
        <v>402</v>
      </c>
      <c r="U17" s="20" t="s">
        <v>148</v>
      </c>
      <c r="V17" s="20" t="s">
        <v>403</v>
      </c>
      <c r="W17" s="20" t="s">
        <v>61</v>
      </c>
      <c r="X17" s="20" t="s">
        <v>404</v>
      </c>
      <c r="Y17" s="16" t="s">
        <v>216</v>
      </c>
      <c r="Z17" s="16" t="s">
        <v>325</v>
      </c>
      <c r="AA17" t="s">
        <v>425</v>
      </c>
    </row>
    <row r="18" spans="1:31">
      <c r="A18">
        <v>0</v>
      </c>
      <c r="B18">
        <v>0</v>
      </c>
      <c r="C18">
        <f t="shared" ref="C18:C81" ca="1" si="0">MIN(8, 1+$B$10+$B$9+A18+B18)</f>
        <v>1</v>
      </c>
      <c r="D18">
        <f t="shared" ref="D18:D81" ca="1" si="1">C18-(1+$B$10)</f>
        <v>0</v>
      </c>
      <c r="E18">
        <f t="shared" ref="E18:E81" ca="1" si="2">MIN(A18, C18-(1+$B$10+$B$9))</f>
        <v>0</v>
      </c>
      <c r="F18" s="110">
        <f t="shared" ref="F18:F81" ca="1" si="3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0.92149999999999999</v>
      </c>
      <c r="G18">
        <v>1</v>
      </c>
      <c r="H18">
        <v>1</v>
      </c>
      <c r="I18">
        <v>7</v>
      </c>
      <c r="J18" s="1">
        <f t="shared" ref="J18:J81" ca="1" si="4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t="shared" ref="K18:K81" ca="1" si="5">F18*J18</f>
        <v>0</v>
      </c>
      <c r="L18" s="13">
        <f t="shared" ref="L18:L81" ca="1" si="6">MAX((G18+H18)*Set1WSTP + I18*$B$6, Set1SaveTP)</f>
        <v>595</v>
      </c>
      <c r="M18" s="7">
        <f t="shared" ref="M18:M81" ca="1" si="7">MAX(Set1MinTP-(L18+Set1Regain), 0)</f>
        <v>905</v>
      </c>
      <c r="N18" s="26">
        <f t="shared" ref="N18:N81" ca="1" si="8">CEILING(M18/Set1MeleeTP, 1)</f>
        <v>4</v>
      </c>
      <c r="O18" s="44">
        <f t="shared" ref="O18:O81" ca="1" si="9">VLOOKUP(N18,AvgRoundsSet1,2)</f>
        <v>2.8886114468927948</v>
      </c>
      <c r="P18" s="44">
        <f t="shared" ref="P18:P81" ca="1" si="1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28.886114468927953</v>
      </c>
      <c r="Q18" s="44">
        <f t="shared" ref="Q18:Q81" ca="1" si="1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28.886114468927953</v>
      </c>
      <c r="R18" s="44">
        <f t="shared" ref="R18:R81" ca="1" si="12">(P18+Q18)/20</f>
        <v>2.8886114468927953</v>
      </c>
      <c r="S18" s="44">
        <f t="shared" ref="S18:S81" ca="1" si="13">R18*Set1ConserveTP + O18*(1-Set1ConserveTP)</f>
        <v>2.8886114468927948</v>
      </c>
      <c r="T18" s="4">
        <f t="shared" ref="T18:T81" ca="1" si="14">K18*S18</f>
        <v>0</v>
      </c>
      <c r="U18" s="120">
        <f t="shared" ref="U18:U81" ca="1" si="15">MIN(L18+(S18+Set1OverTP)*AvgHitsPerRound1*Set1MeleeTP + Set1Regain + 10.5*Set1ConserveTP, 3000)</f>
        <v>2083.7564194948759</v>
      </c>
      <c r="V18" s="4">
        <f t="shared" ref="V18:V81" ca="1" si="16">U18*K18</f>
        <v>0</v>
      </c>
      <c r="W18" s="13">
        <f t="shared" ref="W18:W81" ca="1" si="17">G18*$K$10*((1-$L$10)*$L$14 + $L$10*$M$14*$M$10)*Set1WSDmg + H18*$K$13*((1-$L$13)*$L$15 + $L$13*$M$15*$M$11) + I18*$K$11*((1-$L$11)*$L$14 + $L$11*$M$14*$M$11) + E18*$K$12*$L$12*$M$10</f>
        <v>47995.641000000003</v>
      </c>
      <c r="X18" s="4">
        <f t="shared" ref="X18:X81" ca="1" si="18">K18*W18</f>
        <v>0</v>
      </c>
      <c r="Y18" s="4">
        <f t="shared" ref="Y18:Y81" si="19">IF($B$12=1, (VLOOKUP(C18, IF($B$13=10%,Souleater10,Souleater12), 6, FALSE) * $B$14), 0)</f>
        <v>0</v>
      </c>
      <c r="Z18" s="13">
        <f ca="1">Y18+W18</f>
        <v>47995.641000000003</v>
      </c>
      <c r="AA18" s="4">
        <f ca="1">Z18*K18</f>
        <v>0</v>
      </c>
      <c r="AE18" s="4"/>
    </row>
    <row r="19" spans="1:31">
      <c r="A19">
        <v>0</v>
      </c>
      <c r="B19">
        <v>0</v>
      </c>
      <c r="C19">
        <f t="shared" ca="1" si="0"/>
        <v>1</v>
      </c>
      <c r="D19">
        <f t="shared" ca="1" si="1"/>
        <v>0</v>
      </c>
      <c r="E19">
        <f t="shared" ca="1" si="2"/>
        <v>0</v>
      </c>
      <c r="F19" s="110">
        <f t="shared" ca="1" si="3"/>
        <v>0.92149999999999999</v>
      </c>
      <c r="G19">
        <v>1</v>
      </c>
      <c r="H19">
        <v>1</v>
      </c>
      <c r="I19">
        <v>6</v>
      </c>
      <c r="J19" s="1">
        <f t="shared" ca="1" si="4"/>
        <v>0</v>
      </c>
      <c r="K19" s="1">
        <f t="shared" ca="1" si="5"/>
        <v>0</v>
      </c>
      <c r="L19" s="13">
        <f t="shared" ca="1" si="6"/>
        <v>576</v>
      </c>
      <c r="M19" s="7">
        <f t="shared" ca="1" si="7"/>
        <v>924</v>
      </c>
      <c r="N19" s="26">
        <f t="shared" ca="1" si="8"/>
        <v>4</v>
      </c>
      <c r="O19" s="44">
        <f t="shared" ca="1" si="9"/>
        <v>2.8886114468927948</v>
      </c>
      <c r="P19" s="44">
        <f t="shared" ca="1" si="10"/>
        <v>28.886114468927953</v>
      </c>
      <c r="Q19" s="44">
        <f t="shared" ca="1" si="11"/>
        <v>28.886114468927953</v>
      </c>
      <c r="R19" s="44">
        <f t="shared" ca="1" si="12"/>
        <v>2.8886114468927953</v>
      </c>
      <c r="S19" s="44">
        <f t="shared" ca="1" si="13"/>
        <v>2.8886114468927948</v>
      </c>
      <c r="T19" s="4">
        <f t="shared" ca="1" si="14"/>
        <v>0</v>
      </c>
      <c r="U19" s="120">
        <f t="shared" ca="1" si="15"/>
        <v>2064.7564194948759</v>
      </c>
      <c r="V19" s="4">
        <f t="shared" ca="1" si="16"/>
        <v>0</v>
      </c>
      <c r="W19" s="13">
        <f t="shared" ca="1" si="17"/>
        <v>45566.766000000003</v>
      </c>
      <c r="X19" s="4">
        <f t="shared" ca="1" si="18"/>
        <v>0</v>
      </c>
      <c r="Y19" s="4">
        <f t="shared" si="19"/>
        <v>0</v>
      </c>
      <c r="Z19" s="13">
        <f t="shared" ref="Z19:Z82" ca="1" si="20">Y19+W19</f>
        <v>45566.766000000003</v>
      </c>
      <c r="AA19" s="4">
        <f t="shared" ref="AA19:AA82" ca="1" si="21">Z19*K19</f>
        <v>0</v>
      </c>
      <c r="AE19" s="4"/>
    </row>
    <row r="20" spans="1:31">
      <c r="A20">
        <v>0</v>
      </c>
      <c r="B20">
        <v>0</v>
      </c>
      <c r="C20">
        <f t="shared" ca="1" si="0"/>
        <v>1</v>
      </c>
      <c r="D20">
        <f t="shared" ca="1" si="1"/>
        <v>0</v>
      </c>
      <c r="E20">
        <f t="shared" ca="1" si="2"/>
        <v>0</v>
      </c>
      <c r="F20" s="110">
        <f t="shared" ca="1" si="3"/>
        <v>0.92149999999999999</v>
      </c>
      <c r="G20">
        <v>1</v>
      </c>
      <c r="H20">
        <v>1</v>
      </c>
      <c r="I20">
        <v>5</v>
      </c>
      <c r="J20" s="1">
        <f t="shared" ca="1" si="4"/>
        <v>0</v>
      </c>
      <c r="K20" s="1">
        <f t="shared" ca="1" si="5"/>
        <v>0</v>
      </c>
      <c r="L20" s="13">
        <f t="shared" ca="1" si="6"/>
        <v>557</v>
      </c>
      <c r="M20" s="7">
        <f t="shared" ca="1" si="7"/>
        <v>943</v>
      </c>
      <c r="N20" s="26">
        <f t="shared" ca="1" si="8"/>
        <v>4</v>
      </c>
      <c r="O20" s="44">
        <f t="shared" ca="1" si="9"/>
        <v>2.8886114468927948</v>
      </c>
      <c r="P20" s="44">
        <f t="shared" ca="1" si="10"/>
        <v>28.886114468927953</v>
      </c>
      <c r="Q20" s="44">
        <f t="shared" ca="1" si="11"/>
        <v>28.886114468927953</v>
      </c>
      <c r="R20" s="44">
        <f t="shared" ca="1" si="12"/>
        <v>2.8886114468927953</v>
      </c>
      <c r="S20" s="44">
        <f t="shared" ca="1" si="13"/>
        <v>2.8886114468927948</v>
      </c>
      <c r="T20" s="4">
        <f t="shared" ca="1" si="14"/>
        <v>0</v>
      </c>
      <c r="U20" s="120">
        <f t="shared" ca="1" si="15"/>
        <v>2045.7564194948757</v>
      </c>
      <c r="V20" s="4">
        <f t="shared" ca="1" si="16"/>
        <v>0</v>
      </c>
      <c r="W20" s="13">
        <f t="shared" ca="1" si="17"/>
        <v>43137.891000000003</v>
      </c>
      <c r="X20" s="4">
        <f t="shared" ca="1" si="18"/>
        <v>0</v>
      </c>
      <c r="Y20" s="4">
        <f t="shared" si="19"/>
        <v>0</v>
      </c>
      <c r="Z20" s="13">
        <f t="shared" ca="1" si="20"/>
        <v>43137.891000000003</v>
      </c>
      <c r="AA20" s="4">
        <f t="shared" ca="1" si="21"/>
        <v>0</v>
      </c>
      <c r="AE20" s="4"/>
    </row>
    <row r="21" spans="1:31">
      <c r="A21">
        <v>0</v>
      </c>
      <c r="B21">
        <v>0</v>
      </c>
      <c r="C21">
        <f t="shared" ca="1" si="0"/>
        <v>1</v>
      </c>
      <c r="D21">
        <f t="shared" ca="1" si="1"/>
        <v>0</v>
      </c>
      <c r="E21">
        <f t="shared" ca="1" si="2"/>
        <v>0</v>
      </c>
      <c r="F21" s="110">
        <f t="shared" ca="1" si="3"/>
        <v>0.92149999999999999</v>
      </c>
      <c r="G21">
        <v>1</v>
      </c>
      <c r="H21">
        <v>1</v>
      </c>
      <c r="I21">
        <v>4</v>
      </c>
      <c r="J21" s="1">
        <f t="shared" ca="1" si="4"/>
        <v>0</v>
      </c>
      <c r="K21" s="1">
        <f t="shared" ca="1" si="5"/>
        <v>0</v>
      </c>
      <c r="L21" s="13">
        <f t="shared" ca="1" si="6"/>
        <v>538</v>
      </c>
      <c r="M21" s="7">
        <f t="shared" ca="1" si="7"/>
        <v>962</v>
      </c>
      <c r="N21" s="26">
        <f t="shared" ca="1" si="8"/>
        <v>4</v>
      </c>
      <c r="O21" s="44">
        <f t="shared" ca="1" si="9"/>
        <v>2.8886114468927948</v>
      </c>
      <c r="P21" s="44">
        <f t="shared" ca="1" si="10"/>
        <v>28.886114468927953</v>
      </c>
      <c r="Q21" s="44">
        <f t="shared" ca="1" si="11"/>
        <v>28.886114468927953</v>
      </c>
      <c r="R21" s="44">
        <f t="shared" ca="1" si="12"/>
        <v>2.8886114468927953</v>
      </c>
      <c r="S21" s="44">
        <f t="shared" ca="1" si="13"/>
        <v>2.8886114468927948</v>
      </c>
      <c r="T21" s="4">
        <f t="shared" ca="1" si="14"/>
        <v>0</v>
      </c>
      <c r="U21" s="120">
        <f t="shared" ca="1" si="15"/>
        <v>2026.7564194948757</v>
      </c>
      <c r="V21" s="4">
        <f t="shared" ca="1" si="16"/>
        <v>0</v>
      </c>
      <c r="W21" s="13">
        <f t="shared" ca="1" si="17"/>
        <v>40709.016000000003</v>
      </c>
      <c r="X21" s="4">
        <f t="shared" ca="1" si="18"/>
        <v>0</v>
      </c>
      <c r="Y21" s="4">
        <f t="shared" si="19"/>
        <v>0</v>
      </c>
      <c r="Z21" s="13">
        <f t="shared" ca="1" si="20"/>
        <v>40709.016000000003</v>
      </c>
      <c r="AA21" s="4">
        <f t="shared" ca="1" si="21"/>
        <v>0</v>
      </c>
      <c r="AE21" s="4"/>
    </row>
    <row r="22" spans="1:31">
      <c r="A22">
        <v>0</v>
      </c>
      <c r="B22">
        <v>0</v>
      </c>
      <c r="C22">
        <f t="shared" ca="1" si="0"/>
        <v>1</v>
      </c>
      <c r="D22">
        <f t="shared" ca="1" si="1"/>
        <v>0</v>
      </c>
      <c r="E22">
        <f t="shared" ca="1" si="2"/>
        <v>0</v>
      </c>
      <c r="F22" s="110">
        <f t="shared" ca="1" si="3"/>
        <v>0.92149999999999999</v>
      </c>
      <c r="G22">
        <v>1</v>
      </c>
      <c r="H22">
        <v>1</v>
      </c>
      <c r="I22">
        <v>3</v>
      </c>
      <c r="J22" s="1">
        <f t="shared" ca="1" si="4"/>
        <v>0</v>
      </c>
      <c r="K22" s="1">
        <f t="shared" ca="1" si="5"/>
        <v>0</v>
      </c>
      <c r="L22" s="13">
        <f t="shared" ca="1" si="6"/>
        <v>519</v>
      </c>
      <c r="M22" s="7">
        <f t="shared" ca="1" si="7"/>
        <v>981</v>
      </c>
      <c r="N22" s="26">
        <f t="shared" ca="1" si="8"/>
        <v>4</v>
      </c>
      <c r="O22" s="44">
        <f t="shared" ca="1" si="9"/>
        <v>2.8886114468927948</v>
      </c>
      <c r="P22" s="44">
        <f t="shared" ca="1" si="10"/>
        <v>28.886114468927953</v>
      </c>
      <c r="Q22" s="44">
        <f t="shared" ca="1" si="11"/>
        <v>28.886114468927953</v>
      </c>
      <c r="R22" s="44">
        <f t="shared" ca="1" si="12"/>
        <v>2.8886114468927953</v>
      </c>
      <c r="S22" s="44">
        <f t="shared" ca="1" si="13"/>
        <v>2.8886114468927948</v>
      </c>
      <c r="T22" s="4">
        <f t="shared" ca="1" si="14"/>
        <v>0</v>
      </c>
      <c r="U22" s="120">
        <f t="shared" ca="1" si="15"/>
        <v>2007.7564194948757</v>
      </c>
      <c r="V22" s="4">
        <f t="shared" ca="1" si="16"/>
        <v>0</v>
      </c>
      <c r="W22" s="13">
        <f t="shared" ca="1" si="17"/>
        <v>38280.141000000003</v>
      </c>
      <c r="X22" s="4">
        <f t="shared" ca="1" si="18"/>
        <v>0</v>
      </c>
      <c r="Y22" s="4">
        <f t="shared" si="19"/>
        <v>0</v>
      </c>
      <c r="Z22" s="13">
        <f t="shared" ca="1" si="20"/>
        <v>38280.141000000003</v>
      </c>
      <c r="AA22" s="4">
        <f t="shared" ca="1" si="21"/>
        <v>0</v>
      </c>
      <c r="AE22" s="4"/>
    </row>
    <row r="23" spans="1:31">
      <c r="A23">
        <v>0</v>
      </c>
      <c r="B23">
        <v>0</v>
      </c>
      <c r="C23">
        <f t="shared" ca="1" si="0"/>
        <v>1</v>
      </c>
      <c r="D23">
        <f t="shared" ca="1" si="1"/>
        <v>0</v>
      </c>
      <c r="E23">
        <f t="shared" ca="1" si="2"/>
        <v>0</v>
      </c>
      <c r="F23" s="110">
        <f t="shared" ca="1" si="3"/>
        <v>0.92149999999999999</v>
      </c>
      <c r="G23">
        <v>1</v>
      </c>
      <c r="H23">
        <v>1</v>
      </c>
      <c r="I23">
        <v>2</v>
      </c>
      <c r="J23" s="1">
        <f t="shared" ca="1" si="4"/>
        <v>0</v>
      </c>
      <c r="K23" s="1">
        <f t="shared" ca="1" si="5"/>
        <v>0</v>
      </c>
      <c r="L23" s="13">
        <f t="shared" ca="1" si="6"/>
        <v>500</v>
      </c>
      <c r="M23" s="7">
        <f t="shared" ca="1" si="7"/>
        <v>1000</v>
      </c>
      <c r="N23" s="26">
        <f t="shared" ca="1" si="8"/>
        <v>4</v>
      </c>
      <c r="O23" s="44">
        <f t="shared" ca="1" si="9"/>
        <v>2.8886114468927948</v>
      </c>
      <c r="P23" s="44">
        <f t="shared" ca="1" si="10"/>
        <v>28.886114468927953</v>
      </c>
      <c r="Q23" s="44">
        <f t="shared" ca="1" si="11"/>
        <v>28.886114468927953</v>
      </c>
      <c r="R23" s="44">
        <f t="shared" ca="1" si="12"/>
        <v>2.8886114468927953</v>
      </c>
      <c r="S23" s="44">
        <f t="shared" ca="1" si="13"/>
        <v>2.8886114468927948</v>
      </c>
      <c r="T23" s="4">
        <f t="shared" ca="1" si="14"/>
        <v>0</v>
      </c>
      <c r="U23" s="120">
        <f t="shared" ca="1" si="15"/>
        <v>1988.7564194948757</v>
      </c>
      <c r="V23" s="4">
        <f t="shared" ca="1" si="16"/>
        <v>0</v>
      </c>
      <c r="W23" s="13">
        <f t="shared" ca="1" si="17"/>
        <v>35851.266000000003</v>
      </c>
      <c r="X23" s="4">
        <f t="shared" ca="1" si="18"/>
        <v>0</v>
      </c>
      <c r="Y23" s="4">
        <f t="shared" si="19"/>
        <v>0</v>
      </c>
      <c r="Z23" s="13">
        <f t="shared" ca="1" si="20"/>
        <v>35851.266000000003</v>
      </c>
      <c r="AA23" s="4">
        <f t="shared" ca="1" si="21"/>
        <v>0</v>
      </c>
      <c r="AE23" s="4"/>
    </row>
    <row r="24" spans="1:31">
      <c r="A24">
        <v>0</v>
      </c>
      <c r="B24">
        <v>0</v>
      </c>
      <c r="C24">
        <f t="shared" ca="1" si="0"/>
        <v>1</v>
      </c>
      <c r="D24">
        <f t="shared" ca="1" si="1"/>
        <v>0</v>
      </c>
      <c r="E24">
        <f t="shared" ca="1" si="2"/>
        <v>0</v>
      </c>
      <c r="F24" s="110">
        <f t="shared" ca="1" si="3"/>
        <v>0.92149999999999999</v>
      </c>
      <c r="G24">
        <v>1</v>
      </c>
      <c r="H24">
        <v>1</v>
      </c>
      <c r="I24">
        <v>1</v>
      </c>
      <c r="J24" s="1">
        <f t="shared" ca="1" si="4"/>
        <v>0</v>
      </c>
      <c r="K24" s="1">
        <f t="shared" ca="1" si="5"/>
        <v>0</v>
      </c>
      <c r="L24" s="13">
        <f t="shared" ca="1" si="6"/>
        <v>481</v>
      </c>
      <c r="M24" s="7">
        <f t="shared" ca="1" si="7"/>
        <v>1019</v>
      </c>
      <c r="N24" s="26">
        <f t="shared" ca="1" si="8"/>
        <v>4</v>
      </c>
      <c r="O24" s="44">
        <f t="shared" ca="1" si="9"/>
        <v>2.8886114468927948</v>
      </c>
      <c r="P24" s="44">
        <f t="shared" ca="1" si="10"/>
        <v>28.886114468927953</v>
      </c>
      <c r="Q24" s="44">
        <f t="shared" ca="1" si="11"/>
        <v>28.886114468927953</v>
      </c>
      <c r="R24" s="44">
        <f t="shared" ca="1" si="12"/>
        <v>2.8886114468927953</v>
      </c>
      <c r="S24" s="44">
        <f t="shared" ca="1" si="13"/>
        <v>2.8886114468927948</v>
      </c>
      <c r="T24" s="4">
        <f t="shared" ca="1" si="14"/>
        <v>0</v>
      </c>
      <c r="U24" s="120">
        <f t="shared" ca="1" si="15"/>
        <v>1969.7564194948757</v>
      </c>
      <c r="V24" s="4">
        <f t="shared" ca="1" si="16"/>
        <v>0</v>
      </c>
      <c r="W24" s="13">
        <f t="shared" ca="1" si="17"/>
        <v>33422.391000000003</v>
      </c>
      <c r="X24" s="4">
        <f t="shared" ca="1" si="18"/>
        <v>0</v>
      </c>
      <c r="Y24" s="4">
        <f t="shared" si="19"/>
        <v>0</v>
      </c>
      <c r="Z24" s="13">
        <f t="shared" ca="1" si="20"/>
        <v>33422.391000000003</v>
      </c>
      <c r="AA24" s="4">
        <f t="shared" ca="1" si="21"/>
        <v>0</v>
      </c>
      <c r="AE24" s="4"/>
    </row>
    <row r="25" spans="1:31">
      <c r="A25">
        <v>0</v>
      </c>
      <c r="B25">
        <v>0</v>
      </c>
      <c r="C25">
        <f t="shared" ca="1" si="0"/>
        <v>1</v>
      </c>
      <c r="D25">
        <f t="shared" ca="1" si="1"/>
        <v>0</v>
      </c>
      <c r="E25">
        <f t="shared" ca="1" si="2"/>
        <v>0</v>
      </c>
      <c r="F25" s="110">
        <f t="shared" ca="1" si="3"/>
        <v>0.92149999999999999</v>
      </c>
      <c r="G25">
        <v>1</v>
      </c>
      <c r="H25">
        <v>1</v>
      </c>
      <c r="I25">
        <v>0</v>
      </c>
      <c r="J25" s="1">
        <f t="shared" ca="1" si="4"/>
        <v>0</v>
      </c>
      <c r="K25" s="1">
        <f t="shared" ca="1" si="5"/>
        <v>0</v>
      </c>
      <c r="L25" s="13">
        <f t="shared" ca="1" si="6"/>
        <v>462</v>
      </c>
      <c r="M25" s="7">
        <f t="shared" ca="1" si="7"/>
        <v>1038</v>
      </c>
      <c r="N25" s="26">
        <f t="shared" ca="1" si="8"/>
        <v>4</v>
      </c>
      <c r="O25" s="44">
        <f t="shared" ca="1" si="9"/>
        <v>2.8886114468927948</v>
      </c>
      <c r="P25" s="44">
        <f t="shared" ca="1" si="10"/>
        <v>28.886114468927953</v>
      </c>
      <c r="Q25" s="44">
        <f t="shared" ca="1" si="11"/>
        <v>28.886114468927953</v>
      </c>
      <c r="R25" s="44">
        <f t="shared" ca="1" si="12"/>
        <v>2.8886114468927953</v>
      </c>
      <c r="S25" s="44">
        <f t="shared" ca="1" si="13"/>
        <v>2.8886114468927948</v>
      </c>
      <c r="T25" s="4">
        <f t="shared" ca="1" si="14"/>
        <v>0</v>
      </c>
      <c r="U25" s="120">
        <f t="shared" ca="1" si="15"/>
        <v>1950.7564194948757</v>
      </c>
      <c r="V25" s="4">
        <f t="shared" ca="1" si="16"/>
        <v>0</v>
      </c>
      <c r="W25" s="13">
        <f t="shared" ca="1" si="17"/>
        <v>30993.516000000003</v>
      </c>
      <c r="X25" s="4">
        <f t="shared" ca="1" si="18"/>
        <v>0</v>
      </c>
      <c r="Y25" s="4">
        <f t="shared" si="19"/>
        <v>0</v>
      </c>
      <c r="Z25" s="13">
        <f t="shared" ca="1" si="20"/>
        <v>30993.516000000003</v>
      </c>
      <c r="AA25" s="4">
        <f t="shared" ca="1" si="21"/>
        <v>0</v>
      </c>
      <c r="AE25" s="4"/>
    </row>
    <row r="26" spans="1:31">
      <c r="A26">
        <v>0</v>
      </c>
      <c r="B26">
        <v>0</v>
      </c>
      <c r="C26">
        <f t="shared" ca="1" si="0"/>
        <v>1</v>
      </c>
      <c r="D26">
        <f t="shared" ca="1" si="1"/>
        <v>0</v>
      </c>
      <c r="E26">
        <f t="shared" ca="1" si="2"/>
        <v>0</v>
      </c>
      <c r="F26" s="110">
        <f t="shared" ca="1" si="3"/>
        <v>0.92149999999999999</v>
      </c>
      <c r="G26">
        <v>1</v>
      </c>
      <c r="H26">
        <v>0</v>
      </c>
      <c r="I26">
        <v>7</v>
      </c>
      <c r="J26" s="1">
        <f t="shared" ca="1" si="4"/>
        <v>0</v>
      </c>
      <c r="K26" s="1">
        <f t="shared" ca="1" si="5"/>
        <v>0</v>
      </c>
      <c r="L26" s="13">
        <f t="shared" ca="1" si="6"/>
        <v>364</v>
      </c>
      <c r="M26" s="7">
        <f t="shared" ca="1" si="7"/>
        <v>1136</v>
      </c>
      <c r="N26" s="26">
        <f t="shared" ca="1" si="8"/>
        <v>5</v>
      </c>
      <c r="O26" s="44">
        <f t="shared" ca="1" si="9"/>
        <v>3.5346387789404914</v>
      </c>
      <c r="P26" s="44">
        <f t="shared" ca="1" si="10"/>
        <v>35.346387789404908</v>
      </c>
      <c r="Q26" s="44">
        <f t="shared" ca="1" si="11"/>
        <v>34.700360457357213</v>
      </c>
      <c r="R26" s="44">
        <f t="shared" ca="1" si="12"/>
        <v>3.5023374123381061</v>
      </c>
      <c r="S26" s="44">
        <f t="shared" ca="1" si="13"/>
        <v>3.532377683278324</v>
      </c>
      <c r="T26" s="4">
        <f t="shared" ca="1" si="14"/>
        <v>0</v>
      </c>
      <c r="U26" s="120">
        <f t="shared" ca="1" si="15"/>
        <v>2135.4497774977995</v>
      </c>
      <c r="V26" s="4">
        <f t="shared" ca="1" si="16"/>
        <v>0</v>
      </c>
      <c r="W26" s="13">
        <f t="shared" ca="1" si="17"/>
        <v>47995.641000000003</v>
      </c>
      <c r="X26" s="4">
        <f t="shared" ca="1" si="18"/>
        <v>0</v>
      </c>
      <c r="Y26" s="4">
        <f t="shared" si="19"/>
        <v>0</v>
      </c>
      <c r="Z26" s="13">
        <f t="shared" ca="1" si="20"/>
        <v>47995.641000000003</v>
      </c>
      <c r="AA26" s="4">
        <f t="shared" ca="1" si="21"/>
        <v>0</v>
      </c>
      <c r="AE26" s="4"/>
    </row>
    <row r="27" spans="1:31">
      <c r="A27">
        <v>0</v>
      </c>
      <c r="B27">
        <v>0</v>
      </c>
      <c r="C27">
        <f t="shared" ca="1" si="0"/>
        <v>1</v>
      </c>
      <c r="D27">
        <f t="shared" ca="1" si="1"/>
        <v>0</v>
      </c>
      <c r="E27">
        <f t="shared" ca="1" si="2"/>
        <v>0</v>
      </c>
      <c r="F27" s="110">
        <f t="shared" ca="1" si="3"/>
        <v>0.92149999999999999</v>
      </c>
      <c r="G27">
        <v>1</v>
      </c>
      <c r="H27">
        <v>0</v>
      </c>
      <c r="I27">
        <v>6</v>
      </c>
      <c r="J27" s="1">
        <f t="shared" ca="1" si="4"/>
        <v>0</v>
      </c>
      <c r="K27" s="1">
        <f t="shared" ca="1" si="5"/>
        <v>0</v>
      </c>
      <c r="L27" s="13">
        <f t="shared" ca="1" si="6"/>
        <v>345</v>
      </c>
      <c r="M27" s="7">
        <f t="shared" ca="1" si="7"/>
        <v>1155</v>
      </c>
      <c r="N27" s="26">
        <f t="shared" ca="1" si="8"/>
        <v>5</v>
      </c>
      <c r="O27" s="44">
        <f t="shared" ca="1" si="9"/>
        <v>3.5346387789404914</v>
      </c>
      <c r="P27" s="44">
        <f t="shared" ca="1" si="10"/>
        <v>35.346387789404908</v>
      </c>
      <c r="Q27" s="44">
        <f t="shared" ca="1" si="11"/>
        <v>35.346387789404908</v>
      </c>
      <c r="R27" s="44">
        <f t="shared" ca="1" si="12"/>
        <v>3.5346387789404909</v>
      </c>
      <c r="S27" s="44">
        <f t="shared" ca="1" si="13"/>
        <v>3.5346387789404914</v>
      </c>
      <c r="T27" s="4">
        <f t="shared" ca="1" si="14"/>
        <v>0</v>
      </c>
      <c r="U27" s="120">
        <f t="shared" ca="1" si="15"/>
        <v>2117.4426794074939</v>
      </c>
      <c r="V27" s="4">
        <f t="shared" ca="1" si="16"/>
        <v>0</v>
      </c>
      <c r="W27" s="13">
        <f t="shared" ca="1" si="17"/>
        <v>45566.766000000003</v>
      </c>
      <c r="X27" s="4">
        <f t="shared" ca="1" si="18"/>
        <v>0</v>
      </c>
      <c r="Y27" s="4">
        <f t="shared" si="19"/>
        <v>0</v>
      </c>
      <c r="Z27" s="13">
        <f t="shared" ca="1" si="20"/>
        <v>45566.766000000003</v>
      </c>
      <c r="AA27" s="4">
        <f t="shared" ca="1" si="21"/>
        <v>0</v>
      </c>
      <c r="AE27" s="4"/>
    </row>
    <row r="28" spans="1:31">
      <c r="A28">
        <v>0</v>
      </c>
      <c r="B28">
        <v>0</v>
      </c>
      <c r="C28">
        <f t="shared" ca="1" si="0"/>
        <v>1</v>
      </c>
      <c r="D28">
        <f t="shared" ca="1" si="1"/>
        <v>0</v>
      </c>
      <c r="E28">
        <f t="shared" ca="1" si="2"/>
        <v>0</v>
      </c>
      <c r="F28" s="110">
        <f t="shared" ca="1" si="3"/>
        <v>0.92149999999999999</v>
      </c>
      <c r="G28">
        <v>1</v>
      </c>
      <c r="H28">
        <v>0</v>
      </c>
      <c r="I28">
        <v>5</v>
      </c>
      <c r="J28" s="1">
        <f t="shared" ca="1" si="4"/>
        <v>0</v>
      </c>
      <c r="K28" s="1">
        <f t="shared" ca="1" si="5"/>
        <v>0</v>
      </c>
      <c r="L28" s="13">
        <f t="shared" ca="1" si="6"/>
        <v>326</v>
      </c>
      <c r="M28" s="7">
        <f t="shared" ca="1" si="7"/>
        <v>1174</v>
      </c>
      <c r="N28" s="26">
        <f t="shared" ca="1" si="8"/>
        <v>5</v>
      </c>
      <c r="O28" s="44">
        <f t="shared" ca="1" si="9"/>
        <v>3.5346387789404914</v>
      </c>
      <c r="P28" s="44">
        <f t="shared" ca="1" si="10"/>
        <v>35.346387789404908</v>
      </c>
      <c r="Q28" s="44">
        <f t="shared" ca="1" si="11"/>
        <v>35.346387789404908</v>
      </c>
      <c r="R28" s="44">
        <f t="shared" ca="1" si="12"/>
        <v>3.5346387789404909</v>
      </c>
      <c r="S28" s="44">
        <f t="shared" ca="1" si="13"/>
        <v>3.5346387789404914</v>
      </c>
      <c r="T28" s="4">
        <f t="shared" ca="1" si="14"/>
        <v>0</v>
      </c>
      <c r="U28" s="120">
        <f t="shared" ca="1" si="15"/>
        <v>2098.4426794074939</v>
      </c>
      <c r="V28" s="4">
        <f t="shared" ca="1" si="16"/>
        <v>0</v>
      </c>
      <c r="W28" s="13">
        <f t="shared" ca="1" si="17"/>
        <v>43137.891000000003</v>
      </c>
      <c r="X28" s="4">
        <f t="shared" ca="1" si="18"/>
        <v>0</v>
      </c>
      <c r="Y28" s="4">
        <f t="shared" si="19"/>
        <v>0</v>
      </c>
      <c r="Z28" s="13">
        <f t="shared" ca="1" si="20"/>
        <v>43137.891000000003</v>
      </c>
      <c r="AA28" s="4">
        <f t="shared" ca="1" si="21"/>
        <v>0</v>
      </c>
      <c r="AE28" s="4"/>
    </row>
    <row r="29" spans="1:31">
      <c r="A29">
        <v>0</v>
      </c>
      <c r="B29">
        <v>0</v>
      </c>
      <c r="C29">
        <f t="shared" ca="1" si="0"/>
        <v>1</v>
      </c>
      <c r="D29">
        <f t="shared" ca="1" si="1"/>
        <v>0</v>
      </c>
      <c r="E29">
        <f t="shared" ca="1" si="2"/>
        <v>0</v>
      </c>
      <c r="F29" s="110">
        <f t="shared" ca="1" si="3"/>
        <v>0.92149999999999999</v>
      </c>
      <c r="G29">
        <v>1</v>
      </c>
      <c r="H29">
        <v>0</v>
      </c>
      <c r="I29">
        <v>4</v>
      </c>
      <c r="J29" s="1">
        <f t="shared" ca="1" si="4"/>
        <v>0</v>
      </c>
      <c r="K29" s="1">
        <f t="shared" ca="1" si="5"/>
        <v>0</v>
      </c>
      <c r="L29" s="13">
        <f t="shared" ca="1" si="6"/>
        <v>307</v>
      </c>
      <c r="M29" s="7">
        <f t="shared" ca="1" si="7"/>
        <v>1193</v>
      </c>
      <c r="N29" s="26">
        <f t="shared" ca="1" si="8"/>
        <v>5</v>
      </c>
      <c r="O29" s="44">
        <f t="shared" ca="1" si="9"/>
        <v>3.5346387789404914</v>
      </c>
      <c r="P29" s="44">
        <f t="shared" ca="1" si="10"/>
        <v>35.346387789404908</v>
      </c>
      <c r="Q29" s="44">
        <f t="shared" ca="1" si="11"/>
        <v>35.346387789404908</v>
      </c>
      <c r="R29" s="44">
        <f t="shared" ca="1" si="12"/>
        <v>3.5346387789404909</v>
      </c>
      <c r="S29" s="44">
        <f t="shared" ca="1" si="13"/>
        <v>3.5346387789404914</v>
      </c>
      <c r="T29" s="4">
        <f t="shared" ca="1" si="14"/>
        <v>0</v>
      </c>
      <c r="U29" s="120">
        <f t="shared" ca="1" si="15"/>
        <v>2079.4426794074939</v>
      </c>
      <c r="V29" s="4">
        <f t="shared" ca="1" si="16"/>
        <v>0</v>
      </c>
      <c r="W29" s="13">
        <f t="shared" ca="1" si="17"/>
        <v>40709.016000000003</v>
      </c>
      <c r="X29" s="4">
        <f t="shared" ca="1" si="18"/>
        <v>0</v>
      </c>
      <c r="Y29" s="4">
        <f t="shared" si="19"/>
        <v>0</v>
      </c>
      <c r="Z29" s="13">
        <f t="shared" ca="1" si="20"/>
        <v>40709.016000000003</v>
      </c>
      <c r="AA29" s="4">
        <f t="shared" ca="1" si="21"/>
        <v>0</v>
      </c>
      <c r="AE29" s="4"/>
    </row>
    <row r="30" spans="1:31">
      <c r="A30">
        <v>0</v>
      </c>
      <c r="B30">
        <v>0</v>
      </c>
      <c r="C30">
        <f t="shared" ca="1" si="0"/>
        <v>1</v>
      </c>
      <c r="D30">
        <f t="shared" ca="1" si="1"/>
        <v>0</v>
      </c>
      <c r="E30">
        <f t="shared" ca="1" si="2"/>
        <v>0</v>
      </c>
      <c r="F30" s="110">
        <f t="shared" ca="1" si="3"/>
        <v>0.92149999999999999</v>
      </c>
      <c r="G30">
        <v>1</v>
      </c>
      <c r="H30">
        <v>0</v>
      </c>
      <c r="I30">
        <v>3</v>
      </c>
      <c r="J30" s="1">
        <f t="shared" ca="1" si="4"/>
        <v>0</v>
      </c>
      <c r="K30" s="1">
        <f t="shared" ca="1" si="5"/>
        <v>0</v>
      </c>
      <c r="L30" s="13">
        <f t="shared" ca="1" si="6"/>
        <v>288</v>
      </c>
      <c r="M30" s="7">
        <f t="shared" ca="1" si="7"/>
        <v>1212</v>
      </c>
      <c r="N30" s="26">
        <f t="shared" ca="1" si="8"/>
        <v>5</v>
      </c>
      <c r="O30" s="44">
        <f t="shared" ca="1" si="9"/>
        <v>3.5346387789404914</v>
      </c>
      <c r="P30" s="44">
        <f t="shared" ca="1" si="10"/>
        <v>35.346387789404908</v>
      </c>
      <c r="Q30" s="44">
        <f t="shared" ca="1" si="11"/>
        <v>35.346387789404908</v>
      </c>
      <c r="R30" s="44">
        <f t="shared" ca="1" si="12"/>
        <v>3.5346387789404909</v>
      </c>
      <c r="S30" s="44">
        <f t="shared" ca="1" si="13"/>
        <v>3.5346387789404914</v>
      </c>
      <c r="T30" s="4">
        <f t="shared" ca="1" si="14"/>
        <v>0</v>
      </c>
      <c r="U30" s="120">
        <f t="shared" ca="1" si="15"/>
        <v>2060.4426794074939</v>
      </c>
      <c r="V30" s="4">
        <f t="shared" ca="1" si="16"/>
        <v>0</v>
      </c>
      <c r="W30" s="13">
        <f t="shared" ca="1" si="17"/>
        <v>38280.141000000003</v>
      </c>
      <c r="X30" s="4">
        <f t="shared" ca="1" si="18"/>
        <v>0</v>
      </c>
      <c r="Y30" s="4">
        <f t="shared" si="19"/>
        <v>0</v>
      </c>
      <c r="Z30" s="13">
        <f t="shared" ca="1" si="20"/>
        <v>38280.141000000003</v>
      </c>
      <c r="AA30" s="4">
        <f t="shared" ca="1" si="21"/>
        <v>0</v>
      </c>
      <c r="AE30" s="4"/>
    </row>
    <row r="31" spans="1:31">
      <c r="A31">
        <v>0</v>
      </c>
      <c r="B31">
        <v>0</v>
      </c>
      <c r="C31">
        <f t="shared" ca="1" si="0"/>
        <v>1</v>
      </c>
      <c r="D31">
        <f t="shared" ca="1" si="1"/>
        <v>0</v>
      </c>
      <c r="E31">
        <f t="shared" ca="1" si="2"/>
        <v>0</v>
      </c>
      <c r="F31" s="110">
        <f t="shared" ca="1" si="3"/>
        <v>0.92149999999999999</v>
      </c>
      <c r="G31">
        <v>1</v>
      </c>
      <c r="H31">
        <v>0</v>
      </c>
      <c r="I31">
        <v>2</v>
      </c>
      <c r="J31" s="1">
        <f t="shared" ca="1" si="4"/>
        <v>0</v>
      </c>
      <c r="K31" s="1">
        <f t="shared" ca="1" si="5"/>
        <v>0</v>
      </c>
      <c r="L31" s="13">
        <f t="shared" ca="1" si="6"/>
        <v>269</v>
      </c>
      <c r="M31" s="7">
        <f t="shared" ca="1" si="7"/>
        <v>1231</v>
      </c>
      <c r="N31" s="26">
        <f t="shared" ca="1" si="8"/>
        <v>5</v>
      </c>
      <c r="O31" s="44">
        <f t="shared" ca="1" si="9"/>
        <v>3.5346387789404914</v>
      </c>
      <c r="P31" s="44">
        <f t="shared" ca="1" si="10"/>
        <v>35.346387789404908</v>
      </c>
      <c r="Q31" s="44">
        <f t="shared" ca="1" si="11"/>
        <v>35.346387789404908</v>
      </c>
      <c r="R31" s="44">
        <f t="shared" ca="1" si="12"/>
        <v>3.5346387789404909</v>
      </c>
      <c r="S31" s="44">
        <f t="shared" ca="1" si="13"/>
        <v>3.5346387789404914</v>
      </c>
      <c r="T31" s="4">
        <f t="shared" ca="1" si="14"/>
        <v>0</v>
      </c>
      <c r="U31" s="120">
        <f t="shared" ca="1" si="15"/>
        <v>2041.4426794074936</v>
      </c>
      <c r="V31" s="4">
        <f t="shared" ca="1" si="16"/>
        <v>0</v>
      </c>
      <c r="W31" s="13">
        <f t="shared" ca="1" si="17"/>
        <v>35851.266000000003</v>
      </c>
      <c r="X31" s="4">
        <f t="shared" ca="1" si="18"/>
        <v>0</v>
      </c>
      <c r="Y31" s="4">
        <f t="shared" si="19"/>
        <v>0</v>
      </c>
      <c r="Z31" s="13">
        <f t="shared" ca="1" si="20"/>
        <v>35851.266000000003</v>
      </c>
      <c r="AA31" s="4">
        <f t="shared" ca="1" si="21"/>
        <v>0</v>
      </c>
      <c r="AE31" s="4"/>
    </row>
    <row r="32" spans="1:31">
      <c r="A32">
        <v>0</v>
      </c>
      <c r="B32">
        <v>0</v>
      </c>
      <c r="C32">
        <f t="shared" ca="1" si="0"/>
        <v>1</v>
      </c>
      <c r="D32">
        <f t="shared" ca="1" si="1"/>
        <v>0</v>
      </c>
      <c r="E32">
        <f t="shared" ca="1" si="2"/>
        <v>0</v>
      </c>
      <c r="F32" s="110">
        <f t="shared" ca="1" si="3"/>
        <v>0.92149999999999999</v>
      </c>
      <c r="G32">
        <v>1</v>
      </c>
      <c r="H32">
        <v>0</v>
      </c>
      <c r="I32">
        <v>1</v>
      </c>
      <c r="J32" s="1">
        <f t="shared" ca="1" si="4"/>
        <v>0</v>
      </c>
      <c r="K32" s="1">
        <f t="shared" ca="1" si="5"/>
        <v>0</v>
      </c>
      <c r="L32" s="13">
        <f t="shared" ca="1" si="6"/>
        <v>250</v>
      </c>
      <c r="M32" s="7">
        <f t="shared" ca="1" si="7"/>
        <v>1250</v>
      </c>
      <c r="N32" s="26">
        <f t="shared" ca="1" si="8"/>
        <v>5</v>
      </c>
      <c r="O32" s="44">
        <f t="shared" ca="1" si="9"/>
        <v>3.5346387789404914</v>
      </c>
      <c r="P32" s="44">
        <f t="shared" ca="1" si="10"/>
        <v>35.346387789404908</v>
      </c>
      <c r="Q32" s="44">
        <f t="shared" ca="1" si="11"/>
        <v>35.346387789404908</v>
      </c>
      <c r="R32" s="44">
        <f t="shared" ca="1" si="12"/>
        <v>3.5346387789404909</v>
      </c>
      <c r="S32" s="44">
        <f t="shared" ca="1" si="13"/>
        <v>3.5346387789404914</v>
      </c>
      <c r="T32" s="4">
        <f t="shared" ca="1" si="14"/>
        <v>0</v>
      </c>
      <c r="U32" s="120">
        <f t="shared" ca="1" si="15"/>
        <v>2022.4426794074936</v>
      </c>
      <c r="V32" s="4">
        <f t="shared" ca="1" si="16"/>
        <v>0</v>
      </c>
      <c r="W32" s="13">
        <f t="shared" ca="1" si="17"/>
        <v>33422.391000000003</v>
      </c>
      <c r="X32" s="4">
        <f t="shared" ca="1" si="18"/>
        <v>0</v>
      </c>
      <c r="Y32" s="4">
        <f t="shared" si="19"/>
        <v>0</v>
      </c>
      <c r="Z32" s="13">
        <f t="shared" ca="1" si="20"/>
        <v>33422.391000000003</v>
      </c>
      <c r="AA32" s="4">
        <f t="shared" ca="1" si="21"/>
        <v>0</v>
      </c>
      <c r="AE32" s="4"/>
    </row>
    <row r="33" spans="1:31">
      <c r="A33">
        <v>0</v>
      </c>
      <c r="B33">
        <v>0</v>
      </c>
      <c r="C33">
        <f t="shared" ca="1" si="0"/>
        <v>1</v>
      </c>
      <c r="D33">
        <f t="shared" ca="1" si="1"/>
        <v>0</v>
      </c>
      <c r="E33">
        <f t="shared" ca="1" si="2"/>
        <v>0</v>
      </c>
      <c r="F33" s="110">
        <f t="shared" ca="1" si="3"/>
        <v>0.92149999999999999</v>
      </c>
      <c r="G33">
        <v>1</v>
      </c>
      <c r="H33">
        <v>0</v>
      </c>
      <c r="I33">
        <v>0</v>
      </c>
      <c r="J33" s="1">
        <f t="shared" ca="1" si="4"/>
        <v>0.95</v>
      </c>
      <c r="K33" s="1">
        <f t="shared" ca="1" si="5"/>
        <v>0.8754249999999999</v>
      </c>
      <c r="L33" s="13">
        <f t="shared" ca="1" si="6"/>
        <v>231</v>
      </c>
      <c r="M33" s="7">
        <f t="shared" ca="1" si="7"/>
        <v>1269</v>
      </c>
      <c r="N33" s="26">
        <f t="shared" ca="1" si="8"/>
        <v>5</v>
      </c>
      <c r="O33" s="44">
        <f t="shared" ca="1" si="9"/>
        <v>3.5346387789404914</v>
      </c>
      <c r="P33" s="44">
        <f t="shared" ca="1" si="10"/>
        <v>35.346387789404908</v>
      </c>
      <c r="Q33" s="44">
        <f t="shared" ca="1" si="11"/>
        <v>35.346387789404908</v>
      </c>
      <c r="R33" s="44">
        <f t="shared" ca="1" si="12"/>
        <v>3.5346387789404909</v>
      </c>
      <c r="S33" s="44">
        <f t="shared" ca="1" si="13"/>
        <v>3.5346387789404914</v>
      </c>
      <c r="T33" s="4">
        <f t="shared" ca="1" si="14"/>
        <v>3.0943111530539795</v>
      </c>
      <c r="U33" s="120">
        <f t="shared" ca="1" si="15"/>
        <v>2003.4426794074936</v>
      </c>
      <c r="V33" s="4">
        <f t="shared" ca="1" si="16"/>
        <v>1753.8638076203049</v>
      </c>
      <c r="W33" s="13">
        <f t="shared" ca="1" si="17"/>
        <v>30993.516000000003</v>
      </c>
      <c r="X33" s="4">
        <f t="shared" ca="1" si="18"/>
        <v>27132.498744299999</v>
      </c>
      <c r="Y33" s="4">
        <f t="shared" si="19"/>
        <v>0</v>
      </c>
      <c r="Z33" s="13">
        <f t="shared" ca="1" si="20"/>
        <v>30993.516000000003</v>
      </c>
      <c r="AA33" s="4">
        <f t="shared" ca="1" si="21"/>
        <v>27132.498744299999</v>
      </c>
      <c r="AE33" s="4"/>
    </row>
    <row r="34" spans="1:31">
      <c r="A34">
        <v>0</v>
      </c>
      <c r="B34">
        <v>0</v>
      </c>
      <c r="C34">
        <f t="shared" ca="1" si="0"/>
        <v>1</v>
      </c>
      <c r="D34">
        <f t="shared" ca="1" si="1"/>
        <v>0</v>
      </c>
      <c r="E34">
        <f t="shared" ca="1" si="2"/>
        <v>0</v>
      </c>
      <c r="F34" s="110">
        <f t="shared" ca="1" si="3"/>
        <v>0.92149999999999999</v>
      </c>
      <c r="G34">
        <v>0</v>
      </c>
      <c r="H34">
        <v>1</v>
      </c>
      <c r="I34">
        <v>7</v>
      </c>
      <c r="J34" s="1">
        <f t="shared" ca="1" si="4"/>
        <v>0</v>
      </c>
      <c r="K34" s="1">
        <f t="shared" ca="1" si="5"/>
        <v>0</v>
      </c>
      <c r="L34" s="13">
        <f t="shared" ca="1" si="6"/>
        <v>364</v>
      </c>
      <c r="M34" s="7">
        <f t="shared" ca="1" si="7"/>
        <v>1136</v>
      </c>
      <c r="N34" s="26">
        <f t="shared" ca="1" si="8"/>
        <v>5</v>
      </c>
      <c r="O34" s="44">
        <f t="shared" ca="1" si="9"/>
        <v>3.5346387789404914</v>
      </c>
      <c r="P34" s="44">
        <f t="shared" ca="1" si="10"/>
        <v>35.346387789404908</v>
      </c>
      <c r="Q34" s="44">
        <f t="shared" ca="1" si="11"/>
        <v>34.700360457357213</v>
      </c>
      <c r="R34" s="44">
        <f t="shared" ca="1" si="12"/>
        <v>3.5023374123381061</v>
      </c>
      <c r="S34" s="44">
        <f t="shared" ca="1" si="13"/>
        <v>3.532377683278324</v>
      </c>
      <c r="T34" s="4">
        <f t="shared" ca="1" si="14"/>
        <v>0</v>
      </c>
      <c r="U34" s="120">
        <f t="shared" ca="1" si="15"/>
        <v>2135.4497774977995</v>
      </c>
      <c r="V34" s="4">
        <f t="shared" ca="1" si="16"/>
        <v>0</v>
      </c>
      <c r="W34" s="13">
        <f t="shared" ca="1" si="17"/>
        <v>17002.125</v>
      </c>
      <c r="X34" s="4">
        <f t="shared" ca="1" si="18"/>
        <v>0</v>
      </c>
      <c r="Y34" s="4">
        <f t="shared" si="19"/>
        <v>0</v>
      </c>
      <c r="Z34" s="13">
        <f t="shared" ca="1" si="20"/>
        <v>17002.125</v>
      </c>
      <c r="AA34" s="4">
        <f t="shared" ca="1" si="21"/>
        <v>0</v>
      </c>
      <c r="AE34" s="4"/>
    </row>
    <row r="35" spans="1:31">
      <c r="A35">
        <v>0</v>
      </c>
      <c r="B35">
        <v>0</v>
      </c>
      <c r="C35">
        <f t="shared" ca="1" si="0"/>
        <v>1</v>
      </c>
      <c r="D35">
        <f t="shared" ca="1" si="1"/>
        <v>0</v>
      </c>
      <c r="E35">
        <f t="shared" ca="1" si="2"/>
        <v>0</v>
      </c>
      <c r="F35" s="110">
        <f t="shared" ca="1" si="3"/>
        <v>0.92149999999999999</v>
      </c>
      <c r="G35">
        <v>0</v>
      </c>
      <c r="H35">
        <v>1</v>
      </c>
      <c r="I35">
        <v>6</v>
      </c>
      <c r="J35" s="1">
        <f t="shared" ca="1" si="4"/>
        <v>0</v>
      </c>
      <c r="K35" s="1">
        <f t="shared" ca="1" si="5"/>
        <v>0</v>
      </c>
      <c r="L35" s="13">
        <f t="shared" ca="1" si="6"/>
        <v>345</v>
      </c>
      <c r="M35" s="7">
        <f t="shared" ca="1" si="7"/>
        <v>1155</v>
      </c>
      <c r="N35" s="26">
        <f t="shared" ca="1" si="8"/>
        <v>5</v>
      </c>
      <c r="O35" s="44">
        <f t="shared" ca="1" si="9"/>
        <v>3.5346387789404914</v>
      </c>
      <c r="P35" s="44">
        <f t="shared" ca="1" si="10"/>
        <v>35.346387789404908</v>
      </c>
      <c r="Q35" s="44">
        <f t="shared" ca="1" si="11"/>
        <v>35.346387789404908</v>
      </c>
      <c r="R35" s="44">
        <f t="shared" ca="1" si="12"/>
        <v>3.5346387789404909</v>
      </c>
      <c r="S35" s="44">
        <f t="shared" ca="1" si="13"/>
        <v>3.5346387789404914</v>
      </c>
      <c r="T35" s="4">
        <f t="shared" ca="1" si="14"/>
        <v>0</v>
      </c>
      <c r="U35" s="120">
        <f t="shared" ca="1" si="15"/>
        <v>2117.4426794074939</v>
      </c>
      <c r="V35" s="4">
        <f t="shared" ca="1" si="16"/>
        <v>0</v>
      </c>
      <c r="W35" s="13">
        <f t="shared" ca="1" si="17"/>
        <v>14573.25</v>
      </c>
      <c r="X35" s="4">
        <f t="shared" ca="1" si="18"/>
        <v>0</v>
      </c>
      <c r="Y35" s="4">
        <f t="shared" si="19"/>
        <v>0</v>
      </c>
      <c r="Z35" s="13">
        <f t="shared" ca="1" si="20"/>
        <v>14573.25</v>
      </c>
      <c r="AA35" s="4">
        <f t="shared" ca="1" si="21"/>
        <v>0</v>
      </c>
      <c r="AE35" s="4"/>
    </row>
    <row r="36" spans="1:31">
      <c r="A36">
        <v>0</v>
      </c>
      <c r="B36">
        <v>0</v>
      </c>
      <c r="C36">
        <f t="shared" ca="1" si="0"/>
        <v>1</v>
      </c>
      <c r="D36">
        <f t="shared" ca="1" si="1"/>
        <v>0</v>
      </c>
      <c r="E36">
        <f t="shared" ca="1" si="2"/>
        <v>0</v>
      </c>
      <c r="F36" s="110">
        <f t="shared" ca="1" si="3"/>
        <v>0.92149999999999999</v>
      </c>
      <c r="G36">
        <v>0</v>
      </c>
      <c r="H36">
        <v>1</v>
      </c>
      <c r="I36">
        <v>5</v>
      </c>
      <c r="J36" s="1">
        <f t="shared" ca="1" si="4"/>
        <v>0</v>
      </c>
      <c r="K36" s="1">
        <f t="shared" ca="1" si="5"/>
        <v>0</v>
      </c>
      <c r="L36" s="13">
        <f t="shared" ca="1" si="6"/>
        <v>326</v>
      </c>
      <c r="M36" s="7">
        <f t="shared" ca="1" si="7"/>
        <v>1174</v>
      </c>
      <c r="N36" s="26">
        <f t="shared" ca="1" si="8"/>
        <v>5</v>
      </c>
      <c r="O36" s="44">
        <f t="shared" ca="1" si="9"/>
        <v>3.5346387789404914</v>
      </c>
      <c r="P36" s="44">
        <f t="shared" ca="1" si="10"/>
        <v>35.346387789404908</v>
      </c>
      <c r="Q36" s="44">
        <f t="shared" ca="1" si="11"/>
        <v>35.346387789404908</v>
      </c>
      <c r="R36" s="44">
        <f t="shared" ca="1" si="12"/>
        <v>3.5346387789404909</v>
      </c>
      <c r="S36" s="44">
        <f t="shared" ca="1" si="13"/>
        <v>3.5346387789404914</v>
      </c>
      <c r="T36" s="4">
        <f t="shared" ca="1" si="14"/>
        <v>0</v>
      </c>
      <c r="U36" s="120">
        <f t="shared" ca="1" si="15"/>
        <v>2098.4426794074939</v>
      </c>
      <c r="V36" s="4">
        <f t="shared" ca="1" si="16"/>
        <v>0</v>
      </c>
      <c r="W36" s="13">
        <f t="shared" ca="1" si="17"/>
        <v>12144.375</v>
      </c>
      <c r="X36" s="4">
        <f t="shared" ca="1" si="18"/>
        <v>0</v>
      </c>
      <c r="Y36" s="4">
        <f t="shared" si="19"/>
        <v>0</v>
      </c>
      <c r="Z36" s="13">
        <f t="shared" ca="1" si="20"/>
        <v>12144.375</v>
      </c>
      <c r="AA36" s="4">
        <f t="shared" ca="1" si="21"/>
        <v>0</v>
      </c>
      <c r="AE36" s="4"/>
    </row>
    <row r="37" spans="1:31">
      <c r="A37">
        <v>0</v>
      </c>
      <c r="B37">
        <v>0</v>
      </c>
      <c r="C37">
        <f t="shared" ca="1" si="0"/>
        <v>1</v>
      </c>
      <c r="D37">
        <f t="shared" ca="1" si="1"/>
        <v>0</v>
      </c>
      <c r="E37">
        <f t="shared" ca="1" si="2"/>
        <v>0</v>
      </c>
      <c r="F37" s="110">
        <f t="shared" ca="1" si="3"/>
        <v>0.92149999999999999</v>
      </c>
      <c r="G37">
        <v>0</v>
      </c>
      <c r="H37">
        <v>1</v>
      </c>
      <c r="I37">
        <v>4</v>
      </c>
      <c r="J37" s="1">
        <f t="shared" ca="1" si="4"/>
        <v>0</v>
      </c>
      <c r="K37" s="1">
        <f t="shared" ca="1" si="5"/>
        <v>0</v>
      </c>
      <c r="L37" s="13">
        <f t="shared" ca="1" si="6"/>
        <v>307</v>
      </c>
      <c r="M37" s="7">
        <f t="shared" ca="1" si="7"/>
        <v>1193</v>
      </c>
      <c r="N37" s="26">
        <f t="shared" ca="1" si="8"/>
        <v>5</v>
      </c>
      <c r="O37" s="44">
        <f t="shared" ca="1" si="9"/>
        <v>3.5346387789404914</v>
      </c>
      <c r="P37" s="44">
        <f t="shared" ca="1" si="10"/>
        <v>35.346387789404908</v>
      </c>
      <c r="Q37" s="44">
        <f t="shared" ca="1" si="11"/>
        <v>35.346387789404908</v>
      </c>
      <c r="R37" s="44">
        <f t="shared" ca="1" si="12"/>
        <v>3.5346387789404909</v>
      </c>
      <c r="S37" s="44">
        <f t="shared" ca="1" si="13"/>
        <v>3.5346387789404914</v>
      </c>
      <c r="T37" s="4">
        <f t="shared" ca="1" si="14"/>
        <v>0</v>
      </c>
      <c r="U37" s="120">
        <f t="shared" ca="1" si="15"/>
        <v>2079.4426794074939</v>
      </c>
      <c r="V37" s="4">
        <f t="shared" ca="1" si="16"/>
        <v>0</v>
      </c>
      <c r="W37" s="13">
        <f t="shared" ca="1" si="17"/>
        <v>9715.5</v>
      </c>
      <c r="X37" s="4">
        <f t="shared" ca="1" si="18"/>
        <v>0</v>
      </c>
      <c r="Y37" s="4">
        <f t="shared" si="19"/>
        <v>0</v>
      </c>
      <c r="Z37" s="13">
        <f t="shared" ca="1" si="20"/>
        <v>9715.5</v>
      </c>
      <c r="AA37" s="4">
        <f t="shared" ca="1" si="21"/>
        <v>0</v>
      </c>
      <c r="AE37" s="4"/>
    </row>
    <row r="38" spans="1:31">
      <c r="A38">
        <v>0</v>
      </c>
      <c r="B38">
        <v>0</v>
      </c>
      <c r="C38">
        <f t="shared" ca="1" si="0"/>
        <v>1</v>
      </c>
      <c r="D38">
        <f t="shared" ca="1" si="1"/>
        <v>0</v>
      </c>
      <c r="E38">
        <f t="shared" ca="1" si="2"/>
        <v>0</v>
      </c>
      <c r="F38" s="110">
        <f t="shared" ca="1" si="3"/>
        <v>0.92149999999999999</v>
      </c>
      <c r="G38">
        <v>0</v>
      </c>
      <c r="H38">
        <v>1</v>
      </c>
      <c r="I38">
        <v>3</v>
      </c>
      <c r="J38" s="1">
        <f t="shared" ca="1" si="4"/>
        <v>0</v>
      </c>
      <c r="K38" s="1">
        <f t="shared" ca="1" si="5"/>
        <v>0</v>
      </c>
      <c r="L38" s="13">
        <f t="shared" ca="1" si="6"/>
        <v>288</v>
      </c>
      <c r="M38" s="7">
        <f t="shared" ca="1" si="7"/>
        <v>1212</v>
      </c>
      <c r="N38" s="26">
        <f t="shared" ca="1" si="8"/>
        <v>5</v>
      </c>
      <c r="O38" s="44">
        <f t="shared" ca="1" si="9"/>
        <v>3.5346387789404914</v>
      </c>
      <c r="P38" s="44">
        <f t="shared" ca="1" si="10"/>
        <v>35.346387789404908</v>
      </c>
      <c r="Q38" s="44">
        <f t="shared" ca="1" si="11"/>
        <v>35.346387789404908</v>
      </c>
      <c r="R38" s="44">
        <f t="shared" ca="1" si="12"/>
        <v>3.5346387789404909</v>
      </c>
      <c r="S38" s="44">
        <f t="shared" ca="1" si="13"/>
        <v>3.5346387789404914</v>
      </c>
      <c r="T38" s="4">
        <f t="shared" ca="1" si="14"/>
        <v>0</v>
      </c>
      <c r="U38" s="120">
        <f t="shared" ca="1" si="15"/>
        <v>2060.4426794074939</v>
      </c>
      <c r="V38" s="4">
        <f t="shared" ca="1" si="16"/>
        <v>0</v>
      </c>
      <c r="W38" s="13">
        <f t="shared" ca="1" si="17"/>
        <v>7286.625</v>
      </c>
      <c r="X38" s="4">
        <f t="shared" ca="1" si="18"/>
        <v>0</v>
      </c>
      <c r="Y38" s="4">
        <f t="shared" si="19"/>
        <v>0</v>
      </c>
      <c r="Z38" s="13">
        <f t="shared" ca="1" si="20"/>
        <v>7286.625</v>
      </c>
      <c r="AA38" s="4">
        <f t="shared" ca="1" si="21"/>
        <v>0</v>
      </c>
      <c r="AE38" s="4"/>
    </row>
    <row r="39" spans="1:31">
      <c r="A39">
        <v>0</v>
      </c>
      <c r="B39">
        <v>0</v>
      </c>
      <c r="C39">
        <f t="shared" ca="1" si="0"/>
        <v>1</v>
      </c>
      <c r="D39">
        <f t="shared" ca="1" si="1"/>
        <v>0</v>
      </c>
      <c r="E39">
        <f t="shared" ca="1" si="2"/>
        <v>0</v>
      </c>
      <c r="F39" s="110">
        <f t="shared" ca="1" si="3"/>
        <v>0.92149999999999999</v>
      </c>
      <c r="G39">
        <v>0</v>
      </c>
      <c r="H39">
        <v>1</v>
      </c>
      <c r="I39">
        <v>2</v>
      </c>
      <c r="J39" s="1">
        <f t="shared" ca="1" si="4"/>
        <v>0</v>
      </c>
      <c r="K39" s="1">
        <f t="shared" ca="1" si="5"/>
        <v>0</v>
      </c>
      <c r="L39" s="13">
        <f t="shared" ca="1" si="6"/>
        <v>269</v>
      </c>
      <c r="M39" s="7">
        <f t="shared" ca="1" si="7"/>
        <v>1231</v>
      </c>
      <c r="N39" s="26">
        <f t="shared" ca="1" si="8"/>
        <v>5</v>
      </c>
      <c r="O39" s="44">
        <f t="shared" ca="1" si="9"/>
        <v>3.5346387789404914</v>
      </c>
      <c r="P39" s="44">
        <f t="shared" ca="1" si="10"/>
        <v>35.346387789404908</v>
      </c>
      <c r="Q39" s="44">
        <f t="shared" ca="1" si="11"/>
        <v>35.346387789404908</v>
      </c>
      <c r="R39" s="44">
        <f t="shared" ca="1" si="12"/>
        <v>3.5346387789404909</v>
      </c>
      <c r="S39" s="44">
        <f t="shared" ca="1" si="13"/>
        <v>3.5346387789404914</v>
      </c>
      <c r="T39" s="4">
        <f t="shared" ca="1" si="14"/>
        <v>0</v>
      </c>
      <c r="U39" s="120">
        <f t="shared" ca="1" si="15"/>
        <v>2041.4426794074936</v>
      </c>
      <c r="V39" s="4">
        <f t="shared" ca="1" si="16"/>
        <v>0</v>
      </c>
      <c r="W39" s="13">
        <f t="shared" ca="1" si="17"/>
        <v>4857.75</v>
      </c>
      <c r="X39" s="4">
        <f t="shared" ca="1" si="18"/>
        <v>0</v>
      </c>
      <c r="Y39" s="4">
        <f t="shared" si="19"/>
        <v>0</v>
      </c>
      <c r="Z39" s="13">
        <f t="shared" ca="1" si="20"/>
        <v>4857.75</v>
      </c>
      <c r="AA39" s="4">
        <f t="shared" ca="1" si="21"/>
        <v>0</v>
      </c>
      <c r="AE39" s="4"/>
    </row>
    <row r="40" spans="1:31">
      <c r="A40">
        <v>0</v>
      </c>
      <c r="B40">
        <v>0</v>
      </c>
      <c r="C40">
        <f t="shared" ca="1" si="0"/>
        <v>1</v>
      </c>
      <c r="D40">
        <f t="shared" ca="1" si="1"/>
        <v>0</v>
      </c>
      <c r="E40">
        <f t="shared" ca="1" si="2"/>
        <v>0</v>
      </c>
      <c r="F40" s="110">
        <f t="shared" ca="1" si="3"/>
        <v>0.92149999999999999</v>
      </c>
      <c r="G40">
        <v>0</v>
      </c>
      <c r="H40">
        <v>1</v>
      </c>
      <c r="I40">
        <v>1</v>
      </c>
      <c r="J40" s="1">
        <f t="shared" ca="1" si="4"/>
        <v>0</v>
      </c>
      <c r="K40" s="1">
        <f t="shared" ca="1" si="5"/>
        <v>0</v>
      </c>
      <c r="L40" s="13">
        <f t="shared" ca="1" si="6"/>
        <v>250</v>
      </c>
      <c r="M40" s="7">
        <f t="shared" ca="1" si="7"/>
        <v>1250</v>
      </c>
      <c r="N40" s="26">
        <f t="shared" ca="1" si="8"/>
        <v>5</v>
      </c>
      <c r="O40" s="44">
        <f t="shared" ca="1" si="9"/>
        <v>3.5346387789404914</v>
      </c>
      <c r="P40" s="44">
        <f t="shared" ca="1" si="10"/>
        <v>35.346387789404908</v>
      </c>
      <c r="Q40" s="44">
        <f t="shared" ca="1" si="11"/>
        <v>35.346387789404908</v>
      </c>
      <c r="R40" s="44">
        <f t="shared" ca="1" si="12"/>
        <v>3.5346387789404909</v>
      </c>
      <c r="S40" s="44">
        <f t="shared" ca="1" si="13"/>
        <v>3.5346387789404914</v>
      </c>
      <c r="T40" s="4">
        <f t="shared" ca="1" si="14"/>
        <v>0</v>
      </c>
      <c r="U40" s="120">
        <f t="shared" ca="1" si="15"/>
        <v>2022.4426794074936</v>
      </c>
      <c r="V40" s="4">
        <f t="shared" ca="1" si="16"/>
        <v>0</v>
      </c>
      <c r="W40" s="13">
        <f t="shared" ca="1" si="17"/>
        <v>2428.875</v>
      </c>
      <c r="X40" s="4">
        <f t="shared" ca="1" si="18"/>
        <v>0</v>
      </c>
      <c r="Y40" s="4">
        <f t="shared" si="19"/>
        <v>0</v>
      </c>
      <c r="Z40" s="13">
        <f t="shared" ca="1" si="20"/>
        <v>2428.875</v>
      </c>
      <c r="AA40" s="4">
        <f t="shared" ca="1" si="21"/>
        <v>0</v>
      </c>
      <c r="AE40" s="4"/>
    </row>
    <row r="41" spans="1:31">
      <c r="A41">
        <v>0</v>
      </c>
      <c r="B41">
        <v>0</v>
      </c>
      <c r="C41">
        <f t="shared" ca="1" si="0"/>
        <v>1</v>
      </c>
      <c r="D41">
        <f t="shared" ca="1" si="1"/>
        <v>0</v>
      </c>
      <c r="E41">
        <f t="shared" ca="1" si="2"/>
        <v>0</v>
      </c>
      <c r="F41" s="110">
        <f t="shared" ca="1" si="3"/>
        <v>0.92149999999999999</v>
      </c>
      <c r="G41">
        <v>0</v>
      </c>
      <c r="H41">
        <v>1</v>
      </c>
      <c r="I41">
        <v>0</v>
      </c>
      <c r="J41" s="1">
        <f t="shared" ca="1" si="4"/>
        <v>0</v>
      </c>
      <c r="K41" s="1">
        <f t="shared" ca="1" si="5"/>
        <v>0</v>
      </c>
      <c r="L41" s="13">
        <f t="shared" ca="1" si="6"/>
        <v>231</v>
      </c>
      <c r="M41" s="7">
        <f t="shared" ca="1" si="7"/>
        <v>1269</v>
      </c>
      <c r="N41" s="26">
        <f t="shared" ca="1" si="8"/>
        <v>5</v>
      </c>
      <c r="O41" s="44">
        <f t="shared" ca="1" si="9"/>
        <v>3.5346387789404914</v>
      </c>
      <c r="P41" s="44">
        <f t="shared" ca="1" si="10"/>
        <v>35.346387789404908</v>
      </c>
      <c r="Q41" s="44">
        <f t="shared" ca="1" si="11"/>
        <v>35.346387789404908</v>
      </c>
      <c r="R41" s="44">
        <f t="shared" ca="1" si="12"/>
        <v>3.5346387789404909</v>
      </c>
      <c r="S41" s="44">
        <f t="shared" ca="1" si="13"/>
        <v>3.5346387789404914</v>
      </c>
      <c r="T41" s="4">
        <f t="shared" ca="1" si="14"/>
        <v>0</v>
      </c>
      <c r="U41" s="120">
        <f t="shared" ca="1" si="15"/>
        <v>2003.4426794074936</v>
      </c>
      <c r="V41" s="4">
        <f t="shared" ca="1" si="16"/>
        <v>0</v>
      </c>
      <c r="W41" s="13">
        <f t="shared" ca="1" si="17"/>
        <v>0</v>
      </c>
      <c r="X41" s="4">
        <f t="shared" ca="1" si="18"/>
        <v>0</v>
      </c>
      <c r="Y41" s="4">
        <f t="shared" si="19"/>
        <v>0</v>
      </c>
      <c r="Z41" s="13">
        <f t="shared" ca="1" si="20"/>
        <v>0</v>
      </c>
      <c r="AA41" s="4">
        <f t="shared" ca="1" si="21"/>
        <v>0</v>
      </c>
      <c r="AE41" s="4"/>
    </row>
    <row r="42" spans="1:31">
      <c r="A42">
        <v>0</v>
      </c>
      <c r="B42">
        <v>0</v>
      </c>
      <c r="C42">
        <f t="shared" ca="1" si="0"/>
        <v>1</v>
      </c>
      <c r="D42">
        <f t="shared" ca="1" si="1"/>
        <v>0</v>
      </c>
      <c r="E42">
        <f t="shared" ca="1" si="2"/>
        <v>0</v>
      </c>
      <c r="F42" s="110">
        <f t="shared" ca="1" si="3"/>
        <v>0.92149999999999999</v>
      </c>
      <c r="G42">
        <v>0</v>
      </c>
      <c r="H42">
        <v>0</v>
      </c>
      <c r="I42">
        <v>7</v>
      </c>
      <c r="J42" s="1">
        <f t="shared" ca="1" si="4"/>
        <v>0</v>
      </c>
      <c r="K42" s="1">
        <f t="shared" ca="1" si="5"/>
        <v>0</v>
      </c>
      <c r="L42" s="13">
        <f t="shared" ca="1" si="6"/>
        <v>133</v>
      </c>
      <c r="M42" s="7">
        <f t="shared" ca="1" si="7"/>
        <v>1367</v>
      </c>
      <c r="N42" s="26">
        <f t="shared" ca="1" si="8"/>
        <v>5</v>
      </c>
      <c r="O42" s="44">
        <f t="shared" ca="1" si="9"/>
        <v>3.5346387789404914</v>
      </c>
      <c r="P42" s="44">
        <f t="shared" ca="1" si="10"/>
        <v>35.346387789404908</v>
      </c>
      <c r="Q42" s="44">
        <f t="shared" ca="1" si="11"/>
        <v>35.346387789404908</v>
      </c>
      <c r="R42" s="44">
        <f t="shared" ca="1" si="12"/>
        <v>3.5346387789404909</v>
      </c>
      <c r="S42" s="44">
        <f t="shared" ca="1" si="13"/>
        <v>3.5346387789404914</v>
      </c>
      <c r="T42" s="4">
        <f t="shared" ca="1" si="14"/>
        <v>0</v>
      </c>
      <c r="U42" s="120">
        <f t="shared" ca="1" si="15"/>
        <v>1905.4426794074936</v>
      </c>
      <c r="V42" s="4">
        <f t="shared" ca="1" si="16"/>
        <v>0</v>
      </c>
      <c r="W42" s="13">
        <f t="shared" ca="1" si="17"/>
        <v>17002.125</v>
      </c>
      <c r="X42" s="4">
        <f t="shared" ca="1" si="18"/>
        <v>0</v>
      </c>
      <c r="Y42" s="4">
        <f t="shared" si="19"/>
        <v>0</v>
      </c>
      <c r="Z42" s="13">
        <f t="shared" ca="1" si="20"/>
        <v>17002.125</v>
      </c>
      <c r="AA42" s="4">
        <f t="shared" ca="1" si="21"/>
        <v>0</v>
      </c>
      <c r="AE42" s="4"/>
    </row>
    <row r="43" spans="1:31">
      <c r="A43">
        <v>0</v>
      </c>
      <c r="B43">
        <v>0</v>
      </c>
      <c r="C43">
        <f t="shared" ca="1" si="0"/>
        <v>1</v>
      </c>
      <c r="D43">
        <f t="shared" ca="1" si="1"/>
        <v>0</v>
      </c>
      <c r="E43">
        <f t="shared" ca="1" si="2"/>
        <v>0</v>
      </c>
      <c r="F43" s="110">
        <f t="shared" ca="1" si="3"/>
        <v>0.92149999999999999</v>
      </c>
      <c r="G43">
        <v>0</v>
      </c>
      <c r="H43">
        <v>0</v>
      </c>
      <c r="I43">
        <v>6</v>
      </c>
      <c r="J43" s="1">
        <f t="shared" ca="1" si="4"/>
        <v>0</v>
      </c>
      <c r="K43" s="1">
        <f t="shared" ca="1" si="5"/>
        <v>0</v>
      </c>
      <c r="L43" s="13">
        <f t="shared" ca="1" si="6"/>
        <v>114</v>
      </c>
      <c r="M43" s="7">
        <f t="shared" ca="1" si="7"/>
        <v>1386</v>
      </c>
      <c r="N43" s="26">
        <f t="shared" ca="1" si="8"/>
        <v>5</v>
      </c>
      <c r="O43" s="44">
        <f t="shared" ca="1" si="9"/>
        <v>3.5346387789404914</v>
      </c>
      <c r="P43" s="44">
        <f t="shared" ca="1" si="10"/>
        <v>35.346387789404908</v>
      </c>
      <c r="Q43" s="44">
        <f t="shared" ca="1" si="11"/>
        <v>35.346387789404908</v>
      </c>
      <c r="R43" s="44">
        <f t="shared" ca="1" si="12"/>
        <v>3.5346387789404909</v>
      </c>
      <c r="S43" s="44">
        <f t="shared" ca="1" si="13"/>
        <v>3.5346387789404914</v>
      </c>
      <c r="T43" s="4">
        <f t="shared" ca="1" si="14"/>
        <v>0</v>
      </c>
      <c r="U43" s="120">
        <f t="shared" ca="1" si="15"/>
        <v>1886.4426794074936</v>
      </c>
      <c r="V43" s="4">
        <f t="shared" ca="1" si="16"/>
        <v>0</v>
      </c>
      <c r="W43" s="13">
        <f t="shared" ca="1" si="17"/>
        <v>14573.25</v>
      </c>
      <c r="X43" s="4">
        <f t="shared" ca="1" si="18"/>
        <v>0</v>
      </c>
      <c r="Y43" s="4">
        <f t="shared" si="19"/>
        <v>0</v>
      </c>
      <c r="Z43" s="13">
        <f t="shared" ca="1" si="20"/>
        <v>14573.25</v>
      </c>
      <c r="AA43" s="4">
        <f t="shared" ca="1" si="21"/>
        <v>0</v>
      </c>
      <c r="AE43" s="4"/>
    </row>
    <row r="44" spans="1:31">
      <c r="A44">
        <v>0</v>
      </c>
      <c r="B44">
        <v>0</v>
      </c>
      <c r="C44">
        <f t="shared" ca="1" si="0"/>
        <v>1</v>
      </c>
      <c r="D44">
        <f t="shared" ca="1" si="1"/>
        <v>0</v>
      </c>
      <c r="E44">
        <f t="shared" ca="1" si="2"/>
        <v>0</v>
      </c>
      <c r="F44" s="110">
        <f t="shared" ca="1" si="3"/>
        <v>0.92149999999999999</v>
      </c>
      <c r="G44">
        <v>0</v>
      </c>
      <c r="H44">
        <v>0</v>
      </c>
      <c r="I44">
        <v>5</v>
      </c>
      <c r="J44" s="1">
        <f t="shared" ca="1" si="4"/>
        <v>0</v>
      </c>
      <c r="K44" s="1">
        <f t="shared" ca="1" si="5"/>
        <v>0</v>
      </c>
      <c r="L44" s="13">
        <f t="shared" ca="1" si="6"/>
        <v>95</v>
      </c>
      <c r="M44" s="7">
        <f t="shared" ca="1" si="7"/>
        <v>1405</v>
      </c>
      <c r="N44" s="26">
        <f t="shared" ca="1" si="8"/>
        <v>6</v>
      </c>
      <c r="O44" s="44">
        <f t="shared" ca="1" si="9"/>
        <v>4.1694581524927896</v>
      </c>
      <c r="P44" s="44">
        <f t="shared" ca="1" si="10"/>
        <v>41.059762151375594</v>
      </c>
      <c r="Q44" s="44">
        <f t="shared" ca="1" si="11"/>
        <v>35.346387789404908</v>
      </c>
      <c r="R44" s="44">
        <f t="shared" ca="1" si="12"/>
        <v>3.8203074970390247</v>
      </c>
      <c r="S44" s="44">
        <f t="shared" ca="1" si="13"/>
        <v>4.1450176066110256</v>
      </c>
      <c r="T44" s="4">
        <f t="shared" ca="1" si="14"/>
        <v>0</v>
      </c>
      <c r="U44" s="120">
        <f t="shared" ca="1" si="15"/>
        <v>2135.4748169996506</v>
      </c>
      <c r="V44" s="4">
        <f t="shared" ca="1" si="16"/>
        <v>0</v>
      </c>
      <c r="W44" s="13">
        <f t="shared" ca="1" si="17"/>
        <v>12144.375</v>
      </c>
      <c r="X44" s="4">
        <f t="shared" ca="1" si="18"/>
        <v>0</v>
      </c>
      <c r="Y44" s="4">
        <f t="shared" si="19"/>
        <v>0</v>
      </c>
      <c r="Z44" s="13">
        <f t="shared" ca="1" si="20"/>
        <v>12144.375</v>
      </c>
      <c r="AA44" s="4">
        <f t="shared" ca="1" si="21"/>
        <v>0</v>
      </c>
      <c r="AE44" s="4"/>
    </row>
    <row r="45" spans="1:31">
      <c r="A45">
        <v>0</v>
      </c>
      <c r="B45">
        <v>0</v>
      </c>
      <c r="C45">
        <f t="shared" ca="1" si="0"/>
        <v>1</v>
      </c>
      <c r="D45">
        <f t="shared" ca="1" si="1"/>
        <v>0</v>
      </c>
      <c r="E45">
        <f t="shared" ca="1" si="2"/>
        <v>0</v>
      </c>
      <c r="F45" s="110">
        <f t="shared" ca="1" si="3"/>
        <v>0.92149999999999999</v>
      </c>
      <c r="G45">
        <v>0</v>
      </c>
      <c r="H45">
        <v>0</v>
      </c>
      <c r="I45">
        <v>4</v>
      </c>
      <c r="J45" s="1">
        <f t="shared" ca="1" si="4"/>
        <v>0</v>
      </c>
      <c r="K45" s="1">
        <f t="shared" ca="1" si="5"/>
        <v>0</v>
      </c>
      <c r="L45" s="13">
        <f t="shared" ca="1" si="6"/>
        <v>76</v>
      </c>
      <c r="M45" s="7">
        <f t="shared" ca="1" si="7"/>
        <v>1424</v>
      </c>
      <c r="N45" s="26">
        <f t="shared" ca="1" si="8"/>
        <v>6</v>
      </c>
      <c r="O45" s="44">
        <f t="shared" ca="1" si="9"/>
        <v>4.1694581524927896</v>
      </c>
      <c r="P45" s="44">
        <f t="shared" ca="1" si="10"/>
        <v>41.694581524927891</v>
      </c>
      <c r="Q45" s="44">
        <f t="shared" ca="1" si="11"/>
        <v>41.694581524927891</v>
      </c>
      <c r="R45" s="44">
        <f t="shared" ca="1" si="12"/>
        <v>4.1694581524927887</v>
      </c>
      <c r="S45" s="44">
        <f t="shared" ca="1" si="13"/>
        <v>4.1694581524927896</v>
      </c>
      <c r="T45" s="4">
        <f t="shared" ca="1" si="14"/>
        <v>0</v>
      </c>
      <c r="U45" s="120">
        <f t="shared" ca="1" si="15"/>
        <v>2127.2072530862838</v>
      </c>
      <c r="V45" s="4">
        <f t="shared" ca="1" si="16"/>
        <v>0</v>
      </c>
      <c r="W45" s="13">
        <f t="shared" ca="1" si="17"/>
        <v>9715.5</v>
      </c>
      <c r="X45" s="4">
        <f t="shared" ca="1" si="18"/>
        <v>0</v>
      </c>
      <c r="Y45" s="4">
        <f t="shared" si="19"/>
        <v>0</v>
      </c>
      <c r="Z45" s="13">
        <f t="shared" ca="1" si="20"/>
        <v>9715.5</v>
      </c>
      <c r="AA45" s="4">
        <f t="shared" ca="1" si="21"/>
        <v>0</v>
      </c>
      <c r="AE45" s="4"/>
    </row>
    <row r="46" spans="1:31">
      <c r="A46">
        <v>0</v>
      </c>
      <c r="B46">
        <v>0</v>
      </c>
      <c r="C46">
        <f t="shared" ca="1" si="0"/>
        <v>1</v>
      </c>
      <c r="D46">
        <f t="shared" ca="1" si="1"/>
        <v>0</v>
      </c>
      <c r="E46">
        <f t="shared" ca="1" si="2"/>
        <v>0</v>
      </c>
      <c r="F46" s="110">
        <f t="shared" ca="1" si="3"/>
        <v>0.92149999999999999</v>
      </c>
      <c r="G46">
        <v>0</v>
      </c>
      <c r="H46">
        <v>0</v>
      </c>
      <c r="I46">
        <v>3</v>
      </c>
      <c r="J46" s="1">
        <f t="shared" ca="1" si="4"/>
        <v>0</v>
      </c>
      <c r="K46" s="1">
        <f t="shared" ca="1" si="5"/>
        <v>0</v>
      </c>
      <c r="L46" s="13">
        <f t="shared" ca="1" si="6"/>
        <v>57</v>
      </c>
      <c r="M46" s="7">
        <f t="shared" ca="1" si="7"/>
        <v>1443</v>
      </c>
      <c r="N46" s="26">
        <f t="shared" ca="1" si="8"/>
        <v>6</v>
      </c>
      <c r="O46" s="44">
        <f t="shared" ca="1" si="9"/>
        <v>4.1694581524927896</v>
      </c>
      <c r="P46" s="44">
        <f t="shared" ca="1" si="10"/>
        <v>41.694581524927891</v>
      </c>
      <c r="Q46" s="44">
        <f t="shared" ca="1" si="11"/>
        <v>41.694581524927891</v>
      </c>
      <c r="R46" s="44">
        <f t="shared" ca="1" si="12"/>
        <v>4.1694581524927887</v>
      </c>
      <c r="S46" s="44">
        <f t="shared" ca="1" si="13"/>
        <v>4.1694581524927896</v>
      </c>
      <c r="T46" s="4">
        <f t="shared" ca="1" si="14"/>
        <v>0</v>
      </c>
      <c r="U46" s="120">
        <f t="shared" ca="1" si="15"/>
        <v>2108.2072530862838</v>
      </c>
      <c r="V46" s="4">
        <f t="shared" ca="1" si="16"/>
        <v>0</v>
      </c>
      <c r="W46" s="13">
        <f t="shared" ca="1" si="17"/>
        <v>7286.625</v>
      </c>
      <c r="X46" s="4">
        <f t="shared" ca="1" si="18"/>
        <v>0</v>
      </c>
      <c r="Y46" s="4">
        <f t="shared" si="19"/>
        <v>0</v>
      </c>
      <c r="Z46" s="13">
        <f t="shared" ca="1" si="20"/>
        <v>7286.625</v>
      </c>
      <c r="AA46" s="4">
        <f t="shared" ca="1" si="21"/>
        <v>0</v>
      </c>
      <c r="AE46" s="4"/>
    </row>
    <row r="47" spans="1:31">
      <c r="A47">
        <v>0</v>
      </c>
      <c r="B47">
        <v>0</v>
      </c>
      <c r="C47">
        <f t="shared" ca="1" si="0"/>
        <v>1</v>
      </c>
      <c r="D47">
        <f t="shared" ca="1" si="1"/>
        <v>0</v>
      </c>
      <c r="E47">
        <f t="shared" ca="1" si="2"/>
        <v>0</v>
      </c>
      <c r="F47" s="110">
        <f t="shared" ca="1" si="3"/>
        <v>0.92149999999999999</v>
      </c>
      <c r="G47">
        <v>0</v>
      </c>
      <c r="H47">
        <v>0</v>
      </c>
      <c r="I47">
        <v>2</v>
      </c>
      <c r="J47" s="1">
        <f t="shared" ca="1" si="4"/>
        <v>0</v>
      </c>
      <c r="K47" s="1">
        <f t="shared" ca="1" si="5"/>
        <v>0</v>
      </c>
      <c r="L47" s="13">
        <f t="shared" ca="1" si="6"/>
        <v>38</v>
      </c>
      <c r="M47" s="7">
        <f t="shared" ca="1" si="7"/>
        <v>1462</v>
      </c>
      <c r="N47" s="26">
        <f t="shared" ca="1" si="8"/>
        <v>6</v>
      </c>
      <c r="O47" s="44">
        <f t="shared" ca="1" si="9"/>
        <v>4.1694581524927896</v>
      </c>
      <c r="P47" s="44">
        <f t="shared" ca="1" si="10"/>
        <v>41.694581524927891</v>
      </c>
      <c r="Q47" s="44">
        <f t="shared" ca="1" si="11"/>
        <v>41.694581524927891</v>
      </c>
      <c r="R47" s="44">
        <f t="shared" ca="1" si="12"/>
        <v>4.1694581524927887</v>
      </c>
      <c r="S47" s="44">
        <f t="shared" ca="1" si="13"/>
        <v>4.1694581524927896</v>
      </c>
      <c r="T47" s="4">
        <f t="shared" ca="1" si="14"/>
        <v>0</v>
      </c>
      <c r="U47" s="120">
        <f t="shared" ca="1" si="15"/>
        <v>2089.2072530862838</v>
      </c>
      <c r="V47" s="4">
        <f t="shared" ca="1" si="16"/>
        <v>0</v>
      </c>
      <c r="W47" s="13">
        <f t="shared" ca="1" si="17"/>
        <v>4857.75</v>
      </c>
      <c r="X47" s="4">
        <f t="shared" ca="1" si="18"/>
        <v>0</v>
      </c>
      <c r="Y47" s="4">
        <f t="shared" si="19"/>
        <v>0</v>
      </c>
      <c r="Z47" s="13">
        <f t="shared" ca="1" si="20"/>
        <v>4857.75</v>
      </c>
      <c r="AA47" s="4">
        <f t="shared" ca="1" si="21"/>
        <v>0</v>
      </c>
      <c r="AE47" s="4"/>
    </row>
    <row r="48" spans="1:31">
      <c r="A48">
        <v>0</v>
      </c>
      <c r="B48">
        <v>0</v>
      </c>
      <c r="C48">
        <f t="shared" ca="1" si="0"/>
        <v>1</v>
      </c>
      <c r="D48">
        <f t="shared" ca="1" si="1"/>
        <v>0</v>
      </c>
      <c r="E48">
        <f t="shared" ca="1" si="2"/>
        <v>0</v>
      </c>
      <c r="F48" s="110">
        <f t="shared" ca="1" si="3"/>
        <v>0.92149999999999999</v>
      </c>
      <c r="G48">
        <v>0</v>
      </c>
      <c r="H48">
        <v>0</v>
      </c>
      <c r="I48">
        <v>1</v>
      </c>
      <c r="J48" s="1">
        <f t="shared" ca="1" si="4"/>
        <v>0</v>
      </c>
      <c r="K48" s="1">
        <f t="shared" ca="1" si="5"/>
        <v>0</v>
      </c>
      <c r="L48" s="13">
        <f t="shared" ca="1" si="6"/>
        <v>19</v>
      </c>
      <c r="M48" s="7">
        <f t="shared" ca="1" si="7"/>
        <v>1481</v>
      </c>
      <c r="N48" s="26">
        <f t="shared" ca="1" si="8"/>
        <v>6</v>
      </c>
      <c r="O48" s="44">
        <f t="shared" ca="1" si="9"/>
        <v>4.1694581524927896</v>
      </c>
      <c r="P48" s="44">
        <f t="shared" ca="1" si="10"/>
        <v>41.694581524927891</v>
      </c>
      <c r="Q48" s="44">
        <f t="shared" ca="1" si="11"/>
        <v>41.694581524927891</v>
      </c>
      <c r="R48" s="44">
        <f t="shared" ca="1" si="12"/>
        <v>4.1694581524927887</v>
      </c>
      <c r="S48" s="44">
        <f t="shared" ca="1" si="13"/>
        <v>4.1694581524927896</v>
      </c>
      <c r="T48" s="4">
        <f t="shared" ca="1" si="14"/>
        <v>0</v>
      </c>
      <c r="U48" s="120">
        <f t="shared" ca="1" si="15"/>
        <v>2070.2072530862838</v>
      </c>
      <c r="V48" s="4">
        <f t="shared" ca="1" si="16"/>
        <v>0</v>
      </c>
      <c r="W48" s="13">
        <f t="shared" ca="1" si="17"/>
        <v>2428.875</v>
      </c>
      <c r="X48" s="4">
        <f t="shared" ca="1" si="18"/>
        <v>0</v>
      </c>
      <c r="Y48" s="4">
        <f t="shared" si="19"/>
        <v>0</v>
      </c>
      <c r="Z48" s="13">
        <f t="shared" ca="1" si="20"/>
        <v>2428.875</v>
      </c>
      <c r="AA48" s="4">
        <f t="shared" ca="1" si="21"/>
        <v>0</v>
      </c>
      <c r="AE48" s="4"/>
    </row>
    <row r="49" spans="1:31">
      <c r="A49">
        <v>0</v>
      </c>
      <c r="B49">
        <v>0</v>
      </c>
      <c r="C49">
        <f t="shared" ca="1" si="0"/>
        <v>1</v>
      </c>
      <c r="D49">
        <f t="shared" ca="1" si="1"/>
        <v>0</v>
      </c>
      <c r="E49">
        <f t="shared" ca="1" si="2"/>
        <v>0</v>
      </c>
      <c r="F49" s="110">
        <f t="shared" ca="1" si="3"/>
        <v>0.92149999999999999</v>
      </c>
      <c r="G49">
        <v>0</v>
      </c>
      <c r="H49">
        <v>0</v>
      </c>
      <c r="I49">
        <v>0</v>
      </c>
      <c r="J49" s="1">
        <f t="shared" ca="1" si="4"/>
        <v>0.05</v>
      </c>
      <c r="K49" s="1">
        <f t="shared" ca="1" si="5"/>
        <v>4.6075000000000005E-2</v>
      </c>
      <c r="L49" s="13">
        <f t="shared" ca="1" si="6"/>
        <v>0</v>
      </c>
      <c r="M49" s="7">
        <f t="shared" ca="1" si="7"/>
        <v>1500</v>
      </c>
      <c r="N49" s="26">
        <f t="shared" ca="1" si="8"/>
        <v>6</v>
      </c>
      <c r="O49" s="44">
        <f t="shared" ca="1" si="9"/>
        <v>4.1694581524927896</v>
      </c>
      <c r="P49" s="44">
        <f t="shared" ca="1" si="10"/>
        <v>41.694581524927891</v>
      </c>
      <c r="Q49" s="44">
        <f t="shared" ca="1" si="11"/>
        <v>41.694581524927891</v>
      </c>
      <c r="R49" s="44">
        <f t="shared" ca="1" si="12"/>
        <v>4.1694581524927887</v>
      </c>
      <c r="S49" s="44">
        <f t="shared" ca="1" si="13"/>
        <v>4.1694581524927896</v>
      </c>
      <c r="T49" s="4">
        <f t="shared" ca="1" si="14"/>
        <v>0.19210778437610529</v>
      </c>
      <c r="U49" s="120">
        <f t="shared" ca="1" si="15"/>
        <v>2051.2072530862838</v>
      </c>
      <c r="V49" s="4">
        <f t="shared" ca="1" si="16"/>
        <v>94.509374185950534</v>
      </c>
      <c r="W49" s="13">
        <f t="shared" ca="1" si="17"/>
        <v>0</v>
      </c>
      <c r="X49" s="4">
        <f t="shared" ca="1" si="18"/>
        <v>0</v>
      </c>
      <c r="Y49" s="4">
        <f t="shared" si="19"/>
        <v>0</v>
      </c>
      <c r="Z49" s="13">
        <f t="shared" ca="1" si="20"/>
        <v>0</v>
      </c>
      <c r="AA49" s="4">
        <f t="shared" ca="1" si="21"/>
        <v>0</v>
      </c>
      <c r="AE49" s="4"/>
    </row>
    <row r="50" spans="1:31">
      <c r="A50">
        <v>0</v>
      </c>
      <c r="B50">
        <v>1</v>
      </c>
      <c r="C50">
        <f t="shared" ca="1" si="0"/>
        <v>2</v>
      </c>
      <c r="D50">
        <f t="shared" ca="1" si="1"/>
        <v>1</v>
      </c>
      <c r="E50">
        <f t="shared" ca="1" si="2"/>
        <v>0</v>
      </c>
      <c r="F50" s="110">
        <f t="shared" ca="1" si="3"/>
        <v>0</v>
      </c>
      <c r="G50">
        <v>1</v>
      </c>
      <c r="H50">
        <v>1</v>
      </c>
      <c r="I50">
        <v>7</v>
      </c>
      <c r="J50" s="1">
        <f t="shared" ca="1" si="4"/>
        <v>0</v>
      </c>
      <c r="K50" s="1">
        <f t="shared" ca="1" si="5"/>
        <v>0</v>
      </c>
      <c r="L50" s="13">
        <f t="shared" ca="1" si="6"/>
        <v>595</v>
      </c>
      <c r="M50" s="7">
        <f t="shared" ca="1" si="7"/>
        <v>905</v>
      </c>
      <c r="N50" s="26">
        <f t="shared" ca="1" si="8"/>
        <v>4</v>
      </c>
      <c r="O50" s="44">
        <f t="shared" ca="1" si="9"/>
        <v>2.8886114468927948</v>
      </c>
      <c r="P50" s="44">
        <f t="shared" ca="1" si="10"/>
        <v>28.886114468927953</v>
      </c>
      <c r="Q50" s="44">
        <f t="shared" ca="1" si="11"/>
        <v>28.886114468927953</v>
      </c>
      <c r="R50" s="44">
        <f t="shared" ca="1" si="12"/>
        <v>2.8886114468927953</v>
      </c>
      <c r="S50" s="44">
        <f t="shared" ca="1" si="13"/>
        <v>2.8886114468927948</v>
      </c>
      <c r="T50" s="4">
        <f t="shared" ca="1" si="14"/>
        <v>0</v>
      </c>
      <c r="U50" s="120">
        <f t="shared" ca="1" si="15"/>
        <v>2083.7564194948759</v>
      </c>
      <c r="V50" s="4">
        <f t="shared" ca="1" si="16"/>
        <v>0</v>
      </c>
      <c r="W50" s="13">
        <f t="shared" ca="1" si="17"/>
        <v>47995.641000000003</v>
      </c>
      <c r="X50" s="4">
        <f t="shared" ca="1" si="18"/>
        <v>0</v>
      </c>
      <c r="Y50" s="4">
        <f t="shared" si="19"/>
        <v>0</v>
      </c>
      <c r="Z50" s="13">
        <f t="shared" ca="1" si="20"/>
        <v>47995.641000000003</v>
      </c>
      <c r="AA50" s="4">
        <f t="shared" ca="1" si="21"/>
        <v>0</v>
      </c>
      <c r="AE50" s="4"/>
    </row>
    <row r="51" spans="1:31">
      <c r="A51">
        <v>0</v>
      </c>
      <c r="B51">
        <v>1</v>
      </c>
      <c r="C51">
        <f t="shared" ca="1" si="0"/>
        <v>2</v>
      </c>
      <c r="D51">
        <f t="shared" ca="1" si="1"/>
        <v>1</v>
      </c>
      <c r="E51">
        <f t="shared" ca="1" si="2"/>
        <v>0</v>
      </c>
      <c r="F51" s="110">
        <f t="shared" ca="1" si="3"/>
        <v>0</v>
      </c>
      <c r="G51">
        <v>1</v>
      </c>
      <c r="H51">
        <v>1</v>
      </c>
      <c r="I51">
        <v>6</v>
      </c>
      <c r="J51" s="1">
        <f t="shared" ca="1" si="4"/>
        <v>0</v>
      </c>
      <c r="K51" s="1">
        <f t="shared" ca="1" si="5"/>
        <v>0</v>
      </c>
      <c r="L51" s="13">
        <f t="shared" ca="1" si="6"/>
        <v>576</v>
      </c>
      <c r="M51" s="7">
        <f t="shared" ca="1" si="7"/>
        <v>924</v>
      </c>
      <c r="N51" s="26">
        <f t="shared" ca="1" si="8"/>
        <v>4</v>
      </c>
      <c r="O51" s="44">
        <f t="shared" ca="1" si="9"/>
        <v>2.8886114468927948</v>
      </c>
      <c r="P51" s="44">
        <f t="shared" ca="1" si="10"/>
        <v>28.886114468927953</v>
      </c>
      <c r="Q51" s="44">
        <f t="shared" ca="1" si="11"/>
        <v>28.886114468927953</v>
      </c>
      <c r="R51" s="44">
        <f t="shared" ca="1" si="12"/>
        <v>2.8886114468927953</v>
      </c>
      <c r="S51" s="44">
        <f t="shared" ca="1" si="13"/>
        <v>2.8886114468927948</v>
      </c>
      <c r="T51" s="4">
        <f t="shared" ca="1" si="14"/>
        <v>0</v>
      </c>
      <c r="U51" s="120">
        <f t="shared" ca="1" si="15"/>
        <v>2064.7564194948759</v>
      </c>
      <c r="V51" s="4">
        <f t="shared" ca="1" si="16"/>
        <v>0</v>
      </c>
      <c r="W51" s="13">
        <f t="shared" ca="1" si="17"/>
        <v>45566.766000000003</v>
      </c>
      <c r="X51" s="4">
        <f t="shared" ca="1" si="18"/>
        <v>0</v>
      </c>
      <c r="Y51" s="4">
        <f t="shared" si="19"/>
        <v>0</v>
      </c>
      <c r="Z51" s="13">
        <f t="shared" ca="1" si="20"/>
        <v>45566.766000000003</v>
      </c>
      <c r="AA51" s="4">
        <f t="shared" ca="1" si="21"/>
        <v>0</v>
      </c>
      <c r="AE51" s="4"/>
    </row>
    <row r="52" spans="1:31">
      <c r="A52">
        <v>0</v>
      </c>
      <c r="B52">
        <v>1</v>
      </c>
      <c r="C52">
        <f t="shared" ca="1" si="0"/>
        <v>2</v>
      </c>
      <c r="D52">
        <f t="shared" ca="1" si="1"/>
        <v>1</v>
      </c>
      <c r="E52">
        <f t="shared" ca="1" si="2"/>
        <v>0</v>
      </c>
      <c r="F52" s="110">
        <f t="shared" ca="1" si="3"/>
        <v>0</v>
      </c>
      <c r="G52">
        <v>1</v>
      </c>
      <c r="H52">
        <v>1</v>
      </c>
      <c r="I52">
        <v>5</v>
      </c>
      <c r="J52" s="1">
        <f t="shared" ca="1" si="4"/>
        <v>0</v>
      </c>
      <c r="K52" s="1">
        <f t="shared" ca="1" si="5"/>
        <v>0</v>
      </c>
      <c r="L52" s="13">
        <f t="shared" ca="1" si="6"/>
        <v>557</v>
      </c>
      <c r="M52" s="7">
        <f t="shared" ca="1" si="7"/>
        <v>943</v>
      </c>
      <c r="N52" s="26">
        <f t="shared" ca="1" si="8"/>
        <v>4</v>
      </c>
      <c r="O52" s="44">
        <f t="shared" ca="1" si="9"/>
        <v>2.8886114468927948</v>
      </c>
      <c r="P52" s="44">
        <f t="shared" ca="1" si="10"/>
        <v>28.886114468927953</v>
      </c>
      <c r="Q52" s="44">
        <f t="shared" ca="1" si="11"/>
        <v>28.886114468927953</v>
      </c>
      <c r="R52" s="44">
        <f t="shared" ca="1" si="12"/>
        <v>2.8886114468927953</v>
      </c>
      <c r="S52" s="44">
        <f t="shared" ca="1" si="13"/>
        <v>2.8886114468927948</v>
      </c>
      <c r="T52" s="4">
        <f t="shared" ca="1" si="14"/>
        <v>0</v>
      </c>
      <c r="U52" s="120">
        <f t="shared" ca="1" si="15"/>
        <v>2045.7564194948757</v>
      </c>
      <c r="V52" s="4">
        <f t="shared" ca="1" si="16"/>
        <v>0</v>
      </c>
      <c r="W52" s="13">
        <f t="shared" ca="1" si="17"/>
        <v>43137.891000000003</v>
      </c>
      <c r="X52" s="4">
        <f t="shared" ca="1" si="18"/>
        <v>0</v>
      </c>
      <c r="Y52" s="4">
        <f t="shared" si="19"/>
        <v>0</v>
      </c>
      <c r="Z52" s="13">
        <f t="shared" ca="1" si="20"/>
        <v>43137.891000000003</v>
      </c>
      <c r="AA52" s="4">
        <f t="shared" ca="1" si="21"/>
        <v>0</v>
      </c>
      <c r="AE52" s="4"/>
    </row>
    <row r="53" spans="1:31">
      <c r="A53">
        <v>0</v>
      </c>
      <c r="B53">
        <v>1</v>
      </c>
      <c r="C53">
        <f t="shared" ca="1" si="0"/>
        <v>2</v>
      </c>
      <c r="D53">
        <f t="shared" ca="1" si="1"/>
        <v>1</v>
      </c>
      <c r="E53">
        <f t="shared" ca="1" si="2"/>
        <v>0</v>
      </c>
      <c r="F53" s="110">
        <f t="shared" ca="1" si="3"/>
        <v>0</v>
      </c>
      <c r="G53">
        <v>1</v>
      </c>
      <c r="H53">
        <v>1</v>
      </c>
      <c r="I53">
        <v>4</v>
      </c>
      <c r="J53" s="1">
        <f t="shared" ca="1" si="4"/>
        <v>0</v>
      </c>
      <c r="K53" s="1">
        <f t="shared" ca="1" si="5"/>
        <v>0</v>
      </c>
      <c r="L53" s="13">
        <f t="shared" ca="1" si="6"/>
        <v>538</v>
      </c>
      <c r="M53" s="7">
        <f t="shared" ca="1" si="7"/>
        <v>962</v>
      </c>
      <c r="N53" s="26">
        <f t="shared" ca="1" si="8"/>
        <v>4</v>
      </c>
      <c r="O53" s="44">
        <f t="shared" ca="1" si="9"/>
        <v>2.8886114468927948</v>
      </c>
      <c r="P53" s="44">
        <f t="shared" ca="1" si="10"/>
        <v>28.886114468927953</v>
      </c>
      <c r="Q53" s="44">
        <f t="shared" ca="1" si="11"/>
        <v>28.886114468927953</v>
      </c>
      <c r="R53" s="44">
        <f t="shared" ca="1" si="12"/>
        <v>2.8886114468927953</v>
      </c>
      <c r="S53" s="44">
        <f t="shared" ca="1" si="13"/>
        <v>2.8886114468927948</v>
      </c>
      <c r="T53" s="4">
        <f t="shared" ca="1" si="14"/>
        <v>0</v>
      </c>
      <c r="U53" s="120">
        <f t="shared" ca="1" si="15"/>
        <v>2026.7564194948757</v>
      </c>
      <c r="V53" s="4">
        <f t="shared" ca="1" si="16"/>
        <v>0</v>
      </c>
      <c r="W53" s="13">
        <f t="shared" ca="1" si="17"/>
        <v>40709.016000000003</v>
      </c>
      <c r="X53" s="4">
        <f t="shared" ca="1" si="18"/>
        <v>0</v>
      </c>
      <c r="Y53" s="4">
        <f t="shared" si="19"/>
        <v>0</v>
      </c>
      <c r="Z53" s="13">
        <f t="shared" ca="1" si="20"/>
        <v>40709.016000000003</v>
      </c>
      <c r="AA53" s="4">
        <f t="shared" ca="1" si="21"/>
        <v>0</v>
      </c>
      <c r="AE53" s="4"/>
    </row>
    <row r="54" spans="1:31">
      <c r="A54">
        <v>0</v>
      </c>
      <c r="B54">
        <v>1</v>
      </c>
      <c r="C54">
        <f t="shared" ca="1" si="0"/>
        <v>2</v>
      </c>
      <c r="D54">
        <f t="shared" ca="1" si="1"/>
        <v>1</v>
      </c>
      <c r="E54">
        <f t="shared" ca="1" si="2"/>
        <v>0</v>
      </c>
      <c r="F54" s="110">
        <f t="shared" ca="1" si="3"/>
        <v>0</v>
      </c>
      <c r="G54">
        <v>1</v>
      </c>
      <c r="H54">
        <v>1</v>
      </c>
      <c r="I54">
        <v>3</v>
      </c>
      <c r="J54" s="1">
        <f t="shared" ca="1" si="4"/>
        <v>0</v>
      </c>
      <c r="K54" s="1">
        <f t="shared" ca="1" si="5"/>
        <v>0</v>
      </c>
      <c r="L54" s="13">
        <f t="shared" ca="1" si="6"/>
        <v>519</v>
      </c>
      <c r="M54" s="7">
        <f t="shared" ca="1" si="7"/>
        <v>981</v>
      </c>
      <c r="N54" s="26">
        <f t="shared" ca="1" si="8"/>
        <v>4</v>
      </c>
      <c r="O54" s="44">
        <f t="shared" ca="1" si="9"/>
        <v>2.8886114468927948</v>
      </c>
      <c r="P54" s="44">
        <f t="shared" ca="1" si="10"/>
        <v>28.886114468927953</v>
      </c>
      <c r="Q54" s="44">
        <f t="shared" ca="1" si="11"/>
        <v>28.886114468927953</v>
      </c>
      <c r="R54" s="44">
        <f t="shared" ca="1" si="12"/>
        <v>2.8886114468927953</v>
      </c>
      <c r="S54" s="44">
        <f t="shared" ca="1" si="13"/>
        <v>2.8886114468927948</v>
      </c>
      <c r="T54" s="4">
        <f t="shared" ca="1" si="14"/>
        <v>0</v>
      </c>
      <c r="U54" s="120">
        <f t="shared" ca="1" si="15"/>
        <v>2007.7564194948757</v>
      </c>
      <c r="V54" s="4">
        <f t="shared" ca="1" si="16"/>
        <v>0</v>
      </c>
      <c r="W54" s="13">
        <f t="shared" ca="1" si="17"/>
        <v>38280.141000000003</v>
      </c>
      <c r="X54" s="4">
        <f t="shared" ca="1" si="18"/>
        <v>0</v>
      </c>
      <c r="Y54" s="4">
        <f t="shared" si="19"/>
        <v>0</v>
      </c>
      <c r="Z54" s="13">
        <f t="shared" ca="1" si="20"/>
        <v>38280.141000000003</v>
      </c>
      <c r="AA54" s="4">
        <f t="shared" ca="1" si="21"/>
        <v>0</v>
      </c>
      <c r="AE54" s="4"/>
    </row>
    <row r="55" spans="1:31">
      <c r="A55">
        <v>0</v>
      </c>
      <c r="B55">
        <v>1</v>
      </c>
      <c r="C55">
        <f t="shared" ca="1" si="0"/>
        <v>2</v>
      </c>
      <c r="D55">
        <f t="shared" ca="1" si="1"/>
        <v>1</v>
      </c>
      <c r="E55">
        <f t="shared" ca="1" si="2"/>
        <v>0</v>
      </c>
      <c r="F55" s="110">
        <f t="shared" ca="1" si="3"/>
        <v>0</v>
      </c>
      <c r="G55">
        <v>1</v>
      </c>
      <c r="H55">
        <v>1</v>
      </c>
      <c r="I55">
        <v>2</v>
      </c>
      <c r="J55" s="1">
        <f t="shared" ca="1" si="4"/>
        <v>0</v>
      </c>
      <c r="K55" s="1">
        <f t="shared" ca="1" si="5"/>
        <v>0</v>
      </c>
      <c r="L55" s="13">
        <f t="shared" ca="1" si="6"/>
        <v>500</v>
      </c>
      <c r="M55" s="7">
        <f t="shared" ca="1" si="7"/>
        <v>1000</v>
      </c>
      <c r="N55" s="26">
        <f t="shared" ca="1" si="8"/>
        <v>4</v>
      </c>
      <c r="O55" s="44">
        <f t="shared" ca="1" si="9"/>
        <v>2.8886114468927948</v>
      </c>
      <c r="P55" s="44">
        <f t="shared" ca="1" si="10"/>
        <v>28.886114468927953</v>
      </c>
      <c r="Q55" s="44">
        <f t="shared" ca="1" si="11"/>
        <v>28.886114468927953</v>
      </c>
      <c r="R55" s="44">
        <f t="shared" ca="1" si="12"/>
        <v>2.8886114468927953</v>
      </c>
      <c r="S55" s="44">
        <f t="shared" ca="1" si="13"/>
        <v>2.8886114468927948</v>
      </c>
      <c r="T55" s="4">
        <f t="shared" ca="1" si="14"/>
        <v>0</v>
      </c>
      <c r="U55" s="120">
        <f t="shared" ca="1" si="15"/>
        <v>1988.7564194948757</v>
      </c>
      <c r="V55" s="4">
        <f t="shared" ca="1" si="16"/>
        <v>0</v>
      </c>
      <c r="W55" s="13">
        <f t="shared" ca="1" si="17"/>
        <v>35851.266000000003</v>
      </c>
      <c r="X55" s="4">
        <f t="shared" ca="1" si="18"/>
        <v>0</v>
      </c>
      <c r="Y55" s="4">
        <f t="shared" si="19"/>
        <v>0</v>
      </c>
      <c r="Z55" s="13">
        <f t="shared" ca="1" si="20"/>
        <v>35851.266000000003</v>
      </c>
      <c r="AA55" s="4">
        <f t="shared" ca="1" si="21"/>
        <v>0</v>
      </c>
      <c r="AE55" s="4"/>
    </row>
    <row r="56" spans="1:31">
      <c r="A56">
        <v>0</v>
      </c>
      <c r="B56">
        <v>1</v>
      </c>
      <c r="C56">
        <f t="shared" ca="1" si="0"/>
        <v>2</v>
      </c>
      <c r="D56">
        <f t="shared" ca="1" si="1"/>
        <v>1</v>
      </c>
      <c r="E56">
        <f t="shared" ca="1" si="2"/>
        <v>0</v>
      </c>
      <c r="F56" s="110">
        <f t="shared" ca="1" si="3"/>
        <v>0</v>
      </c>
      <c r="G56">
        <v>1</v>
      </c>
      <c r="H56">
        <v>1</v>
      </c>
      <c r="I56">
        <v>1</v>
      </c>
      <c r="J56" s="1">
        <f t="shared" ca="1" si="4"/>
        <v>0</v>
      </c>
      <c r="K56" s="1">
        <f t="shared" ca="1" si="5"/>
        <v>0</v>
      </c>
      <c r="L56" s="13">
        <f t="shared" ca="1" si="6"/>
        <v>481</v>
      </c>
      <c r="M56" s="7">
        <f t="shared" ca="1" si="7"/>
        <v>1019</v>
      </c>
      <c r="N56" s="26">
        <f t="shared" ca="1" si="8"/>
        <v>4</v>
      </c>
      <c r="O56" s="44">
        <f t="shared" ca="1" si="9"/>
        <v>2.8886114468927948</v>
      </c>
      <c r="P56" s="44">
        <f t="shared" ca="1" si="10"/>
        <v>28.886114468927953</v>
      </c>
      <c r="Q56" s="44">
        <f t="shared" ca="1" si="11"/>
        <v>28.886114468927953</v>
      </c>
      <c r="R56" s="44">
        <f t="shared" ca="1" si="12"/>
        <v>2.8886114468927953</v>
      </c>
      <c r="S56" s="44">
        <f t="shared" ca="1" si="13"/>
        <v>2.8886114468927948</v>
      </c>
      <c r="T56" s="4">
        <f t="shared" ca="1" si="14"/>
        <v>0</v>
      </c>
      <c r="U56" s="120">
        <f t="shared" ca="1" si="15"/>
        <v>1969.7564194948757</v>
      </c>
      <c r="V56" s="4">
        <f t="shared" ca="1" si="16"/>
        <v>0</v>
      </c>
      <c r="W56" s="13">
        <f t="shared" ca="1" si="17"/>
        <v>33422.391000000003</v>
      </c>
      <c r="X56" s="4">
        <f t="shared" ca="1" si="18"/>
        <v>0</v>
      </c>
      <c r="Y56" s="4">
        <f t="shared" si="19"/>
        <v>0</v>
      </c>
      <c r="Z56" s="13">
        <f t="shared" ca="1" si="20"/>
        <v>33422.391000000003</v>
      </c>
      <c r="AA56" s="4">
        <f t="shared" ca="1" si="21"/>
        <v>0</v>
      </c>
      <c r="AE56" s="4"/>
    </row>
    <row r="57" spans="1:31">
      <c r="A57">
        <v>0</v>
      </c>
      <c r="B57">
        <v>1</v>
      </c>
      <c r="C57">
        <f t="shared" ca="1" si="0"/>
        <v>2</v>
      </c>
      <c r="D57">
        <f t="shared" ca="1" si="1"/>
        <v>1</v>
      </c>
      <c r="E57">
        <f t="shared" ca="1" si="2"/>
        <v>0</v>
      </c>
      <c r="F57" s="110">
        <f t="shared" ca="1" si="3"/>
        <v>0</v>
      </c>
      <c r="G57">
        <v>1</v>
      </c>
      <c r="H57">
        <v>1</v>
      </c>
      <c r="I57">
        <v>0</v>
      </c>
      <c r="J57" s="1">
        <f t="shared" ca="1" si="4"/>
        <v>0</v>
      </c>
      <c r="K57" s="1">
        <f t="shared" ca="1" si="5"/>
        <v>0</v>
      </c>
      <c r="L57" s="13">
        <f t="shared" ca="1" si="6"/>
        <v>462</v>
      </c>
      <c r="M57" s="7">
        <f t="shared" ca="1" si="7"/>
        <v>1038</v>
      </c>
      <c r="N57" s="26">
        <f t="shared" ca="1" si="8"/>
        <v>4</v>
      </c>
      <c r="O57" s="44">
        <f t="shared" ca="1" si="9"/>
        <v>2.8886114468927948</v>
      </c>
      <c r="P57" s="44">
        <f t="shared" ca="1" si="10"/>
        <v>28.886114468927953</v>
      </c>
      <c r="Q57" s="44">
        <f t="shared" ca="1" si="11"/>
        <v>28.886114468927953</v>
      </c>
      <c r="R57" s="44">
        <f t="shared" ca="1" si="12"/>
        <v>2.8886114468927953</v>
      </c>
      <c r="S57" s="44">
        <f t="shared" ca="1" si="13"/>
        <v>2.8886114468927948</v>
      </c>
      <c r="T57" s="4">
        <f t="shared" ca="1" si="14"/>
        <v>0</v>
      </c>
      <c r="U57" s="120">
        <f t="shared" ca="1" si="15"/>
        <v>1950.7564194948757</v>
      </c>
      <c r="V57" s="4">
        <f t="shared" ca="1" si="16"/>
        <v>0</v>
      </c>
      <c r="W57" s="13">
        <f t="shared" ca="1" si="17"/>
        <v>30993.516000000003</v>
      </c>
      <c r="X57" s="4">
        <f t="shared" ca="1" si="18"/>
        <v>0</v>
      </c>
      <c r="Y57" s="4">
        <f t="shared" si="19"/>
        <v>0</v>
      </c>
      <c r="Z57" s="13">
        <f t="shared" ca="1" si="20"/>
        <v>30993.516000000003</v>
      </c>
      <c r="AA57" s="4">
        <f t="shared" ca="1" si="21"/>
        <v>0</v>
      </c>
      <c r="AE57" s="4"/>
    </row>
    <row r="58" spans="1:31">
      <c r="A58">
        <v>0</v>
      </c>
      <c r="B58">
        <v>1</v>
      </c>
      <c r="C58">
        <f t="shared" ca="1" si="0"/>
        <v>2</v>
      </c>
      <c r="D58">
        <f t="shared" ca="1" si="1"/>
        <v>1</v>
      </c>
      <c r="E58">
        <f t="shared" ca="1" si="2"/>
        <v>0</v>
      </c>
      <c r="F58" s="110">
        <f t="shared" ca="1" si="3"/>
        <v>0</v>
      </c>
      <c r="G58">
        <v>1</v>
      </c>
      <c r="H58">
        <v>0</v>
      </c>
      <c r="I58">
        <v>7</v>
      </c>
      <c r="J58" s="1">
        <f t="shared" ca="1" si="4"/>
        <v>0</v>
      </c>
      <c r="K58" s="1">
        <f t="shared" ca="1" si="5"/>
        <v>0</v>
      </c>
      <c r="L58" s="13">
        <f t="shared" ca="1" si="6"/>
        <v>364</v>
      </c>
      <c r="M58" s="7">
        <f t="shared" ca="1" si="7"/>
        <v>1136</v>
      </c>
      <c r="N58" s="26">
        <f t="shared" ca="1" si="8"/>
        <v>5</v>
      </c>
      <c r="O58" s="44">
        <f t="shared" ca="1" si="9"/>
        <v>3.5346387789404914</v>
      </c>
      <c r="P58" s="44">
        <f t="shared" ca="1" si="10"/>
        <v>35.346387789404908</v>
      </c>
      <c r="Q58" s="44">
        <f t="shared" ca="1" si="11"/>
        <v>34.700360457357213</v>
      </c>
      <c r="R58" s="44">
        <f t="shared" ca="1" si="12"/>
        <v>3.5023374123381061</v>
      </c>
      <c r="S58" s="44">
        <f t="shared" ca="1" si="13"/>
        <v>3.532377683278324</v>
      </c>
      <c r="T58" s="4">
        <f t="shared" ca="1" si="14"/>
        <v>0</v>
      </c>
      <c r="U58" s="120">
        <f t="shared" ca="1" si="15"/>
        <v>2135.4497774977995</v>
      </c>
      <c r="V58" s="4">
        <f t="shared" ca="1" si="16"/>
        <v>0</v>
      </c>
      <c r="W58" s="13">
        <f t="shared" ca="1" si="17"/>
        <v>47995.641000000003</v>
      </c>
      <c r="X58" s="4">
        <f t="shared" ca="1" si="18"/>
        <v>0</v>
      </c>
      <c r="Y58" s="4">
        <f t="shared" si="19"/>
        <v>0</v>
      </c>
      <c r="Z58" s="13">
        <f t="shared" ca="1" si="20"/>
        <v>47995.641000000003</v>
      </c>
      <c r="AA58" s="4">
        <f t="shared" ca="1" si="21"/>
        <v>0</v>
      </c>
      <c r="AE58" s="4"/>
    </row>
    <row r="59" spans="1:31">
      <c r="A59">
        <v>0</v>
      </c>
      <c r="B59">
        <v>1</v>
      </c>
      <c r="C59">
        <f t="shared" ca="1" si="0"/>
        <v>2</v>
      </c>
      <c r="D59">
        <f t="shared" ca="1" si="1"/>
        <v>1</v>
      </c>
      <c r="E59">
        <f t="shared" ca="1" si="2"/>
        <v>0</v>
      </c>
      <c r="F59" s="110">
        <f t="shared" ca="1" si="3"/>
        <v>0</v>
      </c>
      <c r="G59">
        <v>1</v>
      </c>
      <c r="H59">
        <v>0</v>
      </c>
      <c r="I59">
        <v>6</v>
      </c>
      <c r="J59" s="1">
        <f t="shared" ca="1" si="4"/>
        <v>0</v>
      </c>
      <c r="K59" s="1">
        <f t="shared" ca="1" si="5"/>
        <v>0</v>
      </c>
      <c r="L59" s="13">
        <f t="shared" ca="1" si="6"/>
        <v>345</v>
      </c>
      <c r="M59" s="7">
        <f t="shared" ca="1" si="7"/>
        <v>1155</v>
      </c>
      <c r="N59" s="26">
        <f t="shared" ca="1" si="8"/>
        <v>5</v>
      </c>
      <c r="O59" s="44">
        <f t="shared" ca="1" si="9"/>
        <v>3.5346387789404914</v>
      </c>
      <c r="P59" s="44">
        <f t="shared" ca="1" si="10"/>
        <v>35.346387789404908</v>
      </c>
      <c r="Q59" s="44">
        <f t="shared" ca="1" si="11"/>
        <v>35.346387789404908</v>
      </c>
      <c r="R59" s="44">
        <f t="shared" ca="1" si="12"/>
        <v>3.5346387789404909</v>
      </c>
      <c r="S59" s="44">
        <f t="shared" ca="1" si="13"/>
        <v>3.5346387789404914</v>
      </c>
      <c r="T59" s="4">
        <f t="shared" ca="1" si="14"/>
        <v>0</v>
      </c>
      <c r="U59" s="120">
        <f t="shared" ca="1" si="15"/>
        <v>2117.4426794074939</v>
      </c>
      <c r="V59" s="4">
        <f t="shared" ca="1" si="16"/>
        <v>0</v>
      </c>
      <c r="W59" s="13">
        <f t="shared" ca="1" si="17"/>
        <v>45566.766000000003</v>
      </c>
      <c r="X59" s="4">
        <f t="shared" ca="1" si="18"/>
        <v>0</v>
      </c>
      <c r="Y59" s="4">
        <f t="shared" si="19"/>
        <v>0</v>
      </c>
      <c r="Z59" s="13">
        <f t="shared" ca="1" si="20"/>
        <v>45566.766000000003</v>
      </c>
      <c r="AA59" s="4">
        <f t="shared" ca="1" si="21"/>
        <v>0</v>
      </c>
      <c r="AE59" s="4"/>
    </row>
    <row r="60" spans="1:31">
      <c r="A60">
        <v>0</v>
      </c>
      <c r="B60">
        <v>1</v>
      </c>
      <c r="C60">
        <f t="shared" ca="1" si="0"/>
        <v>2</v>
      </c>
      <c r="D60">
        <f t="shared" ca="1" si="1"/>
        <v>1</v>
      </c>
      <c r="E60">
        <f t="shared" ca="1" si="2"/>
        <v>0</v>
      </c>
      <c r="F60" s="110">
        <f t="shared" ca="1" si="3"/>
        <v>0</v>
      </c>
      <c r="G60">
        <v>1</v>
      </c>
      <c r="H60">
        <v>0</v>
      </c>
      <c r="I60">
        <v>5</v>
      </c>
      <c r="J60" s="1">
        <f t="shared" ca="1" si="4"/>
        <v>0</v>
      </c>
      <c r="K60" s="1">
        <f t="shared" ca="1" si="5"/>
        <v>0</v>
      </c>
      <c r="L60" s="13">
        <f t="shared" ca="1" si="6"/>
        <v>326</v>
      </c>
      <c r="M60" s="7">
        <f t="shared" ca="1" si="7"/>
        <v>1174</v>
      </c>
      <c r="N60" s="26">
        <f t="shared" ca="1" si="8"/>
        <v>5</v>
      </c>
      <c r="O60" s="44">
        <f t="shared" ca="1" si="9"/>
        <v>3.5346387789404914</v>
      </c>
      <c r="P60" s="44">
        <f t="shared" ca="1" si="10"/>
        <v>35.346387789404908</v>
      </c>
      <c r="Q60" s="44">
        <f t="shared" ca="1" si="11"/>
        <v>35.346387789404908</v>
      </c>
      <c r="R60" s="44">
        <f t="shared" ca="1" si="12"/>
        <v>3.5346387789404909</v>
      </c>
      <c r="S60" s="44">
        <f t="shared" ca="1" si="13"/>
        <v>3.5346387789404914</v>
      </c>
      <c r="T60" s="4">
        <f t="shared" ca="1" si="14"/>
        <v>0</v>
      </c>
      <c r="U60" s="120">
        <f t="shared" ca="1" si="15"/>
        <v>2098.4426794074939</v>
      </c>
      <c r="V60" s="4">
        <f t="shared" ca="1" si="16"/>
        <v>0</v>
      </c>
      <c r="W60" s="13">
        <f t="shared" ca="1" si="17"/>
        <v>43137.891000000003</v>
      </c>
      <c r="X60" s="4">
        <f t="shared" ca="1" si="18"/>
        <v>0</v>
      </c>
      <c r="Y60" s="4">
        <f t="shared" si="19"/>
        <v>0</v>
      </c>
      <c r="Z60" s="13">
        <f t="shared" ca="1" si="20"/>
        <v>43137.891000000003</v>
      </c>
      <c r="AA60" s="4">
        <f t="shared" ca="1" si="21"/>
        <v>0</v>
      </c>
      <c r="AE60" s="4"/>
    </row>
    <row r="61" spans="1:31">
      <c r="A61">
        <v>0</v>
      </c>
      <c r="B61">
        <v>1</v>
      </c>
      <c r="C61">
        <f t="shared" ca="1" si="0"/>
        <v>2</v>
      </c>
      <c r="D61">
        <f t="shared" ca="1" si="1"/>
        <v>1</v>
      </c>
      <c r="E61">
        <f t="shared" ca="1" si="2"/>
        <v>0</v>
      </c>
      <c r="F61" s="110">
        <f t="shared" ca="1" si="3"/>
        <v>0</v>
      </c>
      <c r="G61">
        <v>1</v>
      </c>
      <c r="H61">
        <v>0</v>
      </c>
      <c r="I61">
        <v>4</v>
      </c>
      <c r="J61" s="1">
        <f t="shared" ca="1" si="4"/>
        <v>0</v>
      </c>
      <c r="K61" s="1">
        <f t="shared" ca="1" si="5"/>
        <v>0</v>
      </c>
      <c r="L61" s="13">
        <f t="shared" ca="1" si="6"/>
        <v>307</v>
      </c>
      <c r="M61" s="7">
        <f t="shared" ca="1" si="7"/>
        <v>1193</v>
      </c>
      <c r="N61" s="26">
        <f t="shared" ca="1" si="8"/>
        <v>5</v>
      </c>
      <c r="O61" s="44">
        <f t="shared" ca="1" si="9"/>
        <v>3.5346387789404914</v>
      </c>
      <c r="P61" s="44">
        <f t="shared" ca="1" si="10"/>
        <v>35.346387789404908</v>
      </c>
      <c r="Q61" s="44">
        <f t="shared" ca="1" si="11"/>
        <v>35.346387789404908</v>
      </c>
      <c r="R61" s="44">
        <f t="shared" ca="1" si="12"/>
        <v>3.5346387789404909</v>
      </c>
      <c r="S61" s="44">
        <f t="shared" ca="1" si="13"/>
        <v>3.5346387789404914</v>
      </c>
      <c r="T61" s="4">
        <f t="shared" ca="1" si="14"/>
        <v>0</v>
      </c>
      <c r="U61" s="120">
        <f t="shared" ca="1" si="15"/>
        <v>2079.4426794074939</v>
      </c>
      <c r="V61" s="4">
        <f t="shared" ca="1" si="16"/>
        <v>0</v>
      </c>
      <c r="W61" s="13">
        <f t="shared" ca="1" si="17"/>
        <v>40709.016000000003</v>
      </c>
      <c r="X61" s="4">
        <f t="shared" ca="1" si="18"/>
        <v>0</v>
      </c>
      <c r="Y61" s="4">
        <f t="shared" si="19"/>
        <v>0</v>
      </c>
      <c r="Z61" s="13">
        <f t="shared" ca="1" si="20"/>
        <v>40709.016000000003</v>
      </c>
      <c r="AA61" s="4">
        <f t="shared" ca="1" si="21"/>
        <v>0</v>
      </c>
      <c r="AE61" s="4"/>
    </row>
    <row r="62" spans="1:31">
      <c r="A62">
        <v>0</v>
      </c>
      <c r="B62">
        <v>1</v>
      </c>
      <c r="C62">
        <f t="shared" ca="1" si="0"/>
        <v>2</v>
      </c>
      <c r="D62">
        <f t="shared" ca="1" si="1"/>
        <v>1</v>
      </c>
      <c r="E62">
        <f t="shared" ca="1" si="2"/>
        <v>0</v>
      </c>
      <c r="F62" s="110">
        <f t="shared" ca="1" si="3"/>
        <v>0</v>
      </c>
      <c r="G62">
        <v>1</v>
      </c>
      <c r="H62">
        <v>0</v>
      </c>
      <c r="I62">
        <v>3</v>
      </c>
      <c r="J62" s="1">
        <f t="shared" ca="1" si="4"/>
        <v>0</v>
      </c>
      <c r="K62" s="1">
        <f t="shared" ca="1" si="5"/>
        <v>0</v>
      </c>
      <c r="L62" s="13">
        <f t="shared" ca="1" si="6"/>
        <v>288</v>
      </c>
      <c r="M62" s="7">
        <f t="shared" ca="1" si="7"/>
        <v>1212</v>
      </c>
      <c r="N62" s="26">
        <f t="shared" ca="1" si="8"/>
        <v>5</v>
      </c>
      <c r="O62" s="44">
        <f t="shared" ca="1" si="9"/>
        <v>3.5346387789404914</v>
      </c>
      <c r="P62" s="44">
        <f t="shared" ca="1" si="10"/>
        <v>35.346387789404908</v>
      </c>
      <c r="Q62" s="44">
        <f t="shared" ca="1" si="11"/>
        <v>35.346387789404908</v>
      </c>
      <c r="R62" s="44">
        <f t="shared" ca="1" si="12"/>
        <v>3.5346387789404909</v>
      </c>
      <c r="S62" s="44">
        <f t="shared" ca="1" si="13"/>
        <v>3.5346387789404914</v>
      </c>
      <c r="T62" s="4">
        <f t="shared" ca="1" si="14"/>
        <v>0</v>
      </c>
      <c r="U62" s="120">
        <f t="shared" ca="1" si="15"/>
        <v>2060.4426794074939</v>
      </c>
      <c r="V62" s="4">
        <f t="shared" ca="1" si="16"/>
        <v>0</v>
      </c>
      <c r="W62" s="13">
        <f t="shared" ca="1" si="17"/>
        <v>38280.141000000003</v>
      </c>
      <c r="X62" s="4">
        <f t="shared" ca="1" si="18"/>
        <v>0</v>
      </c>
      <c r="Y62" s="4">
        <f t="shared" si="19"/>
        <v>0</v>
      </c>
      <c r="Z62" s="13">
        <f t="shared" ca="1" si="20"/>
        <v>38280.141000000003</v>
      </c>
      <c r="AA62" s="4">
        <f t="shared" ca="1" si="21"/>
        <v>0</v>
      </c>
      <c r="AE62" s="4"/>
    </row>
    <row r="63" spans="1:31">
      <c r="A63">
        <v>0</v>
      </c>
      <c r="B63">
        <v>1</v>
      </c>
      <c r="C63">
        <f t="shared" ca="1" si="0"/>
        <v>2</v>
      </c>
      <c r="D63">
        <f t="shared" ca="1" si="1"/>
        <v>1</v>
      </c>
      <c r="E63">
        <f t="shared" ca="1" si="2"/>
        <v>0</v>
      </c>
      <c r="F63" s="110">
        <f t="shared" ca="1" si="3"/>
        <v>0</v>
      </c>
      <c r="G63">
        <v>1</v>
      </c>
      <c r="H63">
        <v>0</v>
      </c>
      <c r="I63">
        <v>2</v>
      </c>
      <c r="J63" s="1">
        <f t="shared" ca="1" si="4"/>
        <v>0</v>
      </c>
      <c r="K63" s="1">
        <f t="shared" ca="1" si="5"/>
        <v>0</v>
      </c>
      <c r="L63" s="13">
        <f t="shared" ca="1" si="6"/>
        <v>269</v>
      </c>
      <c r="M63" s="7">
        <f t="shared" ca="1" si="7"/>
        <v>1231</v>
      </c>
      <c r="N63" s="26">
        <f t="shared" ca="1" si="8"/>
        <v>5</v>
      </c>
      <c r="O63" s="44">
        <f t="shared" ca="1" si="9"/>
        <v>3.5346387789404914</v>
      </c>
      <c r="P63" s="44">
        <f t="shared" ca="1" si="10"/>
        <v>35.346387789404908</v>
      </c>
      <c r="Q63" s="44">
        <f t="shared" ca="1" si="11"/>
        <v>35.346387789404908</v>
      </c>
      <c r="R63" s="44">
        <f t="shared" ca="1" si="12"/>
        <v>3.5346387789404909</v>
      </c>
      <c r="S63" s="44">
        <f t="shared" ca="1" si="13"/>
        <v>3.5346387789404914</v>
      </c>
      <c r="T63" s="4">
        <f t="shared" ca="1" si="14"/>
        <v>0</v>
      </c>
      <c r="U63" s="120">
        <f t="shared" ca="1" si="15"/>
        <v>2041.4426794074936</v>
      </c>
      <c r="V63" s="4">
        <f t="shared" ca="1" si="16"/>
        <v>0</v>
      </c>
      <c r="W63" s="13">
        <f t="shared" ca="1" si="17"/>
        <v>35851.266000000003</v>
      </c>
      <c r="X63" s="4">
        <f t="shared" ca="1" si="18"/>
        <v>0</v>
      </c>
      <c r="Y63" s="4">
        <f t="shared" si="19"/>
        <v>0</v>
      </c>
      <c r="Z63" s="13">
        <f t="shared" ca="1" si="20"/>
        <v>35851.266000000003</v>
      </c>
      <c r="AA63" s="4">
        <f t="shared" ca="1" si="21"/>
        <v>0</v>
      </c>
      <c r="AE63" s="4"/>
    </row>
    <row r="64" spans="1:31">
      <c r="A64">
        <v>0</v>
      </c>
      <c r="B64">
        <v>1</v>
      </c>
      <c r="C64">
        <f t="shared" ca="1" si="0"/>
        <v>2</v>
      </c>
      <c r="D64">
        <f t="shared" ca="1" si="1"/>
        <v>1</v>
      </c>
      <c r="E64">
        <f t="shared" ca="1" si="2"/>
        <v>0</v>
      </c>
      <c r="F64" s="110">
        <f t="shared" ca="1" si="3"/>
        <v>0</v>
      </c>
      <c r="G64">
        <v>1</v>
      </c>
      <c r="H64">
        <v>0</v>
      </c>
      <c r="I64">
        <v>1</v>
      </c>
      <c r="J64" s="1">
        <f t="shared" ca="1" si="4"/>
        <v>0.90249999999999997</v>
      </c>
      <c r="K64" s="1">
        <f t="shared" ca="1" si="5"/>
        <v>0</v>
      </c>
      <c r="L64" s="13">
        <f t="shared" ca="1" si="6"/>
        <v>250</v>
      </c>
      <c r="M64" s="7">
        <f t="shared" ca="1" si="7"/>
        <v>1250</v>
      </c>
      <c r="N64" s="26">
        <f t="shared" ca="1" si="8"/>
        <v>5</v>
      </c>
      <c r="O64" s="44">
        <f t="shared" ca="1" si="9"/>
        <v>3.5346387789404914</v>
      </c>
      <c r="P64" s="44">
        <f t="shared" ca="1" si="10"/>
        <v>35.346387789404908</v>
      </c>
      <c r="Q64" s="44">
        <f t="shared" ca="1" si="11"/>
        <v>35.346387789404908</v>
      </c>
      <c r="R64" s="44">
        <f t="shared" ca="1" si="12"/>
        <v>3.5346387789404909</v>
      </c>
      <c r="S64" s="44">
        <f t="shared" ca="1" si="13"/>
        <v>3.5346387789404914</v>
      </c>
      <c r="T64" s="4">
        <f t="shared" ca="1" si="14"/>
        <v>0</v>
      </c>
      <c r="U64" s="120">
        <f t="shared" ca="1" si="15"/>
        <v>2022.4426794074936</v>
      </c>
      <c r="V64" s="4">
        <f t="shared" ca="1" si="16"/>
        <v>0</v>
      </c>
      <c r="W64" s="13">
        <f t="shared" ca="1" si="17"/>
        <v>33422.391000000003</v>
      </c>
      <c r="X64" s="4">
        <f t="shared" ca="1" si="18"/>
        <v>0</v>
      </c>
      <c r="Y64" s="4">
        <f t="shared" si="19"/>
        <v>0</v>
      </c>
      <c r="Z64" s="13">
        <f t="shared" ca="1" si="20"/>
        <v>33422.391000000003</v>
      </c>
      <c r="AA64" s="4">
        <f t="shared" ca="1" si="21"/>
        <v>0</v>
      </c>
      <c r="AE64" s="4"/>
    </row>
    <row r="65" spans="1:31">
      <c r="A65">
        <v>0</v>
      </c>
      <c r="B65">
        <v>1</v>
      </c>
      <c r="C65">
        <f t="shared" ca="1" si="0"/>
        <v>2</v>
      </c>
      <c r="D65">
        <f t="shared" ca="1" si="1"/>
        <v>1</v>
      </c>
      <c r="E65">
        <f t="shared" ca="1" si="2"/>
        <v>0</v>
      </c>
      <c r="F65" s="110">
        <f t="shared" ca="1" si="3"/>
        <v>0</v>
      </c>
      <c r="G65">
        <v>1</v>
      </c>
      <c r="H65">
        <v>0</v>
      </c>
      <c r="I65">
        <v>0</v>
      </c>
      <c r="J65" s="1">
        <f t="shared" ca="1" si="4"/>
        <v>4.7500000000000042E-2</v>
      </c>
      <c r="K65" s="1">
        <f t="shared" ca="1" si="5"/>
        <v>0</v>
      </c>
      <c r="L65" s="13">
        <f t="shared" ca="1" si="6"/>
        <v>231</v>
      </c>
      <c r="M65" s="7">
        <f t="shared" ca="1" si="7"/>
        <v>1269</v>
      </c>
      <c r="N65" s="26">
        <f t="shared" ca="1" si="8"/>
        <v>5</v>
      </c>
      <c r="O65" s="44">
        <f t="shared" ca="1" si="9"/>
        <v>3.5346387789404914</v>
      </c>
      <c r="P65" s="44">
        <f t="shared" ca="1" si="10"/>
        <v>35.346387789404908</v>
      </c>
      <c r="Q65" s="44">
        <f t="shared" ca="1" si="11"/>
        <v>35.346387789404908</v>
      </c>
      <c r="R65" s="44">
        <f t="shared" ca="1" si="12"/>
        <v>3.5346387789404909</v>
      </c>
      <c r="S65" s="44">
        <f t="shared" ca="1" si="13"/>
        <v>3.5346387789404914</v>
      </c>
      <c r="T65" s="4">
        <f t="shared" ca="1" si="14"/>
        <v>0</v>
      </c>
      <c r="U65" s="120">
        <f t="shared" ca="1" si="15"/>
        <v>2003.4426794074936</v>
      </c>
      <c r="V65" s="4">
        <f t="shared" ca="1" si="16"/>
        <v>0</v>
      </c>
      <c r="W65" s="13">
        <f t="shared" ca="1" si="17"/>
        <v>30993.516000000003</v>
      </c>
      <c r="X65" s="4">
        <f t="shared" ca="1" si="18"/>
        <v>0</v>
      </c>
      <c r="Y65" s="4">
        <f t="shared" si="19"/>
        <v>0</v>
      </c>
      <c r="Z65" s="13">
        <f t="shared" ca="1" si="20"/>
        <v>30993.516000000003</v>
      </c>
      <c r="AA65" s="4">
        <f t="shared" ca="1" si="21"/>
        <v>0</v>
      </c>
      <c r="AE65" s="4"/>
    </row>
    <row r="66" spans="1:31">
      <c r="A66">
        <v>0</v>
      </c>
      <c r="B66">
        <v>1</v>
      </c>
      <c r="C66">
        <f t="shared" ca="1" si="0"/>
        <v>2</v>
      </c>
      <c r="D66">
        <f t="shared" ca="1" si="1"/>
        <v>1</v>
      </c>
      <c r="E66">
        <f t="shared" ca="1" si="2"/>
        <v>0</v>
      </c>
      <c r="F66" s="110">
        <f t="shared" ca="1" si="3"/>
        <v>0</v>
      </c>
      <c r="G66">
        <v>0</v>
      </c>
      <c r="H66">
        <v>1</v>
      </c>
      <c r="I66">
        <v>7</v>
      </c>
      <c r="J66" s="1">
        <f t="shared" ca="1" si="4"/>
        <v>0</v>
      </c>
      <c r="K66" s="1">
        <f t="shared" ca="1" si="5"/>
        <v>0</v>
      </c>
      <c r="L66" s="13">
        <f t="shared" ca="1" si="6"/>
        <v>364</v>
      </c>
      <c r="M66" s="7">
        <f t="shared" ca="1" si="7"/>
        <v>1136</v>
      </c>
      <c r="N66" s="26">
        <f t="shared" ca="1" si="8"/>
        <v>5</v>
      </c>
      <c r="O66" s="44">
        <f t="shared" ca="1" si="9"/>
        <v>3.5346387789404914</v>
      </c>
      <c r="P66" s="44">
        <f t="shared" ca="1" si="10"/>
        <v>35.346387789404908</v>
      </c>
      <c r="Q66" s="44">
        <f t="shared" ca="1" si="11"/>
        <v>34.700360457357213</v>
      </c>
      <c r="R66" s="44">
        <f t="shared" ca="1" si="12"/>
        <v>3.5023374123381061</v>
      </c>
      <c r="S66" s="44">
        <f t="shared" ca="1" si="13"/>
        <v>3.532377683278324</v>
      </c>
      <c r="T66" s="4">
        <f t="shared" ca="1" si="14"/>
        <v>0</v>
      </c>
      <c r="U66" s="120">
        <f t="shared" ca="1" si="15"/>
        <v>2135.4497774977995</v>
      </c>
      <c r="V66" s="4">
        <f t="shared" ca="1" si="16"/>
        <v>0</v>
      </c>
      <c r="W66" s="13">
        <f t="shared" ca="1" si="17"/>
        <v>17002.125</v>
      </c>
      <c r="X66" s="4">
        <f t="shared" ca="1" si="18"/>
        <v>0</v>
      </c>
      <c r="Y66" s="4">
        <f t="shared" si="19"/>
        <v>0</v>
      </c>
      <c r="Z66" s="13">
        <f t="shared" ca="1" si="20"/>
        <v>17002.125</v>
      </c>
      <c r="AA66" s="4">
        <f t="shared" ca="1" si="21"/>
        <v>0</v>
      </c>
      <c r="AE66" s="4"/>
    </row>
    <row r="67" spans="1:31">
      <c r="A67">
        <v>0</v>
      </c>
      <c r="B67">
        <v>1</v>
      </c>
      <c r="C67">
        <f t="shared" ca="1" si="0"/>
        <v>2</v>
      </c>
      <c r="D67">
        <f t="shared" ca="1" si="1"/>
        <v>1</v>
      </c>
      <c r="E67">
        <f t="shared" ca="1" si="2"/>
        <v>0</v>
      </c>
      <c r="F67" s="110">
        <f t="shared" ca="1" si="3"/>
        <v>0</v>
      </c>
      <c r="G67">
        <v>0</v>
      </c>
      <c r="H67">
        <v>1</v>
      </c>
      <c r="I67">
        <v>6</v>
      </c>
      <c r="J67" s="1">
        <f t="shared" ca="1" si="4"/>
        <v>0</v>
      </c>
      <c r="K67" s="1">
        <f t="shared" ca="1" si="5"/>
        <v>0</v>
      </c>
      <c r="L67" s="13">
        <f t="shared" ca="1" si="6"/>
        <v>345</v>
      </c>
      <c r="M67" s="7">
        <f t="shared" ca="1" si="7"/>
        <v>1155</v>
      </c>
      <c r="N67" s="26">
        <f t="shared" ca="1" si="8"/>
        <v>5</v>
      </c>
      <c r="O67" s="44">
        <f t="shared" ca="1" si="9"/>
        <v>3.5346387789404914</v>
      </c>
      <c r="P67" s="44">
        <f t="shared" ca="1" si="10"/>
        <v>35.346387789404908</v>
      </c>
      <c r="Q67" s="44">
        <f t="shared" ca="1" si="11"/>
        <v>35.346387789404908</v>
      </c>
      <c r="R67" s="44">
        <f t="shared" ca="1" si="12"/>
        <v>3.5346387789404909</v>
      </c>
      <c r="S67" s="44">
        <f t="shared" ca="1" si="13"/>
        <v>3.5346387789404914</v>
      </c>
      <c r="T67" s="4">
        <f t="shared" ca="1" si="14"/>
        <v>0</v>
      </c>
      <c r="U67" s="120">
        <f t="shared" ca="1" si="15"/>
        <v>2117.4426794074939</v>
      </c>
      <c r="V67" s="4">
        <f t="shared" ca="1" si="16"/>
        <v>0</v>
      </c>
      <c r="W67" s="13">
        <f t="shared" ca="1" si="17"/>
        <v>14573.25</v>
      </c>
      <c r="X67" s="4">
        <f t="shared" ca="1" si="18"/>
        <v>0</v>
      </c>
      <c r="Y67" s="4">
        <f t="shared" si="19"/>
        <v>0</v>
      </c>
      <c r="Z67" s="13">
        <f t="shared" ca="1" si="20"/>
        <v>14573.25</v>
      </c>
      <c r="AA67" s="4">
        <f t="shared" ca="1" si="21"/>
        <v>0</v>
      </c>
      <c r="AE67" s="4"/>
    </row>
    <row r="68" spans="1:31">
      <c r="A68">
        <v>0</v>
      </c>
      <c r="B68">
        <v>1</v>
      </c>
      <c r="C68">
        <f t="shared" ca="1" si="0"/>
        <v>2</v>
      </c>
      <c r="D68">
        <f t="shared" ca="1" si="1"/>
        <v>1</v>
      </c>
      <c r="E68">
        <f t="shared" ca="1" si="2"/>
        <v>0</v>
      </c>
      <c r="F68" s="110">
        <f t="shared" ca="1" si="3"/>
        <v>0</v>
      </c>
      <c r="G68">
        <v>0</v>
      </c>
      <c r="H68">
        <v>1</v>
      </c>
      <c r="I68">
        <v>5</v>
      </c>
      <c r="J68" s="1">
        <f t="shared" ca="1" si="4"/>
        <v>0</v>
      </c>
      <c r="K68" s="1">
        <f t="shared" ca="1" si="5"/>
        <v>0</v>
      </c>
      <c r="L68" s="13">
        <f t="shared" ca="1" si="6"/>
        <v>326</v>
      </c>
      <c r="M68" s="7">
        <f t="shared" ca="1" si="7"/>
        <v>1174</v>
      </c>
      <c r="N68" s="26">
        <f t="shared" ca="1" si="8"/>
        <v>5</v>
      </c>
      <c r="O68" s="44">
        <f t="shared" ca="1" si="9"/>
        <v>3.5346387789404914</v>
      </c>
      <c r="P68" s="44">
        <f t="shared" ca="1" si="10"/>
        <v>35.346387789404908</v>
      </c>
      <c r="Q68" s="44">
        <f t="shared" ca="1" si="11"/>
        <v>35.346387789404908</v>
      </c>
      <c r="R68" s="44">
        <f t="shared" ca="1" si="12"/>
        <v>3.5346387789404909</v>
      </c>
      <c r="S68" s="44">
        <f t="shared" ca="1" si="13"/>
        <v>3.5346387789404914</v>
      </c>
      <c r="T68" s="4">
        <f t="shared" ca="1" si="14"/>
        <v>0</v>
      </c>
      <c r="U68" s="120">
        <f t="shared" ca="1" si="15"/>
        <v>2098.4426794074939</v>
      </c>
      <c r="V68" s="4">
        <f t="shared" ca="1" si="16"/>
        <v>0</v>
      </c>
      <c r="W68" s="13">
        <f t="shared" ca="1" si="17"/>
        <v>12144.375</v>
      </c>
      <c r="X68" s="4">
        <f t="shared" ca="1" si="18"/>
        <v>0</v>
      </c>
      <c r="Y68" s="4">
        <f t="shared" si="19"/>
        <v>0</v>
      </c>
      <c r="Z68" s="13">
        <f t="shared" ca="1" si="20"/>
        <v>12144.375</v>
      </c>
      <c r="AA68" s="4">
        <f t="shared" ca="1" si="21"/>
        <v>0</v>
      </c>
      <c r="AE68" s="4"/>
    </row>
    <row r="69" spans="1:31">
      <c r="A69">
        <v>0</v>
      </c>
      <c r="B69">
        <v>1</v>
      </c>
      <c r="C69">
        <f t="shared" ca="1" si="0"/>
        <v>2</v>
      </c>
      <c r="D69">
        <f t="shared" ca="1" si="1"/>
        <v>1</v>
      </c>
      <c r="E69">
        <f t="shared" ca="1" si="2"/>
        <v>0</v>
      </c>
      <c r="F69" s="110">
        <f t="shared" ca="1" si="3"/>
        <v>0</v>
      </c>
      <c r="G69">
        <v>0</v>
      </c>
      <c r="H69">
        <v>1</v>
      </c>
      <c r="I69">
        <v>4</v>
      </c>
      <c r="J69" s="1">
        <f t="shared" ca="1" si="4"/>
        <v>0</v>
      </c>
      <c r="K69" s="1">
        <f t="shared" ca="1" si="5"/>
        <v>0</v>
      </c>
      <c r="L69" s="13">
        <f t="shared" ca="1" si="6"/>
        <v>307</v>
      </c>
      <c r="M69" s="7">
        <f t="shared" ca="1" si="7"/>
        <v>1193</v>
      </c>
      <c r="N69" s="26">
        <f t="shared" ca="1" si="8"/>
        <v>5</v>
      </c>
      <c r="O69" s="44">
        <f t="shared" ca="1" si="9"/>
        <v>3.5346387789404914</v>
      </c>
      <c r="P69" s="44">
        <f t="shared" ca="1" si="10"/>
        <v>35.346387789404908</v>
      </c>
      <c r="Q69" s="44">
        <f t="shared" ca="1" si="11"/>
        <v>35.346387789404908</v>
      </c>
      <c r="R69" s="44">
        <f t="shared" ca="1" si="12"/>
        <v>3.5346387789404909</v>
      </c>
      <c r="S69" s="44">
        <f t="shared" ca="1" si="13"/>
        <v>3.5346387789404914</v>
      </c>
      <c r="T69" s="4">
        <f t="shared" ca="1" si="14"/>
        <v>0</v>
      </c>
      <c r="U69" s="120">
        <f t="shared" ca="1" si="15"/>
        <v>2079.4426794074939</v>
      </c>
      <c r="V69" s="4">
        <f t="shared" ca="1" si="16"/>
        <v>0</v>
      </c>
      <c r="W69" s="13">
        <f t="shared" ca="1" si="17"/>
        <v>9715.5</v>
      </c>
      <c r="X69" s="4">
        <f t="shared" ca="1" si="18"/>
        <v>0</v>
      </c>
      <c r="Y69" s="4">
        <f t="shared" si="19"/>
        <v>0</v>
      </c>
      <c r="Z69" s="13">
        <f t="shared" ca="1" si="20"/>
        <v>9715.5</v>
      </c>
      <c r="AA69" s="4">
        <f t="shared" ca="1" si="21"/>
        <v>0</v>
      </c>
      <c r="AE69" s="4"/>
    </row>
    <row r="70" spans="1:31">
      <c r="A70">
        <v>0</v>
      </c>
      <c r="B70">
        <v>1</v>
      </c>
      <c r="C70">
        <f t="shared" ca="1" si="0"/>
        <v>2</v>
      </c>
      <c r="D70">
        <f t="shared" ca="1" si="1"/>
        <v>1</v>
      </c>
      <c r="E70">
        <f t="shared" ca="1" si="2"/>
        <v>0</v>
      </c>
      <c r="F70" s="110">
        <f t="shared" ca="1" si="3"/>
        <v>0</v>
      </c>
      <c r="G70">
        <v>0</v>
      </c>
      <c r="H70">
        <v>1</v>
      </c>
      <c r="I70">
        <v>3</v>
      </c>
      <c r="J70" s="1">
        <f t="shared" ca="1" si="4"/>
        <v>0</v>
      </c>
      <c r="K70" s="1">
        <f t="shared" ca="1" si="5"/>
        <v>0</v>
      </c>
      <c r="L70" s="13">
        <f t="shared" ca="1" si="6"/>
        <v>288</v>
      </c>
      <c r="M70" s="7">
        <f t="shared" ca="1" si="7"/>
        <v>1212</v>
      </c>
      <c r="N70" s="26">
        <f t="shared" ca="1" si="8"/>
        <v>5</v>
      </c>
      <c r="O70" s="44">
        <f t="shared" ca="1" si="9"/>
        <v>3.5346387789404914</v>
      </c>
      <c r="P70" s="44">
        <f t="shared" ca="1" si="10"/>
        <v>35.346387789404908</v>
      </c>
      <c r="Q70" s="44">
        <f t="shared" ca="1" si="11"/>
        <v>35.346387789404908</v>
      </c>
      <c r="R70" s="44">
        <f t="shared" ca="1" si="12"/>
        <v>3.5346387789404909</v>
      </c>
      <c r="S70" s="44">
        <f t="shared" ca="1" si="13"/>
        <v>3.5346387789404914</v>
      </c>
      <c r="T70" s="4">
        <f t="shared" ca="1" si="14"/>
        <v>0</v>
      </c>
      <c r="U70" s="120">
        <f t="shared" ca="1" si="15"/>
        <v>2060.4426794074939</v>
      </c>
      <c r="V70" s="4">
        <f t="shared" ca="1" si="16"/>
        <v>0</v>
      </c>
      <c r="W70" s="13">
        <f t="shared" ca="1" si="17"/>
        <v>7286.625</v>
      </c>
      <c r="X70" s="4">
        <f t="shared" ca="1" si="18"/>
        <v>0</v>
      </c>
      <c r="Y70" s="4">
        <f t="shared" si="19"/>
        <v>0</v>
      </c>
      <c r="Z70" s="13">
        <f t="shared" ca="1" si="20"/>
        <v>7286.625</v>
      </c>
      <c r="AA70" s="4">
        <f t="shared" ca="1" si="21"/>
        <v>0</v>
      </c>
      <c r="AE70" s="4"/>
    </row>
    <row r="71" spans="1:31">
      <c r="A71">
        <v>0</v>
      </c>
      <c r="B71">
        <v>1</v>
      </c>
      <c r="C71">
        <f t="shared" ca="1" si="0"/>
        <v>2</v>
      </c>
      <c r="D71">
        <f t="shared" ca="1" si="1"/>
        <v>1</v>
      </c>
      <c r="E71">
        <f t="shared" ca="1" si="2"/>
        <v>0</v>
      </c>
      <c r="F71" s="110">
        <f t="shared" ca="1" si="3"/>
        <v>0</v>
      </c>
      <c r="G71">
        <v>0</v>
      </c>
      <c r="H71">
        <v>1</v>
      </c>
      <c r="I71">
        <v>2</v>
      </c>
      <c r="J71" s="1">
        <f t="shared" ca="1" si="4"/>
        <v>0</v>
      </c>
      <c r="K71" s="1">
        <f t="shared" ca="1" si="5"/>
        <v>0</v>
      </c>
      <c r="L71" s="13">
        <f t="shared" ca="1" si="6"/>
        <v>269</v>
      </c>
      <c r="M71" s="7">
        <f t="shared" ca="1" si="7"/>
        <v>1231</v>
      </c>
      <c r="N71" s="26">
        <f t="shared" ca="1" si="8"/>
        <v>5</v>
      </c>
      <c r="O71" s="44">
        <f t="shared" ca="1" si="9"/>
        <v>3.5346387789404914</v>
      </c>
      <c r="P71" s="44">
        <f t="shared" ca="1" si="10"/>
        <v>35.346387789404908</v>
      </c>
      <c r="Q71" s="44">
        <f t="shared" ca="1" si="11"/>
        <v>35.346387789404908</v>
      </c>
      <c r="R71" s="44">
        <f t="shared" ca="1" si="12"/>
        <v>3.5346387789404909</v>
      </c>
      <c r="S71" s="44">
        <f t="shared" ca="1" si="13"/>
        <v>3.5346387789404914</v>
      </c>
      <c r="T71" s="4">
        <f t="shared" ca="1" si="14"/>
        <v>0</v>
      </c>
      <c r="U71" s="120">
        <f t="shared" ca="1" si="15"/>
        <v>2041.4426794074936</v>
      </c>
      <c r="V71" s="4">
        <f t="shared" ca="1" si="16"/>
        <v>0</v>
      </c>
      <c r="W71" s="13">
        <f t="shared" ca="1" si="17"/>
        <v>4857.75</v>
      </c>
      <c r="X71" s="4">
        <f t="shared" ca="1" si="18"/>
        <v>0</v>
      </c>
      <c r="Y71" s="4">
        <f t="shared" si="19"/>
        <v>0</v>
      </c>
      <c r="Z71" s="13">
        <f t="shared" ca="1" si="20"/>
        <v>4857.75</v>
      </c>
      <c r="AA71" s="4">
        <f t="shared" ca="1" si="21"/>
        <v>0</v>
      </c>
      <c r="AE71" s="4"/>
    </row>
    <row r="72" spans="1:31">
      <c r="A72">
        <v>0</v>
      </c>
      <c r="B72">
        <v>1</v>
      </c>
      <c r="C72">
        <f t="shared" ca="1" si="0"/>
        <v>2</v>
      </c>
      <c r="D72">
        <f t="shared" ca="1" si="1"/>
        <v>1</v>
      </c>
      <c r="E72">
        <f t="shared" ca="1" si="2"/>
        <v>0</v>
      </c>
      <c r="F72" s="110">
        <f t="shared" ca="1" si="3"/>
        <v>0</v>
      </c>
      <c r="G72">
        <v>0</v>
      </c>
      <c r="H72">
        <v>1</v>
      </c>
      <c r="I72">
        <v>1</v>
      </c>
      <c r="J72" s="1">
        <f t="shared" ca="1" si="4"/>
        <v>0</v>
      </c>
      <c r="K72" s="1">
        <f t="shared" ca="1" si="5"/>
        <v>0</v>
      </c>
      <c r="L72" s="13">
        <f t="shared" ca="1" si="6"/>
        <v>250</v>
      </c>
      <c r="M72" s="7">
        <f t="shared" ca="1" si="7"/>
        <v>1250</v>
      </c>
      <c r="N72" s="26">
        <f t="shared" ca="1" si="8"/>
        <v>5</v>
      </c>
      <c r="O72" s="44">
        <f t="shared" ca="1" si="9"/>
        <v>3.5346387789404914</v>
      </c>
      <c r="P72" s="44">
        <f t="shared" ca="1" si="10"/>
        <v>35.346387789404908</v>
      </c>
      <c r="Q72" s="44">
        <f t="shared" ca="1" si="11"/>
        <v>35.346387789404908</v>
      </c>
      <c r="R72" s="44">
        <f t="shared" ca="1" si="12"/>
        <v>3.5346387789404909</v>
      </c>
      <c r="S72" s="44">
        <f t="shared" ca="1" si="13"/>
        <v>3.5346387789404914</v>
      </c>
      <c r="T72" s="4">
        <f t="shared" ca="1" si="14"/>
        <v>0</v>
      </c>
      <c r="U72" s="120">
        <f t="shared" ca="1" si="15"/>
        <v>2022.4426794074936</v>
      </c>
      <c r="V72" s="4">
        <f t="shared" ca="1" si="16"/>
        <v>0</v>
      </c>
      <c r="W72" s="13">
        <f t="shared" ca="1" si="17"/>
        <v>2428.875</v>
      </c>
      <c r="X72" s="4">
        <f t="shared" ca="1" si="18"/>
        <v>0</v>
      </c>
      <c r="Y72" s="4">
        <f t="shared" si="19"/>
        <v>0</v>
      </c>
      <c r="Z72" s="13">
        <f t="shared" ca="1" si="20"/>
        <v>2428.875</v>
      </c>
      <c r="AA72" s="4">
        <f t="shared" ca="1" si="21"/>
        <v>0</v>
      </c>
      <c r="AE72" s="4"/>
    </row>
    <row r="73" spans="1:31">
      <c r="A73">
        <v>0</v>
      </c>
      <c r="B73">
        <v>1</v>
      </c>
      <c r="C73">
        <f t="shared" ca="1" si="0"/>
        <v>2</v>
      </c>
      <c r="D73">
        <f t="shared" ca="1" si="1"/>
        <v>1</v>
      </c>
      <c r="E73">
        <f t="shared" ca="1" si="2"/>
        <v>0</v>
      </c>
      <c r="F73" s="110">
        <f t="shared" ca="1" si="3"/>
        <v>0</v>
      </c>
      <c r="G73">
        <v>0</v>
      </c>
      <c r="H73">
        <v>1</v>
      </c>
      <c r="I73">
        <v>0</v>
      </c>
      <c r="J73" s="1">
        <f t="shared" ca="1" si="4"/>
        <v>0</v>
      </c>
      <c r="K73" s="1">
        <f t="shared" ca="1" si="5"/>
        <v>0</v>
      </c>
      <c r="L73" s="13">
        <f t="shared" ca="1" si="6"/>
        <v>231</v>
      </c>
      <c r="M73" s="7">
        <f t="shared" ca="1" si="7"/>
        <v>1269</v>
      </c>
      <c r="N73" s="26">
        <f t="shared" ca="1" si="8"/>
        <v>5</v>
      </c>
      <c r="O73" s="44">
        <f t="shared" ca="1" si="9"/>
        <v>3.5346387789404914</v>
      </c>
      <c r="P73" s="44">
        <f t="shared" ca="1" si="10"/>
        <v>35.346387789404908</v>
      </c>
      <c r="Q73" s="44">
        <f t="shared" ca="1" si="11"/>
        <v>35.346387789404908</v>
      </c>
      <c r="R73" s="44">
        <f t="shared" ca="1" si="12"/>
        <v>3.5346387789404909</v>
      </c>
      <c r="S73" s="44">
        <f t="shared" ca="1" si="13"/>
        <v>3.5346387789404914</v>
      </c>
      <c r="T73" s="4">
        <f t="shared" ca="1" si="14"/>
        <v>0</v>
      </c>
      <c r="U73" s="120">
        <f t="shared" ca="1" si="15"/>
        <v>2003.4426794074936</v>
      </c>
      <c r="V73" s="4">
        <f t="shared" ca="1" si="16"/>
        <v>0</v>
      </c>
      <c r="W73" s="13">
        <f t="shared" ca="1" si="17"/>
        <v>0</v>
      </c>
      <c r="X73" s="4">
        <f t="shared" ca="1" si="18"/>
        <v>0</v>
      </c>
      <c r="Y73" s="4">
        <f t="shared" si="19"/>
        <v>0</v>
      </c>
      <c r="Z73" s="13">
        <f t="shared" ca="1" si="20"/>
        <v>0</v>
      </c>
      <c r="AA73" s="4">
        <f t="shared" ca="1" si="21"/>
        <v>0</v>
      </c>
      <c r="AE73" s="4"/>
    </row>
    <row r="74" spans="1:31">
      <c r="A74">
        <v>0</v>
      </c>
      <c r="B74">
        <v>1</v>
      </c>
      <c r="C74">
        <f t="shared" ca="1" si="0"/>
        <v>2</v>
      </c>
      <c r="D74">
        <f t="shared" ca="1" si="1"/>
        <v>1</v>
      </c>
      <c r="E74">
        <f t="shared" ca="1" si="2"/>
        <v>0</v>
      </c>
      <c r="F74" s="110">
        <f t="shared" ca="1" si="3"/>
        <v>0</v>
      </c>
      <c r="G74">
        <v>0</v>
      </c>
      <c r="H74">
        <v>0</v>
      </c>
      <c r="I74">
        <v>7</v>
      </c>
      <c r="J74" s="1">
        <f t="shared" ca="1" si="4"/>
        <v>0</v>
      </c>
      <c r="K74" s="1">
        <f t="shared" ca="1" si="5"/>
        <v>0</v>
      </c>
      <c r="L74" s="13">
        <f t="shared" ca="1" si="6"/>
        <v>133</v>
      </c>
      <c r="M74" s="7">
        <f t="shared" ca="1" si="7"/>
        <v>1367</v>
      </c>
      <c r="N74" s="26">
        <f t="shared" ca="1" si="8"/>
        <v>5</v>
      </c>
      <c r="O74" s="44">
        <f t="shared" ca="1" si="9"/>
        <v>3.5346387789404914</v>
      </c>
      <c r="P74" s="44">
        <f t="shared" ca="1" si="10"/>
        <v>35.346387789404908</v>
      </c>
      <c r="Q74" s="44">
        <f t="shared" ca="1" si="11"/>
        <v>35.346387789404908</v>
      </c>
      <c r="R74" s="44">
        <f t="shared" ca="1" si="12"/>
        <v>3.5346387789404909</v>
      </c>
      <c r="S74" s="44">
        <f t="shared" ca="1" si="13"/>
        <v>3.5346387789404914</v>
      </c>
      <c r="T74" s="4">
        <f t="shared" ca="1" si="14"/>
        <v>0</v>
      </c>
      <c r="U74" s="120">
        <f t="shared" ca="1" si="15"/>
        <v>1905.4426794074936</v>
      </c>
      <c r="V74" s="4">
        <f t="shared" ca="1" si="16"/>
        <v>0</v>
      </c>
      <c r="W74" s="13">
        <f t="shared" ca="1" si="17"/>
        <v>17002.125</v>
      </c>
      <c r="X74" s="4">
        <f t="shared" ca="1" si="18"/>
        <v>0</v>
      </c>
      <c r="Y74" s="4">
        <f t="shared" si="19"/>
        <v>0</v>
      </c>
      <c r="Z74" s="13">
        <f t="shared" ca="1" si="20"/>
        <v>17002.125</v>
      </c>
      <c r="AA74" s="4">
        <f t="shared" ca="1" si="21"/>
        <v>0</v>
      </c>
      <c r="AE74" s="4"/>
    </row>
    <row r="75" spans="1:31">
      <c r="A75">
        <v>0</v>
      </c>
      <c r="B75">
        <v>1</v>
      </c>
      <c r="C75">
        <f t="shared" ca="1" si="0"/>
        <v>2</v>
      </c>
      <c r="D75">
        <f t="shared" ca="1" si="1"/>
        <v>1</v>
      </c>
      <c r="E75">
        <f t="shared" ca="1" si="2"/>
        <v>0</v>
      </c>
      <c r="F75" s="110">
        <f t="shared" ca="1" si="3"/>
        <v>0</v>
      </c>
      <c r="G75">
        <v>0</v>
      </c>
      <c r="H75">
        <v>0</v>
      </c>
      <c r="I75">
        <v>6</v>
      </c>
      <c r="J75" s="1">
        <f t="shared" ca="1" si="4"/>
        <v>0</v>
      </c>
      <c r="K75" s="1">
        <f t="shared" ca="1" si="5"/>
        <v>0</v>
      </c>
      <c r="L75" s="13">
        <f t="shared" ca="1" si="6"/>
        <v>114</v>
      </c>
      <c r="M75" s="7">
        <f t="shared" ca="1" si="7"/>
        <v>1386</v>
      </c>
      <c r="N75" s="26">
        <f t="shared" ca="1" si="8"/>
        <v>5</v>
      </c>
      <c r="O75" s="44">
        <f t="shared" ca="1" si="9"/>
        <v>3.5346387789404914</v>
      </c>
      <c r="P75" s="44">
        <f t="shared" ca="1" si="10"/>
        <v>35.346387789404908</v>
      </c>
      <c r="Q75" s="44">
        <f t="shared" ca="1" si="11"/>
        <v>35.346387789404908</v>
      </c>
      <c r="R75" s="44">
        <f t="shared" ca="1" si="12"/>
        <v>3.5346387789404909</v>
      </c>
      <c r="S75" s="44">
        <f t="shared" ca="1" si="13"/>
        <v>3.5346387789404914</v>
      </c>
      <c r="T75" s="4">
        <f t="shared" ca="1" si="14"/>
        <v>0</v>
      </c>
      <c r="U75" s="120">
        <f t="shared" ca="1" si="15"/>
        <v>1886.4426794074936</v>
      </c>
      <c r="V75" s="4">
        <f t="shared" ca="1" si="16"/>
        <v>0</v>
      </c>
      <c r="W75" s="13">
        <f t="shared" ca="1" si="17"/>
        <v>14573.25</v>
      </c>
      <c r="X75" s="4">
        <f t="shared" ca="1" si="18"/>
        <v>0</v>
      </c>
      <c r="Y75" s="4">
        <f t="shared" si="19"/>
        <v>0</v>
      </c>
      <c r="Z75" s="13">
        <f t="shared" ca="1" si="20"/>
        <v>14573.25</v>
      </c>
      <c r="AA75" s="4">
        <f t="shared" ca="1" si="21"/>
        <v>0</v>
      </c>
      <c r="AE75" s="4"/>
    </row>
    <row r="76" spans="1:31">
      <c r="A76">
        <v>0</v>
      </c>
      <c r="B76">
        <v>1</v>
      </c>
      <c r="C76">
        <f t="shared" ca="1" si="0"/>
        <v>2</v>
      </c>
      <c r="D76">
        <f t="shared" ca="1" si="1"/>
        <v>1</v>
      </c>
      <c r="E76">
        <f t="shared" ca="1" si="2"/>
        <v>0</v>
      </c>
      <c r="F76" s="110">
        <f t="shared" ca="1" si="3"/>
        <v>0</v>
      </c>
      <c r="G76">
        <v>0</v>
      </c>
      <c r="H76">
        <v>0</v>
      </c>
      <c r="I76">
        <v>5</v>
      </c>
      <c r="J76" s="1">
        <f t="shared" ca="1" si="4"/>
        <v>0</v>
      </c>
      <c r="K76" s="1">
        <f t="shared" ca="1" si="5"/>
        <v>0</v>
      </c>
      <c r="L76" s="13">
        <f t="shared" ca="1" si="6"/>
        <v>95</v>
      </c>
      <c r="M76" s="7">
        <f t="shared" ca="1" si="7"/>
        <v>1405</v>
      </c>
      <c r="N76" s="26">
        <f t="shared" ca="1" si="8"/>
        <v>6</v>
      </c>
      <c r="O76" s="44">
        <f t="shared" ca="1" si="9"/>
        <v>4.1694581524927896</v>
      </c>
      <c r="P76" s="44">
        <f t="shared" ca="1" si="10"/>
        <v>41.059762151375594</v>
      </c>
      <c r="Q76" s="44">
        <f t="shared" ca="1" si="11"/>
        <v>35.346387789404908</v>
      </c>
      <c r="R76" s="44">
        <f t="shared" ca="1" si="12"/>
        <v>3.8203074970390247</v>
      </c>
      <c r="S76" s="44">
        <f t="shared" ca="1" si="13"/>
        <v>4.1450176066110256</v>
      </c>
      <c r="T76" s="4">
        <f t="shared" ca="1" si="14"/>
        <v>0</v>
      </c>
      <c r="U76" s="120">
        <f t="shared" ca="1" si="15"/>
        <v>2135.4748169996506</v>
      </c>
      <c r="V76" s="4">
        <f t="shared" ca="1" si="16"/>
        <v>0</v>
      </c>
      <c r="W76" s="13">
        <f t="shared" ca="1" si="17"/>
        <v>12144.375</v>
      </c>
      <c r="X76" s="4">
        <f t="shared" ca="1" si="18"/>
        <v>0</v>
      </c>
      <c r="Y76" s="4">
        <f t="shared" si="19"/>
        <v>0</v>
      </c>
      <c r="Z76" s="13">
        <f t="shared" ca="1" si="20"/>
        <v>12144.375</v>
      </c>
      <c r="AA76" s="4">
        <f t="shared" ca="1" si="21"/>
        <v>0</v>
      </c>
      <c r="AE76" s="4"/>
    </row>
    <row r="77" spans="1:31">
      <c r="A77">
        <v>0</v>
      </c>
      <c r="B77">
        <v>1</v>
      </c>
      <c r="C77">
        <f t="shared" ca="1" si="0"/>
        <v>2</v>
      </c>
      <c r="D77">
        <f t="shared" ca="1" si="1"/>
        <v>1</v>
      </c>
      <c r="E77">
        <f t="shared" ca="1" si="2"/>
        <v>0</v>
      </c>
      <c r="F77" s="110">
        <f t="shared" ca="1" si="3"/>
        <v>0</v>
      </c>
      <c r="G77">
        <v>0</v>
      </c>
      <c r="H77">
        <v>0</v>
      </c>
      <c r="I77">
        <v>4</v>
      </c>
      <c r="J77" s="1">
        <f t="shared" ca="1" si="4"/>
        <v>0</v>
      </c>
      <c r="K77" s="1">
        <f t="shared" ca="1" si="5"/>
        <v>0</v>
      </c>
      <c r="L77" s="13">
        <f t="shared" ca="1" si="6"/>
        <v>76</v>
      </c>
      <c r="M77" s="7">
        <f t="shared" ca="1" si="7"/>
        <v>1424</v>
      </c>
      <c r="N77" s="26">
        <f t="shared" ca="1" si="8"/>
        <v>6</v>
      </c>
      <c r="O77" s="44">
        <f t="shared" ca="1" si="9"/>
        <v>4.1694581524927896</v>
      </c>
      <c r="P77" s="44">
        <f t="shared" ca="1" si="10"/>
        <v>41.694581524927891</v>
      </c>
      <c r="Q77" s="44">
        <f t="shared" ca="1" si="11"/>
        <v>41.694581524927891</v>
      </c>
      <c r="R77" s="44">
        <f t="shared" ca="1" si="12"/>
        <v>4.1694581524927887</v>
      </c>
      <c r="S77" s="44">
        <f t="shared" ca="1" si="13"/>
        <v>4.1694581524927896</v>
      </c>
      <c r="T77" s="4">
        <f t="shared" ca="1" si="14"/>
        <v>0</v>
      </c>
      <c r="U77" s="120">
        <f t="shared" ca="1" si="15"/>
        <v>2127.2072530862838</v>
      </c>
      <c r="V77" s="4">
        <f t="shared" ca="1" si="16"/>
        <v>0</v>
      </c>
      <c r="W77" s="13">
        <f t="shared" ca="1" si="17"/>
        <v>9715.5</v>
      </c>
      <c r="X77" s="4">
        <f t="shared" ca="1" si="18"/>
        <v>0</v>
      </c>
      <c r="Y77" s="4">
        <f t="shared" si="19"/>
        <v>0</v>
      </c>
      <c r="Z77" s="13">
        <f t="shared" ca="1" si="20"/>
        <v>9715.5</v>
      </c>
      <c r="AA77" s="4">
        <f t="shared" ca="1" si="21"/>
        <v>0</v>
      </c>
      <c r="AE77" s="4"/>
    </row>
    <row r="78" spans="1:31">
      <c r="A78">
        <v>0</v>
      </c>
      <c r="B78">
        <v>1</v>
      </c>
      <c r="C78">
        <f t="shared" ca="1" si="0"/>
        <v>2</v>
      </c>
      <c r="D78">
        <f t="shared" ca="1" si="1"/>
        <v>1</v>
      </c>
      <c r="E78">
        <f t="shared" ca="1" si="2"/>
        <v>0</v>
      </c>
      <c r="F78" s="110">
        <f t="shared" ca="1" si="3"/>
        <v>0</v>
      </c>
      <c r="G78">
        <v>0</v>
      </c>
      <c r="H78">
        <v>0</v>
      </c>
      <c r="I78">
        <v>3</v>
      </c>
      <c r="J78" s="1">
        <f t="shared" ca="1" si="4"/>
        <v>0</v>
      </c>
      <c r="K78" s="1">
        <f t="shared" ca="1" si="5"/>
        <v>0</v>
      </c>
      <c r="L78" s="13">
        <f t="shared" ca="1" si="6"/>
        <v>57</v>
      </c>
      <c r="M78" s="7">
        <f t="shared" ca="1" si="7"/>
        <v>1443</v>
      </c>
      <c r="N78" s="26">
        <f t="shared" ca="1" si="8"/>
        <v>6</v>
      </c>
      <c r="O78" s="44">
        <f t="shared" ca="1" si="9"/>
        <v>4.1694581524927896</v>
      </c>
      <c r="P78" s="44">
        <f t="shared" ca="1" si="10"/>
        <v>41.694581524927891</v>
      </c>
      <c r="Q78" s="44">
        <f t="shared" ca="1" si="11"/>
        <v>41.694581524927891</v>
      </c>
      <c r="R78" s="44">
        <f t="shared" ca="1" si="12"/>
        <v>4.1694581524927887</v>
      </c>
      <c r="S78" s="44">
        <f t="shared" ca="1" si="13"/>
        <v>4.1694581524927896</v>
      </c>
      <c r="T78" s="4">
        <f t="shared" ca="1" si="14"/>
        <v>0</v>
      </c>
      <c r="U78" s="120">
        <f t="shared" ca="1" si="15"/>
        <v>2108.2072530862838</v>
      </c>
      <c r="V78" s="4">
        <f t="shared" ca="1" si="16"/>
        <v>0</v>
      </c>
      <c r="W78" s="13">
        <f t="shared" ca="1" si="17"/>
        <v>7286.625</v>
      </c>
      <c r="X78" s="4">
        <f t="shared" ca="1" si="18"/>
        <v>0</v>
      </c>
      <c r="Y78" s="4">
        <f t="shared" si="19"/>
        <v>0</v>
      </c>
      <c r="Z78" s="13">
        <f t="shared" ca="1" si="20"/>
        <v>7286.625</v>
      </c>
      <c r="AA78" s="4">
        <f t="shared" ca="1" si="21"/>
        <v>0</v>
      </c>
      <c r="AE78" s="4"/>
    </row>
    <row r="79" spans="1:31">
      <c r="A79">
        <v>0</v>
      </c>
      <c r="B79">
        <v>1</v>
      </c>
      <c r="C79">
        <f t="shared" ca="1" si="0"/>
        <v>2</v>
      </c>
      <c r="D79">
        <f t="shared" ca="1" si="1"/>
        <v>1</v>
      </c>
      <c r="E79">
        <f t="shared" ca="1" si="2"/>
        <v>0</v>
      </c>
      <c r="F79" s="110">
        <f t="shared" ca="1" si="3"/>
        <v>0</v>
      </c>
      <c r="G79">
        <v>0</v>
      </c>
      <c r="H79">
        <v>0</v>
      </c>
      <c r="I79">
        <v>2</v>
      </c>
      <c r="J79" s="1">
        <f t="shared" ca="1" si="4"/>
        <v>0</v>
      </c>
      <c r="K79" s="1">
        <f t="shared" ca="1" si="5"/>
        <v>0</v>
      </c>
      <c r="L79" s="13">
        <f t="shared" ca="1" si="6"/>
        <v>38</v>
      </c>
      <c r="M79" s="7">
        <f t="shared" ca="1" si="7"/>
        <v>1462</v>
      </c>
      <c r="N79" s="26">
        <f t="shared" ca="1" si="8"/>
        <v>6</v>
      </c>
      <c r="O79" s="44">
        <f t="shared" ca="1" si="9"/>
        <v>4.1694581524927896</v>
      </c>
      <c r="P79" s="44">
        <f t="shared" ca="1" si="10"/>
        <v>41.694581524927891</v>
      </c>
      <c r="Q79" s="44">
        <f t="shared" ca="1" si="11"/>
        <v>41.694581524927891</v>
      </c>
      <c r="R79" s="44">
        <f t="shared" ca="1" si="12"/>
        <v>4.1694581524927887</v>
      </c>
      <c r="S79" s="44">
        <f t="shared" ca="1" si="13"/>
        <v>4.1694581524927896</v>
      </c>
      <c r="T79" s="4">
        <f t="shared" ca="1" si="14"/>
        <v>0</v>
      </c>
      <c r="U79" s="120">
        <f t="shared" ca="1" si="15"/>
        <v>2089.2072530862838</v>
      </c>
      <c r="V79" s="4">
        <f t="shared" ca="1" si="16"/>
        <v>0</v>
      </c>
      <c r="W79" s="13">
        <f t="shared" ca="1" si="17"/>
        <v>4857.75</v>
      </c>
      <c r="X79" s="4">
        <f t="shared" ca="1" si="18"/>
        <v>0</v>
      </c>
      <c r="Y79" s="4">
        <f t="shared" si="19"/>
        <v>0</v>
      </c>
      <c r="Z79" s="13">
        <f t="shared" ca="1" si="20"/>
        <v>4857.75</v>
      </c>
      <c r="AA79" s="4">
        <f t="shared" ca="1" si="21"/>
        <v>0</v>
      </c>
      <c r="AE79" s="4"/>
    </row>
    <row r="80" spans="1:31">
      <c r="A80">
        <v>0</v>
      </c>
      <c r="B80">
        <v>1</v>
      </c>
      <c r="C80">
        <f t="shared" ca="1" si="0"/>
        <v>2</v>
      </c>
      <c r="D80">
        <f t="shared" ca="1" si="1"/>
        <v>1</v>
      </c>
      <c r="E80">
        <f t="shared" ca="1" si="2"/>
        <v>0</v>
      </c>
      <c r="F80" s="110">
        <f t="shared" ca="1" si="3"/>
        <v>0</v>
      </c>
      <c r="G80">
        <v>0</v>
      </c>
      <c r="H80">
        <v>0</v>
      </c>
      <c r="I80">
        <v>1</v>
      </c>
      <c r="J80" s="1">
        <f t="shared" ca="1" si="4"/>
        <v>4.7500000000000001E-2</v>
      </c>
      <c r="K80" s="1">
        <f t="shared" ca="1" si="5"/>
        <v>0</v>
      </c>
      <c r="L80" s="13">
        <f t="shared" ca="1" si="6"/>
        <v>19</v>
      </c>
      <c r="M80" s="7">
        <f t="shared" ca="1" si="7"/>
        <v>1481</v>
      </c>
      <c r="N80" s="26">
        <f t="shared" ca="1" si="8"/>
        <v>6</v>
      </c>
      <c r="O80" s="44">
        <f t="shared" ca="1" si="9"/>
        <v>4.1694581524927896</v>
      </c>
      <c r="P80" s="44">
        <f t="shared" ca="1" si="10"/>
        <v>41.694581524927891</v>
      </c>
      <c r="Q80" s="44">
        <f t="shared" ca="1" si="11"/>
        <v>41.694581524927891</v>
      </c>
      <c r="R80" s="44">
        <f t="shared" ca="1" si="12"/>
        <v>4.1694581524927887</v>
      </c>
      <c r="S80" s="44">
        <f t="shared" ca="1" si="13"/>
        <v>4.1694581524927896</v>
      </c>
      <c r="T80" s="4">
        <f t="shared" ca="1" si="14"/>
        <v>0</v>
      </c>
      <c r="U80" s="120">
        <f t="shared" ca="1" si="15"/>
        <v>2070.2072530862838</v>
      </c>
      <c r="V80" s="4">
        <f t="shared" ca="1" si="16"/>
        <v>0</v>
      </c>
      <c r="W80" s="13">
        <f t="shared" ca="1" si="17"/>
        <v>2428.875</v>
      </c>
      <c r="X80" s="4">
        <f t="shared" ca="1" si="18"/>
        <v>0</v>
      </c>
      <c r="Y80" s="4">
        <f t="shared" si="19"/>
        <v>0</v>
      </c>
      <c r="Z80" s="13">
        <f t="shared" ca="1" si="20"/>
        <v>2428.875</v>
      </c>
      <c r="AA80" s="4">
        <f t="shared" ca="1" si="21"/>
        <v>0</v>
      </c>
      <c r="AE80" s="4"/>
    </row>
    <row r="81" spans="1:31">
      <c r="A81">
        <v>0</v>
      </c>
      <c r="B81">
        <v>1</v>
      </c>
      <c r="C81">
        <f t="shared" ca="1" si="0"/>
        <v>2</v>
      </c>
      <c r="D81">
        <f t="shared" ca="1" si="1"/>
        <v>1</v>
      </c>
      <c r="E81">
        <f t="shared" ca="1" si="2"/>
        <v>0</v>
      </c>
      <c r="F81" s="110">
        <f t="shared" ca="1" si="3"/>
        <v>0</v>
      </c>
      <c r="G81">
        <v>0</v>
      </c>
      <c r="H81">
        <v>0</v>
      </c>
      <c r="I81">
        <v>0</v>
      </c>
      <c r="J81" s="1">
        <f t="shared" ca="1" si="4"/>
        <v>2.5000000000000022E-3</v>
      </c>
      <c r="K81" s="1">
        <f t="shared" ca="1" si="5"/>
        <v>0</v>
      </c>
      <c r="L81" s="13">
        <f t="shared" ca="1" si="6"/>
        <v>0</v>
      </c>
      <c r="M81" s="7">
        <f t="shared" ca="1" si="7"/>
        <v>1500</v>
      </c>
      <c r="N81" s="26">
        <f t="shared" ca="1" si="8"/>
        <v>6</v>
      </c>
      <c r="O81" s="44">
        <f t="shared" ca="1" si="9"/>
        <v>4.1694581524927896</v>
      </c>
      <c r="P81" s="44">
        <f t="shared" ca="1" si="10"/>
        <v>41.694581524927891</v>
      </c>
      <c r="Q81" s="44">
        <f t="shared" ca="1" si="11"/>
        <v>41.694581524927891</v>
      </c>
      <c r="R81" s="44">
        <f t="shared" ca="1" si="12"/>
        <v>4.1694581524927887</v>
      </c>
      <c r="S81" s="44">
        <f t="shared" ca="1" si="13"/>
        <v>4.1694581524927896</v>
      </c>
      <c r="T81" s="4">
        <f t="shared" ca="1" si="14"/>
        <v>0</v>
      </c>
      <c r="U81" s="120">
        <f t="shared" ca="1" si="15"/>
        <v>2051.2072530862838</v>
      </c>
      <c r="V81" s="4">
        <f t="shared" ca="1" si="16"/>
        <v>0</v>
      </c>
      <c r="W81" s="13">
        <f t="shared" ca="1" si="17"/>
        <v>0</v>
      </c>
      <c r="X81" s="4">
        <f t="shared" ca="1" si="18"/>
        <v>0</v>
      </c>
      <c r="Y81" s="4">
        <f t="shared" si="19"/>
        <v>0</v>
      </c>
      <c r="Z81" s="13">
        <f t="shared" ca="1" si="20"/>
        <v>0</v>
      </c>
      <c r="AA81" s="4">
        <f t="shared" ca="1" si="21"/>
        <v>0</v>
      </c>
      <c r="AE81" s="4"/>
    </row>
    <row r="82" spans="1:31">
      <c r="A82">
        <v>0</v>
      </c>
      <c r="B82">
        <v>2</v>
      </c>
      <c r="C82">
        <f t="shared" ref="C82:C145" ca="1" si="22">MIN(8, 1+$B$10+$B$9+A82+B82)</f>
        <v>3</v>
      </c>
      <c r="D82">
        <f t="shared" ref="D82:D145" ca="1" si="23">C82-(1+$B$10)</f>
        <v>2</v>
      </c>
      <c r="E82">
        <f t="shared" ref="E82:E145" ca="1" si="24">MIN(A82, C82-(1+$B$10+$B$9))</f>
        <v>0</v>
      </c>
      <c r="F82" s="110">
        <f t="shared" ref="F82:F145" ca="1" si="25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0</v>
      </c>
      <c r="G82">
        <v>1</v>
      </c>
      <c r="H82">
        <v>1</v>
      </c>
      <c r="I82">
        <v>7</v>
      </c>
      <c r="J82" s="1">
        <f t="shared" ref="J82:J145" ca="1" si="26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7">F82*J82</f>
        <v>0</v>
      </c>
      <c r="L82" s="13">
        <f t="shared" ref="L82:L145" ca="1" si="28">MAX((G82+H82)*Set1WSTP + I82*$B$6, Set1SaveTP)</f>
        <v>595</v>
      </c>
      <c r="M82" s="7">
        <f t="shared" ref="M82:M145" ca="1" si="29">MAX(Set1MinTP-(L82+Set1Regain), 0)</f>
        <v>905</v>
      </c>
      <c r="N82" s="26">
        <f t="shared" ref="N82:N145" ca="1" si="30">CEILING(M82/Set1MeleeTP, 1)</f>
        <v>4</v>
      </c>
      <c r="O82" s="44">
        <f t="shared" ref="O82:O145" ca="1" si="31">VLOOKUP(N82,AvgRoundsSet1,2)</f>
        <v>2.8886114468927948</v>
      </c>
      <c r="P82" s="44">
        <f t="shared" ref="P82:P145" ca="1" si="32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28.886114468927953</v>
      </c>
      <c r="Q82" s="44">
        <f t="shared" ref="Q82:Q145" ca="1" si="33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28.886114468927953</v>
      </c>
      <c r="R82" s="44">
        <f t="shared" ref="R82:R145" ca="1" si="34">(P82+Q82)/20</f>
        <v>2.8886114468927953</v>
      </c>
      <c r="S82" s="44">
        <f t="shared" ref="S82:S145" ca="1" si="35">R82*Set1ConserveTP + O82*(1-Set1ConserveTP)</f>
        <v>2.8886114468927948</v>
      </c>
      <c r="T82" s="4">
        <f t="shared" ref="T82:T145" ca="1" si="36">K82*S82</f>
        <v>0</v>
      </c>
      <c r="U82" s="120">
        <f t="shared" ref="U82:U145" ca="1" si="37">MIN(L82+(S82+Set1OverTP)*AvgHitsPerRound1*Set1MeleeTP + Set1Regain + 10.5*Set1ConserveTP, 3000)</f>
        <v>2083.7564194948759</v>
      </c>
      <c r="V82" s="4">
        <f t="shared" ref="V82:V145" ca="1" si="38">U82*K82</f>
        <v>0</v>
      </c>
      <c r="W82" s="13">
        <f t="shared" ref="W82:W145" ca="1" si="39">G82*$K$10*((1-$L$10)*$L$14 + $L$10*$M$14*$M$10)*Set1WSDmg + H82*$K$13*((1-$L$13)*$L$15 + $L$13*$M$15*$M$11) + I82*$K$11*((1-$L$11)*$L$14 + $L$11*$M$14*$M$11) + E82*$K$12*$L$12*$M$10</f>
        <v>47995.641000000003</v>
      </c>
      <c r="X82" s="4">
        <f t="shared" ref="X82:X145" ca="1" si="40">K82*W82</f>
        <v>0</v>
      </c>
      <c r="Y82" s="4">
        <f t="shared" ref="Y82:Y145" si="41">IF($B$12=1, (VLOOKUP(C82, IF($B$13=10%,Souleater10,Souleater12), 6, FALSE) * $B$14), 0)</f>
        <v>0</v>
      </c>
      <c r="Z82" s="13">
        <f t="shared" ca="1" si="20"/>
        <v>47995.641000000003</v>
      </c>
      <c r="AA82" s="4">
        <f t="shared" ca="1" si="21"/>
        <v>0</v>
      </c>
      <c r="AE82" s="4"/>
    </row>
    <row r="83" spans="1:31">
      <c r="A83">
        <v>0</v>
      </c>
      <c r="B83">
        <v>2</v>
      </c>
      <c r="C83">
        <f t="shared" ca="1" si="22"/>
        <v>3</v>
      </c>
      <c r="D83">
        <f t="shared" ca="1" si="23"/>
        <v>2</v>
      </c>
      <c r="E83">
        <f t="shared" ca="1" si="24"/>
        <v>0</v>
      </c>
      <c r="F83" s="110">
        <f t="shared" ca="1" si="25"/>
        <v>0</v>
      </c>
      <c r="G83">
        <v>1</v>
      </c>
      <c r="H83">
        <v>1</v>
      </c>
      <c r="I83">
        <v>6</v>
      </c>
      <c r="J83" s="1">
        <f t="shared" ca="1" si="26"/>
        <v>0</v>
      </c>
      <c r="K83" s="1">
        <f t="shared" ca="1" si="27"/>
        <v>0</v>
      </c>
      <c r="L83" s="13">
        <f t="shared" ca="1" si="28"/>
        <v>576</v>
      </c>
      <c r="M83" s="7">
        <f t="shared" ca="1" si="29"/>
        <v>924</v>
      </c>
      <c r="N83" s="26">
        <f t="shared" ca="1" si="30"/>
        <v>4</v>
      </c>
      <c r="O83" s="44">
        <f t="shared" ca="1" si="31"/>
        <v>2.8886114468927948</v>
      </c>
      <c r="P83" s="44">
        <f t="shared" ca="1" si="32"/>
        <v>28.886114468927953</v>
      </c>
      <c r="Q83" s="44">
        <f t="shared" ca="1" si="33"/>
        <v>28.886114468927953</v>
      </c>
      <c r="R83" s="44">
        <f t="shared" ca="1" si="34"/>
        <v>2.8886114468927953</v>
      </c>
      <c r="S83" s="44">
        <f t="shared" ca="1" si="35"/>
        <v>2.8886114468927948</v>
      </c>
      <c r="T83" s="4">
        <f t="shared" ca="1" si="36"/>
        <v>0</v>
      </c>
      <c r="U83" s="120">
        <f t="shared" ca="1" si="37"/>
        <v>2064.7564194948759</v>
      </c>
      <c r="V83" s="4">
        <f t="shared" ca="1" si="38"/>
        <v>0</v>
      </c>
      <c r="W83" s="13">
        <f t="shared" ca="1" si="39"/>
        <v>45566.766000000003</v>
      </c>
      <c r="X83" s="4">
        <f t="shared" ca="1" si="40"/>
        <v>0</v>
      </c>
      <c r="Y83" s="4">
        <f t="shared" si="41"/>
        <v>0</v>
      </c>
      <c r="Z83" s="13">
        <f t="shared" ref="Z83:Z146" ca="1" si="42">Y83+W83</f>
        <v>45566.766000000003</v>
      </c>
      <c r="AA83" s="4">
        <f t="shared" ref="AA83:AA146" ca="1" si="43">Z83*K83</f>
        <v>0</v>
      </c>
      <c r="AE83" s="4"/>
    </row>
    <row r="84" spans="1:31">
      <c r="A84">
        <v>0</v>
      </c>
      <c r="B84">
        <v>2</v>
      </c>
      <c r="C84">
        <f t="shared" ca="1" si="22"/>
        <v>3</v>
      </c>
      <c r="D84">
        <f t="shared" ca="1" si="23"/>
        <v>2</v>
      </c>
      <c r="E84">
        <f t="shared" ca="1" si="24"/>
        <v>0</v>
      </c>
      <c r="F84" s="110">
        <f t="shared" ca="1" si="25"/>
        <v>0</v>
      </c>
      <c r="G84">
        <v>1</v>
      </c>
      <c r="H84">
        <v>1</v>
      </c>
      <c r="I84">
        <v>5</v>
      </c>
      <c r="J84" s="1">
        <f t="shared" ca="1" si="26"/>
        <v>0</v>
      </c>
      <c r="K84" s="1">
        <f t="shared" ca="1" si="27"/>
        <v>0</v>
      </c>
      <c r="L84" s="13">
        <f t="shared" ca="1" si="28"/>
        <v>557</v>
      </c>
      <c r="M84" s="7">
        <f t="shared" ca="1" si="29"/>
        <v>943</v>
      </c>
      <c r="N84" s="26">
        <f t="shared" ca="1" si="30"/>
        <v>4</v>
      </c>
      <c r="O84" s="44">
        <f t="shared" ca="1" si="31"/>
        <v>2.8886114468927948</v>
      </c>
      <c r="P84" s="44">
        <f t="shared" ca="1" si="32"/>
        <v>28.886114468927953</v>
      </c>
      <c r="Q84" s="44">
        <f t="shared" ca="1" si="33"/>
        <v>28.886114468927953</v>
      </c>
      <c r="R84" s="44">
        <f t="shared" ca="1" si="34"/>
        <v>2.8886114468927953</v>
      </c>
      <c r="S84" s="44">
        <f t="shared" ca="1" si="35"/>
        <v>2.8886114468927948</v>
      </c>
      <c r="T84" s="4">
        <f t="shared" ca="1" si="36"/>
        <v>0</v>
      </c>
      <c r="U84" s="120">
        <f t="shared" ca="1" si="37"/>
        <v>2045.7564194948757</v>
      </c>
      <c r="V84" s="4">
        <f t="shared" ca="1" si="38"/>
        <v>0</v>
      </c>
      <c r="W84" s="13">
        <f t="shared" ca="1" si="39"/>
        <v>43137.891000000003</v>
      </c>
      <c r="X84" s="4">
        <f t="shared" ca="1" si="40"/>
        <v>0</v>
      </c>
      <c r="Y84" s="4">
        <f t="shared" si="41"/>
        <v>0</v>
      </c>
      <c r="Z84" s="13">
        <f t="shared" ca="1" si="42"/>
        <v>43137.891000000003</v>
      </c>
      <c r="AA84" s="4">
        <f t="shared" ca="1" si="43"/>
        <v>0</v>
      </c>
      <c r="AE84" s="4"/>
    </row>
    <row r="85" spans="1:31">
      <c r="A85">
        <v>0</v>
      </c>
      <c r="B85">
        <v>2</v>
      </c>
      <c r="C85">
        <f t="shared" ca="1" si="22"/>
        <v>3</v>
      </c>
      <c r="D85">
        <f t="shared" ca="1" si="23"/>
        <v>2</v>
      </c>
      <c r="E85">
        <f t="shared" ca="1" si="24"/>
        <v>0</v>
      </c>
      <c r="F85" s="110">
        <f t="shared" ca="1" si="25"/>
        <v>0</v>
      </c>
      <c r="G85">
        <v>1</v>
      </c>
      <c r="H85">
        <v>1</v>
      </c>
      <c r="I85">
        <v>4</v>
      </c>
      <c r="J85" s="1">
        <f t="shared" ca="1" si="26"/>
        <v>0</v>
      </c>
      <c r="K85" s="1">
        <f t="shared" ca="1" si="27"/>
        <v>0</v>
      </c>
      <c r="L85" s="13">
        <f t="shared" ca="1" si="28"/>
        <v>538</v>
      </c>
      <c r="M85" s="7">
        <f t="shared" ca="1" si="29"/>
        <v>962</v>
      </c>
      <c r="N85" s="26">
        <f t="shared" ca="1" si="30"/>
        <v>4</v>
      </c>
      <c r="O85" s="44">
        <f t="shared" ca="1" si="31"/>
        <v>2.8886114468927948</v>
      </c>
      <c r="P85" s="44">
        <f t="shared" ca="1" si="32"/>
        <v>28.886114468927953</v>
      </c>
      <c r="Q85" s="44">
        <f t="shared" ca="1" si="33"/>
        <v>28.886114468927953</v>
      </c>
      <c r="R85" s="44">
        <f t="shared" ca="1" si="34"/>
        <v>2.8886114468927953</v>
      </c>
      <c r="S85" s="44">
        <f t="shared" ca="1" si="35"/>
        <v>2.8886114468927948</v>
      </c>
      <c r="T85" s="4">
        <f t="shared" ca="1" si="36"/>
        <v>0</v>
      </c>
      <c r="U85" s="120">
        <f t="shared" ca="1" si="37"/>
        <v>2026.7564194948757</v>
      </c>
      <c r="V85" s="4">
        <f t="shared" ca="1" si="38"/>
        <v>0</v>
      </c>
      <c r="W85" s="13">
        <f t="shared" ca="1" si="39"/>
        <v>40709.016000000003</v>
      </c>
      <c r="X85" s="4">
        <f t="shared" ca="1" si="40"/>
        <v>0</v>
      </c>
      <c r="Y85" s="4">
        <f t="shared" si="41"/>
        <v>0</v>
      </c>
      <c r="Z85" s="13">
        <f t="shared" ca="1" si="42"/>
        <v>40709.016000000003</v>
      </c>
      <c r="AA85" s="4">
        <f t="shared" ca="1" si="43"/>
        <v>0</v>
      </c>
      <c r="AE85" s="4"/>
    </row>
    <row r="86" spans="1:31">
      <c r="A86">
        <v>0</v>
      </c>
      <c r="B86">
        <v>2</v>
      </c>
      <c r="C86">
        <f t="shared" ca="1" si="22"/>
        <v>3</v>
      </c>
      <c r="D86">
        <f t="shared" ca="1" si="23"/>
        <v>2</v>
      </c>
      <c r="E86">
        <f t="shared" ca="1" si="24"/>
        <v>0</v>
      </c>
      <c r="F86" s="110">
        <f t="shared" ca="1" si="25"/>
        <v>0</v>
      </c>
      <c r="G86">
        <v>1</v>
      </c>
      <c r="H86">
        <v>1</v>
      </c>
      <c r="I86">
        <v>3</v>
      </c>
      <c r="J86" s="1">
        <f t="shared" ca="1" si="26"/>
        <v>0</v>
      </c>
      <c r="K86" s="1">
        <f t="shared" ca="1" si="27"/>
        <v>0</v>
      </c>
      <c r="L86" s="13">
        <f t="shared" ca="1" si="28"/>
        <v>519</v>
      </c>
      <c r="M86" s="7">
        <f t="shared" ca="1" si="29"/>
        <v>981</v>
      </c>
      <c r="N86" s="26">
        <f t="shared" ca="1" si="30"/>
        <v>4</v>
      </c>
      <c r="O86" s="44">
        <f t="shared" ca="1" si="31"/>
        <v>2.8886114468927948</v>
      </c>
      <c r="P86" s="44">
        <f t="shared" ca="1" si="32"/>
        <v>28.886114468927953</v>
      </c>
      <c r="Q86" s="44">
        <f t="shared" ca="1" si="33"/>
        <v>28.886114468927953</v>
      </c>
      <c r="R86" s="44">
        <f t="shared" ca="1" si="34"/>
        <v>2.8886114468927953</v>
      </c>
      <c r="S86" s="44">
        <f t="shared" ca="1" si="35"/>
        <v>2.8886114468927948</v>
      </c>
      <c r="T86" s="4">
        <f t="shared" ca="1" si="36"/>
        <v>0</v>
      </c>
      <c r="U86" s="120">
        <f t="shared" ca="1" si="37"/>
        <v>2007.7564194948757</v>
      </c>
      <c r="V86" s="4">
        <f t="shared" ca="1" si="38"/>
        <v>0</v>
      </c>
      <c r="W86" s="13">
        <f t="shared" ca="1" si="39"/>
        <v>38280.141000000003</v>
      </c>
      <c r="X86" s="4">
        <f t="shared" ca="1" si="40"/>
        <v>0</v>
      </c>
      <c r="Y86" s="4">
        <f t="shared" si="41"/>
        <v>0</v>
      </c>
      <c r="Z86" s="13">
        <f t="shared" ca="1" si="42"/>
        <v>38280.141000000003</v>
      </c>
      <c r="AA86" s="4">
        <f t="shared" ca="1" si="43"/>
        <v>0</v>
      </c>
      <c r="AE86" s="4"/>
    </row>
    <row r="87" spans="1:31">
      <c r="A87">
        <v>0</v>
      </c>
      <c r="B87">
        <v>2</v>
      </c>
      <c r="C87">
        <f t="shared" ca="1" si="22"/>
        <v>3</v>
      </c>
      <c r="D87">
        <f t="shared" ca="1" si="23"/>
        <v>2</v>
      </c>
      <c r="E87">
        <f t="shared" ca="1" si="24"/>
        <v>0</v>
      </c>
      <c r="F87" s="110">
        <f t="shared" ca="1" si="25"/>
        <v>0</v>
      </c>
      <c r="G87">
        <v>1</v>
      </c>
      <c r="H87">
        <v>1</v>
      </c>
      <c r="I87">
        <v>2</v>
      </c>
      <c r="J87" s="1">
        <f t="shared" ca="1" si="26"/>
        <v>0</v>
      </c>
      <c r="K87" s="1">
        <f t="shared" ca="1" si="27"/>
        <v>0</v>
      </c>
      <c r="L87" s="13">
        <f t="shared" ca="1" si="28"/>
        <v>500</v>
      </c>
      <c r="M87" s="7">
        <f t="shared" ca="1" si="29"/>
        <v>1000</v>
      </c>
      <c r="N87" s="26">
        <f t="shared" ca="1" si="30"/>
        <v>4</v>
      </c>
      <c r="O87" s="44">
        <f t="shared" ca="1" si="31"/>
        <v>2.8886114468927948</v>
      </c>
      <c r="P87" s="44">
        <f t="shared" ca="1" si="32"/>
        <v>28.886114468927953</v>
      </c>
      <c r="Q87" s="44">
        <f t="shared" ca="1" si="33"/>
        <v>28.886114468927953</v>
      </c>
      <c r="R87" s="44">
        <f t="shared" ca="1" si="34"/>
        <v>2.8886114468927953</v>
      </c>
      <c r="S87" s="44">
        <f t="shared" ca="1" si="35"/>
        <v>2.8886114468927948</v>
      </c>
      <c r="T87" s="4">
        <f t="shared" ca="1" si="36"/>
        <v>0</v>
      </c>
      <c r="U87" s="120">
        <f t="shared" ca="1" si="37"/>
        <v>1988.7564194948757</v>
      </c>
      <c r="V87" s="4">
        <f t="shared" ca="1" si="38"/>
        <v>0</v>
      </c>
      <c r="W87" s="13">
        <f t="shared" ca="1" si="39"/>
        <v>35851.266000000003</v>
      </c>
      <c r="X87" s="4">
        <f t="shared" ca="1" si="40"/>
        <v>0</v>
      </c>
      <c r="Y87" s="4">
        <f t="shared" si="41"/>
        <v>0</v>
      </c>
      <c r="Z87" s="13">
        <f t="shared" ca="1" si="42"/>
        <v>35851.266000000003</v>
      </c>
      <c r="AA87" s="4">
        <f t="shared" ca="1" si="43"/>
        <v>0</v>
      </c>
      <c r="AE87" s="4"/>
    </row>
    <row r="88" spans="1:31">
      <c r="A88">
        <v>0</v>
      </c>
      <c r="B88">
        <v>2</v>
      </c>
      <c r="C88">
        <f t="shared" ca="1" si="22"/>
        <v>3</v>
      </c>
      <c r="D88">
        <f t="shared" ca="1" si="23"/>
        <v>2</v>
      </c>
      <c r="E88">
        <f t="shared" ca="1" si="24"/>
        <v>0</v>
      </c>
      <c r="F88" s="110">
        <f t="shared" ca="1" si="25"/>
        <v>0</v>
      </c>
      <c r="G88">
        <v>1</v>
      </c>
      <c r="H88">
        <v>1</v>
      </c>
      <c r="I88">
        <v>1</v>
      </c>
      <c r="J88" s="1">
        <f t="shared" ca="1" si="26"/>
        <v>0</v>
      </c>
      <c r="K88" s="1">
        <f t="shared" ca="1" si="27"/>
        <v>0</v>
      </c>
      <c r="L88" s="13">
        <f t="shared" ca="1" si="28"/>
        <v>481</v>
      </c>
      <c r="M88" s="7">
        <f t="shared" ca="1" si="29"/>
        <v>1019</v>
      </c>
      <c r="N88" s="26">
        <f t="shared" ca="1" si="30"/>
        <v>4</v>
      </c>
      <c r="O88" s="44">
        <f t="shared" ca="1" si="31"/>
        <v>2.8886114468927948</v>
      </c>
      <c r="P88" s="44">
        <f t="shared" ca="1" si="32"/>
        <v>28.886114468927953</v>
      </c>
      <c r="Q88" s="44">
        <f t="shared" ca="1" si="33"/>
        <v>28.886114468927953</v>
      </c>
      <c r="R88" s="44">
        <f t="shared" ca="1" si="34"/>
        <v>2.8886114468927953</v>
      </c>
      <c r="S88" s="44">
        <f t="shared" ca="1" si="35"/>
        <v>2.8886114468927948</v>
      </c>
      <c r="T88" s="4">
        <f t="shared" ca="1" si="36"/>
        <v>0</v>
      </c>
      <c r="U88" s="120">
        <f t="shared" ca="1" si="37"/>
        <v>1969.7564194948757</v>
      </c>
      <c r="V88" s="4">
        <f t="shared" ca="1" si="38"/>
        <v>0</v>
      </c>
      <c r="W88" s="13">
        <f t="shared" ca="1" si="39"/>
        <v>33422.391000000003</v>
      </c>
      <c r="X88" s="4">
        <f t="shared" ca="1" si="40"/>
        <v>0</v>
      </c>
      <c r="Y88" s="4">
        <f t="shared" si="41"/>
        <v>0</v>
      </c>
      <c r="Z88" s="13">
        <f t="shared" ca="1" si="42"/>
        <v>33422.391000000003</v>
      </c>
      <c r="AA88" s="4">
        <f t="shared" ca="1" si="43"/>
        <v>0</v>
      </c>
      <c r="AE88" s="4"/>
    </row>
    <row r="89" spans="1:31">
      <c r="A89">
        <v>0</v>
      </c>
      <c r="B89">
        <v>2</v>
      </c>
      <c r="C89">
        <f t="shared" ca="1" si="22"/>
        <v>3</v>
      </c>
      <c r="D89">
        <f t="shared" ca="1" si="23"/>
        <v>2</v>
      </c>
      <c r="E89">
        <f t="shared" ca="1" si="24"/>
        <v>0</v>
      </c>
      <c r="F89" s="110">
        <f t="shared" ca="1" si="25"/>
        <v>0</v>
      </c>
      <c r="G89">
        <v>1</v>
      </c>
      <c r="H89">
        <v>1</v>
      </c>
      <c r="I89">
        <v>0</v>
      </c>
      <c r="J89" s="1">
        <f t="shared" ca="1" si="26"/>
        <v>0</v>
      </c>
      <c r="K89" s="1">
        <f t="shared" ca="1" si="27"/>
        <v>0</v>
      </c>
      <c r="L89" s="13">
        <f t="shared" ca="1" si="28"/>
        <v>462</v>
      </c>
      <c r="M89" s="7">
        <f t="shared" ca="1" si="29"/>
        <v>1038</v>
      </c>
      <c r="N89" s="26">
        <f t="shared" ca="1" si="30"/>
        <v>4</v>
      </c>
      <c r="O89" s="44">
        <f t="shared" ca="1" si="31"/>
        <v>2.8886114468927948</v>
      </c>
      <c r="P89" s="44">
        <f t="shared" ca="1" si="32"/>
        <v>28.886114468927953</v>
      </c>
      <c r="Q89" s="44">
        <f t="shared" ca="1" si="33"/>
        <v>28.886114468927953</v>
      </c>
      <c r="R89" s="44">
        <f t="shared" ca="1" si="34"/>
        <v>2.8886114468927953</v>
      </c>
      <c r="S89" s="44">
        <f t="shared" ca="1" si="35"/>
        <v>2.8886114468927948</v>
      </c>
      <c r="T89" s="4">
        <f t="shared" ca="1" si="36"/>
        <v>0</v>
      </c>
      <c r="U89" s="120">
        <f t="shared" ca="1" si="37"/>
        <v>1950.7564194948757</v>
      </c>
      <c r="V89" s="4">
        <f t="shared" ca="1" si="38"/>
        <v>0</v>
      </c>
      <c r="W89" s="13">
        <f t="shared" ca="1" si="39"/>
        <v>30993.516000000003</v>
      </c>
      <c r="X89" s="4">
        <f t="shared" ca="1" si="40"/>
        <v>0</v>
      </c>
      <c r="Y89" s="4">
        <f t="shared" si="41"/>
        <v>0</v>
      </c>
      <c r="Z89" s="13">
        <f t="shared" ca="1" si="42"/>
        <v>30993.516000000003</v>
      </c>
      <c r="AA89" s="4">
        <f t="shared" ca="1" si="43"/>
        <v>0</v>
      </c>
      <c r="AE89" s="4"/>
    </row>
    <row r="90" spans="1:31">
      <c r="A90">
        <v>0</v>
      </c>
      <c r="B90">
        <v>2</v>
      </c>
      <c r="C90">
        <f t="shared" ca="1" si="22"/>
        <v>3</v>
      </c>
      <c r="D90">
        <f t="shared" ca="1" si="23"/>
        <v>2</v>
      </c>
      <c r="E90">
        <f t="shared" ca="1" si="24"/>
        <v>0</v>
      </c>
      <c r="F90" s="110">
        <f t="shared" ca="1" si="25"/>
        <v>0</v>
      </c>
      <c r="G90">
        <v>1</v>
      </c>
      <c r="H90">
        <v>0</v>
      </c>
      <c r="I90">
        <v>7</v>
      </c>
      <c r="J90" s="1">
        <f t="shared" ca="1" si="26"/>
        <v>0</v>
      </c>
      <c r="K90" s="1">
        <f t="shared" ca="1" si="27"/>
        <v>0</v>
      </c>
      <c r="L90" s="13">
        <f t="shared" ca="1" si="28"/>
        <v>364</v>
      </c>
      <c r="M90" s="7">
        <f t="shared" ca="1" si="29"/>
        <v>1136</v>
      </c>
      <c r="N90" s="26">
        <f t="shared" ca="1" si="30"/>
        <v>5</v>
      </c>
      <c r="O90" s="44">
        <f t="shared" ca="1" si="31"/>
        <v>3.5346387789404914</v>
      </c>
      <c r="P90" s="44">
        <f t="shared" ca="1" si="32"/>
        <v>35.346387789404908</v>
      </c>
      <c r="Q90" s="44">
        <f t="shared" ca="1" si="33"/>
        <v>34.700360457357213</v>
      </c>
      <c r="R90" s="44">
        <f t="shared" ca="1" si="34"/>
        <v>3.5023374123381061</v>
      </c>
      <c r="S90" s="44">
        <f t="shared" ca="1" si="35"/>
        <v>3.532377683278324</v>
      </c>
      <c r="T90" s="4">
        <f t="shared" ca="1" si="36"/>
        <v>0</v>
      </c>
      <c r="U90" s="120">
        <f t="shared" ca="1" si="37"/>
        <v>2135.4497774977995</v>
      </c>
      <c r="V90" s="4">
        <f t="shared" ca="1" si="38"/>
        <v>0</v>
      </c>
      <c r="W90" s="13">
        <f t="shared" ca="1" si="39"/>
        <v>47995.641000000003</v>
      </c>
      <c r="X90" s="4">
        <f t="shared" ca="1" si="40"/>
        <v>0</v>
      </c>
      <c r="Y90" s="4">
        <f t="shared" si="41"/>
        <v>0</v>
      </c>
      <c r="Z90" s="13">
        <f t="shared" ca="1" si="42"/>
        <v>47995.641000000003</v>
      </c>
      <c r="AA90" s="4">
        <f t="shared" ca="1" si="43"/>
        <v>0</v>
      </c>
      <c r="AE90" s="4"/>
    </row>
    <row r="91" spans="1:31">
      <c r="A91">
        <v>0</v>
      </c>
      <c r="B91">
        <v>2</v>
      </c>
      <c r="C91">
        <f t="shared" ca="1" si="22"/>
        <v>3</v>
      </c>
      <c r="D91">
        <f t="shared" ca="1" si="23"/>
        <v>2</v>
      </c>
      <c r="E91">
        <f t="shared" ca="1" si="24"/>
        <v>0</v>
      </c>
      <c r="F91" s="110">
        <f t="shared" ca="1" si="25"/>
        <v>0</v>
      </c>
      <c r="G91">
        <v>1</v>
      </c>
      <c r="H91">
        <v>0</v>
      </c>
      <c r="I91">
        <v>6</v>
      </c>
      <c r="J91" s="1">
        <f t="shared" ca="1" si="26"/>
        <v>0</v>
      </c>
      <c r="K91" s="1">
        <f t="shared" ca="1" si="27"/>
        <v>0</v>
      </c>
      <c r="L91" s="13">
        <f t="shared" ca="1" si="28"/>
        <v>345</v>
      </c>
      <c r="M91" s="7">
        <f t="shared" ca="1" si="29"/>
        <v>1155</v>
      </c>
      <c r="N91" s="26">
        <f t="shared" ca="1" si="30"/>
        <v>5</v>
      </c>
      <c r="O91" s="44">
        <f t="shared" ca="1" si="31"/>
        <v>3.5346387789404914</v>
      </c>
      <c r="P91" s="44">
        <f t="shared" ca="1" si="32"/>
        <v>35.346387789404908</v>
      </c>
      <c r="Q91" s="44">
        <f t="shared" ca="1" si="33"/>
        <v>35.346387789404908</v>
      </c>
      <c r="R91" s="44">
        <f t="shared" ca="1" si="34"/>
        <v>3.5346387789404909</v>
      </c>
      <c r="S91" s="44">
        <f t="shared" ca="1" si="35"/>
        <v>3.5346387789404914</v>
      </c>
      <c r="T91" s="4">
        <f t="shared" ca="1" si="36"/>
        <v>0</v>
      </c>
      <c r="U91" s="120">
        <f t="shared" ca="1" si="37"/>
        <v>2117.4426794074939</v>
      </c>
      <c r="V91" s="4">
        <f t="shared" ca="1" si="38"/>
        <v>0</v>
      </c>
      <c r="W91" s="13">
        <f t="shared" ca="1" si="39"/>
        <v>45566.766000000003</v>
      </c>
      <c r="X91" s="4">
        <f t="shared" ca="1" si="40"/>
        <v>0</v>
      </c>
      <c r="Y91" s="4">
        <f t="shared" si="41"/>
        <v>0</v>
      </c>
      <c r="Z91" s="13">
        <f t="shared" ca="1" si="42"/>
        <v>45566.766000000003</v>
      </c>
      <c r="AA91" s="4">
        <f t="shared" ca="1" si="43"/>
        <v>0</v>
      </c>
      <c r="AE91" s="4"/>
    </row>
    <row r="92" spans="1:31">
      <c r="A92">
        <v>0</v>
      </c>
      <c r="B92">
        <v>2</v>
      </c>
      <c r="C92">
        <f t="shared" ca="1" si="22"/>
        <v>3</v>
      </c>
      <c r="D92">
        <f t="shared" ca="1" si="23"/>
        <v>2</v>
      </c>
      <c r="E92">
        <f t="shared" ca="1" si="24"/>
        <v>0</v>
      </c>
      <c r="F92" s="110">
        <f t="shared" ca="1" si="25"/>
        <v>0</v>
      </c>
      <c r="G92">
        <v>1</v>
      </c>
      <c r="H92">
        <v>0</v>
      </c>
      <c r="I92">
        <v>5</v>
      </c>
      <c r="J92" s="1">
        <f t="shared" ca="1" si="26"/>
        <v>0</v>
      </c>
      <c r="K92" s="1">
        <f t="shared" ca="1" si="27"/>
        <v>0</v>
      </c>
      <c r="L92" s="13">
        <f t="shared" ca="1" si="28"/>
        <v>326</v>
      </c>
      <c r="M92" s="7">
        <f t="shared" ca="1" si="29"/>
        <v>1174</v>
      </c>
      <c r="N92" s="26">
        <f t="shared" ca="1" si="30"/>
        <v>5</v>
      </c>
      <c r="O92" s="44">
        <f t="shared" ca="1" si="31"/>
        <v>3.5346387789404914</v>
      </c>
      <c r="P92" s="44">
        <f t="shared" ca="1" si="32"/>
        <v>35.346387789404908</v>
      </c>
      <c r="Q92" s="44">
        <f t="shared" ca="1" si="33"/>
        <v>35.346387789404908</v>
      </c>
      <c r="R92" s="44">
        <f t="shared" ca="1" si="34"/>
        <v>3.5346387789404909</v>
      </c>
      <c r="S92" s="44">
        <f t="shared" ca="1" si="35"/>
        <v>3.5346387789404914</v>
      </c>
      <c r="T92" s="4">
        <f t="shared" ca="1" si="36"/>
        <v>0</v>
      </c>
      <c r="U92" s="120">
        <f t="shared" ca="1" si="37"/>
        <v>2098.4426794074939</v>
      </c>
      <c r="V92" s="4">
        <f t="shared" ca="1" si="38"/>
        <v>0</v>
      </c>
      <c r="W92" s="13">
        <f t="shared" ca="1" si="39"/>
        <v>43137.891000000003</v>
      </c>
      <c r="X92" s="4">
        <f t="shared" ca="1" si="40"/>
        <v>0</v>
      </c>
      <c r="Y92" s="4">
        <f t="shared" si="41"/>
        <v>0</v>
      </c>
      <c r="Z92" s="13">
        <f t="shared" ca="1" si="42"/>
        <v>43137.891000000003</v>
      </c>
      <c r="AA92" s="4">
        <f t="shared" ca="1" si="43"/>
        <v>0</v>
      </c>
      <c r="AE92" s="4"/>
    </row>
    <row r="93" spans="1:31">
      <c r="A93">
        <v>0</v>
      </c>
      <c r="B93">
        <v>2</v>
      </c>
      <c r="C93">
        <f t="shared" ca="1" si="22"/>
        <v>3</v>
      </c>
      <c r="D93">
        <f t="shared" ca="1" si="23"/>
        <v>2</v>
      </c>
      <c r="E93">
        <f t="shared" ca="1" si="24"/>
        <v>0</v>
      </c>
      <c r="F93" s="110">
        <f t="shared" ca="1" si="25"/>
        <v>0</v>
      </c>
      <c r="G93">
        <v>1</v>
      </c>
      <c r="H93">
        <v>0</v>
      </c>
      <c r="I93">
        <v>4</v>
      </c>
      <c r="J93" s="1">
        <f t="shared" ca="1" si="26"/>
        <v>0</v>
      </c>
      <c r="K93" s="1">
        <f t="shared" ca="1" si="27"/>
        <v>0</v>
      </c>
      <c r="L93" s="13">
        <f t="shared" ca="1" si="28"/>
        <v>307</v>
      </c>
      <c r="M93" s="7">
        <f t="shared" ca="1" si="29"/>
        <v>1193</v>
      </c>
      <c r="N93" s="26">
        <f t="shared" ca="1" si="30"/>
        <v>5</v>
      </c>
      <c r="O93" s="44">
        <f t="shared" ca="1" si="31"/>
        <v>3.5346387789404914</v>
      </c>
      <c r="P93" s="44">
        <f t="shared" ca="1" si="32"/>
        <v>35.346387789404908</v>
      </c>
      <c r="Q93" s="44">
        <f t="shared" ca="1" si="33"/>
        <v>35.346387789404908</v>
      </c>
      <c r="R93" s="44">
        <f t="shared" ca="1" si="34"/>
        <v>3.5346387789404909</v>
      </c>
      <c r="S93" s="44">
        <f t="shared" ca="1" si="35"/>
        <v>3.5346387789404914</v>
      </c>
      <c r="T93" s="4">
        <f t="shared" ca="1" si="36"/>
        <v>0</v>
      </c>
      <c r="U93" s="120">
        <f t="shared" ca="1" si="37"/>
        <v>2079.4426794074939</v>
      </c>
      <c r="V93" s="4">
        <f t="shared" ca="1" si="38"/>
        <v>0</v>
      </c>
      <c r="W93" s="13">
        <f t="shared" ca="1" si="39"/>
        <v>40709.016000000003</v>
      </c>
      <c r="X93" s="4">
        <f t="shared" ca="1" si="40"/>
        <v>0</v>
      </c>
      <c r="Y93" s="4">
        <f t="shared" si="41"/>
        <v>0</v>
      </c>
      <c r="Z93" s="13">
        <f t="shared" ca="1" si="42"/>
        <v>40709.016000000003</v>
      </c>
      <c r="AA93" s="4">
        <f t="shared" ca="1" si="43"/>
        <v>0</v>
      </c>
      <c r="AE93" s="4"/>
    </row>
    <row r="94" spans="1:31">
      <c r="A94">
        <v>0</v>
      </c>
      <c r="B94">
        <v>2</v>
      </c>
      <c r="C94">
        <f t="shared" ca="1" si="22"/>
        <v>3</v>
      </c>
      <c r="D94">
        <f t="shared" ca="1" si="23"/>
        <v>2</v>
      </c>
      <c r="E94">
        <f t="shared" ca="1" si="24"/>
        <v>0</v>
      </c>
      <c r="F94" s="110">
        <f t="shared" ca="1" si="25"/>
        <v>0</v>
      </c>
      <c r="G94">
        <v>1</v>
      </c>
      <c r="H94">
        <v>0</v>
      </c>
      <c r="I94">
        <v>3</v>
      </c>
      <c r="J94" s="1">
        <f t="shared" ca="1" si="26"/>
        <v>0</v>
      </c>
      <c r="K94" s="1">
        <f t="shared" ca="1" si="27"/>
        <v>0</v>
      </c>
      <c r="L94" s="13">
        <f t="shared" ca="1" si="28"/>
        <v>288</v>
      </c>
      <c r="M94" s="7">
        <f t="shared" ca="1" si="29"/>
        <v>1212</v>
      </c>
      <c r="N94" s="26">
        <f t="shared" ca="1" si="30"/>
        <v>5</v>
      </c>
      <c r="O94" s="44">
        <f t="shared" ca="1" si="31"/>
        <v>3.5346387789404914</v>
      </c>
      <c r="P94" s="44">
        <f t="shared" ca="1" si="32"/>
        <v>35.346387789404908</v>
      </c>
      <c r="Q94" s="44">
        <f t="shared" ca="1" si="33"/>
        <v>35.346387789404908</v>
      </c>
      <c r="R94" s="44">
        <f t="shared" ca="1" si="34"/>
        <v>3.5346387789404909</v>
      </c>
      <c r="S94" s="44">
        <f t="shared" ca="1" si="35"/>
        <v>3.5346387789404914</v>
      </c>
      <c r="T94" s="4">
        <f t="shared" ca="1" si="36"/>
        <v>0</v>
      </c>
      <c r="U94" s="120">
        <f t="shared" ca="1" si="37"/>
        <v>2060.4426794074939</v>
      </c>
      <c r="V94" s="4">
        <f t="shared" ca="1" si="38"/>
        <v>0</v>
      </c>
      <c r="W94" s="13">
        <f t="shared" ca="1" si="39"/>
        <v>38280.141000000003</v>
      </c>
      <c r="X94" s="4">
        <f t="shared" ca="1" si="40"/>
        <v>0</v>
      </c>
      <c r="Y94" s="4">
        <f t="shared" si="41"/>
        <v>0</v>
      </c>
      <c r="Z94" s="13">
        <f t="shared" ca="1" si="42"/>
        <v>38280.141000000003</v>
      </c>
      <c r="AA94" s="4">
        <f t="shared" ca="1" si="43"/>
        <v>0</v>
      </c>
      <c r="AE94" s="4"/>
    </row>
    <row r="95" spans="1:31">
      <c r="A95">
        <v>0</v>
      </c>
      <c r="B95">
        <v>2</v>
      </c>
      <c r="C95">
        <f t="shared" ca="1" si="22"/>
        <v>3</v>
      </c>
      <c r="D95">
        <f t="shared" ca="1" si="23"/>
        <v>2</v>
      </c>
      <c r="E95">
        <f t="shared" ca="1" si="24"/>
        <v>0</v>
      </c>
      <c r="F95" s="110">
        <f t="shared" ca="1" si="25"/>
        <v>0</v>
      </c>
      <c r="G95">
        <v>1</v>
      </c>
      <c r="H95">
        <v>0</v>
      </c>
      <c r="I95">
        <v>2</v>
      </c>
      <c r="J95" s="1">
        <f t="shared" ca="1" si="26"/>
        <v>0.85737499999999989</v>
      </c>
      <c r="K95" s="1">
        <f t="shared" ca="1" si="27"/>
        <v>0</v>
      </c>
      <c r="L95" s="13">
        <f t="shared" ca="1" si="28"/>
        <v>269</v>
      </c>
      <c r="M95" s="7">
        <f t="shared" ca="1" si="29"/>
        <v>1231</v>
      </c>
      <c r="N95" s="26">
        <f t="shared" ca="1" si="30"/>
        <v>5</v>
      </c>
      <c r="O95" s="44">
        <f t="shared" ca="1" si="31"/>
        <v>3.5346387789404914</v>
      </c>
      <c r="P95" s="44">
        <f t="shared" ca="1" si="32"/>
        <v>35.346387789404908</v>
      </c>
      <c r="Q95" s="44">
        <f t="shared" ca="1" si="33"/>
        <v>35.346387789404908</v>
      </c>
      <c r="R95" s="44">
        <f t="shared" ca="1" si="34"/>
        <v>3.5346387789404909</v>
      </c>
      <c r="S95" s="44">
        <f t="shared" ca="1" si="35"/>
        <v>3.5346387789404914</v>
      </c>
      <c r="T95" s="4">
        <f t="shared" ca="1" si="36"/>
        <v>0</v>
      </c>
      <c r="U95" s="120">
        <f t="shared" ca="1" si="37"/>
        <v>2041.4426794074936</v>
      </c>
      <c r="V95" s="4">
        <f t="shared" ca="1" si="38"/>
        <v>0</v>
      </c>
      <c r="W95" s="13">
        <f t="shared" ca="1" si="39"/>
        <v>35851.266000000003</v>
      </c>
      <c r="X95" s="4">
        <f t="shared" ca="1" si="40"/>
        <v>0</v>
      </c>
      <c r="Y95" s="4">
        <f t="shared" si="41"/>
        <v>0</v>
      </c>
      <c r="Z95" s="13">
        <f t="shared" ca="1" si="42"/>
        <v>35851.266000000003</v>
      </c>
      <c r="AA95" s="4">
        <f t="shared" ca="1" si="43"/>
        <v>0</v>
      </c>
      <c r="AE95" s="4"/>
    </row>
    <row r="96" spans="1:31">
      <c r="A96">
        <v>0</v>
      </c>
      <c r="B96">
        <v>2</v>
      </c>
      <c r="C96">
        <f t="shared" ca="1" si="22"/>
        <v>3</v>
      </c>
      <c r="D96">
        <f t="shared" ca="1" si="23"/>
        <v>2</v>
      </c>
      <c r="E96">
        <f t="shared" ca="1" si="24"/>
        <v>0</v>
      </c>
      <c r="F96" s="110">
        <f t="shared" ca="1" si="25"/>
        <v>0</v>
      </c>
      <c r="G96">
        <v>1</v>
      </c>
      <c r="H96">
        <v>0</v>
      </c>
      <c r="I96">
        <v>1</v>
      </c>
      <c r="J96" s="1">
        <f t="shared" ca="1" si="26"/>
        <v>9.025000000000008E-2</v>
      </c>
      <c r="K96" s="1">
        <f t="shared" ca="1" si="27"/>
        <v>0</v>
      </c>
      <c r="L96" s="13">
        <f t="shared" ca="1" si="28"/>
        <v>250</v>
      </c>
      <c r="M96" s="7">
        <f t="shared" ca="1" si="29"/>
        <v>1250</v>
      </c>
      <c r="N96" s="26">
        <f t="shared" ca="1" si="30"/>
        <v>5</v>
      </c>
      <c r="O96" s="44">
        <f t="shared" ca="1" si="31"/>
        <v>3.5346387789404914</v>
      </c>
      <c r="P96" s="44">
        <f t="shared" ca="1" si="32"/>
        <v>35.346387789404908</v>
      </c>
      <c r="Q96" s="44">
        <f t="shared" ca="1" si="33"/>
        <v>35.346387789404908</v>
      </c>
      <c r="R96" s="44">
        <f t="shared" ca="1" si="34"/>
        <v>3.5346387789404909</v>
      </c>
      <c r="S96" s="44">
        <f t="shared" ca="1" si="35"/>
        <v>3.5346387789404914</v>
      </c>
      <c r="T96" s="4">
        <f t="shared" ca="1" si="36"/>
        <v>0</v>
      </c>
      <c r="U96" s="120">
        <f t="shared" ca="1" si="37"/>
        <v>2022.4426794074936</v>
      </c>
      <c r="V96" s="4">
        <f t="shared" ca="1" si="38"/>
        <v>0</v>
      </c>
      <c r="W96" s="13">
        <f t="shared" ca="1" si="39"/>
        <v>33422.391000000003</v>
      </c>
      <c r="X96" s="4">
        <f t="shared" ca="1" si="40"/>
        <v>0</v>
      </c>
      <c r="Y96" s="4">
        <f t="shared" si="41"/>
        <v>0</v>
      </c>
      <c r="Z96" s="13">
        <f t="shared" ca="1" si="42"/>
        <v>33422.391000000003</v>
      </c>
      <c r="AA96" s="4">
        <f t="shared" ca="1" si="43"/>
        <v>0</v>
      </c>
      <c r="AE96" s="4"/>
    </row>
    <row r="97" spans="1:31">
      <c r="A97">
        <v>0</v>
      </c>
      <c r="B97">
        <v>2</v>
      </c>
      <c r="C97">
        <f t="shared" ca="1" si="22"/>
        <v>3</v>
      </c>
      <c r="D97">
        <f t="shared" ca="1" si="23"/>
        <v>2</v>
      </c>
      <c r="E97">
        <f t="shared" ca="1" si="24"/>
        <v>0</v>
      </c>
      <c r="F97" s="110">
        <f t="shared" ca="1" si="25"/>
        <v>0</v>
      </c>
      <c r="G97">
        <v>1</v>
      </c>
      <c r="H97">
        <v>0</v>
      </c>
      <c r="I97">
        <v>0</v>
      </c>
      <c r="J97" s="1">
        <f t="shared" ca="1" si="26"/>
        <v>2.3750000000000038E-3</v>
      </c>
      <c r="K97" s="1">
        <f t="shared" ca="1" si="27"/>
        <v>0</v>
      </c>
      <c r="L97" s="13">
        <f t="shared" ca="1" si="28"/>
        <v>231</v>
      </c>
      <c r="M97" s="7">
        <f t="shared" ca="1" si="29"/>
        <v>1269</v>
      </c>
      <c r="N97" s="26">
        <f t="shared" ca="1" si="30"/>
        <v>5</v>
      </c>
      <c r="O97" s="44">
        <f t="shared" ca="1" si="31"/>
        <v>3.5346387789404914</v>
      </c>
      <c r="P97" s="44">
        <f t="shared" ca="1" si="32"/>
        <v>35.346387789404908</v>
      </c>
      <c r="Q97" s="44">
        <f t="shared" ca="1" si="33"/>
        <v>35.346387789404908</v>
      </c>
      <c r="R97" s="44">
        <f t="shared" ca="1" si="34"/>
        <v>3.5346387789404909</v>
      </c>
      <c r="S97" s="44">
        <f t="shared" ca="1" si="35"/>
        <v>3.5346387789404914</v>
      </c>
      <c r="T97" s="4">
        <f t="shared" ca="1" si="36"/>
        <v>0</v>
      </c>
      <c r="U97" s="120">
        <f t="shared" ca="1" si="37"/>
        <v>2003.4426794074936</v>
      </c>
      <c r="V97" s="4">
        <f t="shared" ca="1" si="38"/>
        <v>0</v>
      </c>
      <c r="W97" s="13">
        <f t="shared" ca="1" si="39"/>
        <v>30993.516000000003</v>
      </c>
      <c r="X97" s="4">
        <f t="shared" ca="1" si="40"/>
        <v>0</v>
      </c>
      <c r="Y97" s="4">
        <f t="shared" si="41"/>
        <v>0</v>
      </c>
      <c r="Z97" s="13">
        <f t="shared" ca="1" si="42"/>
        <v>30993.516000000003</v>
      </c>
      <c r="AA97" s="4">
        <f t="shared" ca="1" si="43"/>
        <v>0</v>
      </c>
      <c r="AE97" s="4"/>
    </row>
    <row r="98" spans="1:31">
      <c r="A98">
        <v>0</v>
      </c>
      <c r="B98">
        <v>2</v>
      </c>
      <c r="C98">
        <f t="shared" ca="1" si="22"/>
        <v>3</v>
      </c>
      <c r="D98">
        <f t="shared" ca="1" si="23"/>
        <v>2</v>
      </c>
      <c r="E98">
        <f t="shared" ca="1" si="24"/>
        <v>0</v>
      </c>
      <c r="F98" s="110">
        <f t="shared" ca="1" si="25"/>
        <v>0</v>
      </c>
      <c r="G98">
        <v>0</v>
      </c>
      <c r="H98">
        <v>1</v>
      </c>
      <c r="I98">
        <v>7</v>
      </c>
      <c r="J98" s="1">
        <f t="shared" ca="1" si="26"/>
        <v>0</v>
      </c>
      <c r="K98" s="1">
        <f t="shared" ca="1" si="27"/>
        <v>0</v>
      </c>
      <c r="L98" s="13">
        <f t="shared" ca="1" si="28"/>
        <v>364</v>
      </c>
      <c r="M98" s="7">
        <f t="shared" ca="1" si="29"/>
        <v>1136</v>
      </c>
      <c r="N98" s="26">
        <f t="shared" ca="1" si="30"/>
        <v>5</v>
      </c>
      <c r="O98" s="44">
        <f t="shared" ca="1" si="31"/>
        <v>3.5346387789404914</v>
      </c>
      <c r="P98" s="44">
        <f t="shared" ca="1" si="32"/>
        <v>35.346387789404908</v>
      </c>
      <c r="Q98" s="44">
        <f t="shared" ca="1" si="33"/>
        <v>34.700360457357213</v>
      </c>
      <c r="R98" s="44">
        <f t="shared" ca="1" si="34"/>
        <v>3.5023374123381061</v>
      </c>
      <c r="S98" s="44">
        <f t="shared" ca="1" si="35"/>
        <v>3.532377683278324</v>
      </c>
      <c r="T98" s="4">
        <f t="shared" ca="1" si="36"/>
        <v>0</v>
      </c>
      <c r="U98" s="120">
        <f t="shared" ca="1" si="37"/>
        <v>2135.4497774977995</v>
      </c>
      <c r="V98" s="4">
        <f t="shared" ca="1" si="38"/>
        <v>0</v>
      </c>
      <c r="W98" s="13">
        <f t="shared" ca="1" si="39"/>
        <v>17002.125</v>
      </c>
      <c r="X98" s="4">
        <f t="shared" ca="1" si="40"/>
        <v>0</v>
      </c>
      <c r="Y98" s="4">
        <f t="shared" si="41"/>
        <v>0</v>
      </c>
      <c r="Z98" s="13">
        <f t="shared" ca="1" si="42"/>
        <v>17002.125</v>
      </c>
      <c r="AA98" s="4">
        <f t="shared" ca="1" si="43"/>
        <v>0</v>
      </c>
      <c r="AE98" s="4"/>
    </row>
    <row r="99" spans="1:31">
      <c r="A99">
        <v>0</v>
      </c>
      <c r="B99">
        <v>2</v>
      </c>
      <c r="C99">
        <f t="shared" ca="1" si="22"/>
        <v>3</v>
      </c>
      <c r="D99">
        <f t="shared" ca="1" si="23"/>
        <v>2</v>
      </c>
      <c r="E99">
        <f t="shared" ca="1" si="24"/>
        <v>0</v>
      </c>
      <c r="F99" s="110">
        <f t="shared" ca="1" si="25"/>
        <v>0</v>
      </c>
      <c r="G99">
        <v>0</v>
      </c>
      <c r="H99">
        <v>1</v>
      </c>
      <c r="I99">
        <v>6</v>
      </c>
      <c r="J99" s="1">
        <f t="shared" ca="1" si="26"/>
        <v>0</v>
      </c>
      <c r="K99" s="1">
        <f t="shared" ca="1" si="27"/>
        <v>0</v>
      </c>
      <c r="L99" s="13">
        <f t="shared" ca="1" si="28"/>
        <v>345</v>
      </c>
      <c r="M99" s="7">
        <f t="shared" ca="1" si="29"/>
        <v>1155</v>
      </c>
      <c r="N99" s="26">
        <f t="shared" ca="1" si="30"/>
        <v>5</v>
      </c>
      <c r="O99" s="44">
        <f t="shared" ca="1" si="31"/>
        <v>3.5346387789404914</v>
      </c>
      <c r="P99" s="44">
        <f t="shared" ca="1" si="32"/>
        <v>35.346387789404908</v>
      </c>
      <c r="Q99" s="44">
        <f t="shared" ca="1" si="33"/>
        <v>35.346387789404908</v>
      </c>
      <c r="R99" s="44">
        <f t="shared" ca="1" si="34"/>
        <v>3.5346387789404909</v>
      </c>
      <c r="S99" s="44">
        <f t="shared" ca="1" si="35"/>
        <v>3.5346387789404914</v>
      </c>
      <c r="T99" s="4">
        <f t="shared" ca="1" si="36"/>
        <v>0</v>
      </c>
      <c r="U99" s="120">
        <f t="shared" ca="1" si="37"/>
        <v>2117.4426794074939</v>
      </c>
      <c r="V99" s="4">
        <f t="shared" ca="1" si="38"/>
        <v>0</v>
      </c>
      <c r="W99" s="13">
        <f t="shared" ca="1" si="39"/>
        <v>14573.25</v>
      </c>
      <c r="X99" s="4">
        <f t="shared" ca="1" si="40"/>
        <v>0</v>
      </c>
      <c r="Y99" s="4">
        <f t="shared" si="41"/>
        <v>0</v>
      </c>
      <c r="Z99" s="13">
        <f t="shared" ca="1" si="42"/>
        <v>14573.25</v>
      </c>
      <c r="AA99" s="4">
        <f t="shared" ca="1" si="43"/>
        <v>0</v>
      </c>
      <c r="AE99" s="4"/>
    </row>
    <row r="100" spans="1:31">
      <c r="A100">
        <v>0</v>
      </c>
      <c r="B100">
        <v>2</v>
      </c>
      <c r="C100">
        <f t="shared" ca="1" si="22"/>
        <v>3</v>
      </c>
      <c r="D100">
        <f t="shared" ca="1" si="23"/>
        <v>2</v>
      </c>
      <c r="E100">
        <f t="shared" ca="1" si="24"/>
        <v>0</v>
      </c>
      <c r="F100" s="110">
        <f t="shared" ca="1" si="25"/>
        <v>0</v>
      </c>
      <c r="G100">
        <v>0</v>
      </c>
      <c r="H100">
        <v>1</v>
      </c>
      <c r="I100">
        <v>5</v>
      </c>
      <c r="J100" s="1">
        <f t="shared" ca="1" si="26"/>
        <v>0</v>
      </c>
      <c r="K100" s="1">
        <f t="shared" ca="1" si="27"/>
        <v>0</v>
      </c>
      <c r="L100" s="13">
        <f t="shared" ca="1" si="28"/>
        <v>326</v>
      </c>
      <c r="M100" s="7">
        <f t="shared" ca="1" si="29"/>
        <v>1174</v>
      </c>
      <c r="N100" s="26">
        <f t="shared" ca="1" si="30"/>
        <v>5</v>
      </c>
      <c r="O100" s="44">
        <f t="shared" ca="1" si="31"/>
        <v>3.5346387789404914</v>
      </c>
      <c r="P100" s="44">
        <f t="shared" ca="1" si="32"/>
        <v>35.346387789404908</v>
      </c>
      <c r="Q100" s="44">
        <f t="shared" ca="1" si="33"/>
        <v>35.346387789404908</v>
      </c>
      <c r="R100" s="44">
        <f t="shared" ca="1" si="34"/>
        <v>3.5346387789404909</v>
      </c>
      <c r="S100" s="44">
        <f t="shared" ca="1" si="35"/>
        <v>3.5346387789404914</v>
      </c>
      <c r="T100" s="4">
        <f t="shared" ca="1" si="36"/>
        <v>0</v>
      </c>
      <c r="U100" s="120">
        <f t="shared" ca="1" si="37"/>
        <v>2098.4426794074939</v>
      </c>
      <c r="V100" s="4">
        <f t="shared" ca="1" si="38"/>
        <v>0</v>
      </c>
      <c r="W100" s="13">
        <f t="shared" ca="1" si="39"/>
        <v>12144.375</v>
      </c>
      <c r="X100" s="4">
        <f t="shared" ca="1" si="40"/>
        <v>0</v>
      </c>
      <c r="Y100" s="4">
        <f t="shared" si="41"/>
        <v>0</v>
      </c>
      <c r="Z100" s="13">
        <f t="shared" ca="1" si="42"/>
        <v>12144.375</v>
      </c>
      <c r="AA100" s="4">
        <f t="shared" ca="1" si="43"/>
        <v>0</v>
      </c>
      <c r="AE100" s="4"/>
    </row>
    <row r="101" spans="1:31">
      <c r="A101">
        <v>0</v>
      </c>
      <c r="B101">
        <v>2</v>
      </c>
      <c r="C101">
        <f t="shared" ca="1" si="22"/>
        <v>3</v>
      </c>
      <c r="D101">
        <f t="shared" ca="1" si="23"/>
        <v>2</v>
      </c>
      <c r="E101">
        <f t="shared" ca="1" si="24"/>
        <v>0</v>
      </c>
      <c r="F101" s="110">
        <f t="shared" ca="1" si="25"/>
        <v>0</v>
      </c>
      <c r="G101">
        <v>0</v>
      </c>
      <c r="H101">
        <v>1</v>
      </c>
      <c r="I101">
        <v>4</v>
      </c>
      <c r="J101" s="1">
        <f t="shared" ca="1" si="26"/>
        <v>0</v>
      </c>
      <c r="K101" s="1">
        <f t="shared" ca="1" si="27"/>
        <v>0</v>
      </c>
      <c r="L101" s="13">
        <f t="shared" ca="1" si="28"/>
        <v>307</v>
      </c>
      <c r="M101" s="7">
        <f t="shared" ca="1" si="29"/>
        <v>1193</v>
      </c>
      <c r="N101" s="26">
        <f t="shared" ca="1" si="30"/>
        <v>5</v>
      </c>
      <c r="O101" s="44">
        <f t="shared" ca="1" si="31"/>
        <v>3.5346387789404914</v>
      </c>
      <c r="P101" s="44">
        <f t="shared" ca="1" si="32"/>
        <v>35.346387789404908</v>
      </c>
      <c r="Q101" s="44">
        <f t="shared" ca="1" si="33"/>
        <v>35.346387789404908</v>
      </c>
      <c r="R101" s="44">
        <f t="shared" ca="1" si="34"/>
        <v>3.5346387789404909</v>
      </c>
      <c r="S101" s="44">
        <f t="shared" ca="1" si="35"/>
        <v>3.5346387789404914</v>
      </c>
      <c r="T101" s="4">
        <f t="shared" ca="1" si="36"/>
        <v>0</v>
      </c>
      <c r="U101" s="120">
        <f t="shared" ca="1" si="37"/>
        <v>2079.4426794074939</v>
      </c>
      <c r="V101" s="4">
        <f t="shared" ca="1" si="38"/>
        <v>0</v>
      </c>
      <c r="W101" s="13">
        <f t="shared" ca="1" si="39"/>
        <v>9715.5</v>
      </c>
      <c r="X101" s="4">
        <f t="shared" ca="1" si="40"/>
        <v>0</v>
      </c>
      <c r="Y101" s="4">
        <f t="shared" si="41"/>
        <v>0</v>
      </c>
      <c r="Z101" s="13">
        <f t="shared" ca="1" si="42"/>
        <v>9715.5</v>
      </c>
      <c r="AA101" s="4">
        <f t="shared" ca="1" si="43"/>
        <v>0</v>
      </c>
      <c r="AE101" s="4"/>
    </row>
    <row r="102" spans="1:31">
      <c r="A102">
        <v>0</v>
      </c>
      <c r="B102">
        <v>2</v>
      </c>
      <c r="C102">
        <f t="shared" ca="1" si="22"/>
        <v>3</v>
      </c>
      <c r="D102">
        <f t="shared" ca="1" si="23"/>
        <v>2</v>
      </c>
      <c r="E102">
        <f t="shared" ca="1" si="24"/>
        <v>0</v>
      </c>
      <c r="F102" s="110">
        <f t="shared" ca="1" si="25"/>
        <v>0</v>
      </c>
      <c r="G102">
        <v>0</v>
      </c>
      <c r="H102">
        <v>1</v>
      </c>
      <c r="I102">
        <v>3</v>
      </c>
      <c r="J102" s="1">
        <f t="shared" ca="1" si="26"/>
        <v>0</v>
      </c>
      <c r="K102" s="1">
        <f t="shared" ca="1" si="27"/>
        <v>0</v>
      </c>
      <c r="L102" s="13">
        <f t="shared" ca="1" si="28"/>
        <v>288</v>
      </c>
      <c r="M102" s="7">
        <f t="shared" ca="1" si="29"/>
        <v>1212</v>
      </c>
      <c r="N102" s="26">
        <f t="shared" ca="1" si="30"/>
        <v>5</v>
      </c>
      <c r="O102" s="44">
        <f t="shared" ca="1" si="31"/>
        <v>3.5346387789404914</v>
      </c>
      <c r="P102" s="44">
        <f t="shared" ca="1" si="32"/>
        <v>35.346387789404908</v>
      </c>
      <c r="Q102" s="44">
        <f t="shared" ca="1" si="33"/>
        <v>35.346387789404908</v>
      </c>
      <c r="R102" s="44">
        <f t="shared" ca="1" si="34"/>
        <v>3.5346387789404909</v>
      </c>
      <c r="S102" s="44">
        <f t="shared" ca="1" si="35"/>
        <v>3.5346387789404914</v>
      </c>
      <c r="T102" s="4">
        <f t="shared" ca="1" si="36"/>
        <v>0</v>
      </c>
      <c r="U102" s="120">
        <f t="shared" ca="1" si="37"/>
        <v>2060.4426794074939</v>
      </c>
      <c r="V102" s="4">
        <f t="shared" ca="1" si="38"/>
        <v>0</v>
      </c>
      <c r="W102" s="13">
        <f t="shared" ca="1" si="39"/>
        <v>7286.625</v>
      </c>
      <c r="X102" s="4">
        <f t="shared" ca="1" si="40"/>
        <v>0</v>
      </c>
      <c r="Y102" s="4">
        <f t="shared" si="41"/>
        <v>0</v>
      </c>
      <c r="Z102" s="13">
        <f t="shared" ca="1" si="42"/>
        <v>7286.625</v>
      </c>
      <c r="AA102" s="4">
        <f t="shared" ca="1" si="43"/>
        <v>0</v>
      </c>
      <c r="AE102" s="4"/>
    </row>
    <row r="103" spans="1:31">
      <c r="A103">
        <v>0</v>
      </c>
      <c r="B103">
        <v>2</v>
      </c>
      <c r="C103">
        <f t="shared" ca="1" si="22"/>
        <v>3</v>
      </c>
      <c r="D103">
        <f t="shared" ca="1" si="23"/>
        <v>2</v>
      </c>
      <c r="E103">
        <f t="shared" ca="1" si="24"/>
        <v>0</v>
      </c>
      <c r="F103" s="110">
        <f t="shared" ca="1" si="25"/>
        <v>0</v>
      </c>
      <c r="G103">
        <v>0</v>
      </c>
      <c r="H103">
        <v>1</v>
      </c>
      <c r="I103">
        <v>2</v>
      </c>
      <c r="J103" s="1">
        <f t="shared" ca="1" si="26"/>
        <v>0</v>
      </c>
      <c r="K103" s="1">
        <f t="shared" ca="1" si="27"/>
        <v>0</v>
      </c>
      <c r="L103" s="13">
        <f t="shared" ca="1" si="28"/>
        <v>269</v>
      </c>
      <c r="M103" s="7">
        <f t="shared" ca="1" si="29"/>
        <v>1231</v>
      </c>
      <c r="N103" s="26">
        <f t="shared" ca="1" si="30"/>
        <v>5</v>
      </c>
      <c r="O103" s="44">
        <f t="shared" ca="1" si="31"/>
        <v>3.5346387789404914</v>
      </c>
      <c r="P103" s="44">
        <f t="shared" ca="1" si="32"/>
        <v>35.346387789404908</v>
      </c>
      <c r="Q103" s="44">
        <f t="shared" ca="1" si="33"/>
        <v>35.346387789404908</v>
      </c>
      <c r="R103" s="44">
        <f t="shared" ca="1" si="34"/>
        <v>3.5346387789404909</v>
      </c>
      <c r="S103" s="44">
        <f t="shared" ca="1" si="35"/>
        <v>3.5346387789404914</v>
      </c>
      <c r="T103" s="4">
        <f t="shared" ca="1" si="36"/>
        <v>0</v>
      </c>
      <c r="U103" s="120">
        <f t="shared" ca="1" si="37"/>
        <v>2041.4426794074936</v>
      </c>
      <c r="V103" s="4">
        <f t="shared" ca="1" si="38"/>
        <v>0</v>
      </c>
      <c r="W103" s="13">
        <f t="shared" ca="1" si="39"/>
        <v>4857.75</v>
      </c>
      <c r="X103" s="4">
        <f t="shared" ca="1" si="40"/>
        <v>0</v>
      </c>
      <c r="Y103" s="4">
        <f t="shared" si="41"/>
        <v>0</v>
      </c>
      <c r="Z103" s="13">
        <f t="shared" ca="1" si="42"/>
        <v>4857.75</v>
      </c>
      <c r="AA103" s="4">
        <f t="shared" ca="1" si="43"/>
        <v>0</v>
      </c>
      <c r="AE103" s="4"/>
    </row>
    <row r="104" spans="1:31">
      <c r="A104">
        <v>0</v>
      </c>
      <c r="B104">
        <v>2</v>
      </c>
      <c r="C104">
        <f t="shared" ca="1" si="22"/>
        <v>3</v>
      </c>
      <c r="D104">
        <f t="shared" ca="1" si="23"/>
        <v>2</v>
      </c>
      <c r="E104">
        <f t="shared" ca="1" si="24"/>
        <v>0</v>
      </c>
      <c r="F104" s="110">
        <f t="shared" ca="1" si="25"/>
        <v>0</v>
      </c>
      <c r="G104">
        <v>0</v>
      </c>
      <c r="H104">
        <v>1</v>
      </c>
      <c r="I104">
        <v>1</v>
      </c>
      <c r="J104" s="1">
        <f t="shared" ca="1" si="26"/>
        <v>0</v>
      </c>
      <c r="K104" s="1">
        <f t="shared" ca="1" si="27"/>
        <v>0</v>
      </c>
      <c r="L104" s="13">
        <f t="shared" ca="1" si="28"/>
        <v>250</v>
      </c>
      <c r="M104" s="7">
        <f t="shared" ca="1" si="29"/>
        <v>1250</v>
      </c>
      <c r="N104" s="26">
        <f t="shared" ca="1" si="30"/>
        <v>5</v>
      </c>
      <c r="O104" s="44">
        <f t="shared" ca="1" si="31"/>
        <v>3.5346387789404914</v>
      </c>
      <c r="P104" s="44">
        <f t="shared" ca="1" si="32"/>
        <v>35.346387789404908</v>
      </c>
      <c r="Q104" s="44">
        <f t="shared" ca="1" si="33"/>
        <v>35.346387789404908</v>
      </c>
      <c r="R104" s="44">
        <f t="shared" ca="1" si="34"/>
        <v>3.5346387789404909</v>
      </c>
      <c r="S104" s="44">
        <f t="shared" ca="1" si="35"/>
        <v>3.5346387789404914</v>
      </c>
      <c r="T104" s="4">
        <f t="shared" ca="1" si="36"/>
        <v>0</v>
      </c>
      <c r="U104" s="120">
        <f t="shared" ca="1" si="37"/>
        <v>2022.4426794074936</v>
      </c>
      <c r="V104" s="4">
        <f t="shared" ca="1" si="38"/>
        <v>0</v>
      </c>
      <c r="W104" s="13">
        <f t="shared" ca="1" si="39"/>
        <v>2428.875</v>
      </c>
      <c r="X104" s="4">
        <f t="shared" ca="1" si="40"/>
        <v>0</v>
      </c>
      <c r="Y104" s="4">
        <f t="shared" si="41"/>
        <v>0</v>
      </c>
      <c r="Z104" s="13">
        <f t="shared" ca="1" si="42"/>
        <v>2428.875</v>
      </c>
      <c r="AA104" s="4">
        <f t="shared" ca="1" si="43"/>
        <v>0</v>
      </c>
      <c r="AE104" s="4"/>
    </row>
    <row r="105" spans="1:31">
      <c r="A105">
        <v>0</v>
      </c>
      <c r="B105">
        <v>2</v>
      </c>
      <c r="C105">
        <f t="shared" ca="1" si="22"/>
        <v>3</v>
      </c>
      <c r="D105">
        <f t="shared" ca="1" si="23"/>
        <v>2</v>
      </c>
      <c r="E105">
        <f t="shared" ca="1" si="24"/>
        <v>0</v>
      </c>
      <c r="F105" s="110">
        <f t="shared" ca="1" si="25"/>
        <v>0</v>
      </c>
      <c r="G105">
        <v>0</v>
      </c>
      <c r="H105">
        <v>1</v>
      </c>
      <c r="I105">
        <v>0</v>
      </c>
      <c r="J105" s="1">
        <f t="shared" ca="1" si="26"/>
        <v>0</v>
      </c>
      <c r="K105" s="1">
        <f t="shared" ca="1" si="27"/>
        <v>0</v>
      </c>
      <c r="L105" s="13">
        <f t="shared" ca="1" si="28"/>
        <v>231</v>
      </c>
      <c r="M105" s="7">
        <f t="shared" ca="1" si="29"/>
        <v>1269</v>
      </c>
      <c r="N105" s="26">
        <f t="shared" ca="1" si="30"/>
        <v>5</v>
      </c>
      <c r="O105" s="44">
        <f t="shared" ca="1" si="31"/>
        <v>3.5346387789404914</v>
      </c>
      <c r="P105" s="44">
        <f t="shared" ca="1" si="32"/>
        <v>35.346387789404908</v>
      </c>
      <c r="Q105" s="44">
        <f t="shared" ca="1" si="33"/>
        <v>35.346387789404908</v>
      </c>
      <c r="R105" s="44">
        <f t="shared" ca="1" si="34"/>
        <v>3.5346387789404909</v>
      </c>
      <c r="S105" s="44">
        <f t="shared" ca="1" si="35"/>
        <v>3.5346387789404914</v>
      </c>
      <c r="T105" s="4">
        <f t="shared" ca="1" si="36"/>
        <v>0</v>
      </c>
      <c r="U105" s="120">
        <f t="shared" ca="1" si="37"/>
        <v>2003.4426794074936</v>
      </c>
      <c r="V105" s="4">
        <f t="shared" ca="1" si="38"/>
        <v>0</v>
      </c>
      <c r="W105" s="13">
        <f t="shared" ca="1" si="39"/>
        <v>0</v>
      </c>
      <c r="X105" s="4">
        <f t="shared" ca="1" si="40"/>
        <v>0</v>
      </c>
      <c r="Y105" s="4">
        <f t="shared" si="41"/>
        <v>0</v>
      </c>
      <c r="Z105" s="13">
        <f t="shared" ca="1" si="42"/>
        <v>0</v>
      </c>
      <c r="AA105" s="4">
        <f t="shared" ca="1" si="43"/>
        <v>0</v>
      </c>
      <c r="AE105" s="4"/>
    </row>
    <row r="106" spans="1:31">
      <c r="A106">
        <v>0</v>
      </c>
      <c r="B106">
        <v>2</v>
      </c>
      <c r="C106">
        <f t="shared" ca="1" si="22"/>
        <v>3</v>
      </c>
      <c r="D106">
        <f t="shared" ca="1" si="23"/>
        <v>2</v>
      </c>
      <c r="E106">
        <f t="shared" ca="1" si="24"/>
        <v>0</v>
      </c>
      <c r="F106" s="110">
        <f t="shared" ca="1" si="25"/>
        <v>0</v>
      </c>
      <c r="G106">
        <v>0</v>
      </c>
      <c r="H106">
        <v>0</v>
      </c>
      <c r="I106">
        <v>7</v>
      </c>
      <c r="J106" s="1">
        <f t="shared" ca="1" si="26"/>
        <v>0</v>
      </c>
      <c r="K106" s="1">
        <f t="shared" ca="1" si="27"/>
        <v>0</v>
      </c>
      <c r="L106" s="13">
        <f t="shared" ca="1" si="28"/>
        <v>133</v>
      </c>
      <c r="M106" s="7">
        <f t="shared" ca="1" si="29"/>
        <v>1367</v>
      </c>
      <c r="N106" s="26">
        <f t="shared" ca="1" si="30"/>
        <v>5</v>
      </c>
      <c r="O106" s="44">
        <f t="shared" ca="1" si="31"/>
        <v>3.5346387789404914</v>
      </c>
      <c r="P106" s="44">
        <f t="shared" ca="1" si="32"/>
        <v>35.346387789404908</v>
      </c>
      <c r="Q106" s="44">
        <f t="shared" ca="1" si="33"/>
        <v>35.346387789404908</v>
      </c>
      <c r="R106" s="44">
        <f t="shared" ca="1" si="34"/>
        <v>3.5346387789404909</v>
      </c>
      <c r="S106" s="44">
        <f t="shared" ca="1" si="35"/>
        <v>3.5346387789404914</v>
      </c>
      <c r="T106" s="4">
        <f t="shared" ca="1" si="36"/>
        <v>0</v>
      </c>
      <c r="U106" s="120">
        <f t="shared" ca="1" si="37"/>
        <v>1905.4426794074936</v>
      </c>
      <c r="V106" s="4">
        <f t="shared" ca="1" si="38"/>
        <v>0</v>
      </c>
      <c r="W106" s="13">
        <f t="shared" ca="1" si="39"/>
        <v>17002.125</v>
      </c>
      <c r="X106" s="4">
        <f t="shared" ca="1" si="40"/>
        <v>0</v>
      </c>
      <c r="Y106" s="4">
        <f t="shared" si="41"/>
        <v>0</v>
      </c>
      <c r="Z106" s="13">
        <f t="shared" ca="1" si="42"/>
        <v>17002.125</v>
      </c>
      <c r="AA106" s="4">
        <f t="shared" ca="1" si="43"/>
        <v>0</v>
      </c>
      <c r="AE106" s="4"/>
    </row>
    <row r="107" spans="1:31">
      <c r="A107">
        <v>0</v>
      </c>
      <c r="B107">
        <v>2</v>
      </c>
      <c r="C107">
        <f t="shared" ca="1" si="22"/>
        <v>3</v>
      </c>
      <c r="D107">
        <f t="shared" ca="1" si="23"/>
        <v>2</v>
      </c>
      <c r="E107">
        <f t="shared" ca="1" si="24"/>
        <v>0</v>
      </c>
      <c r="F107" s="110">
        <f t="shared" ca="1" si="25"/>
        <v>0</v>
      </c>
      <c r="G107">
        <v>0</v>
      </c>
      <c r="H107">
        <v>0</v>
      </c>
      <c r="I107">
        <v>6</v>
      </c>
      <c r="J107" s="1">
        <f t="shared" ca="1" si="26"/>
        <v>0</v>
      </c>
      <c r="K107" s="1">
        <f t="shared" ca="1" si="27"/>
        <v>0</v>
      </c>
      <c r="L107" s="13">
        <f t="shared" ca="1" si="28"/>
        <v>114</v>
      </c>
      <c r="M107" s="7">
        <f t="shared" ca="1" si="29"/>
        <v>1386</v>
      </c>
      <c r="N107" s="26">
        <f t="shared" ca="1" si="30"/>
        <v>5</v>
      </c>
      <c r="O107" s="44">
        <f t="shared" ca="1" si="31"/>
        <v>3.5346387789404914</v>
      </c>
      <c r="P107" s="44">
        <f t="shared" ca="1" si="32"/>
        <v>35.346387789404908</v>
      </c>
      <c r="Q107" s="44">
        <f t="shared" ca="1" si="33"/>
        <v>35.346387789404908</v>
      </c>
      <c r="R107" s="44">
        <f t="shared" ca="1" si="34"/>
        <v>3.5346387789404909</v>
      </c>
      <c r="S107" s="44">
        <f t="shared" ca="1" si="35"/>
        <v>3.5346387789404914</v>
      </c>
      <c r="T107" s="4">
        <f t="shared" ca="1" si="36"/>
        <v>0</v>
      </c>
      <c r="U107" s="120">
        <f t="shared" ca="1" si="37"/>
        <v>1886.4426794074936</v>
      </c>
      <c r="V107" s="4">
        <f t="shared" ca="1" si="38"/>
        <v>0</v>
      </c>
      <c r="W107" s="13">
        <f t="shared" ca="1" si="39"/>
        <v>14573.25</v>
      </c>
      <c r="X107" s="4">
        <f t="shared" ca="1" si="40"/>
        <v>0</v>
      </c>
      <c r="Y107" s="4">
        <f t="shared" si="41"/>
        <v>0</v>
      </c>
      <c r="Z107" s="13">
        <f t="shared" ca="1" si="42"/>
        <v>14573.25</v>
      </c>
      <c r="AA107" s="4">
        <f t="shared" ca="1" si="43"/>
        <v>0</v>
      </c>
      <c r="AE107" s="4"/>
    </row>
    <row r="108" spans="1:31">
      <c r="A108">
        <v>0</v>
      </c>
      <c r="B108">
        <v>2</v>
      </c>
      <c r="C108">
        <f t="shared" ca="1" si="22"/>
        <v>3</v>
      </c>
      <c r="D108">
        <f t="shared" ca="1" si="23"/>
        <v>2</v>
      </c>
      <c r="E108">
        <f t="shared" ca="1" si="24"/>
        <v>0</v>
      </c>
      <c r="F108" s="110">
        <f t="shared" ca="1" si="25"/>
        <v>0</v>
      </c>
      <c r="G108">
        <v>0</v>
      </c>
      <c r="H108">
        <v>0</v>
      </c>
      <c r="I108">
        <v>5</v>
      </c>
      <c r="J108" s="1">
        <f t="shared" ca="1" si="26"/>
        <v>0</v>
      </c>
      <c r="K108" s="1">
        <f t="shared" ca="1" si="27"/>
        <v>0</v>
      </c>
      <c r="L108" s="13">
        <f t="shared" ca="1" si="28"/>
        <v>95</v>
      </c>
      <c r="M108" s="7">
        <f t="shared" ca="1" si="29"/>
        <v>1405</v>
      </c>
      <c r="N108" s="26">
        <f t="shared" ca="1" si="30"/>
        <v>6</v>
      </c>
      <c r="O108" s="44">
        <f t="shared" ca="1" si="31"/>
        <v>4.1694581524927896</v>
      </c>
      <c r="P108" s="44">
        <f t="shared" ca="1" si="32"/>
        <v>41.059762151375594</v>
      </c>
      <c r="Q108" s="44">
        <f t="shared" ca="1" si="33"/>
        <v>35.346387789404908</v>
      </c>
      <c r="R108" s="44">
        <f t="shared" ca="1" si="34"/>
        <v>3.8203074970390247</v>
      </c>
      <c r="S108" s="44">
        <f t="shared" ca="1" si="35"/>
        <v>4.1450176066110256</v>
      </c>
      <c r="T108" s="4">
        <f t="shared" ca="1" si="36"/>
        <v>0</v>
      </c>
      <c r="U108" s="120">
        <f t="shared" ca="1" si="37"/>
        <v>2135.4748169996506</v>
      </c>
      <c r="V108" s="4">
        <f t="shared" ca="1" si="38"/>
        <v>0</v>
      </c>
      <c r="W108" s="13">
        <f t="shared" ca="1" si="39"/>
        <v>12144.375</v>
      </c>
      <c r="X108" s="4">
        <f t="shared" ca="1" si="40"/>
        <v>0</v>
      </c>
      <c r="Y108" s="4">
        <f t="shared" si="41"/>
        <v>0</v>
      </c>
      <c r="Z108" s="13">
        <f t="shared" ca="1" si="42"/>
        <v>12144.375</v>
      </c>
      <c r="AA108" s="4">
        <f t="shared" ca="1" si="43"/>
        <v>0</v>
      </c>
      <c r="AE108" s="4"/>
    </row>
    <row r="109" spans="1:31">
      <c r="A109">
        <v>0</v>
      </c>
      <c r="B109">
        <v>2</v>
      </c>
      <c r="C109">
        <f t="shared" ca="1" si="22"/>
        <v>3</v>
      </c>
      <c r="D109">
        <f t="shared" ca="1" si="23"/>
        <v>2</v>
      </c>
      <c r="E109">
        <f t="shared" ca="1" si="24"/>
        <v>0</v>
      </c>
      <c r="F109" s="110">
        <f t="shared" ca="1" si="25"/>
        <v>0</v>
      </c>
      <c r="G109">
        <v>0</v>
      </c>
      <c r="H109">
        <v>0</v>
      </c>
      <c r="I109">
        <v>4</v>
      </c>
      <c r="J109" s="1">
        <f t="shared" ca="1" si="26"/>
        <v>0</v>
      </c>
      <c r="K109" s="1">
        <f t="shared" ca="1" si="27"/>
        <v>0</v>
      </c>
      <c r="L109" s="13">
        <f t="shared" ca="1" si="28"/>
        <v>76</v>
      </c>
      <c r="M109" s="7">
        <f t="shared" ca="1" si="29"/>
        <v>1424</v>
      </c>
      <c r="N109" s="26">
        <f t="shared" ca="1" si="30"/>
        <v>6</v>
      </c>
      <c r="O109" s="44">
        <f t="shared" ca="1" si="31"/>
        <v>4.1694581524927896</v>
      </c>
      <c r="P109" s="44">
        <f t="shared" ca="1" si="32"/>
        <v>41.694581524927891</v>
      </c>
      <c r="Q109" s="44">
        <f t="shared" ca="1" si="33"/>
        <v>41.694581524927891</v>
      </c>
      <c r="R109" s="44">
        <f t="shared" ca="1" si="34"/>
        <v>4.1694581524927887</v>
      </c>
      <c r="S109" s="44">
        <f t="shared" ca="1" si="35"/>
        <v>4.1694581524927896</v>
      </c>
      <c r="T109" s="4">
        <f t="shared" ca="1" si="36"/>
        <v>0</v>
      </c>
      <c r="U109" s="120">
        <f t="shared" ca="1" si="37"/>
        <v>2127.2072530862838</v>
      </c>
      <c r="V109" s="4">
        <f t="shared" ca="1" si="38"/>
        <v>0</v>
      </c>
      <c r="W109" s="13">
        <f t="shared" ca="1" si="39"/>
        <v>9715.5</v>
      </c>
      <c r="X109" s="4">
        <f t="shared" ca="1" si="40"/>
        <v>0</v>
      </c>
      <c r="Y109" s="4">
        <f t="shared" si="41"/>
        <v>0</v>
      </c>
      <c r="Z109" s="13">
        <f t="shared" ca="1" si="42"/>
        <v>9715.5</v>
      </c>
      <c r="AA109" s="4">
        <f t="shared" ca="1" si="43"/>
        <v>0</v>
      </c>
      <c r="AE109" s="4"/>
    </row>
    <row r="110" spans="1:31">
      <c r="A110">
        <v>0</v>
      </c>
      <c r="B110">
        <v>2</v>
      </c>
      <c r="C110">
        <f t="shared" ca="1" si="22"/>
        <v>3</v>
      </c>
      <c r="D110">
        <f t="shared" ca="1" si="23"/>
        <v>2</v>
      </c>
      <c r="E110">
        <f t="shared" ca="1" si="24"/>
        <v>0</v>
      </c>
      <c r="F110" s="110">
        <f t="shared" ca="1" si="25"/>
        <v>0</v>
      </c>
      <c r="G110">
        <v>0</v>
      </c>
      <c r="H110">
        <v>0</v>
      </c>
      <c r="I110">
        <v>3</v>
      </c>
      <c r="J110" s="1">
        <f t="shared" ca="1" si="26"/>
        <v>0</v>
      </c>
      <c r="K110" s="1">
        <f t="shared" ca="1" si="27"/>
        <v>0</v>
      </c>
      <c r="L110" s="13">
        <f t="shared" ca="1" si="28"/>
        <v>57</v>
      </c>
      <c r="M110" s="7">
        <f t="shared" ca="1" si="29"/>
        <v>1443</v>
      </c>
      <c r="N110" s="26">
        <f t="shared" ca="1" si="30"/>
        <v>6</v>
      </c>
      <c r="O110" s="44">
        <f t="shared" ca="1" si="31"/>
        <v>4.1694581524927896</v>
      </c>
      <c r="P110" s="44">
        <f t="shared" ca="1" si="32"/>
        <v>41.694581524927891</v>
      </c>
      <c r="Q110" s="44">
        <f t="shared" ca="1" si="33"/>
        <v>41.694581524927891</v>
      </c>
      <c r="R110" s="44">
        <f t="shared" ca="1" si="34"/>
        <v>4.1694581524927887</v>
      </c>
      <c r="S110" s="44">
        <f t="shared" ca="1" si="35"/>
        <v>4.1694581524927896</v>
      </c>
      <c r="T110" s="4">
        <f t="shared" ca="1" si="36"/>
        <v>0</v>
      </c>
      <c r="U110" s="120">
        <f t="shared" ca="1" si="37"/>
        <v>2108.2072530862838</v>
      </c>
      <c r="V110" s="4">
        <f t="shared" ca="1" si="38"/>
        <v>0</v>
      </c>
      <c r="W110" s="13">
        <f t="shared" ca="1" si="39"/>
        <v>7286.625</v>
      </c>
      <c r="X110" s="4">
        <f t="shared" ca="1" si="40"/>
        <v>0</v>
      </c>
      <c r="Y110" s="4">
        <f t="shared" si="41"/>
        <v>0</v>
      </c>
      <c r="Z110" s="13">
        <f t="shared" ca="1" si="42"/>
        <v>7286.625</v>
      </c>
      <c r="AA110" s="4">
        <f t="shared" ca="1" si="43"/>
        <v>0</v>
      </c>
      <c r="AE110" s="4"/>
    </row>
    <row r="111" spans="1:31">
      <c r="A111">
        <v>0</v>
      </c>
      <c r="B111">
        <v>2</v>
      </c>
      <c r="C111">
        <f t="shared" ca="1" si="22"/>
        <v>3</v>
      </c>
      <c r="D111">
        <f t="shared" ca="1" si="23"/>
        <v>2</v>
      </c>
      <c r="E111">
        <f t="shared" ca="1" si="24"/>
        <v>0</v>
      </c>
      <c r="F111" s="110">
        <f t="shared" ca="1" si="25"/>
        <v>0</v>
      </c>
      <c r="G111">
        <v>0</v>
      </c>
      <c r="H111">
        <v>0</v>
      </c>
      <c r="I111">
        <v>2</v>
      </c>
      <c r="J111" s="1">
        <f t="shared" ca="1" si="26"/>
        <v>4.5124999999999998E-2</v>
      </c>
      <c r="K111" s="1">
        <f t="shared" ca="1" si="27"/>
        <v>0</v>
      </c>
      <c r="L111" s="13">
        <f t="shared" ca="1" si="28"/>
        <v>38</v>
      </c>
      <c r="M111" s="7">
        <f t="shared" ca="1" si="29"/>
        <v>1462</v>
      </c>
      <c r="N111" s="26">
        <f t="shared" ca="1" si="30"/>
        <v>6</v>
      </c>
      <c r="O111" s="44">
        <f t="shared" ca="1" si="31"/>
        <v>4.1694581524927896</v>
      </c>
      <c r="P111" s="44">
        <f t="shared" ca="1" si="32"/>
        <v>41.694581524927891</v>
      </c>
      <c r="Q111" s="44">
        <f t="shared" ca="1" si="33"/>
        <v>41.694581524927891</v>
      </c>
      <c r="R111" s="44">
        <f t="shared" ca="1" si="34"/>
        <v>4.1694581524927887</v>
      </c>
      <c r="S111" s="44">
        <f t="shared" ca="1" si="35"/>
        <v>4.1694581524927896</v>
      </c>
      <c r="T111" s="4">
        <f t="shared" ca="1" si="36"/>
        <v>0</v>
      </c>
      <c r="U111" s="120">
        <f t="shared" ca="1" si="37"/>
        <v>2089.2072530862838</v>
      </c>
      <c r="V111" s="4">
        <f t="shared" ca="1" si="38"/>
        <v>0</v>
      </c>
      <c r="W111" s="13">
        <f t="shared" ca="1" si="39"/>
        <v>4857.75</v>
      </c>
      <c r="X111" s="4">
        <f t="shared" ca="1" si="40"/>
        <v>0</v>
      </c>
      <c r="Y111" s="4">
        <f t="shared" si="41"/>
        <v>0</v>
      </c>
      <c r="Z111" s="13">
        <f t="shared" ca="1" si="42"/>
        <v>4857.75</v>
      </c>
      <c r="AA111" s="4">
        <f t="shared" ca="1" si="43"/>
        <v>0</v>
      </c>
      <c r="AE111" s="4"/>
    </row>
    <row r="112" spans="1:31">
      <c r="A112">
        <v>0</v>
      </c>
      <c r="B112">
        <v>2</v>
      </c>
      <c r="C112">
        <f t="shared" ca="1" si="22"/>
        <v>3</v>
      </c>
      <c r="D112">
        <f t="shared" ca="1" si="23"/>
        <v>2</v>
      </c>
      <c r="E112">
        <f t="shared" ca="1" si="24"/>
        <v>0</v>
      </c>
      <c r="F112" s="110">
        <f t="shared" ca="1" si="25"/>
        <v>0</v>
      </c>
      <c r="G112">
        <v>0</v>
      </c>
      <c r="H112">
        <v>0</v>
      </c>
      <c r="I112">
        <v>1</v>
      </c>
      <c r="J112" s="1">
        <f t="shared" ca="1" si="26"/>
        <v>4.7500000000000042E-3</v>
      </c>
      <c r="K112" s="1">
        <f t="shared" ca="1" si="27"/>
        <v>0</v>
      </c>
      <c r="L112" s="13">
        <f t="shared" ca="1" si="28"/>
        <v>19</v>
      </c>
      <c r="M112" s="7">
        <f t="shared" ca="1" si="29"/>
        <v>1481</v>
      </c>
      <c r="N112" s="26">
        <f t="shared" ca="1" si="30"/>
        <v>6</v>
      </c>
      <c r="O112" s="44">
        <f t="shared" ca="1" si="31"/>
        <v>4.1694581524927896</v>
      </c>
      <c r="P112" s="44">
        <f t="shared" ca="1" si="32"/>
        <v>41.694581524927891</v>
      </c>
      <c r="Q112" s="44">
        <f t="shared" ca="1" si="33"/>
        <v>41.694581524927891</v>
      </c>
      <c r="R112" s="44">
        <f t="shared" ca="1" si="34"/>
        <v>4.1694581524927887</v>
      </c>
      <c r="S112" s="44">
        <f t="shared" ca="1" si="35"/>
        <v>4.1694581524927896</v>
      </c>
      <c r="T112" s="4">
        <f t="shared" ca="1" si="36"/>
        <v>0</v>
      </c>
      <c r="U112" s="120">
        <f t="shared" ca="1" si="37"/>
        <v>2070.2072530862838</v>
      </c>
      <c r="V112" s="4">
        <f t="shared" ca="1" si="38"/>
        <v>0</v>
      </c>
      <c r="W112" s="13">
        <f t="shared" ca="1" si="39"/>
        <v>2428.875</v>
      </c>
      <c r="X112" s="4">
        <f t="shared" ca="1" si="40"/>
        <v>0</v>
      </c>
      <c r="Y112" s="4">
        <f t="shared" si="41"/>
        <v>0</v>
      </c>
      <c r="Z112" s="13">
        <f t="shared" ca="1" si="42"/>
        <v>2428.875</v>
      </c>
      <c r="AA112" s="4">
        <f t="shared" ca="1" si="43"/>
        <v>0</v>
      </c>
      <c r="AE112" s="4"/>
    </row>
    <row r="113" spans="1:31">
      <c r="A113">
        <v>0</v>
      </c>
      <c r="B113">
        <v>2</v>
      </c>
      <c r="C113">
        <f t="shared" ca="1" si="22"/>
        <v>3</v>
      </c>
      <c r="D113">
        <f t="shared" ca="1" si="23"/>
        <v>2</v>
      </c>
      <c r="E113">
        <f t="shared" ca="1" si="24"/>
        <v>0</v>
      </c>
      <c r="F113" s="110">
        <f t="shared" ca="1" si="25"/>
        <v>0</v>
      </c>
      <c r="G113">
        <v>0</v>
      </c>
      <c r="H113">
        <v>0</v>
      </c>
      <c r="I113">
        <v>0</v>
      </c>
      <c r="J113" s="1">
        <f t="shared" ca="1" si="26"/>
        <v>1.2500000000000022E-4</v>
      </c>
      <c r="K113" s="1">
        <f t="shared" ca="1" si="27"/>
        <v>0</v>
      </c>
      <c r="L113" s="13">
        <f t="shared" ca="1" si="28"/>
        <v>0</v>
      </c>
      <c r="M113" s="7">
        <f t="shared" ca="1" si="29"/>
        <v>1500</v>
      </c>
      <c r="N113" s="26">
        <f t="shared" ca="1" si="30"/>
        <v>6</v>
      </c>
      <c r="O113" s="44">
        <f t="shared" ca="1" si="31"/>
        <v>4.1694581524927896</v>
      </c>
      <c r="P113" s="44">
        <f t="shared" ca="1" si="32"/>
        <v>41.694581524927891</v>
      </c>
      <c r="Q113" s="44">
        <f t="shared" ca="1" si="33"/>
        <v>41.694581524927891</v>
      </c>
      <c r="R113" s="44">
        <f t="shared" ca="1" si="34"/>
        <v>4.1694581524927887</v>
      </c>
      <c r="S113" s="44">
        <f t="shared" ca="1" si="35"/>
        <v>4.1694581524927896</v>
      </c>
      <c r="T113" s="4">
        <f t="shared" ca="1" si="36"/>
        <v>0</v>
      </c>
      <c r="U113" s="120">
        <f t="shared" ca="1" si="37"/>
        <v>2051.2072530862838</v>
      </c>
      <c r="V113" s="4">
        <f t="shared" ca="1" si="38"/>
        <v>0</v>
      </c>
      <c r="W113" s="13">
        <f t="shared" ca="1" si="39"/>
        <v>0</v>
      </c>
      <c r="X113" s="4">
        <f t="shared" ca="1" si="40"/>
        <v>0</v>
      </c>
      <c r="Y113" s="4">
        <f t="shared" si="41"/>
        <v>0</v>
      </c>
      <c r="Z113" s="13">
        <f t="shared" ca="1" si="42"/>
        <v>0</v>
      </c>
      <c r="AA113" s="4">
        <f t="shared" ca="1" si="43"/>
        <v>0</v>
      </c>
      <c r="AE113" s="4"/>
    </row>
    <row r="114" spans="1:31">
      <c r="A114">
        <v>0</v>
      </c>
      <c r="B114">
        <v>3</v>
      </c>
      <c r="C114">
        <f t="shared" ca="1" si="22"/>
        <v>4</v>
      </c>
      <c r="D114">
        <f t="shared" ca="1" si="23"/>
        <v>3</v>
      </c>
      <c r="E114">
        <f t="shared" ca="1" si="24"/>
        <v>0</v>
      </c>
      <c r="F114" s="110">
        <f t="shared" ca="1" si="25"/>
        <v>0</v>
      </c>
      <c r="G114">
        <v>1</v>
      </c>
      <c r="H114">
        <v>1</v>
      </c>
      <c r="I114">
        <v>7</v>
      </c>
      <c r="J114" s="1">
        <f t="shared" ca="1" si="26"/>
        <v>0</v>
      </c>
      <c r="K114" s="1">
        <f t="shared" ca="1" si="27"/>
        <v>0</v>
      </c>
      <c r="L114" s="13">
        <f t="shared" ca="1" si="28"/>
        <v>595</v>
      </c>
      <c r="M114" s="7">
        <f t="shared" ca="1" si="29"/>
        <v>905</v>
      </c>
      <c r="N114" s="26">
        <f t="shared" ca="1" si="30"/>
        <v>4</v>
      </c>
      <c r="O114" s="44">
        <f t="shared" ca="1" si="31"/>
        <v>2.8886114468927948</v>
      </c>
      <c r="P114" s="44">
        <f t="shared" ca="1" si="32"/>
        <v>28.886114468927953</v>
      </c>
      <c r="Q114" s="44">
        <f t="shared" ca="1" si="33"/>
        <v>28.886114468927953</v>
      </c>
      <c r="R114" s="44">
        <f t="shared" ca="1" si="34"/>
        <v>2.8886114468927953</v>
      </c>
      <c r="S114" s="44">
        <f t="shared" ca="1" si="35"/>
        <v>2.8886114468927948</v>
      </c>
      <c r="T114" s="4">
        <f t="shared" ca="1" si="36"/>
        <v>0</v>
      </c>
      <c r="U114" s="120">
        <f t="shared" ca="1" si="37"/>
        <v>2083.7564194948759</v>
      </c>
      <c r="V114" s="4">
        <f t="shared" ca="1" si="38"/>
        <v>0</v>
      </c>
      <c r="W114" s="13">
        <f t="shared" ca="1" si="39"/>
        <v>47995.641000000003</v>
      </c>
      <c r="X114" s="4">
        <f t="shared" ca="1" si="40"/>
        <v>0</v>
      </c>
      <c r="Y114" s="4">
        <f t="shared" si="41"/>
        <v>0</v>
      </c>
      <c r="Z114" s="13">
        <f t="shared" ca="1" si="42"/>
        <v>47995.641000000003</v>
      </c>
      <c r="AA114" s="4">
        <f t="shared" ca="1" si="43"/>
        <v>0</v>
      </c>
      <c r="AE114" s="4"/>
    </row>
    <row r="115" spans="1:31">
      <c r="A115">
        <v>0</v>
      </c>
      <c r="B115">
        <v>3</v>
      </c>
      <c r="C115">
        <f t="shared" ca="1" si="22"/>
        <v>4</v>
      </c>
      <c r="D115">
        <f t="shared" ca="1" si="23"/>
        <v>3</v>
      </c>
      <c r="E115">
        <f t="shared" ca="1" si="24"/>
        <v>0</v>
      </c>
      <c r="F115" s="110">
        <f t="shared" ca="1" si="25"/>
        <v>0</v>
      </c>
      <c r="G115">
        <v>1</v>
      </c>
      <c r="H115">
        <v>1</v>
      </c>
      <c r="I115">
        <v>6</v>
      </c>
      <c r="J115" s="1">
        <f t="shared" ca="1" si="26"/>
        <v>0</v>
      </c>
      <c r="K115" s="1">
        <f t="shared" ca="1" si="27"/>
        <v>0</v>
      </c>
      <c r="L115" s="13">
        <f t="shared" ca="1" si="28"/>
        <v>576</v>
      </c>
      <c r="M115" s="7">
        <f t="shared" ca="1" si="29"/>
        <v>924</v>
      </c>
      <c r="N115" s="26">
        <f t="shared" ca="1" si="30"/>
        <v>4</v>
      </c>
      <c r="O115" s="44">
        <f t="shared" ca="1" si="31"/>
        <v>2.8886114468927948</v>
      </c>
      <c r="P115" s="44">
        <f t="shared" ca="1" si="32"/>
        <v>28.886114468927953</v>
      </c>
      <c r="Q115" s="44">
        <f t="shared" ca="1" si="33"/>
        <v>28.886114468927953</v>
      </c>
      <c r="R115" s="44">
        <f t="shared" ca="1" si="34"/>
        <v>2.8886114468927953</v>
      </c>
      <c r="S115" s="44">
        <f t="shared" ca="1" si="35"/>
        <v>2.8886114468927948</v>
      </c>
      <c r="T115" s="4">
        <f t="shared" ca="1" si="36"/>
        <v>0</v>
      </c>
      <c r="U115" s="120">
        <f t="shared" ca="1" si="37"/>
        <v>2064.7564194948759</v>
      </c>
      <c r="V115" s="4">
        <f t="shared" ca="1" si="38"/>
        <v>0</v>
      </c>
      <c r="W115" s="13">
        <f t="shared" ca="1" si="39"/>
        <v>45566.766000000003</v>
      </c>
      <c r="X115" s="4">
        <f t="shared" ca="1" si="40"/>
        <v>0</v>
      </c>
      <c r="Y115" s="4">
        <f t="shared" si="41"/>
        <v>0</v>
      </c>
      <c r="Z115" s="13">
        <f t="shared" ca="1" si="42"/>
        <v>45566.766000000003</v>
      </c>
      <c r="AA115" s="4">
        <f t="shared" ca="1" si="43"/>
        <v>0</v>
      </c>
      <c r="AE115" s="4"/>
    </row>
    <row r="116" spans="1:31">
      <c r="A116">
        <v>0</v>
      </c>
      <c r="B116">
        <v>3</v>
      </c>
      <c r="C116">
        <f t="shared" ca="1" si="22"/>
        <v>4</v>
      </c>
      <c r="D116">
        <f t="shared" ca="1" si="23"/>
        <v>3</v>
      </c>
      <c r="E116">
        <f t="shared" ca="1" si="24"/>
        <v>0</v>
      </c>
      <c r="F116" s="110">
        <f t="shared" ca="1" si="25"/>
        <v>0</v>
      </c>
      <c r="G116">
        <v>1</v>
      </c>
      <c r="H116">
        <v>1</v>
      </c>
      <c r="I116">
        <v>5</v>
      </c>
      <c r="J116" s="1">
        <f t="shared" ca="1" si="26"/>
        <v>0</v>
      </c>
      <c r="K116" s="1">
        <f t="shared" ca="1" si="27"/>
        <v>0</v>
      </c>
      <c r="L116" s="13">
        <f t="shared" ca="1" si="28"/>
        <v>557</v>
      </c>
      <c r="M116" s="7">
        <f t="shared" ca="1" si="29"/>
        <v>943</v>
      </c>
      <c r="N116" s="26">
        <f t="shared" ca="1" si="30"/>
        <v>4</v>
      </c>
      <c r="O116" s="44">
        <f t="shared" ca="1" si="31"/>
        <v>2.8886114468927948</v>
      </c>
      <c r="P116" s="44">
        <f t="shared" ca="1" si="32"/>
        <v>28.886114468927953</v>
      </c>
      <c r="Q116" s="44">
        <f t="shared" ca="1" si="33"/>
        <v>28.886114468927953</v>
      </c>
      <c r="R116" s="44">
        <f t="shared" ca="1" si="34"/>
        <v>2.8886114468927953</v>
      </c>
      <c r="S116" s="44">
        <f t="shared" ca="1" si="35"/>
        <v>2.8886114468927948</v>
      </c>
      <c r="T116" s="4">
        <f t="shared" ca="1" si="36"/>
        <v>0</v>
      </c>
      <c r="U116" s="120">
        <f t="shared" ca="1" si="37"/>
        <v>2045.7564194948757</v>
      </c>
      <c r="V116" s="4">
        <f t="shared" ca="1" si="38"/>
        <v>0</v>
      </c>
      <c r="W116" s="13">
        <f t="shared" ca="1" si="39"/>
        <v>43137.891000000003</v>
      </c>
      <c r="X116" s="4">
        <f t="shared" ca="1" si="40"/>
        <v>0</v>
      </c>
      <c r="Y116" s="4">
        <f t="shared" si="41"/>
        <v>0</v>
      </c>
      <c r="Z116" s="13">
        <f t="shared" ca="1" si="42"/>
        <v>43137.891000000003</v>
      </c>
      <c r="AA116" s="4">
        <f t="shared" ca="1" si="43"/>
        <v>0</v>
      </c>
      <c r="AE116" s="4"/>
    </row>
    <row r="117" spans="1:31">
      <c r="A117">
        <v>0</v>
      </c>
      <c r="B117">
        <v>3</v>
      </c>
      <c r="C117">
        <f t="shared" ca="1" si="22"/>
        <v>4</v>
      </c>
      <c r="D117">
        <f t="shared" ca="1" si="23"/>
        <v>3</v>
      </c>
      <c r="E117">
        <f t="shared" ca="1" si="24"/>
        <v>0</v>
      </c>
      <c r="F117" s="110">
        <f t="shared" ca="1" si="25"/>
        <v>0</v>
      </c>
      <c r="G117">
        <v>1</v>
      </c>
      <c r="H117">
        <v>1</v>
      </c>
      <c r="I117">
        <v>4</v>
      </c>
      <c r="J117" s="1">
        <f t="shared" ca="1" si="26"/>
        <v>0</v>
      </c>
      <c r="K117" s="1">
        <f t="shared" ca="1" si="27"/>
        <v>0</v>
      </c>
      <c r="L117" s="13">
        <f t="shared" ca="1" si="28"/>
        <v>538</v>
      </c>
      <c r="M117" s="7">
        <f t="shared" ca="1" si="29"/>
        <v>962</v>
      </c>
      <c r="N117" s="26">
        <f t="shared" ca="1" si="30"/>
        <v>4</v>
      </c>
      <c r="O117" s="44">
        <f t="shared" ca="1" si="31"/>
        <v>2.8886114468927948</v>
      </c>
      <c r="P117" s="44">
        <f t="shared" ca="1" si="32"/>
        <v>28.886114468927953</v>
      </c>
      <c r="Q117" s="44">
        <f t="shared" ca="1" si="33"/>
        <v>28.886114468927953</v>
      </c>
      <c r="R117" s="44">
        <f t="shared" ca="1" si="34"/>
        <v>2.8886114468927953</v>
      </c>
      <c r="S117" s="44">
        <f t="shared" ca="1" si="35"/>
        <v>2.8886114468927948</v>
      </c>
      <c r="T117" s="4">
        <f t="shared" ca="1" si="36"/>
        <v>0</v>
      </c>
      <c r="U117" s="120">
        <f t="shared" ca="1" si="37"/>
        <v>2026.7564194948757</v>
      </c>
      <c r="V117" s="4">
        <f t="shared" ca="1" si="38"/>
        <v>0</v>
      </c>
      <c r="W117" s="13">
        <f t="shared" ca="1" si="39"/>
        <v>40709.016000000003</v>
      </c>
      <c r="X117" s="4">
        <f t="shared" ca="1" si="40"/>
        <v>0</v>
      </c>
      <c r="Y117" s="4">
        <f t="shared" si="41"/>
        <v>0</v>
      </c>
      <c r="Z117" s="13">
        <f t="shared" ca="1" si="42"/>
        <v>40709.016000000003</v>
      </c>
      <c r="AA117" s="4">
        <f t="shared" ca="1" si="43"/>
        <v>0</v>
      </c>
      <c r="AE117" s="4"/>
    </row>
    <row r="118" spans="1:31">
      <c r="A118">
        <v>0</v>
      </c>
      <c r="B118">
        <v>3</v>
      </c>
      <c r="C118">
        <f t="shared" ca="1" si="22"/>
        <v>4</v>
      </c>
      <c r="D118">
        <f t="shared" ca="1" si="23"/>
        <v>3</v>
      </c>
      <c r="E118">
        <f t="shared" ca="1" si="24"/>
        <v>0</v>
      </c>
      <c r="F118" s="110">
        <f t="shared" ca="1" si="25"/>
        <v>0</v>
      </c>
      <c r="G118">
        <v>1</v>
      </c>
      <c r="H118">
        <v>1</v>
      </c>
      <c r="I118">
        <v>3</v>
      </c>
      <c r="J118" s="1">
        <f t="shared" ca="1" si="26"/>
        <v>0</v>
      </c>
      <c r="K118" s="1">
        <f t="shared" ca="1" si="27"/>
        <v>0</v>
      </c>
      <c r="L118" s="13">
        <f t="shared" ca="1" si="28"/>
        <v>519</v>
      </c>
      <c r="M118" s="7">
        <f t="shared" ca="1" si="29"/>
        <v>981</v>
      </c>
      <c r="N118" s="26">
        <f t="shared" ca="1" si="30"/>
        <v>4</v>
      </c>
      <c r="O118" s="44">
        <f t="shared" ca="1" si="31"/>
        <v>2.8886114468927948</v>
      </c>
      <c r="P118" s="44">
        <f t="shared" ca="1" si="32"/>
        <v>28.886114468927953</v>
      </c>
      <c r="Q118" s="44">
        <f t="shared" ca="1" si="33"/>
        <v>28.886114468927953</v>
      </c>
      <c r="R118" s="44">
        <f t="shared" ca="1" si="34"/>
        <v>2.8886114468927953</v>
      </c>
      <c r="S118" s="44">
        <f t="shared" ca="1" si="35"/>
        <v>2.8886114468927948</v>
      </c>
      <c r="T118" s="4">
        <f t="shared" ca="1" si="36"/>
        <v>0</v>
      </c>
      <c r="U118" s="120">
        <f t="shared" ca="1" si="37"/>
        <v>2007.7564194948757</v>
      </c>
      <c r="V118" s="4">
        <f t="shared" ca="1" si="38"/>
        <v>0</v>
      </c>
      <c r="W118" s="13">
        <f t="shared" ca="1" si="39"/>
        <v>38280.141000000003</v>
      </c>
      <c r="X118" s="4">
        <f t="shared" ca="1" si="40"/>
        <v>0</v>
      </c>
      <c r="Y118" s="4">
        <f t="shared" si="41"/>
        <v>0</v>
      </c>
      <c r="Z118" s="13">
        <f t="shared" ca="1" si="42"/>
        <v>38280.141000000003</v>
      </c>
      <c r="AA118" s="4">
        <f t="shared" ca="1" si="43"/>
        <v>0</v>
      </c>
      <c r="AE118" s="4"/>
    </row>
    <row r="119" spans="1:31">
      <c r="A119">
        <v>0</v>
      </c>
      <c r="B119">
        <v>3</v>
      </c>
      <c r="C119">
        <f t="shared" ca="1" si="22"/>
        <v>4</v>
      </c>
      <c r="D119">
        <f t="shared" ca="1" si="23"/>
        <v>3</v>
      </c>
      <c r="E119">
        <f t="shared" ca="1" si="24"/>
        <v>0</v>
      </c>
      <c r="F119" s="110">
        <f t="shared" ca="1" si="25"/>
        <v>0</v>
      </c>
      <c r="G119">
        <v>1</v>
      </c>
      <c r="H119">
        <v>1</v>
      </c>
      <c r="I119">
        <v>2</v>
      </c>
      <c r="J119" s="1">
        <f t="shared" ca="1" si="26"/>
        <v>0</v>
      </c>
      <c r="K119" s="1">
        <f t="shared" ca="1" si="27"/>
        <v>0</v>
      </c>
      <c r="L119" s="13">
        <f t="shared" ca="1" si="28"/>
        <v>500</v>
      </c>
      <c r="M119" s="7">
        <f t="shared" ca="1" si="29"/>
        <v>1000</v>
      </c>
      <c r="N119" s="26">
        <f t="shared" ca="1" si="30"/>
        <v>4</v>
      </c>
      <c r="O119" s="44">
        <f t="shared" ca="1" si="31"/>
        <v>2.8886114468927948</v>
      </c>
      <c r="P119" s="44">
        <f t="shared" ca="1" si="32"/>
        <v>28.886114468927953</v>
      </c>
      <c r="Q119" s="44">
        <f t="shared" ca="1" si="33"/>
        <v>28.886114468927953</v>
      </c>
      <c r="R119" s="44">
        <f t="shared" ca="1" si="34"/>
        <v>2.8886114468927953</v>
      </c>
      <c r="S119" s="44">
        <f t="shared" ca="1" si="35"/>
        <v>2.8886114468927948</v>
      </c>
      <c r="T119" s="4">
        <f t="shared" ca="1" si="36"/>
        <v>0</v>
      </c>
      <c r="U119" s="120">
        <f t="shared" ca="1" si="37"/>
        <v>1988.7564194948757</v>
      </c>
      <c r="V119" s="4">
        <f t="shared" ca="1" si="38"/>
        <v>0</v>
      </c>
      <c r="W119" s="13">
        <f t="shared" ca="1" si="39"/>
        <v>35851.266000000003</v>
      </c>
      <c r="X119" s="4">
        <f t="shared" ca="1" si="40"/>
        <v>0</v>
      </c>
      <c r="Y119" s="4">
        <f t="shared" si="41"/>
        <v>0</v>
      </c>
      <c r="Z119" s="13">
        <f t="shared" ca="1" si="42"/>
        <v>35851.266000000003</v>
      </c>
      <c r="AA119" s="4">
        <f t="shared" ca="1" si="43"/>
        <v>0</v>
      </c>
      <c r="AE119" s="4"/>
    </row>
    <row r="120" spans="1:31">
      <c r="A120">
        <v>0</v>
      </c>
      <c r="B120">
        <v>3</v>
      </c>
      <c r="C120">
        <f t="shared" ca="1" si="22"/>
        <v>4</v>
      </c>
      <c r="D120">
        <f t="shared" ca="1" si="23"/>
        <v>3</v>
      </c>
      <c r="E120">
        <f t="shared" ca="1" si="24"/>
        <v>0</v>
      </c>
      <c r="F120" s="110">
        <f t="shared" ca="1" si="25"/>
        <v>0</v>
      </c>
      <c r="G120">
        <v>1</v>
      </c>
      <c r="H120">
        <v>1</v>
      </c>
      <c r="I120">
        <v>1</v>
      </c>
      <c r="J120" s="1">
        <f t="shared" ca="1" si="26"/>
        <v>0</v>
      </c>
      <c r="K120" s="1">
        <f t="shared" ca="1" si="27"/>
        <v>0</v>
      </c>
      <c r="L120" s="13">
        <f t="shared" ca="1" si="28"/>
        <v>481</v>
      </c>
      <c r="M120" s="7">
        <f t="shared" ca="1" si="29"/>
        <v>1019</v>
      </c>
      <c r="N120" s="26">
        <f t="shared" ca="1" si="30"/>
        <v>4</v>
      </c>
      <c r="O120" s="44">
        <f t="shared" ca="1" si="31"/>
        <v>2.8886114468927948</v>
      </c>
      <c r="P120" s="44">
        <f t="shared" ca="1" si="32"/>
        <v>28.886114468927953</v>
      </c>
      <c r="Q120" s="44">
        <f t="shared" ca="1" si="33"/>
        <v>28.886114468927953</v>
      </c>
      <c r="R120" s="44">
        <f t="shared" ca="1" si="34"/>
        <v>2.8886114468927953</v>
      </c>
      <c r="S120" s="44">
        <f t="shared" ca="1" si="35"/>
        <v>2.8886114468927948</v>
      </c>
      <c r="T120" s="4">
        <f t="shared" ca="1" si="36"/>
        <v>0</v>
      </c>
      <c r="U120" s="120">
        <f t="shared" ca="1" si="37"/>
        <v>1969.7564194948757</v>
      </c>
      <c r="V120" s="4">
        <f t="shared" ca="1" si="38"/>
        <v>0</v>
      </c>
      <c r="W120" s="13">
        <f t="shared" ca="1" si="39"/>
        <v>33422.391000000003</v>
      </c>
      <c r="X120" s="4">
        <f t="shared" ca="1" si="40"/>
        <v>0</v>
      </c>
      <c r="Y120" s="4">
        <f t="shared" si="41"/>
        <v>0</v>
      </c>
      <c r="Z120" s="13">
        <f t="shared" ca="1" si="42"/>
        <v>33422.391000000003</v>
      </c>
      <c r="AA120" s="4">
        <f t="shared" ca="1" si="43"/>
        <v>0</v>
      </c>
      <c r="AE120" s="4"/>
    </row>
    <row r="121" spans="1:31">
      <c r="A121">
        <v>0</v>
      </c>
      <c r="B121">
        <v>3</v>
      </c>
      <c r="C121">
        <f t="shared" ca="1" si="22"/>
        <v>4</v>
      </c>
      <c r="D121">
        <f t="shared" ca="1" si="23"/>
        <v>3</v>
      </c>
      <c r="E121">
        <f t="shared" ca="1" si="24"/>
        <v>0</v>
      </c>
      <c r="F121" s="110">
        <f t="shared" ca="1" si="25"/>
        <v>0</v>
      </c>
      <c r="G121">
        <v>1</v>
      </c>
      <c r="H121">
        <v>1</v>
      </c>
      <c r="I121">
        <v>0</v>
      </c>
      <c r="J121" s="1">
        <f t="shared" ca="1" si="26"/>
        <v>0</v>
      </c>
      <c r="K121" s="1">
        <f t="shared" ca="1" si="27"/>
        <v>0</v>
      </c>
      <c r="L121" s="13">
        <f t="shared" ca="1" si="28"/>
        <v>462</v>
      </c>
      <c r="M121" s="7">
        <f t="shared" ca="1" si="29"/>
        <v>1038</v>
      </c>
      <c r="N121" s="26">
        <f t="shared" ca="1" si="30"/>
        <v>4</v>
      </c>
      <c r="O121" s="44">
        <f t="shared" ca="1" si="31"/>
        <v>2.8886114468927948</v>
      </c>
      <c r="P121" s="44">
        <f t="shared" ca="1" si="32"/>
        <v>28.886114468927953</v>
      </c>
      <c r="Q121" s="44">
        <f t="shared" ca="1" si="33"/>
        <v>28.886114468927953</v>
      </c>
      <c r="R121" s="44">
        <f t="shared" ca="1" si="34"/>
        <v>2.8886114468927953</v>
      </c>
      <c r="S121" s="44">
        <f t="shared" ca="1" si="35"/>
        <v>2.8886114468927948</v>
      </c>
      <c r="T121" s="4">
        <f t="shared" ca="1" si="36"/>
        <v>0</v>
      </c>
      <c r="U121" s="120">
        <f t="shared" ca="1" si="37"/>
        <v>1950.7564194948757</v>
      </c>
      <c r="V121" s="4">
        <f t="shared" ca="1" si="38"/>
        <v>0</v>
      </c>
      <c r="W121" s="13">
        <f t="shared" ca="1" si="39"/>
        <v>30993.516000000003</v>
      </c>
      <c r="X121" s="4">
        <f t="shared" ca="1" si="40"/>
        <v>0</v>
      </c>
      <c r="Y121" s="4">
        <f t="shared" si="41"/>
        <v>0</v>
      </c>
      <c r="Z121" s="13">
        <f t="shared" ca="1" si="42"/>
        <v>30993.516000000003</v>
      </c>
      <c r="AA121" s="4">
        <f t="shared" ca="1" si="43"/>
        <v>0</v>
      </c>
      <c r="AE121" s="4"/>
    </row>
    <row r="122" spans="1:31">
      <c r="A122">
        <v>0</v>
      </c>
      <c r="B122">
        <v>3</v>
      </c>
      <c r="C122">
        <f t="shared" ca="1" si="22"/>
        <v>4</v>
      </c>
      <c r="D122">
        <f t="shared" ca="1" si="23"/>
        <v>3</v>
      </c>
      <c r="E122">
        <f t="shared" ca="1" si="24"/>
        <v>0</v>
      </c>
      <c r="F122" s="110">
        <f t="shared" ca="1" si="25"/>
        <v>0</v>
      </c>
      <c r="G122">
        <v>1</v>
      </c>
      <c r="H122">
        <v>0</v>
      </c>
      <c r="I122">
        <v>7</v>
      </c>
      <c r="J122" s="1">
        <f t="shared" ca="1" si="26"/>
        <v>0</v>
      </c>
      <c r="K122" s="1">
        <f t="shared" ca="1" si="27"/>
        <v>0</v>
      </c>
      <c r="L122" s="13">
        <f t="shared" ca="1" si="28"/>
        <v>364</v>
      </c>
      <c r="M122" s="7">
        <f t="shared" ca="1" si="29"/>
        <v>1136</v>
      </c>
      <c r="N122" s="26">
        <f t="shared" ca="1" si="30"/>
        <v>5</v>
      </c>
      <c r="O122" s="44">
        <f t="shared" ca="1" si="31"/>
        <v>3.5346387789404914</v>
      </c>
      <c r="P122" s="44">
        <f t="shared" ca="1" si="32"/>
        <v>35.346387789404908</v>
      </c>
      <c r="Q122" s="44">
        <f t="shared" ca="1" si="33"/>
        <v>34.700360457357213</v>
      </c>
      <c r="R122" s="44">
        <f t="shared" ca="1" si="34"/>
        <v>3.5023374123381061</v>
      </c>
      <c r="S122" s="44">
        <f t="shared" ca="1" si="35"/>
        <v>3.532377683278324</v>
      </c>
      <c r="T122" s="4">
        <f t="shared" ca="1" si="36"/>
        <v>0</v>
      </c>
      <c r="U122" s="120">
        <f t="shared" ca="1" si="37"/>
        <v>2135.4497774977995</v>
      </c>
      <c r="V122" s="4">
        <f t="shared" ca="1" si="38"/>
        <v>0</v>
      </c>
      <c r="W122" s="13">
        <f t="shared" ca="1" si="39"/>
        <v>47995.641000000003</v>
      </c>
      <c r="X122" s="4">
        <f t="shared" ca="1" si="40"/>
        <v>0</v>
      </c>
      <c r="Y122" s="4">
        <f t="shared" si="41"/>
        <v>0</v>
      </c>
      <c r="Z122" s="13">
        <f t="shared" ca="1" si="42"/>
        <v>47995.641000000003</v>
      </c>
      <c r="AA122" s="4">
        <f t="shared" ca="1" si="43"/>
        <v>0</v>
      </c>
      <c r="AE122" s="4"/>
    </row>
    <row r="123" spans="1:31">
      <c r="A123">
        <v>0</v>
      </c>
      <c r="B123">
        <v>3</v>
      </c>
      <c r="C123">
        <f t="shared" ca="1" si="22"/>
        <v>4</v>
      </c>
      <c r="D123">
        <f t="shared" ca="1" si="23"/>
        <v>3</v>
      </c>
      <c r="E123">
        <f t="shared" ca="1" si="24"/>
        <v>0</v>
      </c>
      <c r="F123" s="110">
        <f t="shared" ca="1" si="25"/>
        <v>0</v>
      </c>
      <c r="G123">
        <v>1</v>
      </c>
      <c r="H123">
        <v>0</v>
      </c>
      <c r="I123">
        <v>6</v>
      </c>
      <c r="J123" s="1">
        <f t="shared" ca="1" si="26"/>
        <v>0</v>
      </c>
      <c r="K123" s="1">
        <f t="shared" ca="1" si="27"/>
        <v>0</v>
      </c>
      <c r="L123" s="13">
        <f t="shared" ca="1" si="28"/>
        <v>345</v>
      </c>
      <c r="M123" s="7">
        <f t="shared" ca="1" si="29"/>
        <v>1155</v>
      </c>
      <c r="N123" s="26">
        <f t="shared" ca="1" si="30"/>
        <v>5</v>
      </c>
      <c r="O123" s="44">
        <f t="shared" ca="1" si="31"/>
        <v>3.5346387789404914</v>
      </c>
      <c r="P123" s="44">
        <f t="shared" ca="1" si="32"/>
        <v>35.346387789404908</v>
      </c>
      <c r="Q123" s="44">
        <f t="shared" ca="1" si="33"/>
        <v>35.346387789404908</v>
      </c>
      <c r="R123" s="44">
        <f t="shared" ca="1" si="34"/>
        <v>3.5346387789404909</v>
      </c>
      <c r="S123" s="44">
        <f t="shared" ca="1" si="35"/>
        <v>3.5346387789404914</v>
      </c>
      <c r="T123" s="4">
        <f t="shared" ca="1" si="36"/>
        <v>0</v>
      </c>
      <c r="U123" s="120">
        <f t="shared" ca="1" si="37"/>
        <v>2117.4426794074939</v>
      </c>
      <c r="V123" s="4">
        <f t="shared" ca="1" si="38"/>
        <v>0</v>
      </c>
      <c r="W123" s="13">
        <f t="shared" ca="1" si="39"/>
        <v>45566.766000000003</v>
      </c>
      <c r="X123" s="4">
        <f t="shared" ca="1" si="40"/>
        <v>0</v>
      </c>
      <c r="Y123" s="4">
        <f t="shared" si="41"/>
        <v>0</v>
      </c>
      <c r="Z123" s="13">
        <f t="shared" ca="1" si="42"/>
        <v>45566.766000000003</v>
      </c>
      <c r="AA123" s="4">
        <f t="shared" ca="1" si="43"/>
        <v>0</v>
      </c>
      <c r="AE123" s="4"/>
    </row>
    <row r="124" spans="1:31">
      <c r="A124">
        <v>0</v>
      </c>
      <c r="B124">
        <v>3</v>
      </c>
      <c r="C124">
        <f t="shared" ca="1" si="22"/>
        <v>4</v>
      </c>
      <c r="D124">
        <f t="shared" ca="1" si="23"/>
        <v>3</v>
      </c>
      <c r="E124">
        <f t="shared" ca="1" si="24"/>
        <v>0</v>
      </c>
      <c r="F124" s="110">
        <f t="shared" ca="1" si="25"/>
        <v>0</v>
      </c>
      <c r="G124">
        <v>1</v>
      </c>
      <c r="H124">
        <v>0</v>
      </c>
      <c r="I124">
        <v>5</v>
      </c>
      <c r="J124" s="1">
        <f t="shared" ca="1" si="26"/>
        <v>0</v>
      </c>
      <c r="K124" s="1">
        <f t="shared" ca="1" si="27"/>
        <v>0</v>
      </c>
      <c r="L124" s="13">
        <f t="shared" ca="1" si="28"/>
        <v>326</v>
      </c>
      <c r="M124" s="7">
        <f t="shared" ca="1" si="29"/>
        <v>1174</v>
      </c>
      <c r="N124" s="26">
        <f t="shared" ca="1" si="30"/>
        <v>5</v>
      </c>
      <c r="O124" s="44">
        <f t="shared" ca="1" si="31"/>
        <v>3.5346387789404914</v>
      </c>
      <c r="P124" s="44">
        <f t="shared" ca="1" si="32"/>
        <v>35.346387789404908</v>
      </c>
      <c r="Q124" s="44">
        <f t="shared" ca="1" si="33"/>
        <v>35.346387789404908</v>
      </c>
      <c r="R124" s="44">
        <f t="shared" ca="1" si="34"/>
        <v>3.5346387789404909</v>
      </c>
      <c r="S124" s="44">
        <f t="shared" ca="1" si="35"/>
        <v>3.5346387789404914</v>
      </c>
      <c r="T124" s="4">
        <f t="shared" ca="1" si="36"/>
        <v>0</v>
      </c>
      <c r="U124" s="120">
        <f t="shared" ca="1" si="37"/>
        <v>2098.4426794074939</v>
      </c>
      <c r="V124" s="4">
        <f t="shared" ca="1" si="38"/>
        <v>0</v>
      </c>
      <c r="W124" s="13">
        <f t="shared" ca="1" si="39"/>
        <v>43137.891000000003</v>
      </c>
      <c r="X124" s="4">
        <f t="shared" ca="1" si="40"/>
        <v>0</v>
      </c>
      <c r="Y124" s="4">
        <f t="shared" si="41"/>
        <v>0</v>
      </c>
      <c r="Z124" s="13">
        <f t="shared" ca="1" si="42"/>
        <v>43137.891000000003</v>
      </c>
      <c r="AA124" s="4">
        <f t="shared" ca="1" si="43"/>
        <v>0</v>
      </c>
      <c r="AE124" s="4"/>
    </row>
    <row r="125" spans="1:31">
      <c r="A125">
        <v>0</v>
      </c>
      <c r="B125">
        <v>3</v>
      </c>
      <c r="C125">
        <f t="shared" ca="1" si="22"/>
        <v>4</v>
      </c>
      <c r="D125">
        <f t="shared" ca="1" si="23"/>
        <v>3</v>
      </c>
      <c r="E125">
        <f t="shared" ca="1" si="24"/>
        <v>0</v>
      </c>
      <c r="F125" s="110">
        <f t="shared" ca="1" si="25"/>
        <v>0</v>
      </c>
      <c r="G125">
        <v>1</v>
      </c>
      <c r="H125">
        <v>0</v>
      </c>
      <c r="I125">
        <v>4</v>
      </c>
      <c r="J125" s="1">
        <f t="shared" ca="1" si="26"/>
        <v>0</v>
      </c>
      <c r="K125" s="1">
        <f t="shared" ca="1" si="27"/>
        <v>0</v>
      </c>
      <c r="L125" s="13">
        <f t="shared" ca="1" si="28"/>
        <v>307</v>
      </c>
      <c r="M125" s="7">
        <f t="shared" ca="1" si="29"/>
        <v>1193</v>
      </c>
      <c r="N125" s="26">
        <f t="shared" ca="1" si="30"/>
        <v>5</v>
      </c>
      <c r="O125" s="44">
        <f t="shared" ca="1" si="31"/>
        <v>3.5346387789404914</v>
      </c>
      <c r="P125" s="44">
        <f t="shared" ca="1" si="32"/>
        <v>35.346387789404908</v>
      </c>
      <c r="Q125" s="44">
        <f t="shared" ca="1" si="33"/>
        <v>35.346387789404908</v>
      </c>
      <c r="R125" s="44">
        <f t="shared" ca="1" si="34"/>
        <v>3.5346387789404909</v>
      </c>
      <c r="S125" s="44">
        <f t="shared" ca="1" si="35"/>
        <v>3.5346387789404914</v>
      </c>
      <c r="T125" s="4">
        <f t="shared" ca="1" si="36"/>
        <v>0</v>
      </c>
      <c r="U125" s="120">
        <f t="shared" ca="1" si="37"/>
        <v>2079.4426794074939</v>
      </c>
      <c r="V125" s="4">
        <f t="shared" ca="1" si="38"/>
        <v>0</v>
      </c>
      <c r="W125" s="13">
        <f t="shared" ca="1" si="39"/>
        <v>40709.016000000003</v>
      </c>
      <c r="X125" s="4">
        <f t="shared" ca="1" si="40"/>
        <v>0</v>
      </c>
      <c r="Y125" s="4">
        <f t="shared" si="41"/>
        <v>0</v>
      </c>
      <c r="Z125" s="13">
        <f t="shared" ca="1" si="42"/>
        <v>40709.016000000003</v>
      </c>
      <c r="AA125" s="4">
        <f t="shared" ca="1" si="43"/>
        <v>0</v>
      </c>
      <c r="AE125" s="4"/>
    </row>
    <row r="126" spans="1:31">
      <c r="A126">
        <v>0</v>
      </c>
      <c r="B126">
        <v>3</v>
      </c>
      <c r="C126">
        <f t="shared" ca="1" si="22"/>
        <v>4</v>
      </c>
      <c r="D126">
        <f t="shared" ca="1" si="23"/>
        <v>3</v>
      </c>
      <c r="E126">
        <f t="shared" ca="1" si="24"/>
        <v>0</v>
      </c>
      <c r="F126" s="110">
        <f t="shared" ca="1" si="25"/>
        <v>0</v>
      </c>
      <c r="G126">
        <v>1</v>
      </c>
      <c r="H126">
        <v>0</v>
      </c>
      <c r="I126">
        <v>3</v>
      </c>
      <c r="J126" s="1">
        <f t="shared" ca="1" si="26"/>
        <v>0.81450624999999988</v>
      </c>
      <c r="K126" s="1">
        <f t="shared" ca="1" si="27"/>
        <v>0</v>
      </c>
      <c r="L126" s="13">
        <f t="shared" ca="1" si="28"/>
        <v>288</v>
      </c>
      <c r="M126" s="7">
        <f t="shared" ca="1" si="29"/>
        <v>1212</v>
      </c>
      <c r="N126" s="26">
        <f t="shared" ca="1" si="30"/>
        <v>5</v>
      </c>
      <c r="O126" s="44">
        <f t="shared" ca="1" si="31"/>
        <v>3.5346387789404914</v>
      </c>
      <c r="P126" s="44">
        <f t="shared" ca="1" si="32"/>
        <v>35.346387789404908</v>
      </c>
      <c r="Q126" s="44">
        <f t="shared" ca="1" si="33"/>
        <v>35.346387789404908</v>
      </c>
      <c r="R126" s="44">
        <f t="shared" ca="1" si="34"/>
        <v>3.5346387789404909</v>
      </c>
      <c r="S126" s="44">
        <f t="shared" ca="1" si="35"/>
        <v>3.5346387789404914</v>
      </c>
      <c r="T126" s="4">
        <f t="shared" ca="1" si="36"/>
        <v>0</v>
      </c>
      <c r="U126" s="120">
        <f t="shared" ca="1" si="37"/>
        <v>2060.4426794074939</v>
      </c>
      <c r="V126" s="4">
        <f t="shared" ca="1" si="38"/>
        <v>0</v>
      </c>
      <c r="W126" s="13">
        <f t="shared" ca="1" si="39"/>
        <v>38280.141000000003</v>
      </c>
      <c r="X126" s="4">
        <f t="shared" ca="1" si="40"/>
        <v>0</v>
      </c>
      <c r="Y126" s="4">
        <f t="shared" si="41"/>
        <v>0</v>
      </c>
      <c r="Z126" s="13">
        <f t="shared" ca="1" si="42"/>
        <v>38280.141000000003</v>
      </c>
      <c r="AA126" s="4">
        <f t="shared" ca="1" si="43"/>
        <v>0</v>
      </c>
      <c r="AE126" s="4"/>
    </row>
    <row r="127" spans="1:31">
      <c r="A127">
        <v>0</v>
      </c>
      <c r="B127">
        <v>3</v>
      </c>
      <c r="C127">
        <f t="shared" ca="1" si="22"/>
        <v>4</v>
      </c>
      <c r="D127">
        <f t="shared" ca="1" si="23"/>
        <v>3</v>
      </c>
      <c r="E127">
        <f t="shared" ca="1" si="24"/>
        <v>0</v>
      </c>
      <c r="F127" s="110">
        <f t="shared" ca="1" si="25"/>
        <v>0</v>
      </c>
      <c r="G127">
        <v>1</v>
      </c>
      <c r="H127">
        <v>0</v>
      </c>
      <c r="I127">
        <v>2</v>
      </c>
      <c r="J127" s="1">
        <f t="shared" ca="1" si="26"/>
        <v>0.12860625000000012</v>
      </c>
      <c r="K127" s="1">
        <f t="shared" ca="1" si="27"/>
        <v>0</v>
      </c>
      <c r="L127" s="13">
        <f t="shared" ca="1" si="28"/>
        <v>269</v>
      </c>
      <c r="M127" s="7">
        <f t="shared" ca="1" si="29"/>
        <v>1231</v>
      </c>
      <c r="N127" s="26">
        <f t="shared" ca="1" si="30"/>
        <v>5</v>
      </c>
      <c r="O127" s="44">
        <f t="shared" ca="1" si="31"/>
        <v>3.5346387789404914</v>
      </c>
      <c r="P127" s="44">
        <f t="shared" ca="1" si="32"/>
        <v>35.346387789404908</v>
      </c>
      <c r="Q127" s="44">
        <f t="shared" ca="1" si="33"/>
        <v>35.346387789404908</v>
      </c>
      <c r="R127" s="44">
        <f t="shared" ca="1" si="34"/>
        <v>3.5346387789404909</v>
      </c>
      <c r="S127" s="44">
        <f t="shared" ca="1" si="35"/>
        <v>3.5346387789404914</v>
      </c>
      <c r="T127" s="4">
        <f t="shared" ca="1" si="36"/>
        <v>0</v>
      </c>
      <c r="U127" s="120">
        <f t="shared" ca="1" si="37"/>
        <v>2041.4426794074936</v>
      </c>
      <c r="V127" s="4">
        <f t="shared" ca="1" si="38"/>
        <v>0</v>
      </c>
      <c r="W127" s="13">
        <f t="shared" ca="1" si="39"/>
        <v>35851.266000000003</v>
      </c>
      <c r="X127" s="4">
        <f t="shared" ca="1" si="40"/>
        <v>0</v>
      </c>
      <c r="Y127" s="4">
        <f t="shared" si="41"/>
        <v>0</v>
      </c>
      <c r="Z127" s="13">
        <f t="shared" ca="1" si="42"/>
        <v>35851.266000000003</v>
      </c>
      <c r="AA127" s="4">
        <f t="shared" ca="1" si="43"/>
        <v>0</v>
      </c>
      <c r="AE127" s="4"/>
    </row>
    <row r="128" spans="1:31">
      <c r="A128">
        <v>0</v>
      </c>
      <c r="B128">
        <v>3</v>
      </c>
      <c r="C128">
        <f t="shared" ca="1" si="22"/>
        <v>4</v>
      </c>
      <c r="D128">
        <f t="shared" ca="1" si="23"/>
        <v>3</v>
      </c>
      <c r="E128">
        <f t="shared" ca="1" si="24"/>
        <v>0</v>
      </c>
      <c r="F128" s="110">
        <f t="shared" ca="1" si="25"/>
        <v>0</v>
      </c>
      <c r="G128">
        <v>1</v>
      </c>
      <c r="H128">
        <v>0</v>
      </c>
      <c r="I128">
        <v>1</v>
      </c>
      <c r="J128" s="1">
        <f t="shared" ca="1" si="26"/>
        <v>6.7687500000000109E-3</v>
      </c>
      <c r="K128" s="1">
        <f t="shared" ca="1" si="27"/>
        <v>0</v>
      </c>
      <c r="L128" s="13">
        <f t="shared" ca="1" si="28"/>
        <v>250</v>
      </c>
      <c r="M128" s="7">
        <f t="shared" ca="1" si="29"/>
        <v>1250</v>
      </c>
      <c r="N128" s="26">
        <f t="shared" ca="1" si="30"/>
        <v>5</v>
      </c>
      <c r="O128" s="44">
        <f t="shared" ca="1" si="31"/>
        <v>3.5346387789404914</v>
      </c>
      <c r="P128" s="44">
        <f t="shared" ca="1" si="32"/>
        <v>35.346387789404908</v>
      </c>
      <c r="Q128" s="44">
        <f t="shared" ca="1" si="33"/>
        <v>35.346387789404908</v>
      </c>
      <c r="R128" s="44">
        <f t="shared" ca="1" si="34"/>
        <v>3.5346387789404909</v>
      </c>
      <c r="S128" s="44">
        <f t="shared" ca="1" si="35"/>
        <v>3.5346387789404914</v>
      </c>
      <c r="T128" s="4">
        <f t="shared" ca="1" si="36"/>
        <v>0</v>
      </c>
      <c r="U128" s="120">
        <f t="shared" ca="1" si="37"/>
        <v>2022.4426794074936</v>
      </c>
      <c r="V128" s="4">
        <f t="shared" ca="1" si="38"/>
        <v>0</v>
      </c>
      <c r="W128" s="13">
        <f t="shared" ca="1" si="39"/>
        <v>33422.391000000003</v>
      </c>
      <c r="X128" s="4">
        <f t="shared" ca="1" si="40"/>
        <v>0</v>
      </c>
      <c r="Y128" s="4">
        <f t="shared" si="41"/>
        <v>0</v>
      </c>
      <c r="Z128" s="13">
        <f t="shared" ca="1" si="42"/>
        <v>33422.391000000003</v>
      </c>
      <c r="AA128" s="4">
        <f t="shared" ca="1" si="43"/>
        <v>0</v>
      </c>
      <c r="AE128" s="4"/>
    </row>
    <row r="129" spans="1:31">
      <c r="A129">
        <v>0</v>
      </c>
      <c r="B129">
        <v>3</v>
      </c>
      <c r="C129">
        <f t="shared" ca="1" si="22"/>
        <v>4</v>
      </c>
      <c r="D129">
        <f t="shared" ca="1" si="23"/>
        <v>3</v>
      </c>
      <c r="E129">
        <f t="shared" ca="1" si="24"/>
        <v>0</v>
      </c>
      <c r="F129" s="110">
        <f t="shared" ca="1" si="25"/>
        <v>0</v>
      </c>
      <c r="G129">
        <v>1</v>
      </c>
      <c r="H129">
        <v>0</v>
      </c>
      <c r="I129">
        <v>0</v>
      </c>
      <c r="J129" s="1">
        <f t="shared" ca="1" si="26"/>
        <v>1.1875000000000031E-4</v>
      </c>
      <c r="K129" s="1">
        <f t="shared" ca="1" si="27"/>
        <v>0</v>
      </c>
      <c r="L129" s="13">
        <f t="shared" ca="1" si="28"/>
        <v>231</v>
      </c>
      <c r="M129" s="7">
        <f t="shared" ca="1" si="29"/>
        <v>1269</v>
      </c>
      <c r="N129" s="26">
        <f t="shared" ca="1" si="30"/>
        <v>5</v>
      </c>
      <c r="O129" s="44">
        <f t="shared" ca="1" si="31"/>
        <v>3.5346387789404914</v>
      </c>
      <c r="P129" s="44">
        <f t="shared" ca="1" si="32"/>
        <v>35.346387789404908</v>
      </c>
      <c r="Q129" s="44">
        <f t="shared" ca="1" si="33"/>
        <v>35.346387789404908</v>
      </c>
      <c r="R129" s="44">
        <f t="shared" ca="1" si="34"/>
        <v>3.5346387789404909</v>
      </c>
      <c r="S129" s="44">
        <f t="shared" ca="1" si="35"/>
        <v>3.5346387789404914</v>
      </c>
      <c r="T129" s="4">
        <f t="shared" ca="1" si="36"/>
        <v>0</v>
      </c>
      <c r="U129" s="120">
        <f t="shared" ca="1" si="37"/>
        <v>2003.4426794074936</v>
      </c>
      <c r="V129" s="4">
        <f t="shared" ca="1" si="38"/>
        <v>0</v>
      </c>
      <c r="W129" s="13">
        <f t="shared" ca="1" si="39"/>
        <v>30993.516000000003</v>
      </c>
      <c r="X129" s="4">
        <f t="shared" ca="1" si="40"/>
        <v>0</v>
      </c>
      <c r="Y129" s="4">
        <f t="shared" si="41"/>
        <v>0</v>
      </c>
      <c r="Z129" s="13">
        <f t="shared" ca="1" si="42"/>
        <v>30993.516000000003</v>
      </c>
      <c r="AA129" s="4">
        <f t="shared" ca="1" si="43"/>
        <v>0</v>
      </c>
      <c r="AE129" s="4"/>
    </row>
    <row r="130" spans="1:31">
      <c r="A130">
        <v>0</v>
      </c>
      <c r="B130">
        <v>3</v>
      </c>
      <c r="C130">
        <f t="shared" ca="1" si="22"/>
        <v>4</v>
      </c>
      <c r="D130">
        <f t="shared" ca="1" si="23"/>
        <v>3</v>
      </c>
      <c r="E130">
        <f t="shared" ca="1" si="24"/>
        <v>0</v>
      </c>
      <c r="F130" s="110">
        <f t="shared" ca="1" si="25"/>
        <v>0</v>
      </c>
      <c r="G130">
        <v>0</v>
      </c>
      <c r="H130">
        <v>1</v>
      </c>
      <c r="I130">
        <v>7</v>
      </c>
      <c r="J130" s="1">
        <f t="shared" ca="1" si="26"/>
        <v>0</v>
      </c>
      <c r="K130" s="1">
        <f t="shared" ca="1" si="27"/>
        <v>0</v>
      </c>
      <c r="L130" s="13">
        <f t="shared" ca="1" si="28"/>
        <v>364</v>
      </c>
      <c r="M130" s="7">
        <f t="shared" ca="1" si="29"/>
        <v>1136</v>
      </c>
      <c r="N130" s="26">
        <f t="shared" ca="1" si="30"/>
        <v>5</v>
      </c>
      <c r="O130" s="44">
        <f t="shared" ca="1" si="31"/>
        <v>3.5346387789404914</v>
      </c>
      <c r="P130" s="44">
        <f t="shared" ca="1" si="32"/>
        <v>35.346387789404908</v>
      </c>
      <c r="Q130" s="44">
        <f t="shared" ca="1" si="33"/>
        <v>34.700360457357213</v>
      </c>
      <c r="R130" s="44">
        <f t="shared" ca="1" si="34"/>
        <v>3.5023374123381061</v>
      </c>
      <c r="S130" s="44">
        <f t="shared" ca="1" si="35"/>
        <v>3.532377683278324</v>
      </c>
      <c r="T130" s="4">
        <f t="shared" ca="1" si="36"/>
        <v>0</v>
      </c>
      <c r="U130" s="120">
        <f t="shared" ca="1" si="37"/>
        <v>2135.4497774977995</v>
      </c>
      <c r="V130" s="4">
        <f t="shared" ca="1" si="38"/>
        <v>0</v>
      </c>
      <c r="W130" s="13">
        <f t="shared" ca="1" si="39"/>
        <v>17002.125</v>
      </c>
      <c r="X130" s="4">
        <f t="shared" ca="1" si="40"/>
        <v>0</v>
      </c>
      <c r="Y130" s="4">
        <f t="shared" si="41"/>
        <v>0</v>
      </c>
      <c r="Z130" s="13">
        <f t="shared" ca="1" si="42"/>
        <v>17002.125</v>
      </c>
      <c r="AA130" s="4">
        <f t="shared" ca="1" si="43"/>
        <v>0</v>
      </c>
      <c r="AE130" s="4"/>
    </row>
    <row r="131" spans="1:31">
      <c r="A131">
        <v>0</v>
      </c>
      <c r="B131">
        <v>3</v>
      </c>
      <c r="C131">
        <f t="shared" ca="1" si="22"/>
        <v>4</v>
      </c>
      <c r="D131">
        <f t="shared" ca="1" si="23"/>
        <v>3</v>
      </c>
      <c r="E131">
        <f t="shared" ca="1" si="24"/>
        <v>0</v>
      </c>
      <c r="F131" s="110">
        <f t="shared" ca="1" si="25"/>
        <v>0</v>
      </c>
      <c r="G131">
        <v>0</v>
      </c>
      <c r="H131">
        <v>1</v>
      </c>
      <c r="I131">
        <v>6</v>
      </c>
      <c r="J131" s="1">
        <f t="shared" ca="1" si="26"/>
        <v>0</v>
      </c>
      <c r="K131" s="1">
        <f t="shared" ca="1" si="27"/>
        <v>0</v>
      </c>
      <c r="L131" s="13">
        <f t="shared" ca="1" si="28"/>
        <v>345</v>
      </c>
      <c r="M131" s="7">
        <f t="shared" ca="1" si="29"/>
        <v>1155</v>
      </c>
      <c r="N131" s="26">
        <f t="shared" ca="1" si="30"/>
        <v>5</v>
      </c>
      <c r="O131" s="44">
        <f t="shared" ca="1" si="31"/>
        <v>3.5346387789404914</v>
      </c>
      <c r="P131" s="44">
        <f t="shared" ca="1" si="32"/>
        <v>35.346387789404908</v>
      </c>
      <c r="Q131" s="44">
        <f t="shared" ca="1" si="33"/>
        <v>35.346387789404908</v>
      </c>
      <c r="R131" s="44">
        <f t="shared" ca="1" si="34"/>
        <v>3.5346387789404909</v>
      </c>
      <c r="S131" s="44">
        <f t="shared" ca="1" si="35"/>
        <v>3.5346387789404914</v>
      </c>
      <c r="T131" s="4">
        <f t="shared" ca="1" si="36"/>
        <v>0</v>
      </c>
      <c r="U131" s="120">
        <f t="shared" ca="1" si="37"/>
        <v>2117.4426794074939</v>
      </c>
      <c r="V131" s="4">
        <f t="shared" ca="1" si="38"/>
        <v>0</v>
      </c>
      <c r="W131" s="13">
        <f t="shared" ca="1" si="39"/>
        <v>14573.25</v>
      </c>
      <c r="X131" s="4">
        <f t="shared" ca="1" si="40"/>
        <v>0</v>
      </c>
      <c r="Y131" s="4">
        <f t="shared" si="41"/>
        <v>0</v>
      </c>
      <c r="Z131" s="13">
        <f t="shared" ca="1" si="42"/>
        <v>14573.25</v>
      </c>
      <c r="AA131" s="4">
        <f t="shared" ca="1" si="43"/>
        <v>0</v>
      </c>
      <c r="AE131" s="4"/>
    </row>
    <row r="132" spans="1:31">
      <c r="A132">
        <v>0</v>
      </c>
      <c r="B132">
        <v>3</v>
      </c>
      <c r="C132">
        <f t="shared" ca="1" si="22"/>
        <v>4</v>
      </c>
      <c r="D132">
        <f t="shared" ca="1" si="23"/>
        <v>3</v>
      </c>
      <c r="E132">
        <f t="shared" ca="1" si="24"/>
        <v>0</v>
      </c>
      <c r="F132" s="110">
        <f t="shared" ca="1" si="25"/>
        <v>0</v>
      </c>
      <c r="G132">
        <v>0</v>
      </c>
      <c r="H132">
        <v>1</v>
      </c>
      <c r="I132">
        <v>5</v>
      </c>
      <c r="J132" s="1">
        <f t="shared" ca="1" si="26"/>
        <v>0</v>
      </c>
      <c r="K132" s="1">
        <f t="shared" ca="1" si="27"/>
        <v>0</v>
      </c>
      <c r="L132" s="13">
        <f t="shared" ca="1" si="28"/>
        <v>326</v>
      </c>
      <c r="M132" s="7">
        <f t="shared" ca="1" si="29"/>
        <v>1174</v>
      </c>
      <c r="N132" s="26">
        <f t="shared" ca="1" si="30"/>
        <v>5</v>
      </c>
      <c r="O132" s="44">
        <f t="shared" ca="1" si="31"/>
        <v>3.5346387789404914</v>
      </c>
      <c r="P132" s="44">
        <f t="shared" ca="1" si="32"/>
        <v>35.346387789404908</v>
      </c>
      <c r="Q132" s="44">
        <f t="shared" ca="1" si="33"/>
        <v>35.346387789404908</v>
      </c>
      <c r="R132" s="44">
        <f t="shared" ca="1" si="34"/>
        <v>3.5346387789404909</v>
      </c>
      <c r="S132" s="44">
        <f t="shared" ca="1" si="35"/>
        <v>3.5346387789404914</v>
      </c>
      <c r="T132" s="4">
        <f t="shared" ca="1" si="36"/>
        <v>0</v>
      </c>
      <c r="U132" s="120">
        <f t="shared" ca="1" si="37"/>
        <v>2098.4426794074939</v>
      </c>
      <c r="V132" s="4">
        <f t="shared" ca="1" si="38"/>
        <v>0</v>
      </c>
      <c r="W132" s="13">
        <f t="shared" ca="1" si="39"/>
        <v>12144.375</v>
      </c>
      <c r="X132" s="4">
        <f t="shared" ca="1" si="40"/>
        <v>0</v>
      </c>
      <c r="Y132" s="4">
        <f t="shared" si="41"/>
        <v>0</v>
      </c>
      <c r="Z132" s="13">
        <f t="shared" ca="1" si="42"/>
        <v>12144.375</v>
      </c>
      <c r="AA132" s="4">
        <f t="shared" ca="1" si="43"/>
        <v>0</v>
      </c>
      <c r="AE132" s="4"/>
    </row>
    <row r="133" spans="1:31">
      <c r="A133">
        <v>0</v>
      </c>
      <c r="B133">
        <v>3</v>
      </c>
      <c r="C133">
        <f t="shared" ca="1" si="22"/>
        <v>4</v>
      </c>
      <c r="D133">
        <f t="shared" ca="1" si="23"/>
        <v>3</v>
      </c>
      <c r="E133">
        <f t="shared" ca="1" si="24"/>
        <v>0</v>
      </c>
      <c r="F133" s="110">
        <f t="shared" ca="1" si="25"/>
        <v>0</v>
      </c>
      <c r="G133">
        <v>0</v>
      </c>
      <c r="H133">
        <v>1</v>
      </c>
      <c r="I133">
        <v>4</v>
      </c>
      <c r="J133" s="1">
        <f t="shared" ca="1" si="26"/>
        <v>0</v>
      </c>
      <c r="K133" s="1">
        <f t="shared" ca="1" si="27"/>
        <v>0</v>
      </c>
      <c r="L133" s="13">
        <f t="shared" ca="1" si="28"/>
        <v>307</v>
      </c>
      <c r="M133" s="7">
        <f t="shared" ca="1" si="29"/>
        <v>1193</v>
      </c>
      <c r="N133" s="26">
        <f t="shared" ca="1" si="30"/>
        <v>5</v>
      </c>
      <c r="O133" s="44">
        <f t="shared" ca="1" si="31"/>
        <v>3.5346387789404914</v>
      </c>
      <c r="P133" s="44">
        <f t="shared" ca="1" si="32"/>
        <v>35.346387789404908</v>
      </c>
      <c r="Q133" s="44">
        <f t="shared" ca="1" si="33"/>
        <v>35.346387789404908</v>
      </c>
      <c r="R133" s="44">
        <f t="shared" ca="1" si="34"/>
        <v>3.5346387789404909</v>
      </c>
      <c r="S133" s="44">
        <f t="shared" ca="1" si="35"/>
        <v>3.5346387789404914</v>
      </c>
      <c r="T133" s="4">
        <f t="shared" ca="1" si="36"/>
        <v>0</v>
      </c>
      <c r="U133" s="120">
        <f t="shared" ca="1" si="37"/>
        <v>2079.4426794074939</v>
      </c>
      <c r="V133" s="4">
        <f t="shared" ca="1" si="38"/>
        <v>0</v>
      </c>
      <c r="W133" s="13">
        <f t="shared" ca="1" si="39"/>
        <v>9715.5</v>
      </c>
      <c r="X133" s="4">
        <f t="shared" ca="1" si="40"/>
        <v>0</v>
      </c>
      <c r="Y133" s="4">
        <f t="shared" si="41"/>
        <v>0</v>
      </c>
      <c r="Z133" s="13">
        <f t="shared" ca="1" si="42"/>
        <v>9715.5</v>
      </c>
      <c r="AA133" s="4">
        <f t="shared" ca="1" si="43"/>
        <v>0</v>
      </c>
      <c r="AE133" s="4"/>
    </row>
    <row r="134" spans="1:31">
      <c r="A134">
        <v>0</v>
      </c>
      <c r="B134">
        <v>3</v>
      </c>
      <c r="C134">
        <f t="shared" ca="1" si="22"/>
        <v>4</v>
      </c>
      <c r="D134">
        <f t="shared" ca="1" si="23"/>
        <v>3</v>
      </c>
      <c r="E134">
        <f t="shared" ca="1" si="24"/>
        <v>0</v>
      </c>
      <c r="F134" s="110">
        <f t="shared" ca="1" si="25"/>
        <v>0</v>
      </c>
      <c r="G134">
        <v>0</v>
      </c>
      <c r="H134">
        <v>1</v>
      </c>
      <c r="I134">
        <v>3</v>
      </c>
      <c r="J134" s="1">
        <f t="shared" ca="1" si="26"/>
        <v>0</v>
      </c>
      <c r="K134" s="1">
        <f t="shared" ca="1" si="27"/>
        <v>0</v>
      </c>
      <c r="L134" s="13">
        <f t="shared" ca="1" si="28"/>
        <v>288</v>
      </c>
      <c r="M134" s="7">
        <f t="shared" ca="1" si="29"/>
        <v>1212</v>
      </c>
      <c r="N134" s="26">
        <f t="shared" ca="1" si="30"/>
        <v>5</v>
      </c>
      <c r="O134" s="44">
        <f t="shared" ca="1" si="31"/>
        <v>3.5346387789404914</v>
      </c>
      <c r="P134" s="44">
        <f t="shared" ca="1" si="32"/>
        <v>35.346387789404908</v>
      </c>
      <c r="Q134" s="44">
        <f t="shared" ca="1" si="33"/>
        <v>35.346387789404908</v>
      </c>
      <c r="R134" s="44">
        <f t="shared" ca="1" si="34"/>
        <v>3.5346387789404909</v>
      </c>
      <c r="S134" s="44">
        <f t="shared" ca="1" si="35"/>
        <v>3.5346387789404914</v>
      </c>
      <c r="T134" s="4">
        <f t="shared" ca="1" si="36"/>
        <v>0</v>
      </c>
      <c r="U134" s="120">
        <f t="shared" ca="1" si="37"/>
        <v>2060.4426794074939</v>
      </c>
      <c r="V134" s="4">
        <f t="shared" ca="1" si="38"/>
        <v>0</v>
      </c>
      <c r="W134" s="13">
        <f t="shared" ca="1" si="39"/>
        <v>7286.625</v>
      </c>
      <c r="X134" s="4">
        <f t="shared" ca="1" si="40"/>
        <v>0</v>
      </c>
      <c r="Y134" s="4">
        <f t="shared" si="41"/>
        <v>0</v>
      </c>
      <c r="Z134" s="13">
        <f t="shared" ca="1" si="42"/>
        <v>7286.625</v>
      </c>
      <c r="AA134" s="4">
        <f t="shared" ca="1" si="43"/>
        <v>0</v>
      </c>
      <c r="AE134" s="4"/>
    </row>
    <row r="135" spans="1:31">
      <c r="A135">
        <v>0</v>
      </c>
      <c r="B135">
        <v>3</v>
      </c>
      <c r="C135">
        <f t="shared" ca="1" si="22"/>
        <v>4</v>
      </c>
      <c r="D135">
        <f t="shared" ca="1" si="23"/>
        <v>3</v>
      </c>
      <c r="E135">
        <f t="shared" ca="1" si="24"/>
        <v>0</v>
      </c>
      <c r="F135" s="110">
        <f t="shared" ca="1" si="25"/>
        <v>0</v>
      </c>
      <c r="G135">
        <v>0</v>
      </c>
      <c r="H135">
        <v>1</v>
      </c>
      <c r="I135">
        <v>2</v>
      </c>
      <c r="J135" s="1">
        <f t="shared" ca="1" si="26"/>
        <v>0</v>
      </c>
      <c r="K135" s="1">
        <f t="shared" ca="1" si="27"/>
        <v>0</v>
      </c>
      <c r="L135" s="13">
        <f t="shared" ca="1" si="28"/>
        <v>269</v>
      </c>
      <c r="M135" s="7">
        <f t="shared" ca="1" si="29"/>
        <v>1231</v>
      </c>
      <c r="N135" s="26">
        <f t="shared" ca="1" si="30"/>
        <v>5</v>
      </c>
      <c r="O135" s="44">
        <f t="shared" ca="1" si="31"/>
        <v>3.5346387789404914</v>
      </c>
      <c r="P135" s="44">
        <f t="shared" ca="1" si="32"/>
        <v>35.346387789404908</v>
      </c>
      <c r="Q135" s="44">
        <f t="shared" ca="1" si="33"/>
        <v>35.346387789404908</v>
      </c>
      <c r="R135" s="44">
        <f t="shared" ca="1" si="34"/>
        <v>3.5346387789404909</v>
      </c>
      <c r="S135" s="44">
        <f t="shared" ca="1" si="35"/>
        <v>3.5346387789404914</v>
      </c>
      <c r="T135" s="4">
        <f t="shared" ca="1" si="36"/>
        <v>0</v>
      </c>
      <c r="U135" s="120">
        <f t="shared" ca="1" si="37"/>
        <v>2041.4426794074936</v>
      </c>
      <c r="V135" s="4">
        <f t="shared" ca="1" si="38"/>
        <v>0</v>
      </c>
      <c r="W135" s="13">
        <f t="shared" ca="1" si="39"/>
        <v>4857.75</v>
      </c>
      <c r="X135" s="4">
        <f t="shared" ca="1" si="40"/>
        <v>0</v>
      </c>
      <c r="Y135" s="4">
        <f t="shared" si="41"/>
        <v>0</v>
      </c>
      <c r="Z135" s="13">
        <f t="shared" ca="1" si="42"/>
        <v>4857.75</v>
      </c>
      <c r="AA135" s="4">
        <f t="shared" ca="1" si="43"/>
        <v>0</v>
      </c>
      <c r="AE135" s="4"/>
    </row>
    <row r="136" spans="1:31">
      <c r="A136">
        <v>0</v>
      </c>
      <c r="B136">
        <v>3</v>
      </c>
      <c r="C136">
        <f t="shared" ca="1" si="22"/>
        <v>4</v>
      </c>
      <c r="D136">
        <f t="shared" ca="1" si="23"/>
        <v>3</v>
      </c>
      <c r="E136">
        <f t="shared" ca="1" si="24"/>
        <v>0</v>
      </c>
      <c r="F136" s="110">
        <f t="shared" ca="1" si="25"/>
        <v>0</v>
      </c>
      <c r="G136">
        <v>0</v>
      </c>
      <c r="H136">
        <v>1</v>
      </c>
      <c r="I136">
        <v>1</v>
      </c>
      <c r="J136" s="1">
        <f t="shared" ca="1" si="26"/>
        <v>0</v>
      </c>
      <c r="K136" s="1">
        <f t="shared" ca="1" si="27"/>
        <v>0</v>
      </c>
      <c r="L136" s="13">
        <f t="shared" ca="1" si="28"/>
        <v>250</v>
      </c>
      <c r="M136" s="7">
        <f t="shared" ca="1" si="29"/>
        <v>1250</v>
      </c>
      <c r="N136" s="26">
        <f t="shared" ca="1" si="30"/>
        <v>5</v>
      </c>
      <c r="O136" s="44">
        <f t="shared" ca="1" si="31"/>
        <v>3.5346387789404914</v>
      </c>
      <c r="P136" s="44">
        <f t="shared" ca="1" si="32"/>
        <v>35.346387789404908</v>
      </c>
      <c r="Q136" s="44">
        <f t="shared" ca="1" si="33"/>
        <v>35.346387789404908</v>
      </c>
      <c r="R136" s="44">
        <f t="shared" ca="1" si="34"/>
        <v>3.5346387789404909</v>
      </c>
      <c r="S136" s="44">
        <f t="shared" ca="1" si="35"/>
        <v>3.5346387789404914</v>
      </c>
      <c r="T136" s="4">
        <f t="shared" ca="1" si="36"/>
        <v>0</v>
      </c>
      <c r="U136" s="120">
        <f t="shared" ca="1" si="37"/>
        <v>2022.4426794074936</v>
      </c>
      <c r="V136" s="4">
        <f t="shared" ca="1" si="38"/>
        <v>0</v>
      </c>
      <c r="W136" s="13">
        <f t="shared" ca="1" si="39"/>
        <v>2428.875</v>
      </c>
      <c r="X136" s="4">
        <f t="shared" ca="1" si="40"/>
        <v>0</v>
      </c>
      <c r="Y136" s="4">
        <f t="shared" si="41"/>
        <v>0</v>
      </c>
      <c r="Z136" s="13">
        <f t="shared" ca="1" si="42"/>
        <v>2428.875</v>
      </c>
      <c r="AA136" s="4">
        <f t="shared" ca="1" si="43"/>
        <v>0</v>
      </c>
      <c r="AE136" s="4"/>
    </row>
    <row r="137" spans="1:31">
      <c r="A137">
        <v>0</v>
      </c>
      <c r="B137">
        <v>3</v>
      </c>
      <c r="C137">
        <f t="shared" ca="1" si="22"/>
        <v>4</v>
      </c>
      <c r="D137">
        <f t="shared" ca="1" si="23"/>
        <v>3</v>
      </c>
      <c r="E137">
        <f t="shared" ca="1" si="24"/>
        <v>0</v>
      </c>
      <c r="F137" s="110">
        <f t="shared" ca="1" si="25"/>
        <v>0</v>
      </c>
      <c r="G137">
        <v>0</v>
      </c>
      <c r="H137">
        <v>1</v>
      </c>
      <c r="I137">
        <v>0</v>
      </c>
      <c r="J137" s="1">
        <f t="shared" ca="1" si="26"/>
        <v>0</v>
      </c>
      <c r="K137" s="1">
        <f t="shared" ca="1" si="27"/>
        <v>0</v>
      </c>
      <c r="L137" s="13">
        <f t="shared" ca="1" si="28"/>
        <v>231</v>
      </c>
      <c r="M137" s="7">
        <f t="shared" ca="1" si="29"/>
        <v>1269</v>
      </c>
      <c r="N137" s="26">
        <f t="shared" ca="1" si="30"/>
        <v>5</v>
      </c>
      <c r="O137" s="44">
        <f t="shared" ca="1" si="31"/>
        <v>3.5346387789404914</v>
      </c>
      <c r="P137" s="44">
        <f t="shared" ca="1" si="32"/>
        <v>35.346387789404908</v>
      </c>
      <c r="Q137" s="44">
        <f t="shared" ca="1" si="33"/>
        <v>35.346387789404908</v>
      </c>
      <c r="R137" s="44">
        <f t="shared" ca="1" si="34"/>
        <v>3.5346387789404909</v>
      </c>
      <c r="S137" s="44">
        <f t="shared" ca="1" si="35"/>
        <v>3.5346387789404914</v>
      </c>
      <c r="T137" s="4">
        <f t="shared" ca="1" si="36"/>
        <v>0</v>
      </c>
      <c r="U137" s="120">
        <f t="shared" ca="1" si="37"/>
        <v>2003.4426794074936</v>
      </c>
      <c r="V137" s="4">
        <f t="shared" ca="1" si="38"/>
        <v>0</v>
      </c>
      <c r="W137" s="13">
        <f t="shared" ca="1" si="39"/>
        <v>0</v>
      </c>
      <c r="X137" s="4">
        <f t="shared" ca="1" si="40"/>
        <v>0</v>
      </c>
      <c r="Y137" s="4">
        <f t="shared" si="41"/>
        <v>0</v>
      </c>
      <c r="Z137" s="13">
        <f t="shared" ca="1" si="42"/>
        <v>0</v>
      </c>
      <c r="AA137" s="4">
        <f t="shared" ca="1" si="43"/>
        <v>0</v>
      </c>
      <c r="AE137" s="4"/>
    </row>
    <row r="138" spans="1:31">
      <c r="A138">
        <v>0</v>
      </c>
      <c r="B138">
        <v>3</v>
      </c>
      <c r="C138">
        <f t="shared" ca="1" si="22"/>
        <v>4</v>
      </c>
      <c r="D138">
        <f t="shared" ca="1" si="23"/>
        <v>3</v>
      </c>
      <c r="E138">
        <f t="shared" ca="1" si="24"/>
        <v>0</v>
      </c>
      <c r="F138" s="110">
        <f t="shared" ca="1" si="25"/>
        <v>0</v>
      </c>
      <c r="G138">
        <v>0</v>
      </c>
      <c r="H138">
        <v>0</v>
      </c>
      <c r="I138">
        <v>7</v>
      </c>
      <c r="J138" s="1">
        <f t="shared" ca="1" si="26"/>
        <v>0</v>
      </c>
      <c r="K138" s="1">
        <f t="shared" ca="1" si="27"/>
        <v>0</v>
      </c>
      <c r="L138" s="13">
        <f t="shared" ca="1" si="28"/>
        <v>133</v>
      </c>
      <c r="M138" s="7">
        <f t="shared" ca="1" si="29"/>
        <v>1367</v>
      </c>
      <c r="N138" s="26">
        <f t="shared" ca="1" si="30"/>
        <v>5</v>
      </c>
      <c r="O138" s="44">
        <f t="shared" ca="1" si="31"/>
        <v>3.5346387789404914</v>
      </c>
      <c r="P138" s="44">
        <f t="shared" ca="1" si="32"/>
        <v>35.346387789404908</v>
      </c>
      <c r="Q138" s="44">
        <f t="shared" ca="1" si="33"/>
        <v>35.346387789404908</v>
      </c>
      <c r="R138" s="44">
        <f t="shared" ca="1" si="34"/>
        <v>3.5346387789404909</v>
      </c>
      <c r="S138" s="44">
        <f t="shared" ca="1" si="35"/>
        <v>3.5346387789404914</v>
      </c>
      <c r="T138" s="4">
        <f t="shared" ca="1" si="36"/>
        <v>0</v>
      </c>
      <c r="U138" s="120">
        <f t="shared" ca="1" si="37"/>
        <v>1905.4426794074936</v>
      </c>
      <c r="V138" s="4">
        <f t="shared" ca="1" si="38"/>
        <v>0</v>
      </c>
      <c r="W138" s="13">
        <f t="shared" ca="1" si="39"/>
        <v>17002.125</v>
      </c>
      <c r="X138" s="4">
        <f t="shared" ca="1" si="40"/>
        <v>0</v>
      </c>
      <c r="Y138" s="4">
        <f t="shared" si="41"/>
        <v>0</v>
      </c>
      <c r="Z138" s="13">
        <f t="shared" ca="1" si="42"/>
        <v>17002.125</v>
      </c>
      <c r="AA138" s="4">
        <f t="shared" ca="1" si="43"/>
        <v>0</v>
      </c>
      <c r="AE138" s="4"/>
    </row>
    <row r="139" spans="1:31">
      <c r="A139">
        <v>0</v>
      </c>
      <c r="B139">
        <v>3</v>
      </c>
      <c r="C139">
        <f t="shared" ca="1" si="22"/>
        <v>4</v>
      </c>
      <c r="D139">
        <f t="shared" ca="1" si="23"/>
        <v>3</v>
      </c>
      <c r="E139">
        <f t="shared" ca="1" si="24"/>
        <v>0</v>
      </c>
      <c r="F139" s="110">
        <f t="shared" ca="1" si="25"/>
        <v>0</v>
      </c>
      <c r="G139">
        <v>0</v>
      </c>
      <c r="H139">
        <v>0</v>
      </c>
      <c r="I139">
        <v>6</v>
      </c>
      <c r="J139" s="1">
        <f t="shared" ca="1" si="26"/>
        <v>0</v>
      </c>
      <c r="K139" s="1">
        <f t="shared" ca="1" si="27"/>
        <v>0</v>
      </c>
      <c r="L139" s="13">
        <f t="shared" ca="1" si="28"/>
        <v>114</v>
      </c>
      <c r="M139" s="7">
        <f t="shared" ca="1" si="29"/>
        <v>1386</v>
      </c>
      <c r="N139" s="26">
        <f t="shared" ca="1" si="30"/>
        <v>5</v>
      </c>
      <c r="O139" s="44">
        <f t="shared" ca="1" si="31"/>
        <v>3.5346387789404914</v>
      </c>
      <c r="P139" s="44">
        <f t="shared" ca="1" si="32"/>
        <v>35.346387789404908</v>
      </c>
      <c r="Q139" s="44">
        <f t="shared" ca="1" si="33"/>
        <v>35.346387789404908</v>
      </c>
      <c r="R139" s="44">
        <f t="shared" ca="1" si="34"/>
        <v>3.5346387789404909</v>
      </c>
      <c r="S139" s="44">
        <f t="shared" ca="1" si="35"/>
        <v>3.5346387789404914</v>
      </c>
      <c r="T139" s="4">
        <f t="shared" ca="1" si="36"/>
        <v>0</v>
      </c>
      <c r="U139" s="120">
        <f t="shared" ca="1" si="37"/>
        <v>1886.4426794074936</v>
      </c>
      <c r="V139" s="4">
        <f t="shared" ca="1" si="38"/>
        <v>0</v>
      </c>
      <c r="W139" s="13">
        <f t="shared" ca="1" si="39"/>
        <v>14573.25</v>
      </c>
      <c r="X139" s="4">
        <f t="shared" ca="1" si="40"/>
        <v>0</v>
      </c>
      <c r="Y139" s="4">
        <f t="shared" si="41"/>
        <v>0</v>
      </c>
      <c r="Z139" s="13">
        <f t="shared" ca="1" si="42"/>
        <v>14573.25</v>
      </c>
      <c r="AA139" s="4">
        <f t="shared" ca="1" si="43"/>
        <v>0</v>
      </c>
      <c r="AE139" s="4"/>
    </row>
    <row r="140" spans="1:31">
      <c r="A140">
        <v>0</v>
      </c>
      <c r="B140">
        <v>3</v>
      </c>
      <c r="C140">
        <f t="shared" ca="1" si="22"/>
        <v>4</v>
      </c>
      <c r="D140">
        <f t="shared" ca="1" si="23"/>
        <v>3</v>
      </c>
      <c r="E140">
        <f t="shared" ca="1" si="24"/>
        <v>0</v>
      </c>
      <c r="F140" s="110">
        <f t="shared" ca="1" si="25"/>
        <v>0</v>
      </c>
      <c r="G140">
        <v>0</v>
      </c>
      <c r="H140">
        <v>0</v>
      </c>
      <c r="I140">
        <v>5</v>
      </c>
      <c r="J140" s="1">
        <f t="shared" ca="1" si="26"/>
        <v>0</v>
      </c>
      <c r="K140" s="1">
        <f t="shared" ca="1" si="27"/>
        <v>0</v>
      </c>
      <c r="L140" s="13">
        <f t="shared" ca="1" si="28"/>
        <v>95</v>
      </c>
      <c r="M140" s="7">
        <f t="shared" ca="1" si="29"/>
        <v>1405</v>
      </c>
      <c r="N140" s="26">
        <f t="shared" ca="1" si="30"/>
        <v>6</v>
      </c>
      <c r="O140" s="44">
        <f t="shared" ca="1" si="31"/>
        <v>4.1694581524927896</v>
      </c>
      <c r="P140" s="44">
        <f t="shared" ca="1" si="32"/>
        <v>41.059762151375594</v>
      </c>
      <c r="Q140" s="44">
        <f t="shared" ca="1" si="33"/>
        <v>35.346387789404908</v>
      </c>
      <c r="R140" s="44">
        <f t="shared" ca="1" si="34"/>
        <v>3.8203074970390247</v>
      </c>
      <c r="S140" s="44">
        <f t="shared" ca="1" si="35"/>
        <v>4.1450176066110256</v>
      </c>
      <c r="T140" s="4">
        <f t="shared" ca="1" si="36"/>
        <v>0</v>
      </c>
      <c r="U140" s="120">
        <f t="shared" ca="1" si="37"/>
        <v>2135.4748169996506</v>
      </c>
      <c r="V140" s="4">
        <f t="shared" ca="1" si="38"/>
        <v>0</v>
      </c>
      <c r="W140" s="13">
        <f t="shared" ca="1" si="39"/>
        <v>12144.375</v>
      </c>
      <c r="X140" s="4">
        <f t="shared" ca="1" si="40"/>
        <v>0</v>
      </c>
      <c r="Y140" s="4">
        <f t="shared" si="41"/>
        <v>0</v>
      </c>
      <c r="Z140" s="13">
        <f t="shared" ca="1" si="42"/>
        <v>12144.375</v>
      </c>
      <c r="AA140" s="4">
        <f t="shared" ca="1" si="43"/>
        <v>0</v>
      </c>
      <c r="AE140" s="4"/>
    </row>
    <row r="141" spans="1:31">
      <c r="A141">
        <v>0</v>
      </c>
      <c r="B141">
        <v>3</v>
      </c>
      <c r="C141">
        <f t="shared" ca="1" si="22"/>
        <v>4</v>
      </c>
      <c r="D141">
        <f t="shared" ca="1" si="23"/>
        <v>3</v>
      </c>
      <c r="E141">
        <f t="shared" ca="1" si="24"/>
        <v>0</v>
      </c>
      <c r="F141" s="110">
        <f t="shared" ca="1" si="25"/>
        <v>0</v>
      </c>
      <c r="G141">
        <v>0</v>
      </c>
      <c r="H141">
        <v>0</v>
      </c>
      <c r="I141">
        <v>4</v>
      </c>
      <c r="J141" s="1">
        <f t="shared" ca="1" si="26"/>
        <v>0</v>
      </c>
      <c r="K141" s="1">
        <f t="shared" ca="1" si="27"/>
        <v>0</v>
      </c>
      <c r="L141" s="13">
        <f t="shared" ca="1" si="28"/>
        <v>76</v>
      </c>
      <c r="M141" s="7">
        <f t="shared" ca="1" si="29"/>
        <v>1424</v>
      </c>
      <c r="N141" s="26">
        <f t="shared" ca="1" si="30"/>
        <v>6</v>
      </c>
      <c r="O141" s="44">
        <f t="shared" ca="1" si="31"/>
        <v>4.1694581524927896</v>
      </c>
      <c r="P141" s="44">
        <f t="shared" ca="1" si="32"/>
        <v>41.694581524927891</v>
      </c>
      <c r="Q141" s="44">
        <f t="shared" ca="1" si="33"/>
        <v>41.694581524927891</v>
      </c>
      <c r="R141" s="44">
        <f t="shared" ca="1" si="34"/>
        <v>4.1694581524927887</v>
      </c>
      <c r="S141" s="44">
        <f t="shared" ca="1" si="35"/>
        <v>4.1694581524927896</v>
      </c>
      <c r="T141" s="4">
        <f t="shared" ca="1" si="36"/>
        <v>0</v>
      </c>
      <c r="U141" s="120">
        <f t="shared" ca="1" si="37"/>
        <v>2127.2072530862838</v>
      </c>
      <c r="V141" s="4">
        <f t="shared" ca="1" si="38"/>
        <v>0</v>
      </c>
      <c r="W141" s="13">
        <f t="shared" ca="1" si="39"/>
        <v>9715.5</v>
      </c>
      <c r="X141" s="4">
        <f t="shared" ca="1" si="40"/>
        <v>0</v>
      </c>
      <c r="Y141" s="4">
        <f t="shared" si="41"/>
        <v>0</v>
      </c>
      <c r="Z141" s="13">
        <f t="shared" ca="1" si="42"/>
        <v>9715.5</v>
      </c>
      <c r="AA141" s="4">
        <f t="shared" ca="1" si="43"/>
        <v>0</v>
      </c>
      <c r="AE141" s="4"/>
    </row>
    <row r="142" spans="1:31">
      <c r="A142">
        <v>0</v>
      </c>
      <c r="B142">
        <v>3</v>
      </c>
      <c r="C142">
        <f t="shared" ca="1" si="22"/>
        <v>4</v>
      </c>
      <c r="D142">
        <f t="shared" ca="1" si="23"/>
        <v>3</v>
      </c>
      <c r="E142">
        <f t="shared" ca="1" si="24"/>
        <v>0</v>
      </c>
      <c r="F142" s="110">
        <f t="shared" ca="1" si="25"/>
        <v>0</v>
      </c>
      <c r="G142">
        <v>0</v>
      </c>
      <c r="H142">
        <v>0</v>
      </c>
      <c r="I142">
        <v>3</v>
      </c>
      <c r="J142" s="1">
        <f t="shared" ca="1" si="26"/>
        <v>4.2868749999999997E-2</v>
      </c>
      <c r="K142" s="1">
        <f t="shared" ca="1" si="27"/>
        <v>0</v>
      </c>
      <c r="L142" s="13">
        <f t="shared" ca="1" si="28"/>
        <v>57</v>
      </c>
      <c r="M142" s="7">
        <f t="shared" ca="1" si="29"/>
        <v>1443</v>
      </c>
      <c r="N142" s="26">
        <f t="shared" ca="1" si="30"/>
        <v>6</v>
      </c>
      <c r="O142" s="44">
        <f t="shared" ca="1" si="31"/>
        <v>4.1694581524927896</v>
      </c>
      <c r="P142" s="44">
        <f t="shared" ca="1" si="32"/>
        <v>41.694581524927891</v>
      </c>
      <c r="Q142" s="44">
        <f t="shared" ca="1" si="33"/>
        <v>41.694581524927891</v>
      </c>
      <c r="R142" s="44">
        <f t="shared" ca="1" si="34"/>
        <v>4.1694581524927887</v>
      </c>
      <c r="S142" s="44">
        <f t="shared" ca="1" si="35"/>
        <v>4.1694581524927896</v>
      </c>
      <c r="T142" s="4">
        <f t="shared" ca="1" si="36"/>
        <v>0</v>
      </c>
      <c r="U142" s="120">
        <f t="shared" ca="1" si="37"/>
        <v>2108.2072530862838</v>
      </c>
      <c r="V142" s="4">
        <f t="shared" ca="1" si="38"/>
        <v>0</v>
      </c>
      <c r="W142" s="13">
        <f t="shared" ca="1" si="39"/>
        <v>7286.625</v>
      </c>
      <c r="X142" s="4">
        <f t="shared" ca="1" si="40"/>
        <v>0</v>
      </c>
      <c r="Y142" s="4">
        <f t="shared" si="41"/>
        <v>0</v>
      </c>
      <c r="Z142" s="13">
        <f t="shared" ca="1" si="42"/>
        <v>7286.625</v>
      </c>
      <c r="AA142" s="4">
        <f t="shared" ca="1" si="43"/>
        <v>0</v>
      </c>
      <c r="AE142" s="4"/>
    </row>
    <row r="143" spans="1:31">
      <c r="A143">
        <v>0</v>
      </c>
      <c r="B143">
        <v>3</v>
      </c>
      <c r="C143">
        <f t="shared" ca="1" si="22"/>
        <v>4</v>
      </c>
      <c r="D143">
        <f t="shared" ca="1" si="23"/>
        <v>3</v>
      </c>
      <c r="E143">
        <f t="shared" ca="1" si="24"/>
        <v>0</v>
      </c>
      <c r="F143" s="110">
        <f t="shared" ca="1" si="25"/>
        <v>0</v>
      </c>
      <c r="G143">
        <v>0</v>
      </c>
      <c r="H143">
        <v>0</v>
      </c>
      <c r="I143">
        <v>2</v>
      </c>
      <c r="J143" s="1">
        <f t="shared" ca="1" si="26"/>
        <v>6.7687500000000074E-3</v>
      </c>
      <c r="K143" s="1">
        <f t="shared" ca="1" si="27"/>
        <v>0</v>
      </c>
      <c r="L143" s="13">
        <f t="shared" ca="1" si="28"/>
        <v>38</v>
      </c>
      <c r="M143" s="7">
        <f t="shared" ca="1" si="29"/>
        <v>1462</v>
      </c>
      <c r="N143" s="26">
        <f t="shared" ca="1" si="30"/>
        <v>6</v>
      </c>
      <c r="O143" s="44">
        <f t="shared" ca="1" si="31"/>
        <v>4.1694581524927896</v>
      </c>
      <c r="P143" s="44">
        <f t="shared" ca="1" si="32"/>
        <v>41.694581524927891</v>
      </c>
      <c r="Q143" s="44">
        <f t="shared" ca="1" si="33"/>
        <v>41.694581524927891</v>
      </c>
      <c r="R143" s="44">
        <f t="shared" ca="1" si="34"/>
        <v>4.1694581524927887</v>
      </c>
      <c r="S143" s="44">
        <f t="shared" ca="1" si="35"/>
        <v>4.1694581524927896</v>
      </c>
      <c r="T143" s="4">
        <f t="shared" ca="1" si="36"/>
        <v>0</v>
      </c>
      <c r="U143" s="120">
        <f t="shared" ca="1" si="37"/>
        <v>2089.2072530862838</v>
      </c>
      <c r="V143" s="4">
        <f t="shared" ca="1" si="38"/>
        <v>0</v>
      </c>
      <c r="W143" s="13">
        <f t="shared" ca="1" si="39"/>
        <v>4857.75</v>
      </c>
      <c r="X143" s="4">
        <f t="shared" ca="1" si="40"/>
        <v>0</v>
      </c>
      <c r="Y143" s="4">
        <f t="shared" si="41"/>
        <v>0</v>
      </c>
      <c r="Z143" s="13">
        <f t="shared" ca="1" si="42"/>
        <v>4857.75</v>
      </c>
      <c r="AA143" s="4">
        <f t="shared" ca="1" si="43"/>
        <v>0</v>
      </c>
      <c r="AE143" s="4"/>
    </row>
    <row r="144" spans="1:31">
      <c r="A144">
        <v>0</v>
      </c>
      <c r="B144">
        <v>3</v>
      </c>
      <c r="C144">
        <f t="shared" ca="1" si="22"/>
        <v>4</v>
      </c>
      <c r="D144">
        <f t="shared" ca="1" si="23"/>
        <v>3</v>
      </c>
      <c r="E144">
        <f t="shared" ca="1" si="24"/>
        <v>0</v>
      </c>
      <c r="F144" s="110">
        <f t="shared" ca="1" si="25"/>
        <v>0</v>
      </c>
      <c r="G144">
        <v>0</v>
      </c>
      <c r="H144">
        <v>0</v>
      </c>
      <c r="I144">
        <v>1</v>
      </c>
      <c r="J144" s="1">
        <f t="shared" ca="1" si="26"/>
        <v>3.5625000000000061E-4</v>
      </c>
      <c r="K144" s="1">
        <f t="shared" ca="1" si="27"/>
        <v>0</v>
      </c>
      <c r="L144" s="13">
        <f t="shared" ca="1" si="28"/>
        <v>19</v>
      </c>
      <c r="M144" s="7">
        <f t="shared" ca="1" si="29"/>
        <v>1481</v>
      </c>
      <c r="N144" s="26">
        <f t="shared" ca="1" si="30"/>
        <v>6</v>
      </c>
      <c r="O144" s="44">
        <f t="shared" ca="1" si="31"/>
        <v>4.1694581524927896</v>
      </c>
      <c r="P144" s="44">
        <f t="shared" ca="1" si="32"/>
        <v>41.694581524927891</v>
      </c>
      <c r="Q144" s="44">
        <f t="shared" ca="1" si="33"/>
        <v>41.694581524927891</v>
      </c>
      <c r="R144" s="44">
        <f t="shared" ca="1" si="34"/>
        <v>4.1694581524927887</v>
      </c>
      <c r="S144" s="44">
        <f t="shared" ca="1" si="35"/>
        <v>4.1694581524927896</v>
      </c>
      <c r="T144" s="4">
        <f t="shared" ca="1" si="36"/>
        <v>0</v>
      </c>
      <c r="U144" s="120">
        <f t="shared" ca="1" si="37"/>
        <v>2070.2072530862838</v>
      </c>
      <c r="V144" s="4">
        <f t="shared" ca="1" si="38"/>
        <v>0</v>
      </c>
      <c r="W144" s="13">
        <f t="shared" ca="1" si="39"/>
        <v>2428.875</v>
      </c>
      <c r="X144" s="4">
        <f t="shared" ca="1" si="40"/>
        <v>0</v>
      </c>
      <c r="Y144" s="4">
        <f t="shared" si="41"/>
        <v>0</v>
      </c>
      <c r="Z144" s="13">
        <f t="shared" ca="1" si="42"/>
        <v>2428.875</v>
      </c>
      <c r="AA144" s="4">
        <f t="shared" ca="1" si="43"/>
        <v>0</v>
      </c>
      <c r="AE144" s="4"/>
    </row>
    <row r="145" spans="1:31">
      <c r="A145">
        <v>0</v>
      </c>
      <c r="B145">
        <v>3</v>
      </c>
      <c r="C145">
        <f t="shared" ca="1" si="22"/>
        <v>4</v>
      </c>
      <c r="D145">
        <f t="shared" ca="1" si="23"/>
        <v>3</v>
      </c>
      <c r="E145">
        <f t="shared" ca="1" si="24"/>
        <v>0</v>
      </c>
      <c r="F145" s="110">
        <f t="shared" ca="1" si="25"/>
        <v>0</v>
      </c>
      <c r="G145">
        <v>0</v>
      </c>
      <c r="H145">
        <v>0</v>
      </c>
      <c r="I145">
        <v>0</v>
      </c>
      <c r="J145" s="1">
        <f t="shared" ca="1" si="26"/>
        <v>6.2500000000000164E-6</v>
      </c>
      <c r="K145" s="1">
        <f t="shared" ca="1" si="27"/>
        <v>0</v>
      </c>
      <c r="L145" s="13">
        <f t="shared" ca="1" si="28"/>
        <v>0</v>
      </c>
      <c r="M145" s="7">
        <f t="shared" ca="1" si="29"/>
        <v>1500</v>
      </c>
      <c r="N145" s="26">
        <f t="shared" ca="1" si="30"/>
        <v>6</v>
      </c>
      <c r="O145" s="44">
        <f t="shared" ca="1" si="31"/>
        <v>4.1694581524927896</v>
      </c>
      <c r="P145" s="44">
        <f t="shared" ca="1" si="32"/>
        <v>41.694581524927891</v>
      </c>
      <c r="Q145" s="44">
        <f t="shared" ca="1" si="33"/>
        <v>41.694581524927891</v>
      </c>
      <c r="R145" s="44">
        <f t="shared" ca="1" si="34"/>
        <v>4.1694581524927887</v>
      </c>
      <c r="S145" s="44">
        <f t="shared" ca="1" si="35"/>
        <v>4.1694581524927896</v>
      </c>
      <c r="T145" s="4">
        <f t="shared" ca="1" si="36"/>
        <v>0</v>
      </c>
      <c r="U145" s="120">
        <f t="shared" ca="1" si="37"/>
        <v>2051.2072530862838</v>
      </c>
      <c r="V145" s="4">
        <f t="shared" ca="1" si="38"/>
        <v>0</v>
      </c>
      <c r="W145" s="13">
        <f t="shared" ca="1" si="39"/>
        <v>0</v>
      </c>
      <c r="X145" s="4">
        <f t="shared" ca="1" si="40"/>
        <v>0</v>
      </c>
      <c r="Y145" s="4">
        <f t="shared" si="41"/>
        <v>0</v>
      </c>
      <c r="Z145" s="13">
        <f t="shared" ca="1" si="42"/>
        <v>0</v>
      </c>
      <c r="AA145" s="4">
        <f t="shared" ca="1" si="43"/>
        <v>0</v>
      </c>
      <c r="AE145" s="4"/>
    </row>
    <row r="146" spans="1:31">
      <c r="A146">
        <v>1</v>
      </c>
      <c r="B146">
        <v>0</v>
      </c>
      <c r="C146">
        <f t="shared" ref="C146:C209" ca="1" si="44">MIN(8, 1+$B$10+$B$9+A146+B146)</f>
        <v>2</v>
      </c>
      <c r="D146">
        <f t="shared" ref="D146:D209" ca="1" si="45">C146-(1+$B$10)</f>
        <v>1</v>
      </c>
      <c r="E146">
        <f t="shared" ref="E146:E209" ca="1" si="46">MIN(A146, C146-(1+$B$10+$B$9))</f>
        <v>1</v>
      </c>
      <c r="F146" s="110">
        <f t="shared" ref="F146:F209" ca="1" si="47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4.8500000000000001E-2</v>
      </c>
      <c r="G146">
        <v>1</v>
      </c>
      <c r="H146">
        <v>1</v>
      </c>
      <c r="I146">
        <v>7</v>
      </c>
      <c r="J146" s="1">
        <f t="shared" ref="J146:J209" ca="1" si="48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9">F146*J146</f>
        <v>0</v>
      </c>
      <c r="L146" s="13">
        <f t="shared" ref="L146:L209" ca="1" si="50">MAX((G146+H146)*Set1WSTP + I146*$B$6, Set1SaveTP)</f>
        <v>595</v>
      </c>
      <c r="M146" s="7">
        <f t="shared" ref="M146:M209" ca="1" si="51">MAX(Set1MinTP-(L146+Set1Regain), 0)</f>
        <v>905</v>
      </c>
      <c r="N146" s="26">
        <f t="shared" ref="N146:N209" ca="1" si="52">CEILING(M146/Set1MeleeTP, 1)</f>
        <v>4</v>
      </c>
      <c r="O146" s="44">
        <f t="shared" ref="O146:O209" ca="1" si="53">VLOOKUP(N146,AvgRoundsSet1,2)</f>
        <v>2.8886114468927948</v>
      </c>
      <c r="P146" s="44">
        <f t="shared" ref="P146:P209" ca="1" si="54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28.886114468927953</v>
      </c>
      <c r="Q146" s="44">
        <f t="shared" ref="Q146:Q209" ca="1" si="55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28.886114468927953</v>
      </c>
      <c r="R146" s="44">
        <f t="shared" ref="R146:R209" ca="1" si="56">(P146+Q146)/20</f>
        <v>2.8886114468927953</v>
      </c>
      <c r="S146" s="44">
        <f t="shared" ref="S146:S209" ca="1" si="57">R146*Set1ConserveTP + O146*(1-Set1ConserveTP)</f>
        <v>2.8886114468927948</v>
      </c>
      <c r="T146" s="4">
        <f t="shared" ref="T146:T209" ca="1" si="58">K146*S146</f>
        <v>0</v>
      </c>
      <c r="U146" s="120">
        <f t="shared" ref="U146:U209" ca="1" si="59">MIN(L146+(S146+Set1OverTP)*AvgHitsPerRound1*Set1MeleeTP + Set1Regain + 10.5*Set1ConserveTP, 3000)</f>
        <v>2083.7564194948759</v>
      </c>
      <c r="V146" s="4">
        <f t="shared" ref="V146:V209" ca="1" si="60">U146*K146</f>
        <v>0</v>
      </c>
      <c r="W146" s="13">
        <f t="shared" ref="W146:W209" ca="1" si="61">G146*$K$10*((1-$L$10)*$L$14 + $L$10*$M$14*$M$10)*Set1WSDmg + H146*$K$13*((1-$L$13)*$L$15 + $L$13*$M$15*$M$11) + I146*$K$11*((1-$L$11)*$L$14 + $L$11*$M$14*$M$11) + E146*$K$12*$L$12*$M$10</f>
        <v>47995.641000000003</v>
      </c>
      <c r="X146" s="4">
        <f t="shared" ref="X146:X209" ca="1" si="62">K146*W146</f>
        <v>0</v>
      </c>
      <c r="Y146" s="4">
        <f t="shared" ref="Y146:Y209" si="63">IF($B$12=1, (VLOOKUP(C146, IF($B$13=10%,Souleater10,Souleater12), 6, FALSE) * $B$14), 0)</f>
        <v>0</v>
      </c>
      <c r="Z146" s="13">
        <f t="shared" ca="1" si="42"/>
        <v>47995.641000000003</v>
      </c>
      <c r="AA146" s="4">
        <f t="shared" ca="1" si="43"/>
        <v>0</v>
      </c>
      <c r="AE146" s="4"/>
    </row>
    <row r="147" spans="1:31">
      <c r="A147">
        <v>1</v>
      </c>
      <c r="B147">
        <v>0</v>
      </c>
      <c r="C147">
        <f t="shared" ca="1" si="44"/>
        <v>2</v>
      </c>
      <c r="D147">
        <f t="shared" ca="1" si="45"/>
        <v>1</v>
      </c>
      <c r="E147">
        <f t="shared" ca="1" si="46"/>
        <v>1</v>
      </c>
      <c r="F147" s="110">
        <f t="shared" ca="1" si="47"/>
        <v>4.8500000000000001E-2</v>
      </c>
      <c r="G147">
        <v>1</v>
      </c>
      <c r="H147">
        <v>1</v>
      </c>
      <c r="I147">
        <v>6</v>
      </c>
      <c r="J147" s="1">
        <f t="shared" ca="1" si="48"/>
        <v>0</v>
      </c>
      <c r="K147" s="1">
        <f t="shared" ca="1" si="49"/>
        <v>0</v>
      </c>
      <c r="L147" s="13">
        <f t="shared" ca="1" si="50"/>
        <v>576</v>
      </c>
      <c r="M147" s="7">
        <f t="shared" ca="1" si="51"/>
        <v>924</v>
      </c>
      <c r="N147" s="26">
        <f t="shared" ca="1" si="52"/>
        <v>4</v>
      </c>
      <c r="O147" s="44">
        <f t="shared" ca="1" si="53"/>
        <v>2.8886114468927948</v>
      </c>
      <c r="P147" s="44">
        <f t="shared" ca="1" si="54"/>
        <v>28.886114468927953</v>
      </c>
      <c r="Q147" s="44">
        <f t="shared" ca="1" si="55"/>
        <v>28.886114468927953</v>
      </c>
      <c r="R147" s="44">
        <f t="shared" ca="1" si="56"/>
        <v>2.8886114468927953</v>
      </c>
      <c r="S147" s="44">
        <f t="shared" ca="1" si="57"/>
        <v>2.8886114468927948</v>
      </c>
      <c r="T147" s="4">
        <f t="shared" ca="1" si="58"/>
        <v>0</v>
      </c>
      <c r="U147" s="120">
        <f t="shared" ca="1" si="59"/>
        <v>2064.7564194948759</v>
      </c>
      <c r="V147" s="4">
        <f t="shared" ca="1" si="60"/>
        <v>0</v>
      </c>
      <c r="W147" s="13">
        <f t="shared" ca="1" si="61"/>
        <v>45566.766000000003</v>
      </c>
      <c r="X147" s="4">
        <f t="shared" ca="1" si="62"/>
        <v>0</v>
      </c>
      <c r="Y147" s="4">
        <f t="shared" si="63"/>
        <v>0</v>
      </c>
      <c r="Z147" s="13">
        <f t="shared" ref="Z147:Z210" ca="1" si="64">Y147+W147</f>
        <v>45566.766000000003</v>
      </c>
      <c r="AA147" s="4">
        <f t="shared" ref="AA147:AA210" ca="1" si="65">Z147*K147</f>
        <v>0</v>
      </c>
      <c r="AE147" s="4"/>
    </row>
    <row r="148" spans="1:31">
      <c r="A148">
        <v>1</v>
      </c>
      <c r="B148">
        <v>0</v>
      </c>
      <c r="C148">
        <f t="shared" ca="1" si="44"/>
        <v>2</v>
      </c>
      <c r="D148">
        <f t="shared" ca="1" si="45"/>
        <v>1</v>
      </c>
      <c r="E148">
        <f t="shared" ca="1" si="46"/>
        <v>1</v>
      </c>
      <c r="F148" s="110">
        <f t="shared" ca="1" si="47"/>
        <v>4.8500000000000001E-2</v>
      </c>
      <c r="G148">
        <v>1</v>
      </c>
      <c r="H148">
        <v>1</v>
      </c>
      <c r="I148">
        <v>5</v>
      </c>
      <c r="J148" s="1">
        <f t="shared" ca="1" si="48"/>
        <v>0</v>
      </c>
      <c r="K148" s="1">
        <f t="shared" ca="1" si="49"/>
        <v>0</v>
      </c>
      <c r="L148" s="13">
        <f t="shared" ca="1" si="50"/>
        <v>557</v>
      </c>
      <c r="M148" s="7">
        <f t="shared" ca="1" si="51"/>
        <v>943</v>
      </c>
      <c r="N148" s="26">
        <f t="shared" ca="1" si="52"/>
        <v>4</v>
      </c>
      <c r="O148" s="44">
        <f t="shared" ca="1" si="53"/>
        <v>2.8886114468927948</v>
      </c>
      <c r="P148" s="44">
        <f t="shared" ca="1" si="54"/>
        <v>28.886114468927953</v>
      </c>
      <c r="Q148" s="44">
        <f t="shared" ca="1" si="55"/>
        <v>28.886114468927953</v>
      </c>
      <c r="R148" s="44">
        <f t="shared" ca="1" si="56"/>
        <v>2.8886114468927953</v>
      </c>
      <c r="S148" s="44">
        <f t="shared" ca="1" si="57"/>
        <v>2.8886114468927948</v>
      </c>
      <c r="T148" s="4">
        <f t="shared" ca="1" si="58"/>
        <v>0</v>
      </c>
      <c r="U148" s="120">
        <f t="shared" ca="1" si="59"/>
        <v>2045.7564194948757</v>
      </c>
      <c r="V148" s="4">
        <f t="shared" ca="1" si="60"/>
        <v>0</v>
      </c>
      <c r="W148" s="13">
        <f t="shared" ca="1" si="61"/>
        <v>43137.891000000003</v>
      </c>
      <c r="X148" s="4">
        <f t="shared" ca="1" si="62"/>
        <v>0</v>
      </c>
      <c r="Y148" s="4">
        <f t="shared" si="63"/>
        <v>0</v>
      </c>
      <c r="Z148" s="13">
        <f t="shared" ca="1" si="64"/>
        <v>43137.891000000003</v>
      </c>
      <c r="AA148" s="4">
        <f t="shared" ca="1" si="65"/>
        <v>0</v>
      </c>
      <c r="AE148" s="4"/>
    </row>
    <row r="149" spans="1:31">
      <c r="A149">
        <v>1</v>
      </c>
      <c r="B149">
        <v>0</v>
      </c>
      <c r="C149">
        <f t="shared" ca="1" si="44"/>
        <v>2</v>
      </c>
      <c r="D149">
        <f t="shared" ca="1" si="45"/>
        <v>1</v>
      </c>
      <c r="E149">
        <f t="shared" ca="1" si="46"/>
        <v>1</v>
      </c>
      <c r="F149" s="110">
        <f t="shared" ca="1" si="47"/>
        <v>4.8500000000000001E-2</v>
      </c>
      <c r="G149">
        <v>1</v>
      </c>
      <c r="H149">
        <v>1</v>
      </c>
      <c r="I149">
        <v>4</v>
      </c>
      <c r="J149" s="1">
        <f t="shared" ca="1" si="48"/>
        <v>0</v>
      </c>
      <c r="K149" s="1">
        <f t="shared" ca="1" si="49"/>
        <v>0</v>
      </c>
      <c r="L149" s="13">
        <f t="shared" ca="1" si="50"/>
        <v>538</v>
      </c>
      <c r="M149" s="7">
        <f t="shared" ca="1" si="51"/>
        <v>962</v>
      </c>
      <c r="N149" s="26">
        <f t="shared" ca="1" si="52"/>
        <v>4</v>
      </c>
      <c r="O149" s="44">
        <f t="shared" ca="1" si="53"/>
        <v>2.8886114468927948</v>
      </c>
      <c r="P149" s="44">
        <f t="shared" ca="1" si="54"/>
        <v>28.886114468927953</v>
      </c>
      <c r="Q149" s="44">
        <f t="shared" ca="1" si="55"/>
        <v>28.886114468927953</v>
      </c>
      <c r="R149" s="44">
        <f t="shared" ca="1" si="56"/>
        <v>2.8886114468927953</v>
      </c>
      <c r="S149" s="44">
        <f t="shared" ca="1" si="57"/>
        <v>2.8886114468927948</v>
      </c>
      <c r="T149" s="4">
        <f t="shared" ca="1" si="58"/>
        <v>0</v>
      </c>
      <c r="U149" s="120">
        <f t="shared" ca="1" si="59"/>
        <v>2026.7564194948757</v>
      </c>
      <c r="V149" s="4">
        <f t="shared" ca="1" si="60"/>
        <v>0</v>
      </c>
      <c r="W149" s="13">
        <f t="shared" ca="1" si="61"/>
        <v>40709.016000000003</v>
      </c>
      <c r="X149" s="4">
        <f t="shared" ca="1" si="62"/>
        <v>0</v>
      </c>
      <c r="Y149" s="4">
        <f t="shared" si="63"/>
        <v>0</v>
      </c>
      <c r="Z149" s="13">
        <f t="shared" ca="1" si="64"/>
        <v>40709.016000000003</v>
      </c>
      <c r="AA149" s="4">
        <f t="shared" ca="1" si="65"/>
        <v>0</v>
      </c>
      <c r="AE149" s="4"/>
    </row>
    <row r="150" spans="1:31">
      <c r="A150">
        <v>1</v>
      </c>
      <c r="B150">
        <v>0</v>
      </c>
      <c r="C150">
        <f t="shared" ca="1" si="44"/>
        <v>2</v>
      </c>
      <c r="D150">
        <f t="shared" ca="1" si="45"/>
        <v>1</v>
      </c>
      <c r="E150">
        <f t="shared" ca="1" si="46"/>
        <v>1</v>
      </c>
      <c r="F150" s="110">
        <f t="shared" ca="1" si="47"/>
        <v>4.8500000000000001E-2</v>
      </c>
      <c r="G150">
        <v>1</v>
      </c>
      <c r="H150">
        <v>1</v>
      </c>
      <c r="I150">
        <v>3</v>
      </c>
      <c r="J150" s="1">
        <f t="shared" ca="1" si="48"/>
        <v>0</v>
      </c>
      <c r="K150" s="1">
        <f t="shared" ca="1" si="49"/>
        <v>0</v>
      </c>
      <c r="L150" s="13">
        <f t="shared" ca="1" si="50"/>
        <v>519</v>
      </c>
      <c r="M150" s="7">
        <f t="shared" ca="1" si="51"/>
        <v>981</v>
      </c>
      <c r="N150" s="26">
        <f t="shared" ca="1" si="52"/>
        <v>4</v>
      </c>
      <c r="O150" s="44">
        <f t="shared" ca="1" si="53"/>
        <v>2.8886114468927948</v>
      </c>
      <c r="P150" s="44">
        <f t="shared" ca="1" si="54"/>
        <v>28.886114468927953</v>
      </c>
      <c r="Q150" s="44">
        <f t="shared" ca="1" si="55"/>
        <v>28.886114468927953</v>
      </c>
      <c r="R150" s="44">
        <f t="shared" ca="1" si="56"/>
        <v>2.8886114468927953</v>
      </c>
      <c r="S150" s="44">
        <f t="shared" ca="1" si="57"/>
        <v>2.8886114468927948</v>
      </c>
      <c r="T150" s="4">
        <f t="shared" ca="1" si="58"/>
        <v>0</v>
      </c>
      <c r="U150" s="120">
        <f t="shared" ca="1" si="59"/>
        <v>2007.7564194948757</v>
      </c>
      <c r="V150" s="4">
        <f t="shared" ca="1" si="60"/>
        <v>0</v>
      </c>
      <c r="W150" s="13">
        <f t="shared" ca="1" si="61"/>
        <v>38280.141000000003</v>
      </c>
      <c r="X150" s="4">
        <f t="shared" ca="1" si="62"/>
        <v>0</v>
      </c>
      <c r="Y150" s="4">
        <f t="shared" si="63"/>
        <v>0</v>
      </c>
      <c r="Z150" s="13">
        <f t="shared" ca="1" si="64"/>
        <v>38280.141000000003</v>
      </c>
      <c r="AA150" s="4">
        <f t="shared" ca="1" si="65"/>
        <v>0</v>
      </c>
      <c r="AE150" s="4"/>
    </row>
    <row r="151" spans="1:31">
      <c r="A151">
        <v>1</v>
      </c>
      <c r="B151">
        <v>0</v>
      </c>
      <c r="C151">
        <f t="shared" ca="1" si="44"/>
        <v>2</v>
      </c>
      <c r="D151">
        <f t="shared" ca="1" si="45"/>
        <v>1</v>
      </c>
      <c r="E151">
        <f t="shared" ca="1" si="46"/>
        <v>1</v>
      </c>
      <c r="F151" s="110">
        <f t="shared" ca="1" si="47"/>
        <v>4.8500000000000001E-2</v>
      </c>
      <c r="G151">
        <v>1</v>
      </c>
      <c r="H151">
        <v>1</v>
      </c>
      <c r="I151">
        <v>2</v>
      </c>
      <c r="J151" s="1">
        <f t="shared" ca="1" si="48"/>
        <v>0</v>
      </c>
      <c r="K151" s="1">
        <f t="shared" ca="1" si="49"/>
        <v>0</v>
      </c>
      <c r="L151" s="13">
        <f t="shared" ca="1" si="50"/>
        <v>500</v>
      </c>
      <c r="M151" s="7">
        <f t="shared" ca="1" si="51"/>
        <v>1000</v>
      </c>
      <c r="N151" s="26">
        <f t="shared" ca="1" si="52"/>
        <v>4</v>
      </c>
      <c r="O151" s="44">
        <f t="shared" ca="1" si="53"/>
        <v>2.8886114468927948</v>
      </c>
      <c r="P151" s="44">
        <f t="shared" ca="1" si="54"/>
        <v>28.886114468927953</v>
      </c>
      <c r="Q151" s="44">
        <f t="shared" ca="1" si="55"/>
        <v>28.886114468927953</v>
      </c>
      <c r="R151" s="44">
        <f t="shared" ca="1" si="56"/>
        <v>2.8886114468927953</v>
      </c>
      <c r="S151" s="44">
        <f t="shared" ca="1" si="57"/>
        <v>2.8886114468927948</v>
      </c>
      <c r="T151" s="4">
        <f t="shared" ca="1" si="58"/>
        <v>0</v>
      </c>
      <c r="U151" s="120">
        <f t="shared" ca="1" si="59"/>
        <v>1988.7564194948757</v>
      </c>
      <c r="V151" s="4">
        <f t="shared" ca="1" si="60"/>
        <v>0</v>
      </c>
      <c r="W151" s="13">
        <f t="shared" ca="1" si="61"/>
        <v>35851.266000000003</v>
      </c>
      <c r="X151" s="4">
        <f t="shared" ca="1" si="62"/>
        <v>0</v>
      </c>
      <c r="Y151" s="4">
        <f t="shared" si="63"/>
        <v>0</v>
      </c>
      <c r="Z151" s="13">
        <f t="shared" ca="1" si="64"/>
        <v>35851.266000000003</v>
      </c>
      <c r="AA151" s="4">
        <f t="shared" ca="1" si="65"/>
        <v>0</v>
      </c>
      <c r="AE151" s="4"/>
    </row>
    <row r="152" spans="1:31">
      <c r="A152">
        <v>1</v>
      </c>
      <c r="B152">
        <v>0</v>
      </c>
      <c r="C152">
        <f t="shared" ca="1" si="44"/>
        <v>2</v>
      </c>
      <c r="D152">
        <f t="shared" ca="1" si="45"/>
        <v>1</v>
      </c>
      <c r="E152">
        <f t="shared" ca="1" si="46"/>
        <v>1</v>
      </c>
      <c r="F152" s="110">
        <f t="shared" ca="1" si="47"/>
        <v>4.8500000000000001E-2</v>
      </c>
      <c r="G152">
        <v>1</v>
      </c>
      <c r="H152">
        <v>1</v>
      </c>
      <c r="I152">
        <v>1</v>
      </c>
      <c r="J152" s="1">
        <f t="shared" ca="1" si="48"/>
        <v>0</v>
      </c>
      <c r="K152" s="1">
        <f t="shared" ca="1" si="49"/>
        <v>0</v>
      </c>
      <c r="L152" s="13">
        <f t="shared" ca="1" si="50"/>
        <v>481</v>
      </c>
      <c r="M152" s="7">
        <f t="shared" ca="1" si="51"/>
        <v>1019</v>
      </c>
      <c r="N152" s="26">
        <f t="shared" ca="1" si="52"/>
        <v>4</v>
      </c>
      <c r="O152" s="44">
        <f t="shared" ca="1" si="53"/>
        <v>2.8886114468927948</v>
      </c>
      <c r="P152" s="44">
        <f t="shared" ca="1" si="54"/>
        <v>28.886114468927953</v>
      </c>
      <c r="Q152" s="44">
        <f t="shared" ca="1" si="55"/>
        <v>28.886114468927953</v>
      </c>
      <c r="R152" s="44">
        <f t="shared" ca="1" si="56"/>
        <v>2.8886114468927953</v>
      </c>
      <c r="S152" s="44">
        <f t="shared" ca="1" si="57"/>
        <v>2.8886114468927948</v>
      </c>
      <c r="T152" s="4">
        <f t="shared" ca="1" si="58"/>
        <v>0</v>
      </c>
      <c r="U152" s="120">
        <f t="shared" ca="1" si="59"/>
        <v>1969.7564194948757</v>
      </c>
      <c r="V152" s="4">
        <f t="shared" ca="1" si="60"/>
        <v>0</v>
      </c>
      <c r="W152" s="13">
        <f t="shared" ca="1" si="61"/>
        <v>33422.391000000003</v>
      </c>
      <c r="X152" s="4">
        <f t="shared" ca="1" si="62"/>
        <v>0</v>
      </c>
      <c r="Y152" s="4">
        <f t="shared" si="63"/>
        <v>0</v>
      </c>
      <c r="Z152" s="13">
        <f t="shared" ca="1" si="64"/>
        <v>33422.391000000003</v>
      </c>
      <c r="AA152" s="4">
        <f t="shared" ca="1" si="65"/>
        <v>0</v>
      </c>
      <c r="AE152" s="4"/>
    </row>
    <row r="153" spans="1:31">
      <c r="A153">
        <v>1</v>
      </c>
      <c r="B153">
        <v>0</v>
      </c>
      <c r="C153">
        <f t="shared" ca="1" si="44"/>
        <v>2</v>
      </c>
      <c r="D153">
        <f t="shared" ca="1" si="45"/>
        <v>1</v>
      </c>
      <c r="E153">
        <f t="shared" ca="1" si="46"/>
        <v>1</v>
      </c>
      <c r="F153" s="110">
        <f t="shared" ca="1" si="47"/>
        <v>4.8500000000000001E-2</v>
      </c>
      <c r="G153">
        <v>1</v>
      </c>
      <c r="H153">
        <v>1</v>
      </c>
      <c r="I153">
        <v>0</v>
      </c>
      <c r="J153" s="1">
        <f t="shared" ca="1" si="48"/>
        <v>0</v>
      </c>
      <c r="K153" s="1">
        <f t="shared" ca="1" si="49"/>
        <v>0</v>
      </c>
      <c r="L153" s="13">
        <f t="shared" ca="1" si="50"/>
        <v>462</v>
      </c>
      <c r="M153" s="7">
        <f t="shared" ca="1" si="51"/>
        <v>1038</v>
      </c>
      <c r="N153" s="26">
        <f t="shared" ca="1" si="52"/>
        <v>4</v>
      </c>
      <c r="O153" s="44">
        <f t="shared" ca="1" si="53"/>
        <v>2.8886114468927948</v>
      </c>
      <c r="P153" s="44">
        <f t="shared" ca="1" si="54"/>
        <v>28.886114468927953</v>
      </c>
      <c r="Q153" s="44">
        <f t="shared" ca="1" si="55"/>
        <v>28.886114468927953</v>
      </c>
      <c r="R153" s="44">
        <f t="shared" ca="1" si="56"/>
        <v>2.8886114468927953</v>
      </c>
      <c r="S153" s="44">
        <f t="shared" ca="1" si="57"/>
        <v>2.8886114468927948</v>
      </c>
      <c r="T153" s="4">
        <f t="shared" ca="1" si="58"/>
        <v>0</v>
      </c>
      <c r="U153" s="120">
        <f t="shared" ca="1" si="59"/>
        <v>1950.7564194948757</v>
      </c>
      <c r="V153" s="4">
        <f t="shared" ca="1" si="60"/>
        <v>0</v>
      </c>
      <c r="W153" s="13">
        <f t="shared" ca="1" si="61"/>
        <v>30993.516000000003</v>
      </c>
      <c r="X153" s="4">
        <f t="shared" ca="1" si="62"/>
        <v>0</v>
      </c>
      <c r="Y153" s="4">
        <f t="shared" si="63"/>
        <v>0</v>
      </c>
      <c r="Z153" s="13">
        <f t="shared" ca="1" si="64"/>
        <v>30993.516000000003</v>
      </c>
      <c r="AA153" s="4">
        <f t="shared" ca="1" si="65"/>
        <v>0</v>
      </c>
      <c r="AE153" s="4"/>
    </row>
    <row r="154" spans="1:31">
      <c r="A154">
        <v>1</v>
      </c>
      <c r="B154">
        <v>0</v>
      </c>
      <c r="C154">
        <f t="shared" ca="1" si="44"/>
        <v>2</v>
      </c>
      <c r="D154">
        <f t="shared" ca="1" si="45"/>
        <v>1</v>
      </c>
      <c r="E154">
        <f t="shared" ca="1" si="46"/>
        <v>1</v>
      </c>
      <c r="F154" s="110">
        <f t="shared" ca="1" si="47"/>
        <v>4.8500000000000001E-2</v>
      </c>
      <c r="G154">
        <v>1</v>
      </c>
      <c r="H154">
        <v>0</v>
      </c>
      <c r="I154">
        <v>7</v>
      </c>
      <c r="J154" s="1">
        <f t="shared" ca="1" si="48"/>
        <v>0</v>
      </c>
      <c r="K154" s="1">
        <f t="shared" ca="1" si="49"/>
        <v>0</v>
      </c>
      <c r="L154" s="13">
        <f t="shared" ca="1" si="50"/>
        <v>364</v>
      </c>
      <c r="M154" s="7">
        <f t="shared" ca="1" si="51"/>
        <v>1136</v>
      </c>
      <c r="N154" s="26">
        <f t="shared" ca="1" si="52"/>
        <v>5</v>
      </c>
      <c r="O154" s="44">
        <f t="shared" ca="1" si="53"/>
        <v>3.5346387789404914</v>
      </c>
      <c r="P154" s="44">
        <f t="shared" ca="1" si="54"/>
        <v>35.346387789404908</v>
      </c>
      <c r="Q154" s="44">
        <f t="shared" ca="1" si="55"/>
        <v>34.700360457357213</v>
      </c>
      <c r="R154" s="44">
        <f t="shared" ca="1" si="56"/>
        <v>3.5023374123381061</v>
      </c>
      <c r="S154" s="44">
        <f t="shared" ca="1" si="57"/>
        <v>3.532377683278324</v>
      </c>
      <c r="T154" s="4">
        <f t="shared" ca="1" si="58"/>
        <v>0</v>
      </c>
      <c r="U154" s="120">
        <f t="shared" ca="1" si="59"/>
        <v>2135.4497774977995</v>
      </c>
      <c r="V154" s="4">
        <f t="shared" ca="1" si="60"/>
        <v>0</v>
      </c>
      <c r="W154" s="13">
        <f t="shared" ca="1" si="61"/>
        <v>47995.641000000003</v>
      </c>
      <c r="X154" s="4">
        <f t="shared" ca="1" si="62"/>
        <v>0</v>
      </c>
      <c r="Y154" s="4">
        <f t="shared" si="63"/>
        <v>0</v>
      </c>
      <c r="Z154" s="13">
        <f t="shared" ca="1" si="64"/>
        <v>47995.641000000003</v>
      </c>
      <c r="AA154" s="4">
        <f t="shared" ca="1" si="65"/>
        <v>0</v>
      </c>
      <c r="AE154" s="4"/>
    </row>
    <row r="155" spans="1:31">
      <c r="A155">
        <v>1</v>
      </c>
      <c r="B155">
        <v>0</v>
      </c>
      <c r="C155">
        <f t="shared" ca="1" si="44"/>
        <v>2</v>
      </c>
      <c r="D155">
        <f t="shared" ca="1" si="45"/>
        <v>1</v>
      </c>
      <c r="E155">
        <f t="shared" ca="1" si="46"/>
        <v>1</v>
      </c>
      <c r="F155" s="110">
        <f t="shared" ca="1" si="47"/>
        <v>4.8500000000000001E-2</v>
      </c>
      <c r="G155">
        <v>1</v>
      </c>
      <c r="H155">
        <v>0</v>
      </c>
      <c r="I155">
        <v>6</v>
      </c>
      <c r="J155" s="1">
        <f t="shared" ca="1" si="48"/>
        <v>0</v>
      </c>
      <c r="K155" s="1">
        <f t="shared" ca="1" si="49"/>
        <v>0</v>
      </c>
      <c r="L155" s="13">
        <f t="shared" ca="1" si="50"/>
        <v>345</v>
      </c>
      <c r="M155" s="7">
        <f t="shared" ca="1" si="51"/>
        <v>1155</v>
      </c>
      <c r="N155" s="26">
        <f t="shared" ca="1" si="52"/>
        <v>5</v>
      </c>
      <c r="O155" s="44">
        <f t="shared" ca="1" si="53"/>
        <v>3.5346387789404914</v>
      </c>
      <c r="P155" s="44">
        <f t="shared" ca="1" si="54"/>
        <v>35.346387789404908</v>
      </c>
      <c r="Q155" s="44">
        <f t="shared" ca="1" si="55"/>
        <v>35.346387789404908</v>
      </c>
      <c r="R155" s="44">
        <f t="shared" ca="1" si="56"/>
        <v>3.5346387789404909</v>
      </c>
      <c r="S155" s="44">
        <f t="shared" ca="1" si="57"/>
        <v>3.5346387789404914</v>
      </c>
      <c r="T155" s="4">
        <f t="shared" ca="1" si="58"/>
        <v>0</v>
      </c>
      <c r="U155" s="120">
        <f t="shared" ca="1" si="59"/>
        <v>2117.4426794074939</v>
      </c>
      <c r="V155" s="4">
        <f t="shared" ca="1" si="60"/>
        <v>0</v>
      </c>
      <c r="W155" s="13">
        <f t="shared" ca="1" si="61"/>
        <v>45566.766000000003</v>
      </c>
      <c r="X155" s="4">
        <f t="shared" ca="1" si="62"/>
        <v>0</v>
      </c>
      <c r="Y155" s="4">
        <f t="shared" si="63"/>
        <v>0</v>
      </c>
      <c r="Z155" s="13">
        <f t="shared" ca="1" si="64"/>
        <v>45566.766000000003</v>
      </c>
      <c r="AA155" s="4">
        <f t="shared" ca="1" si="65"/>
        <v>0</v>
      </c>
      <c r="AE155" s="4"/>
    </row>
    <row r="156" spans="1:31">
      <c r="A156">
        <v>1</v>
      </c>
      <c r="B156">
        <v>0</v>
      </c>
      <c r="C156">
        <f t="shared" ca="1" si="44"/>
        <v>2</v>
      </c>
      <c r="D156">
        <f t="shared" ca="1" si="45"/>
        <v>1</v>
      </c>
      <c r="E156">
        <f t="shared" ca="1" si="46"/>
        <v>1</v>
      </c>
      <c r="F156" s="110">
        <f t="shared" ca="1" si="47"/>
        <v>4.8500000000000001E-2</v>
      </c>
      <c r="G156">
        <v>1</v>
      </c>
      <c r="H156">
        <v>0</v>
      </c>
      <c r="I156">
        <v>5</v>
      </c>
      <c r="J156" s="1">
        <f t="shared" ca="1" si="48"/>
        <v>0</v>
      </c>
      <c r="K156" s="1">
        <f t="shared" ca="1" si="49"/>
        <v>0</v>
      </c>
      <c r="L156" s="13">
        <f t="shared" ca="1" si="50"/>
        <v>326</v>
      </c>
      <c r="M156" s="7">
        <f t="shared" ca="1" si="51"/>
        <v>1174</v>
      </c>
      <c r="N156" s="26">
        <f t="shared" ca="1" si="52"/>
        <v>5</v>
      </c>
      <c r="O156" s="44">
        <f t="shared" ca="1" si="53"/>
        <v>3.5346387789404914</v>
      </c>
      <c r="P156" s="44">
        <f t="shared" ca="1" si="54"/>
        <v>35.346387789404908</v>
      </c>
      <c r="Q156" s="44">
        <f t="shared" ca="1" si="55"/>
        <v>35.346387789404908</v>
      </c>
      <c r="R156" s="44">
        <f t="shared" ca="1" si="56"/>
        <v>3.5346387789404909</v>
      </c>
      <c r="S156" s="44">
        <f t="shared" ca="1" si="57"/>
        <v>3.5346387789404914</v>
      </c>
      <c r="T156" s="4">
        <f t="shared" ca="1" si="58"/>
        <v>0</v>
      </c>
      <c r="U156" s="120">
        <f t="shared" ca="1" si="59"/>
        <v>2098.4426794074939</v>
      </c>
      <c r="V156" s="4">
        <f t="shared" ca="1" si="60"/>
        <v>0</v>
      </c>
      <c r="W156" s="13">
        <f t="shared" ca="1" si="61"/>
        <v>43137.891000000003</v>
      </c>
      <c r="X156" s="4">
        <f t="shared" ca="1" si="62"/>
        <v>0</v>
      </c>
      <c r="Y156" s="4">
        <f t="shared" si="63"/>
        <v>0</v>
      </c>
      <c r="Z156" s="13">
        <f t="shared" ca="1" si="64"/>
        <v>43137.891000000003</v>
      </c>
      <c r="AA156" s="4">
        <f t="shared" ca="1" si="65"/>
        <v>0</v>
      </c>
      <c r="AE156" s="4"/>
    </row>
    <row r="157" spans="1:31">
      <c r="A157">
        <v>1</v>
      </c>
      <c r="B157">
        <v>0</v>
      </c>
      <c r="C157">
        <f t="shared" ca="1" si="44"/>
        <v>2</v>
      </c>
      <c r="D157">
        <f t="shared" ca="1" si="45"/>
        <v>1</v>
      </c>
      <c r="E157">
        <f t="shared" ca="1" si="46"/>
        <v>1</v>
      </c>
      <c r="F157" s="110">
        <f t="shared" ca="1" si="47"/>
        <v>4.8500000000000001E-2</v>
      </c>
      <c r="G157">
        <v>1</v>
      </c>
      <c r="H157">
        <v>0</v>
      </c>
      <c r="I157">
        <v>4</v>
      </c>
      <c r="J157" s="1">
        <f t="shared" ca="1" si="48"/>
        <v>0</v>
      </c>
      <c r="K157" s="1">
        <f t="shared" ca="1" si="49"/>
        <v>0</v>
      </c>
      <c r="L157" s="13">
        <f t="shared" ca="1" si="50"/>
        <v>307</v>
      </c>
      <c r="M157" s="7">
        <f t="shared" ca="1" si="51"/>
        <v>1193</v>
      </c>
      <c r="N157" s="26">
        <f t="shared" ca="1" si="52"/>
        <v>5</v>
      </c>
      <c r="O157" s="44">
        <f t="shared" ca="1" si="53"/>
        <v>3.5346387789404914</v>
      </c>
      <c r="P157" s="44">
        <f t="shared" ca="1" si="54"/>
        <v>35.346387789404908</v>
      </c>
      <c r="Q157" s="44">
        <f t="shared" ca="1" si="55"/>
        <v>35.346387789404908</v>
      </c>
      <c r="R157" s="44">
        <f t="shared" ca="1" si="56"/>
        <v>3.5346387789404909</v>
      </c>
      <c r="S157" s="44">
        <f t="shared" ca="1" si="57"/>
        <v>3.5346387789404914</v>
      </c>
      <c r="T157" s="4">
        <f t="shared" ca="1" si="58"/>
        <v>0</v>
      </c>
      <c r="U157" s="120">
        <f t="shared" ca="1" si="59"/>
        <v>2079.4426794074939</v>
      </c>
      <c r="V157" s="4">
        <f t="shared" ca="1" si="60"/>
        <v>0</v>
      </c>
      <c r="W157" s="13">
        <f t="shared" ca="1" si="61"/>
        <v>40709.016000000003</v>
      </c>
      <c r="X157" s="4">
        <f t="shared" ca="1" si="62"/>
        <v>0</v>
      </c>
      <c r="Y157" s="4">
        <f t="shared" si="63"/>
        <v>0</v>
      </c>
      <c r="Z157" s="13">
        <f t="shared" ca="1" si="64"/>
        <v>40709.016000000003</v>
      </c>
      <c r="AA157" s="4">
        <f t="shared" ca="1" si="65"/>
        <v>0</v>
      </c>
      <c r="AE157" s="4"/>
    </row>
    <row r="158" spans="1:31">
      <c r="A158">
        <v>1</v>
      </c>
      <c r="B158">
        <v>0</v>
      </c>
      <c r="C158">
        <f t="shared" ca="1" si="44"/>
        <v>2</v>
      </c>
      <c r="D158">
        <f t="shared" ca="1" si="45"/>
        <v>1</v>
      </c>
      <c r="E158">
        <f t="shared" ca="1" si="46"/>
        <v>1</v>
      </c>
      <c r="F158" s="110">
        <f t="shared" ca="1" si="47"/>
        <v>4.8500000000000001E-2</v>
      </c>
      <c r="G158">
        <v>1</v>
      </c>
      <c r="H158">
        <v>0</v>
      </c>
      <c r="I158">
        <v>3</v>
      </c>
      <c r="J158" s="1">
        <f t="shared" ca="1" si="48"/>
        <v>0</v>
      </c>
      <c r="K158" s="1">
        <f t="shared" ca="1" si="49"/>
        <v>0</v>
      </c>
      <c r="L158" s="13">
        <f t="shared" ca="1" si="50"/>
        <v>288</v>
      </c>
      <c r="M158" s="7">
        <f t="shared" ca="1" si="51"/>
        <v>1212</v>
      </c>
      <c r="N158" s="26">
        <f t="shared" ca="1" si="52"/>
        <v>5</v>
      </c>
      <c r="O158" s="44">
        <f t="shared" ca="1" si="53"/>
        <v>3.5346387789404914</v>
      </c>
      <c r="P158" s="44">
        <f t="shared" ca="1" si="54"/>
        <v>35.346387789404908</v>
      </c>
      <c r="Q158" s="44">
        <f t="shared" ca="1" si="55"/>
        <v>35.346387789404908</v>
      </c>
      <c r="R158" s="44">
        <f t="shared" ca="1" si="56"/>
        <v>3.5346387789404909</v>
      </c>
      <c r="S158" s="44">
        <f t="shared" ca="1" si="57"/>
        <v>3.5346387789404914</v>
      </c>
      <c r="T158" s="4">
        <f t="shared" ca="1" si="58"/>
        <v>0</v>
      </c>
      <c r="U158" s="120">
        <f t="shared" ca="1" si="59"/>
        <v>2060.4426794074939</v>
      </c>
      <c r="V158" s="4">
        <f t="shared" ca="1" si="60"/>
        <v>0</v>
      </c>
      <c r="W158" s="13">
        <f t="shared" ca="1" si="61"/>
        <v>38280.141000000003</v>
      </c>
      <c r="X158" s="4">
        <f t="shared" ca="1" si="62"/>
        <v>0</v>
      </c>
      <c r="Y158" s="4">
        <f t="shared" si="63"/>
        <v>0</v>
      </c>
      <c r="Z158" s="13">
        <f t="shared" ca="1" si="64"/>
        <v>38280.141000000003</v>
      </c>
      <c r="AA158" s="4">
        <f t="shared" ca="1" si="65"/>
        <v>0</v>
      </c>
      <c r="AE158" s="4"/>
    </row>
    <row r="159" spans="1:31">
      <c r="A159">
        <v>1</v>
      </c>
      <c r="B159">
        <v>0</v>
      </c>
      <c r="C159">
        <f t="shared" ca="1" si="44"/>
        <v>2</v>
      </c>
      <c r="D159">
        <f t="shared" ca="1" si="45"/>
        <v>1</v>
      </c>
      <c r="E159">
        <f t="shared" ca="1" si="46"/>
        <v>1</v>
      </c>
      <c r="F159" s="110">
        <f t="shared" ca="1" si="47"/>
        <v>4.8500000000000001E-2</v>
      </c>
      <c r="G159">
        <v>1</v>
      </c>
      <c r="H159">
        <v>0</v>
      </c>
      <c r="I159">
        <v>2</v>
      </c>
      <c r="J159" s="1">
        <f t="shared" ca="1" si="48"/>
        <v>0</v>
      </c>
      <c r="K159" s="1">
        <f t="shared" ca="1" si="49"/>
        <v>0</v>
      </c>
      <c r="L159" s="13">
        <f t="shared" ca="1" si="50"/>
        <v>269</v>
      </c>
      <c r="M159" s="7">
        <f t="shared" ca="1" si="51"/>
        <v>1231</v>
      </c>
      <c r="N159" s="26">
        <f t="shared" ca="1" si="52"/>
        <v>5</v>
      </c>
      <c r="O159" s="44">
        <f t="shared" ca="1" si="53"/>
        <v>3.5346387789404914</v>
      </c>
      <c r="P159" s="44">
        <f t="shared" ca="1" si="54"/>
        <v>35.346387789404908</v>
      </c>
      <c r="Q159" s="44">
        <f t="shared" ca="1" si="55"/>
        <v>35.346387789404908</v>
      </c>
      <c r="R159" s="44">
        <f t="shared" ca="1" si="56"/>
        <v>3.5346387789404909</v>
      </c>
      <c r="S159" s="44">
        <f t="shared" ca="1" si="57"/>
        <v>3.5346387789404914</v>
      </c>
      <c r="T159" s="4">
        <f t="shared" ca="1" si="58"/>
        <v>0</v>
      </c>
      <c r="U159" s="120">
        <f t="shared" ca="1" si="59"/>
        <v>2041.4426794074936</v>
      </c>
      <c r="V159" s="4">
        <f t="shared" ca="1" si="60"/>
        <v>0</v>
      </c>
      <c r="W159" s="13">
        <f t="shared" ca="1" si="61"/>
        <v>35851.266000000003</v>
      </c>
      <c r="X159" s="4">
        <f t="shared" ca="1" si="62"/>
        <v>0</v>
      </c>
      <c r="Y159" s="4">
        <f t="shared" si="63"/>
        <v>0</v>
      </c>
      <c r="Z159" s="13">
        <f t="shared" ca="1" si="64"/>
        <v>35851.266000000003</v>
      </c>
      <c r="AA159" s="4">
        <f t="shared" ca="1" si="65"/>
        <v>0</v>
      </c>
      <c r="AE159" s="4"/>
    </row>
    <row r="160" spans="1:31">
      <c r="A160">
        <v>1</v>
      </c>
      <c r="B160">
        <v>0</v>
      </c>
      <c r="C160">
        <f t="shared" ca="1" si="44"/>
        <v>2</v>
      </c>
      <c r="D160">
        <f t="shared" ca="1" si="45"/>
        <v>1</v>
      </c>
      <c r="E160">
        <f t="shared" ca="1" si="46"/>
        <v>1</v>
      </c>
      <c r="F160" s="110">
        <f t="shared" ca="1" si="47"/>
        <v>4.8500000000000001E-2</v>
      </c>
      <c r="G160">
        <v>1</v>
      </c>
      <c r="H160">
        <v>0</v>
      </c>
      <c r="I160">
        <v>1</v>
      </c>
      <c r="J160" s="1">
        <f t="shared" ca="1" si="48"/>
        <v>0.90249999999999997</v>
      </c>
      <c r="K160" s="1">
        <f t="shared" ca="1" si="49"/>
        <v>4.3771249999999998E-2</v>
      </c>
      <c r="L160" s="13">
        <f t="shared" ca="1" si="50"/>
        <v>250</v>
      </c>
      <c r="M160" s="7">
        <f t="shared" ca="1" si="51"/>
        <v>1250</v>
      </c>
      <c r="N160" s="26">
        <f t="shared" ca="1" si="52"/>
        <v>5</v>
      </c>
      <c r="O160" s="44">
        <f t="shared" ca="1" si="53"/>
        <v>3.5346387789404914</v>
      </c>
      <c r="P160" s="44">
        <f t="shared" ca="1" si="54"/>
        <v>35.346387789404908</v>
      </c>
      <c r="Q160" s="44">
        <f t="shared" ca="1" si="55"/>
        <v>35.346387789404908</v>
      </c>
      <c r="R160" s="44">
        <f t="shared" ca="1" si="56"/>
        <v>3.5346387789404909</v>
      </c>
      <c r="S160" s="44">
        <f t="shared" ca="1" si="57"/>
        <v>3.5346387789404914</v>
      </c>
      <c r="T160" s="4">
        <f t="shared" ca="1" si="58"/>
        <v>0.15471555765269898</v>
      </c>
      <c r="U160" s="120">
        <f t="shared" ca="1" si="59"/>
        <v>2022.4426794074936</v>
      </c>
      <c r="V160" s="4">
        <f t="shared" ca="1" si="60"/>
        <v>88.524844131015257</v>
      </c>
      <c r="W160" s="13">
        <f t="shared" ca="1" si="61"/>
        <v>33422.391000000003</v>
      </c>
      <c r="X160" s="4">
        <f t="shared" ca="1" si="62"/>
        <v>1462.93983205875</v>
      </c>
      <c r="Y160" s="4">
        <f t="shared" si="63"/>
        <v>0</v>
      </c>
      <c r="Z160" s="13">
        <f t="shared" ca="1" si="64"/>
        <v>33422.391000000003</v>
      </c>
      <c r="AA160" s="4">
        <f t="shared" ca="1" si="65"/>
        <v>1462.93983205875</v>
      </c>
      <c r="AE160" s="4"/>
    </row>
    <row r="161" spans="1:31">
      <c r="A161">
        <v>1</v>
      </c>
      <c r="B161">
        <v>0</v>
      </c>
      <c r="C161">
        <f t="shared" ca="1" si="44"/>
        <v>2</v>
      </c>
      <c r="D161">
        <f t="shared" ca="1" si="45"/>
        <v>1</v>
      </c>
      <c r="E161">
        <f t="shared" ca="1" si="46"/>
        <v>1</v>
      </c>
      <c r="F161" s="110">
        <f t="shared" ca="1" si="47"/>
        <v>4.8500000000000001E-2</v>
      </c>
      <c r="G161">
        <v>1</v>
      </c>
      <c r="H161">
        <v>0</v>
      </c>
      <c r="I161">
        <v>0</v>
      </c>
      <c r="J161" s="1">
        <f t="shared" ca="1" si="48"/>
        <v>4.7500000000000042E-2</v>
      </c>
      <c r="K161" s="1">
        <f t="shared" ca="1" si="49"/>
        <v>2.303750000000002E-3</v>
      </c>
      <c r="L161" s="13">
        <f t="shared" ca="1" si="50"/>
        <v>231</v>
      </c>
      <c r="M161" s="7">
        <f t="shared" ca="1" si="51"/>
        <v>1269</v>
      </c>
      <c r="N161" s="26">
        <f t="shared" ca="1" si="52"/>
        <v>5</v>
      </c>
      <c r="O161" s="44">
        <f t="shared" ca="1" si="53"/>
        <v>3.5346387789404914</v>
      </c>
      <c r="P161" s="44">
        <f t="shared" ca="1" si="54"/>
        <v>35.346387789404908</v>
      </c>
      <c r="Q161" s="44">
        <f t="shared" ca="1" si="55"/>
        <v>35.346387789404908</v>
      </c>
      <c r="R161" s="44">
        <f t="shared" ca="1" si="56"/>
        <v>3.5346387789404909</v>
      </c>
      <c r="S161" s="44">
        <f t="shared" ca="1" si="57"/>
        <v>3.5346387789404914</v>
      </c>
      <c r="T161" s="4">
        <f t="shared" ca="1" si="58"/>
        <v>8.142924086984164E-3</v>
      </c>
      <c r="U161" s="120">
        <f t="shared" ca="1" si="59"/>
        <v>2003.4426794074936</v>
      </c>
      <c r="V161" s="4">
        <f t="shared" ca="1" si="60"/>
        <v>4.6154310726850172</v>
      </c>
      <c r="W161" s="13">
        <f t="shared" ca="1" si="61"/>
        <v>30993.516000000003</v>
      </c>
      <c r="X161" s="4">
        <f t="shared" ca="1" si="62"/>
        <v>71.401312485000062</v>
      </c>
      <c r="Y161" s="4">
        <f t="shared" si="63"/>
        <v>0</v>
      </c>
      <c r="Z161" s="13">
        <f t="shared" ca="1" si="64"/>
        <v>30993.516000000003</v>
      </c>
      <c r="AA161" s="4">
        <f t="shared" ca="1" si="65"/>
        <v>71.401312485000062</v>
      </c>
      <c r="AE161" s="4"/>
    </row>
    <row r="162" spans="1:31">
      <c r="A162">
        <v>1</v>
      </c>
      <c r="B162">
        <v>0</v>
      </c>
      <c r="C162">
        <f t="shared" ca="1" si="44"/>
        <v>2</v>
      </c>
      <c r="D162">
        <f t="shared" ca="1" si="45"/>
        <v>1</v>
      </c>
      <c r="E162">
        <f t="shared" ca="1" si="46"/>
        <v>1</v>
      </c>
      <c r="F162" s="110">
        <f t="shared" ca="1" si="47"/>
        <v>4.8500000000000001E-2</v>
      </c>
      <c r="G162">
        <v>0</v>
      </c>
      <c r="H162">
        <v>1</v>
      </c>
      <c r="I162">
        <v>7</v>
      </c>
      <c r="J162" s="1">
        <f t="shared" ca="1" si="48"/>
        <v>0</v>
      </c>
      <c r="K162" s="1">
        <f t="shared" ca="1" si="49"/>
        <v>0</v>
      </c>
      <c r="L162" s="13">
        <f t="shared" ca="1" si="50"/>
        <v>364</v>
      </c>
      <c r="M162" s="7">
        <f t="shared" ca="1" si="51"/>
        <v>1136</v>
      </c>
      <c r="N162" s="26">
        <f t="shared" ca="1" si="52"/>
        <v>5</v>
      </c>
      <c r="O162" s="44">
        <f t="shared" ca="1" si="53"/>
        <v>3.5346387789404914</v>
      </c>
      <c r="P162" s="44">
        <f t="shared" ca="1" si="54"/>
        <v>35.346387789404908</v>
      </c>
      <c r="Q162" s="44">
        <f t="shared" ca="1" si="55"/>
        <v>34.700360457357213</v>
      </c>
      <c r="R162" s="44">
        <f t="shared" ca="1" si="56"/>
        <v>3.5023374123381061</v>
      </c>
      <c r="S162" s="44">
        <f t="shared" ca="1" si="57"/>
        <v>3.532377683278324</v>
      </c>
      <c r="T162" s="4">
        <f t="shared" ca="1" si="58"/>
        <v>0</v>
      </c>
      <c r="U162" s="120">
        <f t="shared" ca="1" si="59"/>
        <v>2135.4497774977995</v>
      </c>
      <c r="V162" s="4">
        <f t="shared" ca="1" si="60"/>
        <v>0</v>
      </c>
      <c r="W162" s="13">
        <f t="shared" ca="1" si="61"/>
        <v>17002.125</v>
      </c>
      <c r="X162" s="4">
        <f t="shared" ca="1" si="62"/>
        <v>0</v>
      </c>
      <c r="Y162" s="4">
        <f t="shared" si="63"/>
        <v>0</v>
      </c>
      <c r="Z162" s="13">
        <f t="shared" ca="1" si="64"/>
        <v>17002.125</v>
      </c>
      <c r="AA162" s="4">
        <f t="shared" ca="1" si="65"/>
        <v>0</v>
      </c>
      <c r="AE162" s="4"/>
    </row>
    <row r="163" spans="1:31">
      <c r="A163">
        <v>1</v>
      </c>
      <c r="B163">
        <v>0</v>
      </c>
      <c r="C163">
        <f t="shared" ca="1" si="44"/>
        <v>2</v>
      </c>
      <c r="D163">
        <f t="shared" ca="1" si="45"/>
        <v>1</v>
      </c>
      <c r="E163">
        <f t="shared" ca="1" si="46"/>
        <v>1</v>
      </c>
      <c r="F163" s="110">
        <f t="shared" ca="1" si="47"/>
        <v>4.8500000000000001E-2</v>
      </c>
      <c r="G163">
        <v>0</v>
      </c>
      <c r="H163">
        <v>1</v>
      </c>
      <c r="I163">
        <v>6</v>
      </c>
      <c r="J163" s="1">
        <f t="shared" ca="1" si="48"/>
        <v>0</v>
      </c>
      <c r="K163" s="1">
        <f t="shared" ca="1" si="49"/>
        <v>0</v>
      </c>
      <c r="L163" s="13">
        <f t="shared" ca="1" si="50"/>
        <v>345</v>
      </c>
      <c r="M163" s="7">
        <f t="shared" ca="1" si="51"/>
        <v>1155</v>
      </c>
      <c r="N163" s="26">
        <f t="shared" ca="1" si="52"/>
        <v>5</v>
      </c>
      <c r="O163" s="44">
        <f t="shared" ca="1" si="53"/>
        <v>3.5346387789404914</v>
      </c>
      <c r="P163" s="44">
        <f t="shared" ca="1" si="54"/>
        <v>35.346387789404908</v>
      </c>
      <c r="Q163" s="44">
        <f t="shared" ca="1" si="55"/>
        <v>35.346387789404908</v>
      </c>
      <c r="R163" s="44">
        <f t="shared" ca="1" si="56"/>
        <v>3.5346387789404909</v>
      </c>
      <c r="S163" s="44">
        <f t="shared" ca="1" si="57"/>
        <v>3.5346387789404914</v>
      </c>
      <c r="T163" s="4">
        <f t="shared" ca="1" si="58"/>
        <v>0</v>
      </c>
      <c r="U163" s="120">
        <f t="shared" ca="1" si="59"/>
        <v>2117.4426794074939</v>
      </c>
      <c r="V163" s="4">
        <f t="shared" ca="1" si="60"/>
        <v>0</v>
      </c>
      <c r="W163" s="13">
        <f t="shared" ca="1" si="61"/>
        <v>14573.25</v>
      </c>
      <c r="X163" s="4">
        <f t="shared" ca="1" si="62"/>
        <v>0</v>
      </c>
      <c r="Y163" s="4">
        <f t="shared" si="63"/>
        <v>0</v>
      </c>
      <c r="Z163" s="13">
        <f t="shared" ca="1" si="64"/>
        <v>14573.25</v>
      </c>
      <c r="AA163" s="4">
        <f t="shared" ca="1" si="65"/>
        <v>0</v>
      </c>
      <c r="AE163" s="4"/>
    </row>
    <row r="164" spans="1:31">
      <c r="A164">
        <v>1</v>
      </c>
      <c r="B164">
        <v>0</v>
      </c>
      <c r="C164">
        <f t="shared" ca="1" si="44"/>
        <v>2</v>
      </c>
      <c r="D164">
        <f t="shared" ca="1" si="45"/>
        <v>1</v>
      </c>
      <c r="E164">
        <f t="shared" ca="1" si="46"/>
        <v>1</v>
      </c>
      <c r="F164" s="110">
        <f t="shared" ca="1" si="47"/>
        <v>4.8500000000000001E-2</v>
      </c>
      <c r="G164">
        <v>0</v>
      </c>
      <c r="H164">
        <v>1</v>
      </c>
      <c r="I164">
        <v>5</v>
      </c>
      <c r="J164" s="1">
        <f t="shared" ca="1" si="48"/>
        <v>0</v>
      </c>
      <c r="K164" s="1">
        <f t="shared" ca="1" si="49"/>
        <v>0</v>
      </c>
      <c r="L164" s="13">
        <f t="shared" ca="1" si="50"/>
        <v>326</v>
      </c>
      <c r="M164" s="7">
        <f t="shared" ca="1" si="51"/>
        <v>1174</v>
      </c>
      <c r="N164" s="26">
        <f t="shared" ca="1" si="52"/>
        <v>5</v>
      </c>
      <c r="O164" s="44">
        <f t="shared" ca="1" si="53"/>
        <v>3.5346387789404914</v>
      </c>
      <c r="P164" s="44">
        <f t="shared" ca="1" si="54"/>
        <v>35.346387789404908</v>
      </c>
      <c r="Q164" s="44">
        <f t="shared" ca="1" si="55"/>
        <v>35.346387789404908</v>
      </c>
      <c r="R164" s="44">
        <f t="shared" ca="1" si="56"/>
        <v>3.5346387789404909</v>
      </c>
      <c r="S164" s="44">
        <f t="shared" ca="1" si="57"/>
        <v>3.5346387789404914</v>
      </c>
      <c r="T164" s="4">
        <f t="shared" ca="1" si="58"/>
        <v>0</v>
      </c>
      <c r="U164" s="120">
        <f t="shared" ca="1" si="59"/>
        <v>2098.4426794074939</v>
      </c>
      <c r="V164" s="4">
        <f t="shared" ca="1" si="60"/>
        <v>0</v>
      </c>
      <c r="W164" s="13">
        <f t="shared" ca="1" si="61"/>
        <v>12144.375</v>
      </c>
      <c r="X164" s="4">
        <f t="shared" ca="1" si="62"/>
        <v>0</v>
      </c>
      <c r="Y164" s="4">
        <f t="shared" si="63"/>
        <v>0</v>
      </c>
      <c r="Z164" s="13">
        <f t="shared" ca="1" si="64"/>
        <v>12144.375</v>
      </c>
      <c r="AA164" s="4">
        <f t="shared" ca="1" si="65"/>
        <v>0</v>
      </c>
      <c r="AE164" s="4"/>
    </row>
    <row r="165" spans="1:31">
      <c r="A165">
        <v>1</v>
      </c>
      <c r="B165">
        <v>0</v>
      </c>
      <c r="C165">
        <f t="shared" ca="1" si="44"/>
        <v>2</v>
      </c>
      <c r="D165">
        <f t="shared" ca="1" si="45"/>
        <v>1</v>
      </c>
      <c r="E165">
        <f t="shared" ca="1" si="46"/>
        <v>1</v>
      </c>
      <c r="F165" s="110">
        <f t="shared" ca="1" si="47"/>
        <v>4.8500000000000001E-2</v>
      </c>
      <c r="G165">
        <v>0</v>
      </c>
      <c r="H165">
        <v>1</v>
      </c>
      <c r="I165">
        <v>4</v>
      </c>
      <c r="J165" s="1">
        <f t="shared" ca="1" si="48"/>
        <v>0</v>
      </c>
      <c r="K165" s="1">
        <f t="shared" ca="1" si="49"/>
        <v>0</v>
      </c>
      <c r="L165" s="13">
        <f t="shared" ca="1" si="50"/>
        <v>307</v>
      </c>
      <c r="M165" s="7">
        <f t="shared" ca="1" si="51"/>
        <v>1193</v>
      </c>
      <c r="N165" s="26">
        <f t="shared" ca="1" si="52"/>
        <v>5</v>
      </c>
      <c r="O165" s="44">
        <f t="shared" ca="1" si="53"/>
        <v>3.5346387789404914</v>
      </c>
      <c r="P165" s="44">
        <f t="shared" ca="1" si="54"/>
        <v>35.346387789404908</v>
      </c>
      <c r="Q165" s="44">
        <f t="shared" ca="1" si="55"/>
        <v>35.346387789404908</v>
      </c>
      <c r="R165" s="44">
        <f t="shared" ca="1" si="56"/>
        <v>3.5346387789404909</v>
      </c>
      <c r="S165" s="44">
        <f t="shared" ca="1" si="57"/>
        <v>3.5346387789404914</v>
      </c>
      <c r="T165" s="4">
        <f t="shared" ca="1" si="58"/>
        <v>0</v>
      </c>
      <c r="U165" s="120">
        <f t="shared" ca="1" si="59"/>
        <v>2079.4426794074939</v>
      </c>
      <c r="V165" s="4">
        <f t="shared" ca="1" si="60"/>
        <v>0</v>
      </c>
      <c r="W165" s="13">
        <f t="shared" ca="1" si="61"/>
        <v>9715.5</v>
      </c>
      <c r="X165" s="4">
        <f t="shared" ca="1" si="62"/>
        <v>0</v>
      </c>
      <c r="Y165" s="4">
        <f t="shared" si="63"/>
        <v>0</v>
      </c>
      <c r="Z165" s="13">
        <f t="shared" ca="1" si="64"/>
        <v>9715.5</v>
      </c>
      <c r="AA165" s="4">
        <f t="shared" ca="1" si="65"/>
        <v>0</v>
      </c>
      <c r="AE165" s="4"/>
    </row>
    <row r="166" spans="1:31">
      <c r="A166">
        <v>1</v>
      </c>
      <c r="B166">
        <v>0</v>
      </c>
      <c r="C166">
        <f t="shared" ca="1" si="44"/>
        <v>2</v>
      </c>
      <c r="D166">
        <f t="shared" ca="1" si="45"/>
        <v>1</v>
      </c>
      <c r="E166">
        <f t="shared" ca="1" si="46"/>
        <v>1</v>
      </c>
      <c r="F166" s="110">
        <f t="shared" ca="1" si="47"/>
        <v>4.8500000000000001E-2</v>
      </c>
      <c r="G166">
        <v>0</v>
      </c>
      <c r="H166">
        <v>1</v>
      </c>
      <c r="I166">
        <v>3</v>
      </c>
      <c r="J166" s="1">
        <f t="shared" ca="1" si="48"/>
        <v>0</v>
      </c>
      <c r="K166" s="1">
        <f t="shared" ca="1" si="49"/>
        <v>0</v>
      </c>
      <c r="L166" s="13">
        <f t="shared" ca="1" si="50"/>
        <v>288</v>
      </c>
      <c r="M166" s="7">
        <f t="shared" ca="1" si="51"/>
        <v>1212</v>
      </c>
      <c r="N166" s="26">
        <f t="shared" ca="1" si="52"/>
        <v>5</v>
      </c>
      <c r="O166" s="44">
        <f t="shared" ca="1" si="53"/>
        <v>3.5346387789404914</v>
      </c>
      <c r="P166" s="44">
        <f t="shared" ca="1" si="54"/>
        <v>35.346387789404908</v>
      </c>
      <c r="Q166" s="44">
        <f t="shared" ca="1" si="55"/>
        <v>35.346387789404908</v>
      </c>
      <c r="R166" s="44">
        <f t="shared" ca="1" si="56"/>
        <v>3.5346387789404909</v>
      </c>
      <c r="S166" s="44">
        <f t="shared" ca="1" si="57"/>
        <v>3.5346387789404914</v>
      </c>
      <c r="T166" s="4">
        <f t="shared" ca="1" si="58"/>
        <v>0</v>
      </c>
      <c r="U166" s="120">
        <f t="shared" ca="1" si="59"/>
        <v>2060.4426794074939</v>
      </c>
      <c r="V166" s="4">
        <f t="shared" ca="1" si="60"/>
        <v>0</v>
      </c>
      <c r="W166" s="13">
        <f t="shared" ca="1" si="61"/>
        <v>7286.625</v>
      </c>
      <c r="X166" s="4">
        <f t="shared" ca="1" si="62"/>
        <v>0</v>
      </c>
      <c r="Y166" s="4">
        <f t="shared" si="63"/>
        <v>0</v>
      </c>
      <c r="Z166" s="13">
        <f t="shared" ca="1" si="64"/>
        <v>7286.625</v>
      </c>
      <c r="AA166" s="4">
        <f t="shared" ca="1" si="65"/>
        <v>0</v>
      </c>
      <c r="AE166" s="4"/>
    </row>
    <row r="167" spans="1:31">
      <c r="A167">
        <v>1</v>
      </c>
      <c r="B167">
        <v>0</v>
      </c>
      <c r="C167">
        <f t="shared" ca="1" si="44"/>
        <v>2</v>
      </c>
      <c r="D167">
        <f t="shared" ca="1" si="45"/>
        <v>1</v>
      </c>
      <c r="E167">
        <f t="shared" ca="1" si="46"/>
        <v>1</v>
      </c>
      <c r="F167" s="110">
        <f t="shared" ca="1" si="47"/>
        <v>4.8500000000000001E-2</v>
      </c>
      <c r="G167">
        <v>0</v>
      </c>
      <c r="H167">
        <v>1</v>
      </c>
      <c r="I167">
        <v>2</v>
      </c>
      <c r="J167" s="1">
        <f t="shared" ca="1" si="48"/>
        <v>0</v>
      </c>
      <c r="K167" s="1">
        <f t="shared" ca="1" si="49"/>
        <v>0</v>
      </c>
      <c r="L167" s="13">
        <f t="shared" ca="1" si="50"/>
        <v>269</v>
      </c>
      <c r="M167" s="7">
        <f t="shared" ca="1" si="51"/>
        <v>1231</v>
      </c>
      <c r="N167" s="26">
        <f t="shared" ca="1" si="52"/>
        <v>5</v>
      </c>
      <c r="O167" s="44">
        <f t="shared" ca="1" si="53"/>
        <v>3.5346387789404914</v>
      </c>
      <c r="P167" s="44">
        <f t="shared" ca="1" si="54"/>
        <v>35.346387789404908</v>
      </c>
      <c r="Q167" s="44">
        <f t="shared" ca="1" si="55"/>
        <v>35.346387789404908</v>
      </c>
      <c r="R167" s="44">
        <f t="shared" ca="1" si="56"/>
        <v>3.5346387789404909</v>
      </c>
      <c r="S167" s="44">
        <f t="shared" ca="1" si="57"/>
        <v>3.5346387789404914</v>
      </c>
      <c r="T167" s="4">
        <f t="shared" ca="1" si="58"/>
        <v>0</v>
      </c>
      <c r="U167" s="120">
        <f t="shared" ca="1" si="59"/>
        <v>2041.4426794074936</v>
      </c>
      <c r="V167" s="4">
        <f t="shared" ca="1" si="60"/>
        <v>0</v>
      </c>
      <c r="W167" s="13">
        <f t="shared" ca="1" si="61"/>
        <v>4857.75</v>
      </c>
      <c r="X167" s="4">
        <f t="shared" ca="1" si="62"/>
        <v>0</v>
      </c>
      <c r="Y167" s="4">
        <f t="shared" si="63"/>
        <v>0</v>
      </c>
      <c r="Z167" s="13">
        <f t="shared" ca="1" si="64"/>
        <v>4857.75</v>
      </c>
      <c r="AA167" s="4">
        <f t="shared" ca="1" si="65"/>
        <v>0</v>
      </c>
      <c r="AE167" s="4"/>
    </row>
    <row r="168" spans="1:31">
      <c r="A168">
        <v>1</v>
      </c>
      <c r="B168">
        <v>0</v>
      </c>
      <c r="C168">
        <f t="shared" ca="1" si="44"/>
        <v>2</v>
      </c>
      <c r="D168">
        <f t="shared" ca="1" si="45"/>
        <v>1</v>
      </c>
      <c r="E168">
        <f t="shared" ca="1" si="46"/>
        <v>1</v>
      </c>
      <c r="F168" s="110">
        <f t="shared" ca="1" si="47"/>
        <v>4.8500000000000001E-2</v>
      </c>
      <c r="G168">
        <v>0</v>
      </c>
      <c r="H168">
        <v>1</v>
      </c>
      <c r="I168">
        <v>1</v>
      </c>
      <c r="J168" s="1">
        <f t="shared" ca="1" si="48"/>
        <v>0</v>
      </c>
      <c r="K168" s="1">
        <f t="shared" ca="1" si="49"/>
        <v>0</v>
      </c>
      <c r="L168" s="13">
        <f t="shared" ca="1" si="50"/>
        <v>250</v>
      </c>
      <c r="M168" s="7">
        <f t="shared" ca="1" si="51"/>
        <v>1250</v>
      </c>
      <c r="N168" s="26">
        <f t="shared" ca="1" si="52"/>
        <v>5</v>
      </c>
      <c r="O168" s="44">
        <f t="shared" ca="1" si="53"/>
        <v>3.5346387789404914</v>
      </c>
      <c r="P168" s="44">
        <f t="shared" ca="1" si="54"/>
        <v>35.346387789404908</v>
      </c>
      <c r="Q168" s="44">
        <f t="shared" ca="1" si="55"/>
        <v>35.346387789404908</v>
      </c>
      <c r="R168" s="44">
        <f t="shared" ca="1" si="56"/>
        <v>3.5346387789404909</v>
      </c>
      <c r="S168" s="44">
        <f t="shared" ca="1" si="57"/>
        <v>3.5346387789404914</v>
      </c>
      <c r="T168" s="4">
        <f t="shared" ca="1" si="58"/>
        <v>0</v>
      </c>
      <c r="U168" s="120">
        <f t="shared" ca="1" si="59"/>
        <v>2022.4426794074936</v>
      </c>
      <c r="V168" s="4">
        <f t="shared" ca="1" si="60"/>
        <v>0</v>
      </c>
      <c r="W168" s="13">
        <f t="shared" ca="1" si="61"/>
        <v>2428.875</v>
      </c>
      <c r="X168" s="4">
        <f t="shared" ca="1" si="62"/>
        <v>0</v>
      </c>
      <c r="Y168" s="4">
        <f t="shared" si="63"/>
        <v>0</v>
      </c>
      <c r="Z168" s="13">
        <f t="shared" ca="1" si="64"/>
        <v>2428.875</v>
      </c>
      <c r="AA168" s="4">
        <f t="shared" ca="1" si="65"/>
        <v>0</v>
      </c>
      <c r="AE168" s="4"/>
    </row>
    <row r="169" spans="1:31">
      <c r="A169">
        <v>1</v>
      </c>
      <c r="B169">
        <v>0</v>
      </c>
      <c r="C169">
        <f t="shared" ca="1" si="44"/>
        <v>2</v>
      </c>
      <c r="D169">
        <f t="shared" ca="1" si="45"/>
        <v>1</v>
      </c>
      <c r="E169">
        <f t="shared" ca="1" si="46"/>
        <v>1</v>
      </c>
      <c r="F169" s="110">
        <f t="shared" ca="1" si="47"/>
        <v>4.8500000000000001E-2</v>
      </c>
      <c r="G169">
        <v>0</v>
      </c>
      <c r="H169">
        <v>1</v>
      </c>
      <c r="I169">
        <v>0</v>
      </c>
      <c r="J169" s="1">
        <f t="shared" ca="1" si="48"/>
        <v>0</v>
      </c>
      <c r="K169" s="1">
        <f t="shared" ca="1" si="49"/>
        <v>0</v>
      </c>
      <c r="L169" s="13">
        <f t="shared" ca="1" si="50"/>
        <v>231</v>
      </c>
      <c r="M169" s="7">
        <f t="shared" ca="1" si="51"/>
        <v>1269</v>
      </c>
      <c r="N169" s="26">
        <f t="shared" ca="1" si="52"/>
        <v>5</v>
      </c>
      <c r="O169" s="44">
        <f t="shared" ca="1" si="53"/>
        <v>3.5346387789404914</v>
      </c>
      <c r="P169" s="44">
        <f t="shared" ca="1" si="54"/>
        <v>35.346387789404908</v>
      </c>
      <c r="Q169" s="44">
        <f t="shared" ca="1" si="55"/>
        <v>35.346387789404908</v>
      </c>
      <c r="R169" s="44">
        <f t="shared" ca="1" si="56"/>
        <v>3.5346387789404909</v>
      </c>
      <c r="S169" s="44">
        <f t="shared" ca="1" si="57"/>
        <v>3.5346387789404914</v>
      </c>
      <c r="T169" s="4">
        <f t="shared" ca="1" si="58"/>
        <v>0</v>
      </c>
      <c r="U169" s="120">
        <f t="shared" ca="1" si="59"/>
        <v>2003.4426794074936</v>
      </c>
      <c r="V169" s="4">
        <f t="shared" ca="1" si="60"/>
        <v>0</v>
      </c>
      <c r="W169" s="13">
        <f t="shared" ca="1" si="61"/>
        <v>0</v>
      </c>
      <c r="X169" s="4">
        <f t="shared" ca="1" si="62"/>
        <v>0</v>
      </c>
      <c r="Y169" s="4">
        <f t="shared" si="63"/>
        <v>0</v>
      </c>
      <c r="Z169" s="13">
        <f t="shared" ca="1" si="64"/>
        <v>0</v>
      </c>
      <c r="AA169" s="4">
        <f t="shared" ca="1" si="65"/>
        <v>0</v>
      </c>
      <c r="AE169" s="4"/>
    </row>
    <row r="170" spans="1:31">
      <c r="A170">
        <v>1</v>
      </c>
      <c r="B170">
        <v>0</v>
      </c>
      <c r="C170">
        <f t="shared" ca="1" si="44"/>
        <v>2</v>
      </c>
      <c r="D170">
        <f t="shared" ca="1" si="45"/>
        <v>1</v>
      </c>
      <c r="E170">
        <f t="shared" ca="1" si="46"/>
        <v>1</v>
      </c>
      <c r="F170" s="110">
        <f t="shared" ca="1" si="47"/>
        <v>4.8500000000000001E-2</v>
      </c>
      <c r="G170">
        <v>0</v>
      </c>
      <c r="H170">
        <v>0</v>
      </c>
      <c r="I170">
        <v>7</v>
      </c>
      <c r="J170" s="1">
        <f t="shared" ca="1" si="48"/>
        <v>0</v>
      </c>
      <c r="K170" s="1">
        <f t="shared" ca="1" si="49"/>
        <v>0</v>
      </c>
      <c r="L170" s="13">
        <f t="shared" ca="1" si="50"/>
        <v>133</v>
      </c>
      <c r="M170" s="7">
        <f t="shared" ca="1" si="51"/>
        <v>1367</v>
      </c>
      <c r="N170" s="26">
        <f t="shared" ca="1" si="52"/>
        <v>5</v>
      </c>
      <c r="O170" s="44">
        <f t="shared" ca="1" si="53"/>
        <v>3.5346387789404914</v>
      </c>
      <c r="P170" s="44">
        <f t="shared" ca="1" si="54"/>
        <v>35.346387789404908</v>
      </c>
      <c r="Q170" s="44">
        <f t="shared" ca="1" si="55"/>
        <v>35.346387789404908</v>
      </c>
      <c r="R170" s="44">
        <f t="shared" ca="1" si="56"/>
        <v>3.5346387789404909</v>
      </c>
      <c r="S170" s="44">
        <f t="shared" ca="1" si="57"/>
        <v>3.5346387789404914</v>
      </c>
      <c r="T170" s="4">
        <f t="shared" ca="1" si="58"/>
        <v>0</v>
      </c>
      <c r="U170" s="120">
        <f t="shared" ca="1" si="59"/>
        <v>1905.4426794074936</v>
      </c>
      <c r="V170" s="4">
        <f t="shared" ca="1" si="60"/>
        <v>0</v>
      </c>
      <c r="W170" s="13">
        <f t="shared" ca="1" si="61"/>
        <v>17002.125</v>
      </c>
      <c r="X170" s="4">
        <f t="shared" ca="1" si="62"/>
        <v>0</v>
      </c>
      <c r="Y170" s="4">
        <f t="shared" si="63"/>
        <v>0</v>
      </c>
      <c r="Z170" s="13">
        <f t="shared" ca="1" si="64"/>
        <v>17002.125</v>
      </c>
      <c r="AA170" s="4">
        <f t="shared" ca="1" si="65"/>
        <v>0</v>
      </c>
      <c r="AE170" s="4"/>
    </row>
    <row r="171" spans="1:31">
      <c r="A171">
        <v>1</v>
      </c>
      <c r="B171">
        <v>0</v>
      </c>
      <c r="C171">
        <f t="shared" ca="1" si="44"/>
        <v>2</v>
      </c>
      <c r="D171">
        <f t="shared" ca="1" si="45"/>
        <v>1</v>
      </c>
      <c r="E171">
        <f t="shared" ca="1" si="46"/>
        <v>1</v>
      </c>
      <c r="F171" s="110">
        <f t="shared" ca="1" si="47"/>
        <v>4.8500000000000001E-2</v>
      </c>
      <c r="G171">
        <v>0</v>
      </c>
      <c r="H171">
        <v>0</v>
      </c>
      <c r="I171">
        <v>6</v>
      </c>
      <c r="J171" s="1">
        <f t="shared" ca="1" si="48"/>
        <v>0</v>
      </c>
      <c r="K171" s="1">
        <f t="shared" ca="1" si="49"/>
        <v>0</v>
      </c>
      <c r="L171" s="13">
        <f t="shared" ca="1" si="50"/>
        <v>114</v>
      </c>
      <c r="M171" s="7">
        <f t="shared" ca="1" si="51"/>
        <v>1386</v>
      </c>
      <c r="N171" s="26">
        <f t="shared" ca="1" si="52"/>
        <v>5</v>
      </c>
      <c r="O171" s="44">
        <f t="shared" ca="1" si="53"/>
        <v>3.5346387789404914</v>
      </c>
      <c r="P171" s="44">
        <f t="shared" ca="1" si="54"/>
        <v>35.346387789404908</v>
      </c>
      <c r="Q171" s="44">
        <f t="shared" ca="1" si="55"/>
        <v>35.346387789404908</v>
      </c>
      <c r="R171" s="44">
        <f t="shared" ca="1" si="56"/>
        <v>3.5346387789404909</v>
      </c>
      <c r="S171" s="44">
        <f t="shared" ca="1" si="57"/>
        <v>3.5346387789404914</v>
      </c>
      <c r="T171" s="4">
        <f t="shared" ca="1" si="58"/>
        <v>0</v>
      </c>
      <c r="U171" s="120">
        <f t="shared" ca="1" si="59"/>
        <v>1886.4426794074936</v>
      </c>
      <c r="V171" s="4">
        <f t="shared" ca="1" si="60"/>
        <v>0</v>
      </c>
      <c r="W171" s="13">
        <f t="shared" ca="1" si="61"/>
        <v>14573.25</v>
      </c>
      <c r="X171" s="4">
        <f t="shared" ca="1" si="62"/>
        <v>0</v>
      </c>
      <c r="Y171" s="4">
        <f t="shared" si="63"/>
        <v>0</v>
      </c>
      <c r="Z171" s="13">
        <f t="shared" ca="1" si="64"/>
        <v>14573.25</v>
      </c>
      <c r="AA171" s="4">
        <f t="shared" ca="1" si="65"/>
        <v>0</v>
      </c>
      <c r="AE171" s="4"/>
    </row>
    <row r="172" spans="1:31">
      <c r="A172">
        <v>1</v>
      </c>
      <c r="B172">
        <v>0</v>
      </c>
      <c r="C172">
        <f t="shared" ca="1" si="44"/>
        <v>2</v>
      </c>
      <c r="D172">
        <f t="shared" ca="1" si="45"/>
        <v>1</v>
      </c>
      <c r="E172">
        <f t="shared" ca="1" si="46"/>
        <v>1</v>
      </c>
      <c r="F172" s="110">
        <f t="shared" ca="1" si="47"/>
        <v>4.8500000000000001E-2</v>
      </c>
      <c r="G172">
        <v>0</v>
      </c>
      <c r="H172">
        <v>0</v>
      </c>
      <c r="I172">
        <v>5</v>
      </c>
      <c r="J172" s="1">
        <f t="shared" ca="1" si="48"/>
        <v>0</v>
      </c>
      <c r="K172" s="1">
        <f t="shared" ca="1" si="49"/>
        <v>0</v>
      </c>
      <c r="L172" s="13">
        <f t="shared" ca="1" si="50"/>
        <v>95</v>
      </c>
      <c r="M172" s="7">
        <f t="shared" ca="1" si="51"/>
        <v>1405</v>
      </c>
      <c r="N172" s="26">
        <f t="shared" ca="1" si="52"/>
        <v>6</v>
      </c>
      <c r="O172" s="44">
        <f t="shared" ca="1" si="53"/>
        <v>4.1694581524927896</v>
      </c>
      <c r="P172" s="44">
        <f t="shared" ca="1" si="54"/>
        <v>41.059762151375594</v>
      </c>
      <c r="Q172" s="44">
        <f t="shared" ca="1" si="55"/>
        <v>35.346387789404908</v>
      </c>
      <c r="R172" s="44">
        <f t="shared" ca="1" si="56"/>
        <v>3.8203074970390247</v>
      </c>
      <c r="S172" s="44">
        <f t="shared" ca="1" si="57"/>
        <v>4.1450176066110256</v>
      </c>
      <c r="T172" s="4">
        <f t="shared" ca="1" si="58"/>
        <v>0</v>
      </c>
      <c r="U172" s="120">
        <f t="shared" ca="1" si="59"/>
        <v>2135.4748169996506</v>
      </c>
      <c r="V172" s="4">
        <f t="shared" ca="1" si="60"/>
        <v>0</v>
      </c>
      <c r="W172" s="13">
        <f t="shared" ca="1" si="61"/>
        <v>12144.375</v>
      </c>
      <c r="X172" s="4">
        <f t="shared" ca="1" si="62"/>
        <v>0</v>
      </c>
      <c r="Y172" s="4">
        <f t="shared" si="63"/>
        <v>0</v>
      </c>
      <c r="Z172" s="13">
        <f t="shared" ca="1" si="64"/>
        <v>12144.375</v>
      </c>
      <c r="AA172" s="4">
        <f t="shared" ca="1" si="65"/>
        <v>0</v>
      </c>
      <c r="AE172" s="4"/>
    </row>
    <row r="173" spans="1:31">
      <c r="A173">
        <v>1</v>
      </c>
      <c r="B173">
        <v>0</v>
      </c>
      <c r="C173">
        <f t="shared" ca="1" si="44"/>
        <v>2</v>
      </c>
      <c r="D173">
        <f t="shared" ca="1" si="45"/>
        <v>1</v>
      </c>
      <c r="E173">
        <f t="shared" ca="1" si="46"/>
        <v>1</v>
      </c>
      <c r="F173" s="110">
        <f t="shared" ca="1" si="47"/>
        <v>4.8500000000000001E-2</v>
      </c>
      <c r="G173">
        <v>0</v>
      </c>
      <c r="H173">
        <v>0</v>
      </c>
      <c r="I173">
        <v>4</v>
      </c>
      <c r="J173" s="1">
        <f t="shared" ca="1" si="48"/>
        <v>0</v>
      </c>
      <c r="K173" s="1">
        <f t="shared" ca="1" si="49"/>
        <v>0</v>
      </c>
      <c r="L173" s="13">
        <f t="shared" ca="1" si="50"/>
        <v>76</v>
      </c>
      <c r="M173" s="7">
        <f t="shared" ca="1" si="51"/>
        <v>1424</v>
      </c>
      <c r="N173" s="26">
        <f t="shared" ca="1" si="52"/>
        <v>6</v>
      </c>
      <c r="O173" s="44">
        <f t="shared" ca="1" si="53"/>
        <v>4.1694581524927896</v>
      </c>
      <c r="P173" s="44">
        <f t="shared" ca="1" si="54"/>
        <v>41.694581524927891</v>
      </c>
      <c r="Q173" s="44">
        <f t="shared" ca="1" si="55"/>
        <v>41.694581524927891</v>
      </c>
      <c r="R173" s="44">
        <f t="shared" ca="1" si="56"/>
        <v>4.1694581524927887</v>
      </c>
      <c r="S173" s="44">
        <f t="shared" ca="1" si="57"/>
        <v>4.1694581524927896</v>
      </c>
      <c r="T173" s="4">
        <f t="shared" ca="1" si="58"/>
        <v>0</v>
      </c>
      <c r="U173" s="120">
        <f t="shared" ca="1" si="59"/>
        <v>2127.2072530862838</v>
      </c>
      <c r="V173" s="4">
        <f t="shared" ca="1" si="60"/>
        <v>0</v>
      </c>
      <c r="W173" s="13">
        <f t="shared" ca="1" si="61"/>
        <v>9715.5</v>
      </c>
      <c r="X173" s="4">
        <f t="shared" ca="1" si="62"/>
        <v>0</v>
      </c>
      <c r="Y173" s="4">
        <f t="shared" si="63"/>
        <v>0</v>
      </c>
      <c r="Z173" s="13">
        <f t="shared" ca="1" si="64"/>
        <v>9715.5</v>
      </c>
      <c r="AA173" s="4">
        <f t="shared" ca="1" si="65"/>
        <v>0</v>
      </c>
      <c r="AE173" s="4"/>
    </row>
    <row r="174" spans="1:31">
      <c r="A174">
        <v>1</v>
      </c>
      <c r="B174">
        <v>0</v>
      </c>
      <c r="C174">
        <f t="shared" ca="1" si="44"/>
        <v>2</v>
      </c>
      <c r="D174">
        <f t="shared" ca="1" si="45"/>
        <v>1</v>
      </c>
      <c r="E174">
        <f t="shared" ca="1" si="46"/>
        <v>1</v>
      </c>
      <c r="F174" s="110">
        <f t="shared" ca="1" si="47"/>
        <v>4.8500000000000001E-2</v>
      </c>
      <c r="G174">
        <v>0</v>
      </c>
      <c r="H174">
        <v>0</v>
      </c>
      <c r="I174">
        <v>3</v>
      </c>
      <c r="J174" s="1">
        <f t="shared" ca="1" si="48"/>
        <v>0</v>
      </c>
      <c r="K174" s="1">
        <f t="shared" ca="1" si="49"/>
        <v>0</v>
      </c>
      <c r="L174" s="13">
        <f t="shared" ca="1" si="50"/>
        <v>57</v>
      </c>
      <c r="M174" s="7">
        <f t="shared" ca="1" si="51"/>
        <v>1443</v>
      </c>
      <c r="N174" s="26">
        <f t="shared" ca="1" si="52"/>
        <v>6</v>
      </c>
      <c r="O174" s="44">
        <f t="shared" ca="1" si="53"/>
        <v>4.1694581524927896</v>
      </c>
      <c r="P174" s="44">
        <f t="shared" ca="1" si="54"/>
        <v>41.694581524927891</v>
      </c>
      <c r="Q174" s="44">
        <f t="shared" ca="1" si="55"/>
        <v>41.694581524927891</v>
      </c>
      <c r="R174" s="44">
        <f t="shared" ca="1" si="56"/>
        <v>4.1694581524927887</v>
      </c>
      <c r="S174" s="44">
        <f t="shared" ca="1" si="57"/>
        <v>4.1694581524927896</v>
      </c>
      <c r="T174" s="4">
        <f t="shared" ca="1" si="58"/>
        <v>0</v>
      </c>
      <c r="U174" s="120">
        <f t="shared" ca="1" si="59"/>
        <v>2108.2072530862838</v>
      </c>
      <c r="V174" s="4">
        <f t="shared" ca="1" si="60"/>
        <v>0</v>
      </c>
      <c r="W174" s="13">
        <f t="shared" ca="1" si="61"/>
        <v>7286.625</v>
      </c>
      <c r="X174" s="4">
        <f t="shared" ca="1" si="62"/>
        <v>0</v>
      </c>
      <c r="Y174" s="4">
        <f t="shared" si="63"/>
        <v>0</v>
      </c>
      <c r="Z174" s="13">
        <f t="shared" ca="1" si="64"/>
        <v>7286.625</v>
      </c>
      <c r="AA174" s="4">
        <f t="shared" ca="1" si="65"/>
        <v>0</v>
      </c>
      <c r="AE174" s="4"/>
    </row>
    <row r="175" spans="1:31">
      <c r="A175">
        <v>1</v>
      </c>
      <c r="B175">
        <v>0</v>
      </c>
      <c r="C175">
        <f t="shared" ca="1" si="44"/>
        <v>2</v>
      </c>
      <c r="D175">
        <f t="shared" ca="1" si="45"/>
        <v>1</v>
      </c>
      <c r="E175">
        <f t="shared" ca="1" si="46"/>
        <v>1</v>
      </c>
      <c r="F175" s="110">
        <f t="shared" ca="1" si="47"/>
        <v>4.8500000000000001E-2</v>
      </c>
      <c r="G175">
        <v>0</v>
      </c>
      <c r="H175">
        <v>0</v>
      </c>
      <c r="I175">
        <v>2</v>
      </c>
      <c r="J175" s="1">
        <f t="shared" ca="1" si="48"/>
        <v>0</v>
      </c>
      <c r="K175" s="1">
        <f t="shared" ca="1" si="49"/>
        <v>0</v>
      </c>
      <c r="L175" s="13">
        <f t="shared" ca="1" si="50"/>
        <v>38</v>
      </c>
      <c r="M175" s="7">
        <f t="shared" ca="1" si="51"/>
        <v>1462</v>
      </c>
      <c r="N175" s="26">
        <f t="shared" ca="1" si="52"/>
        <v>6</v>
      </c>
      <c r="O175" s="44">
        <f t="shared" ca="1" si="53"/>
        <v>4.1694581524927896</v>
      </c>
      <c r="P175" s="44">
        <f t="shared" ca="1" si="54"/>
        <v>41.694581524927891</v>
      </c>
      <c r="Q175" s="44">
        <f t="shared" ca="1" si="55"/>
        <v>41.694581524927891</v>
      </c>
      <c r="R175" s="44">
        <f t="shared" ca="1" si="56"/>
        <v>4.1694581524927887</v>
      </c>
      <c r="S175" s="44">
        <f t="shared" ca="1" si="57"/>
        <v>4.1694581524927896</v>
      </c>
      <c r="T175" s="4">
        <f t="shared" ca="1" si="58"/>
        <v>0</v>
      </c>
      <c r="U175" s="120">
        <f t="shared" ca="1" si="59"/>
        <v>2089.2072530862838</v>
      </c>
      <c r="V175" s="4">
        <f t="shared" ca="1" si="60"/>
        <v>0</v>
      </c>
      <c r="W175" s="13">
        <f t="shared" ca="1" si="61"/>
        <v>4857.75</v>
      </c>
      <c r="X175" s="4">
        <f t="shared" ca="1" si="62"/>
        <v>0</v>
      </c>
      <c r="Y175" s="4">
        <f t="shared" si="63"/>
        <v>0</v>
      </c>
      <c r="Z175" s="13">
        <f t="shared" ca="1" si="64"/>
        <v>4857.75</v>
      </c>
      <c r="AA175" s="4">
        <f t="shared" ca="1" si="65"/>
        <v>0</v>
      </c>
      <c r="AE175" s="4"/>
    </row>
    <row r="176" spans="1:31">
      <c r="A176">
        <v>1</v>
      </c>
      <c r="B176">
        <v>0</v>
      </c>
      <c r="C176">
        <f t="shared" ca="1" si="44"/>
        <v>2</v>
      </c>
      <c r="D176">
        <f t="shared" ca="1" si="45"/>
        <v>1</v>
      </c>
      <c r="E176">
        <f t="shared" ca="1" si="46"/>
        <v>1</v>
      </c>
      <c r="F176" s="110">
        <f t="shared" ca="1" si="47"/>
        <v>4.8500000000000001E-2</v>
      </c>
      <c r="G176">
        <v>0</v>
      </c>
      <c r="H176">
        <v>0</v>
      </c>
      <c r="I176">
        <v>1</v>
      </c>
      <c r="J176" s="1">
        <f t="shared" ca="1" si="48"/>
        <v>4.7500000000000001E-2</v>
      </c>
      <c r="K176" s="1">
        <f t="shared" ca="1" si="49"/>
        <v>2.3037500000000002E-3</v>
      </c>
      <c r="L176" s="13">
        <f t="shared" ca="1" si="50"/>
        <v>19</v>
      </c>
      <c r="M176" s="7">
        <f t="shared" ca="1" si="51"/>
        <v>1481</v>
      </c>
      <c r="N176" s="26">
        <f t="shared" ca="1" si="52"/>
        <v>6</v>
      </c>
      <c r="O176" s="44">
        <f t="shared" ca="1" si="53"/>
        <v>4.1694581524927896</v>
      </c>
      <c r="P176" s="44">
        <f t="shared" ca="1" si="54"/>
        <v>41.694581524927891</v>
      </c>
      <c r="Q176" s="44">
        <f t="shared" ca="1" si="55"/>
        <v>41.694581524927891</v>
      </c>
      <c r="R176" s="44">
        <f t="shared" ca="1" si="56"/>
        <v>4.1694581524927887</v>
      </c>
      <c r="S176" s="44">
        <f t="shared" ca="1" si="57"/>
        <v>4.1694581524927896</v>
      </c>
      <c r="T176" s="4">
        <f t="shared" ca="1" si="58"/>
        <v>9.6053892188052645E-3</v>
      </c>
      <c r="U176" s="120">
        <f t="shared" ca="1" si="59"/>
        <v>2070.2072530862838</v>
      </c>
      <c r="V176" s="4">
        <f t="shared" ca="1" si="60"/>
        <v>4.7692399592975265</v>
      </c>
      <c r="W176" s="13">
        <f t="shared" ca="1" si="61"/>
        <v>2428.875</v>
      </c>
      <c r="X176" s="4">
        <f t="shared" ca="1" si="62"/>
        <v>5.5955207812500003</v>
      </c>
      <c r="Y176" s="4">
        <f t="shared" si="63"/>
        <v>0</v>
      </c>
      <c r="Z176" s="13">
        <f t="shared" ca="1" si="64"/>
        <v>2428.875</v>
      </c>
      <c r="AA176" s="4">
        <f t="shared" ca="1" si="65"/>
        <v>5.5955207812500003</v>
      </c>
      <c r="AE176" s="4"/>
    </row>
    <row r="177" spans="1:31">
      <c r="A177">
        <v>1</v>
      </c>
      <c r="B177">
        <v>0</v>
      </c>
      <c r="C177">
        <f t="shared" ca="1" si="44"/>
        <v>2</v>
      </c>
      <c r="D177">
        <f t="shared" ca="1" si="45"/>
        <v>1</v>
      </c>
      <c r="E177">
        <f t="shared" ca="1" si="46"/>
        <v>1</v>
      </c>
      <c r="F177" s="110">
        <f t="shared" ca="1" si="47"/>
        <v>4.8500000000000001E-2</v>
      </c>
      <c r="G177">
        <v>0</v>
      </c>
      <c r="H177">
        <v>0</v>
      </c>
      <c r="I177">
        <v>0</v>
      </c>
      <c r="J177" s="1">
        <f t="shared" ca="1" si="48"/>
        <v>2.5000000000000022E-3</v>
      </c>
      <c r="K177" s="1">
        <f t="shared" ca="1" si="49"/>
        <v>1.2125000000000011E-4</v>
      </c>
      <c r="L177" s="13">
        <f t="shared" ca="1" si="50"/>
        <v>0</v>
      </c>
      <c r="M177" s="7">
        <f t="shared" ca="1" si="51"/>
        <v>1500</v>
      </c>
      <c r="N177" s="26">
        <f t="shared" ca="1" si="52"/>
        <v>6</v>
      </c>
      <c r="O177" s="44">
        <f t="shared" ca="1" si="53"/>
        <v>4.1694581524927896</v>
      </c>
      <c r="P177" s="44">
        <f t="shared" ca="1" si="54"/>
        <v>41.694581524927891</v>
      </c>
      <c r="Q177" s="44">
        <f t="shared" ca="1" si="55"/>
        <v>41.694581524927891</v>
      </c>
      <c r="R177" s="44">
        <f t="shared" ca="1" si="56"/>
        <v>4.1694581524927887</v>
      </c>
      <c r="S177" s="44">
        <f t="shared" ca="1" si="57"/>
        <v>4.1694581524927896</v>
      </c>
      <c r="T177" s="4">
        <f t="shared" ca="1" si="58"/>
        <v>5.0554680098975125E-4</v>
      </c>
      <c r="U177" s="120">
        <f t="shared" ca="1" si="59"/>
        <v>2051.2072530862838</v>
      </c>
      <c r="V177" s="4">
        <f t="shared" ca="1" si="60"/>
        <v>0.24870887943671213</v>
      </c>
      <c r="W177" s="13">
        <f t="shared" ca="1" si="61"/>
        <v>0</v>
      </c>
      <c r="X177" s="4">
        <f t="shared" ca="1" si="62"/>
        <v>0</v>
      </c>
      <c r="Y177" s="4">
        <f t="shared" si="63"/>
        <v>0</v>
      </c>
      <c r="Z177" s="13">
        <f t="shared" ca="1" si="64"/>
        <v>0</v>
      </c>
      <c r="AA177" s="4">
        <f t="shared" ca="1" si="65"/>
        <v>0</v>
      </c>
      <c r="AE177" s="4"/>
    </row>
    <row r="178" spans="1:31">
      <c r="A178">
        <v>1</v>
      </c>
      <c r="B178">
        <v>1</v>
      </c>
      <c r="C178">
        <f t="shared" ca="1" si="44"/>
        <v>3</v>
      </c>
      <c r="D178">
        <f t="shared" ca="1" si="45"/>
        <v>2</v>
      </c>
      <c r="E178">
        <f t="shared" ca="1" si="46"/>
        <v>1</v>
      </c>
      <c r="F178" s="110">
        <f t="shared" ca="1" si="47"/>
        <v>0</v>
      </c>
      <c r="G178">
        <v>1</v>
      </c>
      <c r="H178">
        <v>1</v>
      </c>
      <c r="I178">
        <v>7</v>
      </c>
      <c r="J178" s="1">
        <f t="shared" ca="1" si="48"/>
        <v>0</v>
      </c>
      <c r="K178" s="1">
        <f t="shared" ca="1" si="49"/>
        <v>0</v>
      </c>
      <c r="L178" s="13">
        <f t="shared" ca="1" si="50"/>
        <v>595</v>
      </c>
      <c r="M178" s="7">
        <f t="shared" ca="1" si="51"/>
        <v>905</v>
      </c>
      <c r="N178" s="26">
        <f t="shared" ca="1" si="52"/>
        <v>4</v>
      </c>
      <c r="O178" s="44">
        <f t="shared" ca="1" si="53"/>
        <v>2.8886114468927948</v>
      </c>
      <c r="P178" s="44">
        <f t="shared" ca="1" si="54"/>
        <v>28.886114468927953</v>
      </c>
      <c r="Q178" s="44">
        <f t="shared" ca="1" si="55"/>
        <v>28.886114468927953</v>
      </c>
      <c r="R178" s="44">
        <f t="shared" ca="1" si="56"/>
        <v>2.8886114468927953</v>
      </c>
      <c r="S178" s="44">
        <f t="shared" ca="1" si="57"/>
        <v>2.8886114468927948</v>
      </c>
      <c r="T178" s="4">
        <f t="shared" ca="1" si="58"/>
        <v>0</v>
      </c>
      <c r="U178" s="120">
        <f t="shared" ca="1" si="59"/>
        <v>2083.7564194948759</v>
      </c>
      <c r="V178" s="4">
        <f t="shared" ca="1" si="60"/>
        <v>0</v>
      </c>
      <c r="W178" s="13">
        <f t="shared" ca="1" si="61"/>
        <v>47995.641000000003</v>
      </c>
      <c r="X178" s="4">
        <f t="shared" ca="1" si="62"/>
        <v>0</v>
      </c>
      <c r="Y178" s="4">
        <f t="shared" si="63"/>
        <v>0</v>
      </c>
      <c r="Z178" s="13">
        <f t="shared" ca="1" si="64"/>
        <v>47995.641000000003</v>
      </c>
      <c r="AA178" s="4">
        <f t="shared" ca="1" si="65"/>
        <v>0</v>
      </c>
      <c r="AE178" s="4"/>
    </row>
    <row r="179" spans="1:31">
      <c r="A179">
        <v>1</v>
      </c>
      <c r="B179">
        <v>1</v>
      </c>
      <c r="C179">
        <f t="shared" ca="1" si="44"/>
        <v>3</v>
      </c>
      <c r="D179">
        <f t="shared" ca="1" si="45"/>
        <v>2</v>
      </c>
      <c r="E179">
        <f t="shared" ca="1" si="46"/>
        <v>1</v>
      </c>
      <c r="F179" s="110">
        <f t="shared" ca="1" si="47"/>
        <v>0</v>
      </c>
      <c r="G179">
        <v>1</v>
      </c>
      <c r="H179">
        <v>1</v>
      </c>
      <c r="I179">
        <v>6</v>
      </c>
      <c r="J179" s="1">
        <f t="shared" ca="1" si="48"/>
        <v>0</v>
      </c>
      <c r="K179" s="1">
        <f t="shared" ca="1" si="49"/>
        <v>0</v>
      </c>
      <c r="L179" s="13">
        <f t="shared" ca="1" si="50"/>
        <v>576</v>
      </c>
      <c r="M179" s="7">
        <f t="shared" ca="1" si="51"/>
        <v>924</v>
      </c>
      <c r="N179" s="26">
        <f t="shared" ca="1" si="52"/>
        <v>4</v>
      </c>
      <c r="O179" s="44">
        <f t="shared" ca="1" si="53"/>
        <v>2.8886114468927948</v>
      </c>
      <c r="P179" s="44">
        <f t="shared" ca="1" si="54"/>
        <v>28.886114468927953</v>
      </c>
      <c r="Q179" s="44">
        <f t="shared" ca="1" si="55"/>
        <v>28.886114468927953</v>
      </c>
      <c r="R179" s="44">
        <f t="shared" ca="1" si="56"/>
        <v>2.8886114468927953</v>
      </c>
      <c r="S179" s="44">
        <f t="shared" ca="1" si="57"/>
        <v>2.8886114468927948</v>
      </c>
      <c r="T179" s="4">
        <f t="shared" ca="1" si="58"/>
        <v>0</v>
      </c>
      <c r="U179" s="120">
        <f t="shared" ca="1" si="59"/>
        <v>2064.7564194948759</v>
      </c>
      <c r="V179" s="4">
        <f t="shared" ca="1" si="60"/>
        <v>0</v>
      </c>
      <c r="W179" s="13">
        <f t="shared" ca="1" si="61"/>
        <v>45566.766000000003</v>
      </c>
      <c r="X179" s="4">
        <f t="shared" ca="1" si="62"/>
        <v>0</v>
      </c>
      <c r="Y179" s="4">
        <f t="shared" si="63"/>
        <v>0</v>
      </c>
      <c r="Z179" s="13">
        <f t="shared" ca="1" si="64"/>
        <v>45566.766000000003</v>
      </c>
      <c r="AA179" s="4">
        <f t="shared" ca="1" si="65"/>
        <v>0</v>
      </c>
      <c r="AE179" s="4"/>
    </row>
    <row r="180" spans="1:31">
      <c r="A180">
        <v>1</v>
      </c>
      <c r="B180">
        <v>1</v>
      </c>
      <c r="C180">
        <f t="shared" ca="1" si="44"/>
        <v>3</v>
      </c>
      <c r="D180">
        <f t="shared" ca="1" si="45"/>
        <v>2</v>
      </c>
      <c r="E180">
        <f t="shared" ca="1" si="46"/>
        <v>1</v>
      </c>
      <c r="F180" s="110">
        <f t="shared" ca="1" si="47"/>
        <v>0</v>
      </c>
      <c r="G180">
        <v>1</v>
      </c>
      <c r="H180">
        <v>1</v>
      </c>
      <c r="I180">
        <v>5</v>
      </c>
      <c r="J180" s="1">
        <f t="shared" ca="1" si="48"/>
        <v>0</v>
      </c>
      <c r="K180" s="1">
        <f t="shared" ca="1" si="49"/>
        <v>0</v>
      </c>
      <c r="L180" s="13">
        <f t="shared" ca="1" si="50"/>
        <v>557</v>
      </c>
      <c r="M180" s="7">
        <f t="shared" ca="1" si="51"/>
        <v>943</v>
      </c>
      <c r="N180" s="26">
        <f t="shared" ca="1" si="52"/>
        <v>4</v>
      </c>
      <c r="O180" s="44">
        <f t="shared" ca="1" si="53"/>
        <v>2.8886114468927948</v>
      </c>
      <c r="P180" s="44">
        <f t="shared" ca="1" si="54"/>
        <v>28.886114468927953</v>
      </c>
      <c r="Q180" s="44">
        <f t="shared" ca="1" si="55"/>
        <v>28.886114468927953</v>
      </c>
      <c r="R180" s="44">
        <f t="shared" ca="1" si="56"/>
        <v>2.8886114468927953</v>
      </c>
      <c r="S180" s="44">
        <f t="shared" ca="1" si="57"/>
        <v>2.8886114468927948</v>
      </c>
      <c r="T180" s="4">
        <f t="shared" ca="1" si="58"/>
        <v>0</v>
      </c>
      <c r="U180" s="120">
        <f t="shared" ca="1" si="59"/>
        <v>2045.7564194948757</v>
      </c>
      <c r="V180" s="4">
        <f t="shared" ca="1" si="60"/>
        <v>0</v>
      </c>
      <c r="W180" s="13">
        <f t="shared" ca="1" si="61"/>
        <v>43137.891000000003</v>
      </c>
      <c r="X180" s="4">
        <f t="shared" ca="1" si="62"/>
        <v>0</v>
      </c>
      <c r="Y180" s="4">
        <f t="shared" si="63"/>
        <v>0</v>
      </c>
      <c r="Z180" s="13">
        <f t="shared" ca="1" si="64"/>
        <v>43137.891000000003</v>
      </c>
      <c r="AA180" s="4">
        <f t="shared" ca="1" si="65"/>
        <v>0</v>
      </c>
      <c r="AE180" s="4"/>
    </row>
    <row r="181" spans="1:31">
      <c r="A181">
        <v>1</v>
      </c>
      <c r="B181">
        <v>1</v>
      </c>
      <c r="C181">
        <f t="shared" ca="1" si="44"/>
        <v>3</v>
      </c>
      <c r="D181">
        <f t="shared" ca="1" si="45"/>
        <v>2</v>
      </c>
      <c r="E181">
        <f t="shared" ca="1" si="46"/>
        <v>1</v>
      </c>
      <c r="F181" s="110">
        <f t="shared" ca="1" si="47"/>
        <v>0</v>
      </c>
      <c r="G181">
        <v>1</v>
      </c>
      <c r="H181">
        <v>1</v>
      </c>
      <c r="I181">
        <v>4</v>
      </c>
      <c r="J181" s="1">
        <f t="shared" ca="1" si="48"/>
        <v>0</v>
      </c>
      <c r="K181" s="1">
        <f t="shared" ca="1" si="49"/>
        <v>0</v>
      </c>
      <c r="L181" s="13">
        <f t="shared" ca="1" si="50"/>
        <v>538</v>
      </c>
      <c r="M181" s="7">
        <f t="shared" ca="1" si="51"/>
        <v>962</v>
      </c>
      <c r="N181" s="26">
        <f t="shared" ca="1" si="52"/>
        <v>4</v>
      </c>
      <c r="O181" s="44">
        <f t="shared" ca="1" si="53"/>
        <v>2.8886114468927948</v>
      </c>
      <c r="P181" s="44">
        <f t="shared" ca="1" si="54"/>
        <v>28.886114468927953</v>
      </c>
      <c r="Q181" s="44">
        <f t="shared" ca="1" si="55"/>
        <v>28.886114468927953</v>
      </c>
      <c r="R181" s="44">
        <f t="shared" ca="1" si="56"/>
        <v>2.8886114468927953</v>
      </c>
      <c r="S181" s="44">
        <f t="shared" ca="1" si="57"/>
        <v>2.8886114468927948</v>
      </c>
      <c r="T181" s="4">
        <f t="shared" ca="1" si="58"/>
        <v>0</v>
      </c>
      <c r="U181" s="120">
        <f t="shared" ca="1" si="59"/>
        <v>2026.7564194948757</v>
      </c>
      <c r="V181" s="4">
        <f t="shared" ca="1" si="60"/>
        <v>0</v>
      </c>
      <c r="W181" s="13">
        <f t="shared" ca="1" si="61"/>
        <v>40709.016000000003</v>
      </c>
      <c r="X181" s="4">
        <f t="shared" ca="1" si="62"/>
        <v>0</v>
      </c>
      <c r="Y181" s="4">
        <f t="shared" si="63"/>
        <v>0</v>
      </c>
      <c r="Z181" s="13">
        <f t="shared" ca="1" si="64"/>
        <v>40709.016000000003</v>
      </c>
      <c r="AA181" s="4">
        <f t="shared" ca="1" si="65"/>
        <v>0</v>
      </c>
      <c r="AE181" s="4"/>
    </row>
    <row r="182" spans="1:31">
      <c r="A182">
        <v>1</v>
      </c>
      <c r="B182">
        <v>1</v>
      </c>
      <c r="C182">
        <f t="shared" ca="1" si="44"/>
        <v>3</v>
      </c>
      <c r="D182">
        <f t="shared" ca="1" si="45"/>
        <v>2</v>
      </c>
      <c r="E182">
        <f t="shared" ca="1" si="46"/>
        <v>1</v>
      </c>
      <c r="F182" s="110">
        <f t="shared" ca="1" si="47"/>
        <v>0</v>
      </c>
      <c r="G182">
        <v>1</v>
      </c>
      <c r="H182">
        <v>1</v>
      </c>
      <c r="I182">
        <v>3</v>
      </c>
      <c r="J182" s="1">
        <f t="shared" ca="1" si="48"/>
        <v>0</v>
      </c>
      <c r="K182" s="1">
        <f t="shared" ca="1" si="49"/>
        <v>0</v>
      </c>
      <c r="L182" s="13">
        <f t="shared" ca="1" si="50"/>
        <v>519</v>
      </c>
      <c r="M182" s="7">
        <f t="shared" ca="1" si="51"/>
        <v>981</v>
      </c>
      <c r="N182" s="26">
        <f t="shared" ca="1" si="52"/>
        <v>4</v>
      </c>
      <c r="O182" s="44">
        <f t="shared" ca="1" si="53"/>
        <v>2.8886114468927948</v>
      </c>
      <c r="P182" s="44">
        <f t="shared" ca="1" si="54"/>
        <v>28.886114468927953</v>
      </c>
      <c r="Q182" s="44">
        <f t="shared" ca="1" si="55"/>
        <v>28.886114468927953</v>
      </c>
      <c r="R182" s="44">
        <f t="shared" ca="1" si="56"/>
        <v>2.8886114468927953</v>
      </c>
      <c r="S182" s="44">
        <f t="shared" ca="1" si="57"/>
        <v>2.8886114468927948</v>
      </c>
      <c r="T182" s="4">
        <f t="shared" ca="1" si="58"/>
        <v>0</v>
      </c>
      <c r="U182" s="120">
        <f t="shared" ca="1" si="59"/>
        <v>2007.7564194948757</v>
      </c>
      <c r="V182" s="4">
        <f t="shared" ca="1" si="60"/>
        <v>0</v>
      </c>
      <c r="W182" s="13">
        <f t="shared" ca="1" si="61"/>
        <v>38280.141000000003</v>
      </c>
      <c r="X182" s="4">
        <f t="shared" ca="1" si="62"/>
        <v>0</v>
      </c>
      <c r="Y182" s="4">
        <f t="shared" si="63"/>
        <v>0</v>
      </c>
      <c r="Z182" s="13">
        <f t="shared" ca="1" si="64"/>
        <v>38280.141000000003</v>
      </c>
      <c r="AA182" s="4">
        <f t="shared" ca="1" si="65"/>
        <v>0</v>
      </c>
      <c r="AE182" s="4"/>
    </row>
    <row r="183" spans="1:31">
      <c r="A183">
        <v>1</v>
      </c>
      <c r="B183">
        <v>1</v>
      </c>
      <c r="C183">
        <f t="shared" ca="1" si="44"/>
        <v>3</v>
      </c>
      <c r="D183">
        <f t="shared" ca="1" si="45"/>
        <v>2</v>
      </c>
      <c r="E183">
        <f t="shared" ca="1" si="46"/>
        <v>1</v>
      </c>
      <c r="F183" s="110">
        <f t="shared" ca="1" si="47"/>
        <v>0</v>
      </c>
      <c r="G183">
        <v>1</v>
      </c>
      <c r="H183">
        <v>1</v>
      </c>
      <c r="I183">
        <v>2</v>
      </c>
      <c r="J183" s="1">
        <f t="shared" ca="1" si="48"/>
        <v>0</v>
      </c>
      <c r="K183" s="1">
        <f t="shared" ca="1" si="49"/>
        <v>0</v>
      </c>
      <c r="L183" s="13">
        <f t="shared" ca="1" si="50"/>
        <v>500</v>
      </c>
      <c r="M183" s="7">
        <f t="shared" ca="1" si="51"/>
        <v>1000</v>
      </c>
      <c r="N183" s="26">
        <f t="shared" ca="1" si="52"/>
        <v>4</v>
      </c>
      <c r="O183" s="44">
        <f t="shared" ca="1" si="53"/>
        <v>2.8886114468927948</v>
      </c>
      <c r="P183" s="44">
        <f t="shared" ca="1" si="54"/>
        <v>28.886114468927953</v>
      </c>
      <c r="Q183" s="44">
        <f t="shared" ca="1" si="55"/>
        <v>28.886114468927953</v>
      </c>
      <c r="R183" s="44">
        <f t="shared" ca="1" si="56"/>
        <v>2.8886114468927953</v>
      </c>
      <c r="S183" s="44">
        <f t="shared" ca="1" si="57"/>
        <v>2.8886114468927948</v>
      </c>
      <c r="T183" s="4">
        <f t="shared" ca="1" si="58"/>
        <v>0</v>
      </c>
      <c r="U183" s="120">
        <f t="shared" ca="1" si="59"/>
        <v>1988.7564194948757</v>
      </c>
      <c r="V183" s="4">
        <f t="shared" ca="1" si="60"/>
        <v>0</v>
      </c>
      <c r="W183" s="13">
        <f t="shared" ca="1" si="61"/>
        <v>35851.266000000003</v>
      </c>
      <c r="X183" s="4">
        <f t="shared" ca="1" si="62"/>
        <v>0</v>
      </c>
      <c r="Y183" s="4">
        <f t="shared" si="63"/>
        <v>0</v>
      </c>
      <c r="Z183" s="13">
        <f t="shared" ca="1" si="64"/>
        <v>35851.266000000003</v>
      </c>
      <c r="AA183" s="4">
        <f t="shared" ca="1" si="65"/>
        <v>0</v>
      </c>
      <c r="AE183" s="4"/>
    </row>
    <row r="184" spans="1:31">
      <c r="A184">
        <v>1</v>
      </c>
      <c r="B184">
        <v>1</v>
      </c>
      <c r="C184">
        <f t="shared" ca="1" si="44"/>
        <v>3</v>
      </c>
      <c r="D184">
        <f t="shared" ca="1" si="45"/>
        <v>2</v>
      </c>
      <c r="E184">
        <f t="shared" ca="1" si="46"/>
        <v>1</v>
      </c>
      <c r="F184" s="110">
        <f t="shared" ca="1" si="47"/>
        <v>0</v>
      </c>
      <c r="G184">
        <v>1</v>
      </c>
      <c r="H184">
        <v>1</v>
      </c>
      <c r="I184">
        <v>1</v>
      </c>
      <c r="J184" s="1">
        <f t="shared" ca="1" si="48"/>
        <v>0</v>
      </c>
      <c r="K184" s="1">
        <f t="shared" ca="1" si="49"/>
        <v>0</v>
      </c>
      <c r="L184" s="13">
        <f t="shared" ca="1" si="50"/>
        <v>481</v>
      </c>
      <c r="M184" s="7">
        <f t="shared" ca="1" si="51"/>
        <v>1019</v>
      </c>
      <c r="N184" s="26">
        <f t="shared" ca="1" si="52"/>
        <v>4</v>
      </c>
      <c r="O184" s="44">
        <f t="shared" ca="1" si="53"/>
        <v>2.8886114468927948</v>
      </c>
      <c r="P184" s="44">
        <f t="shared" ca="1" si="54"/>
        <v>28.886114468927953</v>
      </c>
      <c r="Q184" s="44">
        <f t="shared" ca="1" si="55"/>
        <v>28.886114468927953</v>
      </c>
      <c r="R184" s="44">
        <f t="shared" ca="1" si="56"/>
        <v>2.8886114468927953</v>
      </c>
      <c r="S184" s="44">
        <f t="shared" ca="1" si="57"/>
        <v>2.8886114468927948</v>
      </c>
      <c r="T184" s="4">
        <f t="shared" ca="1" si="58"/>
        <v>0</v>
      </c>
      <c r="U184" s="120">
        <f t="shared" ca="1" si="59"/>
        <v>1969.7564194948757</v>
      </c>
      <c r="V184" s="4">
        <f t="shared" ca="1" si="60"/>
        <v>0</v>
      </c>
      <c r="W184" s="13">
        <f t="shared" ca="1" si="61"/>
        <v>33422.391000000003</v>
      </c>
      <c r="X184" s="4">
        <f t="shared" ca="1" si="62"/>
        <v>0</v>
      </c>
      <c r="Y184" s="4">
        <f t="shared" si="63"/>
        <v>0</v>
      </c>
      <c r="Z184" s="13">
        <f t="shared" ca="1" si="64"/>
        <v>33422.391000000003</v>
      </c>
      <c r="AA184" s="4">
        <f t="shared" ca="1" si="65"/>
        <v>0</v>
      </c>
      <c r="AE184" s="4"/>
    </row>
    <row r="185" spans="1:31">
      <c r="A185">
        <v>1</v>
      </c>
      <c r="B185">
        <v>1</v>
      </c>
      <c r="C185">
        <f t="shared" ca="1" si="44"/>
        <v>3</v>
      </c>
      <c r="D185">
        <f t="shared" ca="1" si="45"/>
        <v>2</v>
      </c>
      <c r="E185">
        <f t="shared" ca="1" si="46"/>
        <v>1</v>
      </c>
      <c r="F185" s="110">
        <f t="shared" ca="1" si="47"/>
        <v>0</v>
      </c>
      <c r="G185">
        <v>1</v>
      </c>
      <c r="H185">
        <v>1</v>
      </c>
      <c r="I185">
        <v>0</v>
      </c>
      <c r="J185" s="1">
        <f t="shared" ca="1" si="48"/>
        <v>0</v>
      </c>
      <c r="K185" s="1">
        <f t="shared" ca="1" si="49"/>
        <v>0</v>
      </c>
      <c r="L185" s="13">
        <f t="shared" ca="1" si="50"/>
        <v>462</v>
      </c>
      <c r="M185" s="7">
        <f t="shared" ca="1" si="51"/>
        <v>1038</v>
      </c>
      <c r="N185" s="26">
        <f t="shared" ca="1" si="52"/>
        <v>4</v>
      </c>
      <c r="O185" s="44">
        <f t="shared" ca="1" si="53"/>
        <v>2.8886114468927948</v>
      </c>
      <c r="P185" s="44">
        <f t="shared" ca="1" si="54"/>
        <v>28.886114468927953</v>
      </c>
      <c r="Q185" s="44">
        <f t="shared" ca="1" si="55"/>
        <v>28.886114468927953</v>
      </c>
      <c r="R185" s="44">
        <f t="shared" ca="1" si="56"/>
        <v>2.8886114468927953</v>
      </c>
      <c r="S185" s="44">
        <f t="shared" ca="1" si="57"/>
        <v>2.8886114468927948</v>
      </c>
      <c r="T185" s="4">
        <f t="shared" ca="1" si="58"/>
        <v>0</v>
      </c>
      <c r="U185" s="120">
        <f t="shared" ca="1" si="59"/>
        <v>1950.7564194948757</v>
      </c>
      <c r="V185" s="4">
        <f t="shared" ca="1" si="60"/>
        <v>0</v>
      </c>
      <c r="W185" s="13">
        <f t="shared" ca="1" si="61"/>
        <v>30993.516000000003</v>
      </c>
      <c r="X185" s="4">
        <f t="shared" ca="1" si="62"/>
        <v>0</v>
      </c>
      <c r="Y185" s="4">
        <f t="shared" si="63"/>
        <v>0</v>
      </c>
      <c r="Z185" s="13">
        <f t="shared" ca="1" si="64"/>
        <v>30993.516000000003</v>
      </c>
      <c r="AA185" s="4">
        <f t="shared" ca="1" si="65"/>
        <v>0</v>
      </c>
      <c r="AE185" s="4"/>
    </row>
    <row r="186" spans="1:31">
      <c r="A186">
        <v>1</v>
      </c>
      <c r="B186">
        <v>1</v>
      </c>
      <c r="C186">
        <f t="shared" ca="1" si="44"/>
        <v>3</v>
      </c>
      <c r="D186">
        <f t="shared" ca="1" si="45"/>
        <v>2</v>
      </c>
      <c r="E186">
        <f t="shared" ca="1" si="46"/>
        <v>1</v>
      </c>
      <c r="F186" s="110">
        <f t="shared" ca="1" si="47"/>
        <v>0</v>
      </c>
      <c r="G186">
        <v>1</v>
      </c>
      <c r="H186">
        <v>0</v>
      </c>
      <c r="I186">
        <v>7</v>
      </c>
      <c r="J186" s="1">
        <f t="shared" ca="1" si="48"/>
        <v>0</v>
      </c>
      <c r="K186" s="1">
        <f t="shared" ca="1" si="49"/>
        <v>0</v>
      </c>
      <c r="L186" s="13">
        <f t="shared" ca="1" si="50"/>
        <v>364</v>
      </c>
      <c r="M186" s="7">
        <f t="shared" ca="1" si="51"/>
        <v>1136</v>
      </c>
      <c r="N186" s="26">
        <f t="shared" ca="1" si="52"/>
        <v>5</v>
      </c>
      <c r="O186" s="44">
        <f t="shared" ca="1" si="53"/>
        <v>3.5346387789404914</v>
      </c>
      <c r="P186" s="44">
        <f t="shared" ca="1" si="54"/>
        <v>35.346387789404908</v>
      </c>
      <c r="Q186" s="44">
        <f t="shared" ca="1" si="55"/>
        <v>34.700360457357213</v>
      </c>
      <c r="R186" s="44">
        <f t="shared" ca="1" si="56"/>
        <v>3.5023374123381061</v>
      </c>
      <c r="S186" s="44">
        <f t="shared" ca="1" si="57"/>
        <v>3.532377683278324</v>
      </c>
      <c r="T186" s="4">
        <f t="shared" ca="1" si="58"/>
        <v>0</v>
      </c>
      <c r="U186" s="120">
        <f t="shared" ca="1" si="59"/>
        <v>2135.4497774977995</v>
      </c>
      <c r="V186" s="4">
        <f t="shared" ca="1" si="60"/>
        <v>0</v>
      </c>
      <c r="W186" s="13">
        <f t="shared" ca="1" si="61"/>
        <v>47995.641000000003</v>
      </c>
      <c r="X186" s="4">
        <f t="shared" ca="1" si="62"/>
        <v>0</v>
      </c>
      <c r="Y186" s="4">
        <f t="shared" si="63"/>
        <v>0</v>
      </c>
      <c r="Z186" s="13">
        <f t="shared" ca="1" si="64"/>
        <v>47995.641000000003</v>
      </c>
      <c r="AA186" s="4">
        <f t="shared" ca="1" si="65"/>
        <v>0</v>
      </c>
      <c r="AE186" s="4"/>
    </row>
    <row r="187" spans="1:31">
      <c r="A187">
        <v>1</v>
      </c>
      <c r="B187">
        <v>1</v>
      </c>
      <c r="C187">
        <f t="shared" ca="1" si="44"/>
        <v>3</v>
      </c>
      <c r="D187">
        <f t="shared" ca="1" si="45"/>
        <v>2</v>
      </c>
      <c r="E187">
        <f t="shared" ca="1" si="46"/>
        <v>1</v>
      </c>
      <c r="F187" s="110">
        <f t="shared" ca="1" si="47"/>
        <v>0</v>
      </c>
      <c r="G187">
        <v>1</v>
      </c>
      <c r="H187">
        <v>0</v>
      </c>
      <c r="I187">
        <v>6</v>
      </c>
      <c r="J187" s="1">
        <f t="shared" ca="1" si="48"/>
        <v>0</v>
      </c>
      <c r="K187" s="1">
        <f t="shared" ca="1" si="49"/>
        <v>0</v>
      </c>
      <c r="L187" s="13">
        <f t="shared" ca="1" si="50"/>
        <v>345</v>
      </c>
      <c r="M187" s="7">
        <f t="shared" ca="1" si="51"/>
        <v>1155</v>
      </c>
      <c r="N187" s="26">
        <f t="shared" ca="1" si="52"/>
        <v>5</v>
      </c>
      <c r="O187" s="44">
        <f t="shared" ca="1" si="53"/>
        <v>3.5346387789404914</v>
      </c>
      <c r="P187" s="44">
        <f t="shared" ca="1" si="54"/>
        <v>35.346387789404908</v>
      </c>
      <c r="Q187" s="44">
        <f t="shared" ca="1" si="55"/>
        <v>35.346387789404908</v>
      </c>
      <c r="R187" s="44">
        <f t="shared" ca="1" si="56"/>
        <v>3.5346387789404909</v>
      </c>
      <c r="S187" s="44">
        <f t="shared" ca="1" si="57"/>
        <v>3.5346387789404914</v>
      </c>
      <c r="T187" s="4">
        <f t="shared" ca="1" si="58"/>
        <v>0</v>
      </c>
      <c r="U187" s="120">
        <f t="shared" ca="1" si="59"/>
        <v>2117.4426794074939</v>
      </c>
      <c r="V187" s="4">
        <f t="shared" ca="1" si="60"/>
        <v>0</v>
      </c>
      <c r="W187" s="13">
        <f t="shared" ca="1" si="61"/>
        <v>45566.766000000003</v>
      </c>
      <c r="X187" s="4">
        <f t="shared" ca="1" si="62"/>
        <v>0</v>
      </c>
      <c r="Y187" s="4">
        <f t="shared" si="63"/>
        <v>0</v>
      </c>
      <c r="Z187" s="13">
        <f t="shared" ca="1" si="64"/>
        <v>45566.766000000003</v>
      </c>
      <c r="AA187" s="4">
        <f t="shared" ca="1" si="65"/>
        <v>0</v>
      </c>
      <c r="AE187" s="4"/>
    </row>
    <row r="188" spans="1:31">
      <c r="A188">
        <v>1</v>
      </c>
      <c r="B188">
        <v>1</v>
      </c>
      <c r="C188">
        <f t="shared" ca="1" si="44"/>
        <v>3</v>
      </c>
      <c r="D188">
        <f t="shared" ca="1" si="45"/>
        <v>2</v>
      </c>
      <c r="E188">
        <f t="shared" ca="1" si="46"/>
        <v>1</v>
      </c>
      <c r="F188" s="110">
        <f t="shared" ca="1" si="47"/>
        <v>0</v>
      </c>
      <c r="G188">
        <v>1</v>
      </c>
      <c r="H188">
        <v>0</v>
      </c>
      <c r="I188">
        <v>5</v>
      </c>
      <c r="J188" s="1">
        <f t="shared" ca="1" si="48"/>
        <v>0</v>
      </c>
      <c r="K188" s="1">
        <f t="shared" ca="1" si="49"/>
        <v>0</v>
      </c>
      <c r="L188" s="13">
        <f t="shared" ca="1" si="50"/>
        <v>326</v>
      </c>
      <c r="M188" s="7">
        <f t="shared" ca="1" si="51"/>
        <v>1174</v>
      </c>
      <c r="N188" s="26">
        <f t="shared" ca="1" si="52"/>
        <v>5</v>
      </c>
      <c r="O188" s="44">
        <f t="shared" ca="1" si="53"/>
        <v>3.5346387789404914</v>
      </c>
      <c r="P188" s="44">
        <f t="shared" ca="1" si="54"/>
        <v>35.346387789404908</v>
      </c>
      <c r="Q188" s="44">
        <f t="shared" ca="1" si="55"/>
        <v>35.346387789404908</v>
      </c>
      <c r="R188" s="44">
        <f t="shared" ca="1" si="56"/>
        <v>3.5346387789404909</v>
      </c>
      <c r="S188" s="44">
        <f t="shared" ca="1" si="57"/>
        <v>3.5346387789404914</v>
      </c>
      <c r="T188" s="4">
        <f t="shared" ca="1" si="58"/>
        <v>0</v>
      </c>
      <c r="U188" s="120">
        <f t="shared" ca="1" si="59"/>
        <v>2098.4426794074939</v>
      </c>
      <c r="V188" s="4">
        <f t="shared" ca="1" si="60"/>
        <v>0</v>
      </c>
      <c r="W188" s="13">
        <f t="shared" ca="1" si="61"/>
        <v>43137.891000000003</v>
      </c>
      <c r="X188" s="4">
        <f t="shared" ca="1" si="62"/>
        <v>0</v>
      </c>
      <c r="Y188" s="4">
        <f t="shared" si="63"/>
        <v>0</v>
      </c>
      <c r="Z188" s="13">
        <f t="shared" ca="1" si="64"/>
        <v>43137.891000000003</v>
      </c>
      <c r="AA188" s="4">
        <f t="shared" ca="1" si="65"/>
        <v>0</v>
      </c>
      <c r="AE188" s="4"/>
    </row>
    <row r="189" spans="1:31">
      <c r="A189">
        <v>1</v>
      </c>
      <c r="B189">
        <v>1</v>
      </c>
      <c r="C189">
        <f t="shared" ca="1" si="44"/>
        <v>3</v>
      </c>
      <c r="D189">
        <f t="shared" ca="1" si="45"/>
        <v>2</v>
      </c>
      <c r="E189">
        <f t="shared" ca="1" si="46"/>
        <v>1</v>
      </c>
      <c r="F189" s="110">
        <f t="shared" ca="1" si="47"/>
        <v>0</v>
      </c>
      <c r="G189">
        <v>1</v>
      </c>
      <c r="H189">
        <v>0</v>
      </c>
      <c r="I189">
        <v>4</v>
      </c>
      <c r="J189" s="1">
        <f t="shared" ca="1" si="48"/>
        <v>0</v>
      </c>
      <c r="K189" s="1">
        <f t="shared" ca="1" si="49"/>
        <v>0</v>
      </c>
      <c r="L189" s="13">
        <f t="shared" ca="1" si="50"/>
        <v>307</v>
      </c>
      <c r="M189" s="7">
        <f t="shared" ca="1" si="51"/>
        <v>1193</v>
      </c>
      <c r="N189" s="26">
        <f t="shared" ca="1" si="52"/>
        <v>5</v>
      </c>
      <c r="O189" s="44">
        <f t="shared" ca="1" si="53"/>
        <v>3.5346387789404914</v>
      </c>
      <c r="P189" s="44">
        <f t="shared" ca="1" si="54"/>
        <v>35.346387789404908</v>
      </c>
      <c r="Q189" s="44">
        <f t="shared" ca="1" si="55"/>
        <v>35.346387789404908</v>
      </c>
      <c r="R189" s="44">
        <f t="shared" ca="1" si="56"/>
        <v>3.5346387789404909</v>
      </c>
      <c r="S189" s="44">
        <f t="shared" ca="1" si="57"/>
        <v>3.5346387789404914</v>
      </c>
      <c r="T189" s="4">
        <f t="shared" ca="1" si="58"/>
        <v>0</v>
      </c>
      <c r="U189" s="120">
        <f t="shared" ca="1" si="59"/>
        <v>2079.4426794074939</v>
      </c>
      <c r="V189" s="4">
        <f t="shared" ca="1" si="60"/>
        <v>0</v>
      </c>
      <c r="W189" s="13">
        <f t="shared" ca="1" si="61"/>
        <v>40709.016000000003</v>
      </c>
      <c r="X189" s="4">
        <f t="shared" ca="1" si="62"/>
        <v>0</v>
      </c>
      <c r="Y189" s="4">
        <f t="shared" si="63"/>
        <v>0</v>
      </c>
      <c r="Z189" s="13">
        <f t="shared" ca="1" si="64"/>
        <v>40709.016000000003</v>
      </c>
      <c r="AA189" s="4">
        <f t="shared" ca="1" si="65"/>
        <v>0</v>
      </c>
      <c r="AE189" s="4"/>
    </row>
    <row r="190" spans="1:31">
      <c r="A190">
        <v>1</v>
      </c>
      <c r="B190">
        <v>1</v>
      </c>
      <c r="C190">
        <f t="shared" ca="1" si="44"/>
        <v>3</v>
      </c>
      <c r="D190">
        <f t="shared" ca="1" si="45"/>
        <v>2</v>
      </c>
      <c r="E190">
        <f t="shared" ca="1" si="46"/>
        <v>1</v>
      </c>
      <c r="F190" s="110">
        <f t="shared" ca="1" si="47"/>
        <v>0</v>
      </c>
      <c r="G190">
        <v>1</v>
      </c>
      <c r="H190">
        <v>0</v>
      </c>
      <c r="I190">
        <v>3</v>
      </c>
      <c r="J190" s="1">
        <f t="shared" ca="1" si="48"/>
        <v>0</v>
      </c>
      <c r="K190" s="1">
        <f t="shared" ca="1" si="49"/>
        <v>0</v>
      </c>
      <c r="L190" s="13">
        <f t="shared" ca="1" si="50"/>
        <v>288</v>
      </c>
      <c r="M190" s="7">
        <f t="shared" ca="1" si="51"/>
        <v>1212</v>
      </c>
      <c r="N190" s="26">
        <f t="shared" ca="1" si="52"/>
        <v>5</v>
      </c>
      <c r="O190" s="44">
        <f t="shared" ca="1" si="53"/>
        <v>3.5346387789404914</v>
      </c>
      <c r="P190" s="44">
        <f t="shared" ca="1" si="54"/>
        <v>35.346387789404908</v>
      </c>
      <c r="Q190" s="44">
        <f t="shared" ca="1" si="55"/>
        <v>35.346387789404908</v>
      </c>
      <c r="R190" s="44">
        <f t="shared" ca="1" si="56"/>
        <v>3.5346387789404909</v>
      </c>
      <c r="S190" s="44">
        <f t="shared" ca="1" si="57"/>
        <v>3.5346387789404914</v>
      </c>
      <c r="T190" s="4">
        <f t="shared" ca="1" si="58"/>
        <v>0</v>
      </c>
      <c r="U190" s="120">
        <f t="shared" ca="1" si="59"/>
        <v>2060.4426794074939</v>
      </c>
      <c r="V190" s="4">
        <f t="shared" ca="1" si="60"/>
        <v>0</v>
      </c>
      <c r="W190" s="13">
        <f t="shared" ca="1" si="61"/>
        <v>38280.141000000003</v>
      </c>
      <c r="X190" s="4">
        <f t="shared" ca="1" si="62"/>
        <v>0</v>
      </c>
      <c r="Y190" s="4">
        <f t="shared" si="63"/>
        <v>0</v>
      </c>
      <c r="Z190" s="13">
        <f t="shared" ca="1" si="64"/>
        <v>38280.141000000003</v>
      </c>
      <c r="AA190" s="4">
        <f t="shared" ca="1" si="65"/>
        <v>0</v>
      </c>
      <c r="AE190" s="4"/>
    </row>
    <row r="191" spans="1:31">
      <c r="A191">
        <v>1</v>
      </c>
      <c r="B191">
        <v>1</v>
      </c>
      <c r="C191">
        <f t="shared" ca="1" si="44"/>
        <v>3</v>
      </c>
      <c r="D191">
        <f t="shared" ca="1" si="45"/>
        <v>2</v>
      </c>
      <c r="E191">
        <f t="shared" ca="1" si="46"/>
        <v>1</v>
      </c>
      <c r="F191" s="110">
        <f t="shared" ca="1" si="47"/>
        <v>0</v>
      </c>
      <c r="G191">
        <v>1</v>
      </c>
      <c r="H191">
        <v>0</v>
      </c>
      <c r="I191">
        <v>2</v>
      </c>
      <c r="J191" s="1">
        <f t="shared" ca="1" si="48"/>
        <v>0.85737499999999989</v>
      </c>
      <c r="K191" s="1">
        <f t="shared" ca="1" si="49"/>
        <v>0</v>
      </c>
      <c r="L191" s="13">
        <f t="shared" ca="1" si="50"/>
        <v>269</v>
      </c>
      <c r="M191" s="7">
        <f t="shared" ca="1" si="51"/>
        <v>1231</v>
      </c>
      <c r="N191" s="26">
        <f t="shared" ca="1" si="52"/>
        <v>5</v>
      </c>
      <c r="O191" s="44">
        <f t="shared" ca="1" si="53"/>
        <v>3.5346387789404914</v>
      </c>
      <c r="P191" s="44">
        <f t="shared" ca="1" si="54"/>
        <v>35.346387789404908</v>
      </c>
      <c r="Q191" s="44">
        <f t="shared" ca="1" si="55"/>
        <v>35.346387789404908</v>
      </c>
      <c r="R191" s="44">
        <f t="shared" ca="1" si="56"/>
        <v>3.5346387789404909</v>
      </c>
      <c r="S191" s="44">
        <f t="shared" ca="1" si="57"/>
        <v>3.5346387789404914</v>
      </c>
      <c r="T191" s="4">
        <f t="shared" ca="1" si="58"/>
        <v>0</v>
      </c>
      <c r="U191" s="120">
        <f t="shared" ca="1" si="59"/>
        <v>2041.4426794074936</v>
      </c>
      <c r="V191" s="4">
        <f t="shared" ca="1" si="60"/>
        <v>0</v>
      </c>
      <c r="W191" s="13">
        <f t="shared" ca="1" si="61"/>
        <v>35851.266000000003</v>
      </c>
      <c r="X191" s="4">
        <f t="shared" ca="1" si="62"/>
        <v>0</v>
      </c>
      <c r="Y191" s="4">
        <f t="shared" si="63"/>
        <v>0</v>
      </c>
      <c r="Z191" s="13">
        <f t="shared" ca="1" si="64"/>
        <v>35851.266000000003</v>
      </c>
      <c r="AA191" s="4">
        <f t="shared" ca="1" si="65"/>
        <v>0</v>
      </c>
      <c r="AE191" s="4"/>
    </row>
    <row r="192" spans="1:31">
      <c r="A192">
        <v>1</v>
      </c>
      <c r="B192">
        <v>1</v>
      </c>
      <c r="C192">
        <f t="shared" ca="1" si="44"/>
        <v>3</v>
      </c>
      <c r="D192">
        <f t="shared" ca="1" si="45"/>
        <v>2</v>
      </c>
      <c r="E192">
        <f t="shared" ca="1" si="46"/>
        <v>1</v>
      </c>
      <c r="F192" s="110">
        <f t="shared" ca="1" si="47"/>
        <v>0</v>
      </c>
      <c r="G192">
        <v>1</v>
      </c>
      <c r="H192">
        <v>0</v>
      </c>
      <c r="I192">
        <v>1</v>
      </c>
      <c r="J192" s="1">
        <f t="shared" ca="1" si="48"/>
        <v>9.025000000000008E-2</v>
      </c>
      <c r="K192" s="1">
        <f t="shared" ca="1" si="49"/>
        <v>0</v>
      </c>
      <c r="L192" s="13">
        <f t="shared" ca="1" si="50"/>
        <v>250</v>
      </c>
      <c r="M192" s="7">
        <f t="shared" ca="1" si="51"/>
        <v>1250</v>
      </c>
      <c r="N192" s="26">
        <f t="shared" ca="1" si="52"/>
        <v>5</v>
      </c>
      <c r="O192" s="44">
        <f t="shared" ca="1" si="53"/>
        <v>3.5346387789404914</v>
      </c>
      <c r="P192" s="44">
        <f t="shared" ca="1" si="54"/>
        <v>35.346387789404908</v>
      </c>
      <c r="Q192" s="44">
        <f t="shared" ca="1" si="55"/>
        <v>35.346387789404908</v>
      </c>
      <c r="R192" s="44">
        <f t="shared" ca="1" si="56"/>
        <v>3.5346387789404909</v>
      </c>
      <c r="S192" s="44">
        <f t="shared" ca="1" si="57"/>
        <v>3.5346387789404914</v>
      </c>
      <c r="T192" s="4">
        <f t="shared" ca="1" si="58"/>
        <v>0</v>
      </c>
      <c r="U192" s="120">
        <f t="shared" ca="1" si="59"/>
        <v>2022.4426794074936</v>
      </c>
      <c r="V192" s="4">
        <f t="shared" ca="1" si="60"/>
        <v>0</v>
      </c>
      <c r="W192" s="13">
        <f t="shared" ca="1" si="61"/>
        <v>33422.391000000003</v>
      </c>
      <c r="X192" s="4">
        <f t="shared" ca="1" si="62"/>
        <v>0</v>
      </c>
      <c r="Y192" s="4">
        <f t="shared" si="63"/>
        <v>0</v>
      </c>
      <c r="Z192" s="13">
        <f t="shared" ca="1" si="64"/>
        <v>33422.391000000003</v>
      </c>
      <c r="AA192" s="4">
        <f t="shared" ca="1" si="65"/>
        <v>0</v>
      </c>
      <c r="AE192" s="4"/>
    </row>
    <row r="193" spans="1:31">
      <c r="A193">
        <v>1</v>
      </c>
      <c r="B193">
        <v>1</v>
      </c>
      <c r="C193">
        <f t="shared" ca="1" si="44"/>
        <v>3</v>
      </c>
      <c r="D193">
        <f t="shared" ca="1" si="45"/>
        <v>2</v>
      </c>
      <c r="E193">
        <f t="shared" ca="1" si="46"/>
        <v>1</v>
      </c>
      <c r="F193" s="110">
        <f t="shared" ca="1" si="47"/>
        <v>0</v>
      </c>
      <c r="G193">
        <v>1</v>
      </c>
      <c r="H193">
        <v>0</v>
      </c>
      <c r="I193">
        <v>0</v>
      </c>
      <c r="J193" s="1">
        <f t="shared" ca="1" si="48"/>
        <v>2.3750000000000038E-3</v>
      </c>
      <c r="K193" s="1">
        <f t="shared" ca="1" si="49"/>
        <v>0</v>
      </c>
      <c r="L193" s="13">
        <f t="shared" ca="1" si="50"/>
        <v>231</v>
      </c>
      <c r="M193" s="7">
        <f t="shared" ca="1" si="51"/>
        <v>1269</v>
      </c>
      <c r="N193" s="26">
        <f t="shared" ca="1" si="52"/>
        <v>5</v>
      </c>
      <c r="O193" s="44">
        <f t="shared" ca="1" si="53"/>
        <v>3.5346387789404914</v>
      </c>
      <c r="P193" s="44">
        <f t="shared" ca="1" si="54"/>
        <v>35.346387789404908</v>
      </c>
      <c r="Q193" s="44">
        <f t="shared" ca="1" si="55"/>
        <v>35.346387789404908</v>
      </c>
      <c r="R193" s="44">
        <f t="shared" ca="1" si="56"/>
        <v>3.5346387789404909</v>
      </c>
      <c r="S193" s="44">
        <f t="shared" ca="1" si="57"/>
        <v>3.5346387789404914</v>
      </c>
      <c r="T193" s="4">
        <f t="shared" ca="1" si="58"/>
        <v>0</v>
      </c>
      <c r="U193" s="120">
        <f t="shared" ca="1" si="59"/>
        <v>2003.4426794074936</v>
      </c>
      <c r="V193" s="4">
        <f t="shared" ca="1" si="60"/>
        <v>0</v>
      </c>
      <c r="W193" s="13">
        <f t="shared" ca="1" si="61"/>
        <v>30993.516000000003</v>
      </c>
      <c r="X193" s="4">
        <f t="shared" ca="1" si="62"/>
        <v>0</v>
      </c>
      <c r="Y193" s="4">
        <f t="shared" si="63"/>
        <v>0</v>
      </c>
      <c r="Z193" s="13">
        <f t="shared" ca="1" si="64"/>
        <v>30993.516000000003</v>
      </c>
      <c r="AA193" s="4">
        <f t="shared" ca="1" si="65"/>
        <v>0</v>
      </c>
      <c r="AE193" s="4"/>
    </row>
    <row r="194" spans="1:31">
      <c r="A194">
        <v>1</v>
      </c>
      <c r="B194">
        <v>1</v>
      </c>
      <c r="C194">
        <f t="shared" ca="1" si="44"/>
        <v>3</v>
      </c>
      <c r="D194">
        <f t="shared" ca="1" si="45"/>
        <v>2</v>
      </c>
      <c r="E194">
        <f t="shared" ca="1" si="46"/>
        <v>1</v>
      </c>
      <c r="F194" s="110">
        <f t="shared" ca="1" si="47"/>
        <v>0</v>
      </c>
      <c r="G194">
        <v>0</v>
      </c>
      <c r="H194">
        <v>1</v>
      </c>
      <c r="I194">
        <v>7</v>
      </c>
      <c r="J194" s="1">
        <f t="shared" ca="1" si="48"/>
        <v>0</v>
      </c>
      <c r="K194" s="1">
        <f t="shared" ca="1" si="49"/>
        <v>0</v>
      </c>
      <c r="L194" s="13">
        <f t="shared" ca="1" si="50"/>
        <v>364</v>
      </c>
      <c r="M194" s="7">
        <f t="shared" ca="1" si="51"/>
        <v>1136</v>
      </c>
      <c r="N194" s="26">
        <f t="shared" ca="1" si="52"/>
        <v>5</v>
      </c>
      <c r="O194" s="44">
        <f t="shared" ca="1" si="53"/>
        <v>3.5346387789404914</v>
      </c>
      <c r="P194" s="44">
        <f t="shared" ca="1" si="54"/>
        <v>35.346387789404908</v>
      </c>
      <c r="Q194" s="44">
        <f t="shared" ca="1" si="55"/>
        <v>34.700360457357213</v>
      </c>
      <c r="R194" s="44">
        <f t="shared" ca="1" si="56"/>
        <v>3.5023374123381061</v>
      </c>
      <c r="S194" s="44">
        <f t="shared" ca="1" si="57"/>
        <v>3.532377683278324</v>
      </c>
      <c r="T194" s="4">
        <f t="shared" ca="1" si="58"/>
        <v>0</v>
      </c>
      <c r="U194" s="120">
        <f t="shared" ca="1" si="59"/>
        <v>2135.4497774977995</v>
      </c>
      <c r="V194" s="4">
        <f t="shared" ca="1" si="60"/>
        <v>0</v>
      </c>
      <c r="W194" s="13">
        <f t="shared" ca="1" si="61"/>
        <v>17002.125</v>
      </c>
      <c r="X194" s="4">
        <f t="shared" ca="1" si="62"/>
        <v>0</v>
      </c>
      <c r="Y194" s="4">
        <f t="shared" si="63"/>
        <v>0</v>
      </c>
      <c r="Z194" s="13">
        <f t="shared" ca="1" si="64"/>
        <v>17002.125</v>
      </c>
      <c r="AA194" s="4">
        <f t="shared" ca="1" si="65"/>
        <v>0</v>
      </c>
      <c r="AE194" s="4"/>
    </row>
    <row r="195" spans="1:31">
      <c r="A195">
        <v>1</v>
      </c>
      <c r="B195">
        <v>1</v>
      </c>
      <c r="C195">
        <f t="shared" ca="1" si="44"/>
        <v>3</v>
      </c>
      <c r="D195">
        <f t="shared" ca="1" si="45"/>
        <v>2</v>
      </c>
      <c r="E195">
        <f t="shared" ca="1" si="46"/>
        <v>1</v>
      </c>
      <c r="F195" s="110">
        <f t="shared" ca="1" si="47"/>
        <v>0</v>
      </c>
      <c r="G195">
        <v>0</v>
      </c>
      <c r="H195">
        <v>1</v>
      </c>
      <c r="I195">
        <v>6</v>
      </c>
      <c r="J195" s="1">
        <f t="shared" ca="1" si="48"/>
        <v>0</v>
      </c>
      <c r="K195" s="1">
        <f t="shared" ca="1" si="49"/>
        <v>0</v>
      </c>
      <c r="L195" s="13">
        <f t="shared" ca="1" si="50"/>
        <v>345</v>
      </c>
      <c r="M195" s="7">
        <f t="shared" ca="1" si="51"/>
        <v>1155</v>
      </c>
      <c r="N195" s="26">
        <f t="shared" ca="1" si="52"/>
        <v>5</v>
      </c>
      <c r="O195" s="44">
        <f t="shared" ca="1" si="53"/>
        <v>3.5346387789404914</v>
      </c>
      <c r="P195" s="44">
        <f t="shared" ca="1" si="54"/>
        <v>35.346387789404908</v>
      </c>
      <c r="Q195" s="44">
        <f t="shared" ca="1" si="55"/>
        <v>35.346387789404908</v>
      </c>
      <c r="R195" s="44">
        <f t="shared" ca="1" si="56"/>
        <v>3.5346387789404909</v>
      </c>
      <c r="S195" s="44">
        <f t="shared" ca="1" si="57"/>
        <v>3.5346387789404914</v>
      </c>
      <c r="T195" s="4">
        <f t="shared" ca="1" si="58"/>
        <v>0</v>
      </c>
      <c r="U195" s="120">
        <f t="shared" ca="1" si="59"/>
        <v>2117.4426794074939</v>
      </c>
      <c r="V195" s="4">
        <f t="shared" ca="1" si="60"/>
        <v>0</v>
      </c>
      <c r="W195" s="13">
        <f t="shared" ca="1" si="61"/>
        <v>14573.25</v>
      </c>
      <c r="X195" s="4">
        <f t="shared" ca="1" si="62"/>
        <v>0</v>
      </c>
      <c r="Y195" s="4">
        <f t="shared" si="63"/>
        <v>0</v>
      </c>
      <c r="Z195" s="13">
        <f t="shared" ca="1" si="64"/>
        <v>14573.25</v>
      </c>
      <c r="AA195" s="4">
        <f t="shared" ca="1" si="65"/>
        <v>0</v>
      </c>
      <c r="AE195" s="4"/>
    </row>
    <row r="196" spans="1:31">
      <c r="A196">
        <v>1</v>
      </c>
      <c r="B196">
        <v>1</v>
      </c>
      <c r="C196">
        <f t="shared" ca="1" si="44"/>
        <v>3</v>
      </c>
      <c r="D196">
        <f t="shared" ca="1" si="45"/>
        <v>2</v>
      </c>
      <c r="E196">
        <f t="shared" ca="1" si="46"/>
        <v>1</v>
      </c>
      <c r="F196" s="110">
        <f t="shared" ca="1" si="47"/>
        <v>0</v>
      </c>
      <c r="G196">
        <v>0</v>
      </c>
      <c r="H196">
        <v>1</v>
      </c>
      <c r="I196">
        <v>5</v>
      </c>
      <c r="J196" s="1">
        <f t="shared" ca="1" si="48"/>
        <v>0</v>
      </c>
      <c r="K196" s="1">
        <f t="shared" ca="1" si="49"/>
        <v>0</v>
      </c>
      <c r="L196" s="13">
        <f t="shared" ca="1" si="50"/>
        <v>326</v>
      </c>
      <c r="M196" s="7">
        <f t="shared" ca="1" si="51"/>
        <v>1174</v>
      </c>
      <c r="N196" s="26">
        <f t="shared" ca="1" si="52"/>
        <v>5</v>
      </c>
      <c r="O196" s="44">
        <f t="shared" ca="1" si="53"/>
        <v>3.5346387789404914</v>
      </c>
      <c r="P196" s="44">
        <f t="shared" ca="1" si="54"/>
        <v>35.346387789404908</v>
      </c>
      <c r="Q196" s="44">
        <f t="shared" ca="1" si="55"/>
        <v>35.346387789404908</v>
      </c>
      <c r="R196" s="44">
        <f t="shared" ca="1" si="56"/>
        <v>3.5346387789404909</v>
      </c>
      <c r="S196" s="44">
        <f t="shared" ca="1" si="57"/>
        <v>3.5346387789404914</v>
      </c>
      <c r="T196" s="4">
        <f t="shared" ca="1" si="58"/>
        <v>0</v>
      </c>
      <c r="U196" s="120">
        <f t="shared" ca="1" si="59"/>
        <v>2098.4426794074939</v>
      </c>
      <c r="V196" s="4">
        <f t="shared" ca="1" si="60"/>
        <v>0</v>
      </c>
      <c r="W196" s="13">
        <f t="shared" ca="1" si="61"/>
        <v>12144.375</v>
      </c>
      <c r="X196" s="4">
        <f t="shared" ca="1" si="62"/>
        <v>0</v>
      </c>
      <c r="Y196" s="4">
        <f t="shared" si="63"/>
        <v>0</v>
      </c>
      <c r="Z196" s="13">
        <f t="shared" ca="1" si="64"/>
        <v>12144.375</v>
      </c>
      <c r="AA196" s="4">
        <f t="shared" ca="1" si="65"/>
        <v>0</v>
      </c>
      <c r="AE196" s="4"/>
    </row>
    <row r="197" spans="1:31">
      <c r="A197">
        <v>1</v>
      </c>
      <c r="B197">
        <v>1</v>
      </c>
      <c r="C197">
        <f t="shared" ca="1" si="44"/>
        <v>3</v>
      </c>
      <c r="D197">
        <f t="shared" ca="1" si="45"/>
        <v>2</v>
      </c>
      <c r="E197">
        <f t="shared" ca="1" si="46"/>
        <v>1</v>
      </c>
      <c r="F197" s="110">
        <f t="shared" ca="1" si="47"/>
        <v>0</v>
      </c>
      <c r="G197">
        <v>0</v>
      </c>
      <c r="H197">
        <v>1</v>
      </c>
      <c r="I197">
        <v>4</v>
      </c>
      <c r="J197" s="1">
        <f t="shared" ca="1" si="48"/>
        <v>0</v>
      </c>
      <c r="K197" s="1">
        <f t="shared" ca="1" si="49"/>
        <v>0</v>
      </c>
      <c r="L197" s="13">
        <f t="shared" ca="1" si="50"/>
        <v>307</v>
      </c>
      <c r="M197" s="7">
        <f t="shared" ca="1" si="51"/>
        <v>1193</v>
      </c>
      <c r="N197" s="26">
        <f t="shared" ca="1" si="52"/>
        <v>5</v>
      </c>
      <c r="O197" s="44">
        <f t="shared" ca="1" si="53"/>
        <v>3.5346387789404914</v>
      </c>
      <c r="P197" s="44">
        <f t="shared" ca="1" si="54"/>
        <v>35.346387789404908</v>
      </c>
      <c r="Q197" s="44">
        <f t="shared" ca="1" si="55"/>
        <v>35.346387789404908</v>
      </c>
      <c r="R197" s="44">
        <f t="shared" ca="1" si="56"/>
        <v>3.5346387789404909</v>
      </c>
      <c r="S197" s="44">
        <f t="shared" ca="1" si="57"/>
        <v>3.5346387789404914</v>
      </c>
      <c r="T197" s="4">
        <f t="shared" ca="1" si="58"/>
        <v>0</v>
      </c>
      <c r="U197" s="120">
        <f t="shared" ca="1" si="59"/>
        <v>2079.4426794074939</v>
      </c>
      <c r="V197" s="4">
        <f t="shared" ca="1" si="60"/>
        <v>0</v>
      </c>
      <c r="W197" s="13">
        <f t="shared" ca="1" si="61"/>
        <v>9715.5</v>
      </c>
      <c r="X197" s="4">
        <f t="shared" ca="1" si="62"/>
        <v>0</v>
      </c>
      <c r="Y197" s="4">
        <f t="shared" si="63"/>
        <v>0</v>
      </c>
      <c r="Z197" s="13">
        <f t="shared" ca="1" si="64"/>
        <v>9715.5</v>
      </c>
      <c r="AA197" s="4">
        <f t="shared" ca="1" si="65"/>
        <v>0</v>
      </c>
      <c r="AE197" s="4"/>
    </row>
    <row r="198" spans="1:31">
      <c r="A198">
        <v>1</v>
      </c>
      <c r="B198">
        <v>1</v>
      </c>
      <c r="C198">
        <f t="shared" ca="1" si="44"/>
        <v>3</v>
      </c>
      <c r="D198">
        <f t="shared" ca="1" si="45"/>
        <v>2</v>
      </c>
      <c r="E198">
        <f t="shared" ca="1" si="46"/>
        <v>1</v>
      </c>
      <c r="F198" s="110">
        <f t="shared" ca="1" si="47"/>
        <v>0</v>
      </c>
      <c r="G198">
        <v>0</v>
      </c>
      <c r="H198">
        <v>1</v>
      </c>
      <c r="I198">
        <v>3</v>
      </c>
      <c r="J198" s="1">
        <f t="shared" ca="1" si="48"/>
        <v>0</v>
      </c>
      <c r="K198" s="1">
        <f t="shared" ca="1" si="49"/>
        <v>0</v>
      </c>
      <c r="L198" s="13">
        <f t="shared" ca="1" si="50"/>
        <v>288</v>
      </c>
      <c r="M198" s="7">
        <f t="shared" ca="1" si="51"/>
        <v>1212</v>
      </c>
      <c r="N198" s="26">
        <f t="shared" ca="1" si="52"/>
        <v>5</v>
      </c>
      <c r="O198" s="44">
        <f t="shared" ca="1" si="53"/>
        <v>3.5346387789404914</v>
      </c>
      <c r="P198" s="44">
        <f t="shared" ca="1" si="54"/>
        <v>35.346387789404908</v>
      </c>
      <c r="Q198" s="44">
        <f t="shared" ca="1" si="55"/>
        <v>35.346387789404908</v>
      </c>
      <c r="R198" s="44">
        <f t="shared" ca="1" si="56"/>
        <v>3.5346387789404909</v>
      </c>
      <c r="S198" s="44">
        <f t="shared" ca="1" si="57"/>
        <v>3.5346387789404914</v>
      </c>
      <c r="T198" s="4">
        <f t="shared" ca="1" si="58"/>
        <v>0</v>
      </c>
      <c r="U198" s="120">
        <f t="shared" ca="1" si="59"/>
        <v>2060.4426794074939</v>
      </c>
      <c r="V198" s="4">
        <f t="shared" ca="1" si="60"/>
        <v>0</v>
      </c>
      <c r="W198" s="13">
        <f t="shared" ca="1" si="61"/>
        <v>7286.625</v>
      </c>
      <c r="X198" s="4">
        <f t="shared" ca="1" si="62"/>
        <v>0</v>
      </c>
      <c r="Y198" s="4">
        <f t="shared" si="63"/>
        <v>0</v>
      </c>
      <c r="Z198" s="13">
        <f t="shared" ca="1" si="64"/>
        <v>7286.625</v>
      </c>
      <c r="AA198" s="4">
        <f t="shared" ca="1" si="65"/>
        <v>0</v>
      </c>
      <c r="AE198" s="4"/>
    </row>
    <row r="199" spans="1:31">
      <c r="A199">
        <v>1</v>
      </c>
      <c r="B199">
        <v>1</v>
      </c>
      <c r="C199">
        <f t="shared" ca="1" si="44"/>
        <v>3</v>
      </c>
      <c r="D199">
        <f t="shared" ca="1" si="45"/>
        <v>2</v>
      </c>
      <c r="E199">
        <f t="shared" ca="1" si="46"/>
        <v>1</v>
      </c>
      <c r="F199" s="110">
        <f t="shared" ca="1" si="47"/>
        <v>0</v>
      </c>
      <c r="G199">
        <v>0</v>
      </c>
      <c r="H199">
        <v>1</v>
      </c>
      <c r="I199">
        <v>2</v>
      </c>
      <c r="J199" s="1">
        <f t="shared" ca="1" si="48"/>
        <v>0</v>
      </c>
      <c r="K199" s="1">
        <f t="shared" ca="1" si="49"/>
        <v>0</v>
      </c>
      <c r="L199" s="13">
        <f t="shared" ca="1" si="50"/>
        <v>269</v>
      </c>
      <c r="M199" s="7">
        <f t="shared" ca="1" si="51"/>
        <v>1231</v>
      </c>
      <c r="N199" s="26">
        <f t="shared" ca="1" si="52"/>
        <v>5</v>
      </c>
      <c r="O199" s="44">
        <f t="shared" ca="1" si="53"/>
        <v>3.5346387789404914</v>
      </c>
      <c r="P199" s="44">
        <f t="shared" ca="1" si="54"/>
        <v>35.346387789404908</v>
      </c>
      <c r="Q199" s="44">
        <f t="shared" ca="1" si="55"/>
        <v>35.346387789404908</v>
      </c>
      <c r="R199" s="44">
        <f t="shared" ca="1" si="56"/>
        <v>3.5346387789404909</v>
      </c>
      <c r="S199" s="44">
        <f t="shared" ca="1" si="57"/>
        <v>3.5346387789404914</v>
      </c>
      <c r="T199" s="4">
        <f t="shared" ca="1" si="58"/>
        <v>0</v>
      </c>
      <c r="U199" s="120">
        <f t="shared" ca="1" si="59"/>
        <v>2041.4426794074936</v>
      </c>
      <c r="V199" s="4">
        <f t="shared" ca="1" si="60"/>
        <v>0</v>
      </c>
      <c r="W199" s="13">
        <f t="shared" ca="1" si="61"/>
        <v>4857.75</v>
      </c>
      <c r="X199" s="4">
        <f t="shared" ca="1" si="62"/>
        <v>0</v>
      </c>
      <c r="Y199" s="4">
        <f t="shared" si="63"/>
        <v>0</v>
      </c>
      <c r="Z199" s="13">
        <f t="shared" ca="1" si="64"/>
        <v>4857.75</v>
      </c>
      <c r="AA199" s="4">
        <f t="shared" ca="1" si="65"/>
        <v>0</v>
      </c>
      <c r="AE199" s="4"/>
    </row>
    <row r="200" spans="1:31">
      <c r="A200">
        <v>1</v>
      </c>
      <c r="B200">
        <v>1</v>
      </c>
      <c r="C200">
        <f t="shared" ca="1" si="44"/>
        <v>3</v>
      </c>
      <c r="D200">
        <f t="shared" ca="1" si="45"/>
        <v>2</v>
      </c>
      <c r="E200">
        <f t="shared" ca="1" si="46"/>
        <v>1</v>
      </c>
      <c r="F200" s="110">
        <f t="shared" ca="1" si="47"/>
        <v>0</v>
      </c>
      <c r="G200">
        <v>0</v>
      </c>
      <c r="H200">
        <v>1</v>
      </c>
      <c r="I200">
        <v>1</v>
      </c>
      <c r="J200" s="1">
        <f t="shared" ca="1" si="48"/>
        <v>0</v>
      </c>
      <c r="K200" s="1">
        <f t="shared" ca="1" si="49"/>
        <v>0</v>
      </c>
      <c r="L200" s="13">
        <f t="shared" ca="1" si="50"/>
        <v>250</v>
      </c>
      <c r="M200" s="7">
        <f t="shared" ca="1" si="51"/>
        <v>1250</v>
      </c>
      <c r="N200" s="26">
        <f t="shared" ca="1" si="52"/>
        <v>5</v>
      </c>
      <c r="O200" s="44">
        <f t="shared" ca="1" si="53"/>
        <v>3.5346387789404914</v>
      </c>
      <c r="P200" s="44">
        <f t="shared" ca="1" si="54"/>
        <v>35.346387789404908</v>
      </c>
      <c r="Q200" s="44">
        <f t="shared" ca="1" si="55"/>
        <v>35.346387789404908</v>
      </c>
      <c r="R200" s="44">
        <f t="shared" ca="1" si="56"/>
        <v>3.5346387789404909</v>
      </c>
      <c r="S200" s="44">
        <f t="shared" ca="1" si="57"/>
        <v>3.5346387789404914</v>
      </c>
      <c r="T200" s="4">
        <f t="shared" ca="1" si="58"/>
        <v>0</v>
      </c>
      <c r="U200" s="120">
        <f t="shared" ca="1" si="59"/>
        <v>2022.4426794074936</v>
      </c>
      <c r="V200" s="4">
        <f t="shared" ca="1" si="60"/>
        <v>0</v>
      </c>
      <c r="W200" s="13">
        <f t="shared" ca="1" si="61"/>
        <v>2428.875</v>
      </c>
      <c r="X200" s="4">
        <f t="shared" ca="1" si="62"/>
        <v>0</v>
      </c>
      <c r="Y200" s="4">
        <f t="shared" si="63"/>
        <v>0</v>
      </c>
      <c r="Z200" s="13">
        <f t="shared" ca="1" si="64"/>
        <v>2428.875</v>
      </c>
      <c r="AA200" s="4">
        <f t="shared" ca="1" si="65"/>
        <v>0</v>
      </c>
      <c r="AE200" s="4"/>
    </row>
    <row r="201" spans="1:31">
      <c r="A201">
        <v>1</v>
      </c>
      <c r="B201">
        <v>1</v>
      </c>
      <c r="C201">
        <f t="shared" ca="1" si="44"/>
        <v>3</v>
      </c>
      <c r="D201">
        <f t="shared" ca="1" si="45"/>
        <v>2</v>
      </c>
      <c r="E201">
        <f t="shared" ca="1" si="46"/>
        <v>1</v>
      </c>
      <c r="F201" s="110">
        <f t="shared" ca="1" si="47"/>
        <v>0</v>
      </c>
      <c r="G201">
        <v>0</v>
      </c>
      <c r="H201">
        <v>1</v>
      </c>
      <c r="I201">
        <v>0</v>
      </c>
      <c r="J201" s="1">
        <f t="shared" ca="1" si="48"/>
        <v>0</v>
      </c>
      <c r="K201" s="1">
        <f t="shared" ca="1" si="49"/>
        <v>0</v>
      </c>
      <c r="L201" s="13">
        <f t="shared" ca="1" si="50"/>
        <v>231</v>
      </c>
      <c r="M201" s="7">
        <f t="shared" ca="1" si="51"/>
        <v>1269</v>
      </c>
      <c r="N201" s="26">
        <f t="shared" ca="1" si="52"/>
        <v>5</v>
      </c>
      <c r="O201" s="44">
        <f t="shared" ca="1" si="53"/>
        <v>3.5346387789404914</v>
      </c>
      <c r="P201" s="44">
        <f t="shared" ca="1" si="54"/>
        <v>35.346387789404908</v>
      </c>
      <c r="Q201" s="44">
        <f t="shared" ca="1" si="55"/>
        <v>35.346387789404908</v>
      </c>
      <c r="R201" s="44">
        <f t="shared" ca="1" si="56"/>
        <v>3.5346387789404909</v>
      </c>
      <c r="S201" s="44">
        <f t="shared" ca="1" si="57"/>
        <v>3.5346387789404914</v>
      </c>
      <c r="T201" s="4">
        <f t="shared" ca="1" si="58"/>
        <v>0</v>
      </c>
      <c r="U201" s="120">
        <f t="shared" ca="1" si="59"/>
        <v>2003.4426794074936</v>
      </c>
      <c r="V201" s="4">
        <f t="shared" ca="1" si="60"/>
        <v>0</v>
      </c>
      <c r="W201" s="13">
        <f t="shared" ca="1" si="61"/>
        <v>0</v>
      </c>
      <c r="X201" s="4">
        <f t="shared" ca="1" si="62"/>
        <v>0</v>
      </c>
      <c r="Y201" s="4">
        <f t="shared" si="63"/>
        <v>0</v>
      </c>
      <c r="Z201" s="13">
        <f t="shared" ca="1" si="64"/>
        <v>0</v>
      </c>
      <c r="AA201" s="4">
        <f t="shared" ca="1" si="65"/>
        <v>0</v>
      </c>
      <c r="AE201" s="4"/>
    </row>
    <row r="202" spans="1:31">
      <c r="A202">
        <v>1</v>
      </c>
      <c r="B202">
        <v>1</v>
      </c>
      <c r="C202">
        <f t="shared" ca="1" si="44"/>
        <v>3</v>
      </c>
      <c r="D202">
        <f t="shared" ca="1" si="45"/>
        <v>2</v>
      </c>
      <c r="E202">
        <f t="shared" ca="1" si="46"/>
        <v>1</v>
      </c>
      <c r="F202" s="110">
        <f t="shared" ca="1" si="47"/>
        <v>0</v>
      </c>
      <c r="G202">
        <v>0</v>
      </c>
      <c r="H202">
        <v>0</v>
      </c>
      <c r="I202">
        <v>7</v>
      </c>
      <c r="J202" s="1">
        <f t="shared" ca="1" si="48"/>
        <v>0</v>
      </c>
      <c r="K202" s="1">
        <f t="shared" ca="1" si="49"/>
        <v>0</v>
      </c>
      <c r="L202" s="13">
        <f t="shared" ca="1" si="50"/>
        <v>133</v>
      </c>
      <c r="M202" s="7">
        <f t="shared" ca="1" si="51"/>
        <v>1367</v>
      </c>
      <c r="N202" s="26">
        <f t="shared" ca="1" si="52"/>
        <v>5</v>
      </c>
      <c r="O202" s="44">
        <f t="shared" ca="1" si="53"/>
        <v>3.5346387789404914</v>
      </c>
      <c r="P202" s="44">
        <f t="shared" ca="1" si="54"/>
        <v>35.346387789404908</v>
      </c>
      <c r="Q202" s="44">
        <f t="shared" ca="1" si="55"/>
        <v>35.346387789404908</v>
      </c>
      <c r="R202" s="44">
        <f t="shared" ca="1" si="56"/>
        <v>3.5346387789404909</v>
      </c>
      <c r="S202" s="44">
        <f t="shared" ca="1" si="57"/>
        <v>3.5346387789404914</v>
      </c>
      <c r="T202" s="4">
        <f t="shared" ca="1" si="58"/>
        <v>0</v>
      </c>
      <c r="U202" s="120">
        <f t="shared" ca="1" si="59"/>
        <v>1905.4426794074936</v>
      </c>
      <c r="V202" s="4">
        <f t="shared" ca="1" si="60"/>
        <v>0</v>
      </c>
      <c r="W202" s="13">
        <f t="shared" ca="1" si="61"/>
        <v>17002.125</v>
      </c>
      <c r="X202" s="4">
        <f t="shared" ca="1" si="62"/>
        <v>0</v>
      </c>
      <c r="Y202" s="4">
        <f t="shared" si="63"/>
        <v>0</v>
      </c>
      <c r="Z202" s="13">
        <f t="shared" ca="1" si="64"/>
        <v>17002.125</v>
      </c>
      <c r="AA202" s="4">
        <f t="shared" ca="1" si="65"/>
        <v>0</v>
      </c>
      <c r="AE202" s="4"/>
    </row>
    <row r="203" spans="1:31">
      <c r="A203">
        <v>1</v>
      </c>
      <c r="B203">
        <v>1</v>
      </c>
      <c r="C203">
        <f t="shared" ca="1" si="44"/>
        <v>3</v>
      </c>
      <c r="D203">
        <f t="shared" ca="1" si="45"/>
        <v>2</v>
      </c>
      <c r="E203">
        <f t="shared" ca="1" si="46"/>
        <v>1</v>
      </c>
      <c r="F203" s="110">
        <f t="shared" ca="1" si="47"/>
        <v>0</v>
      </c>
      <c r="G203">
        <v>0</v>
      </c>
      <c r="H203">
        <v>0</v>
      </c>
      <c r="I203">
        <v>6</v>
      </c>
      <c r="J203" s="1">
        <f t="shared" ca="1" si="48"/>
        <v>0</v>
      </c>
      <c r="K203" s="1">
        <f t="shared" ca="1" si="49"/>
        <v>0</v>
      </c>
      <c r="L203" s="13">
        <f t="shared" ca="1" si="50"/>
        <v>114</v>
      </c>
      <c r="M203" s="7">
        <f t="shared" ca="1" si="51"/>
        <v>1386</v>
      </c>
      <c r="N203" s="26">
        <f t="shared" ca="1" si="52"/>
        <v>5</v>
      </c>
      <c r="O203" s="44">
        <f t="shared" ca="1" si="53"/>
        <v>3.5346387789404914</v>
      </c>
      <c r="P203" s="44">
        <f t="shared" ca="1" si="54"/>
        <v>35.346387789404908</v>
      </c>
      <c r="Q203" s="44">
        <f t="shared" ca="1" si="55"/>
        <v>35.346387789404908</v>
      </c>
      <c r="R203" s="44">
        <f t="shared" ca="1" si="56"/>
        <v>3.5346387789404909</v>
      </c>
      <c r="S203" s="44">
        <f t="shared" ca="1" si="57"/>
        <v>3.5346387789404914</v>
      </c>
      <c r="T203" s="4">
        <f t="shared" ca="1" si="58"/>
        <v>0</v>
      </c>
      <c r="U203" s="120">
        <f t="shared" ca="1" si="59"/>
        <v>1886.4426794074936</v>
      </c>
      <c r="V203" s="4">
        <f t="shared" ca="1" si="60"/>
        <v>0</v>
      </c>
      <c r="W203" s="13">
        <f t="shared" ca="1" si="61"/>
        <v>14573.25</v>
      </c>
      <c r="X203" s="4">
        <f t="shared" ca="1" si="62"/>
        <v>0</v>
      </c>
      <c r="Y203" s="4">
        <f t="shared" si="63"/>
        <v>0</v>
      </c>
      <c r="Z203" s="13">
        <f t="shared" ca="1" si="64"/>
        <v>14573.25</v>
      </c>
      <c r="AA203" s="4">
        <f t="shared" ca="1" si="65"/>
        <v>0</v>
      </c>
      <c r="AE203" s="4"/>
    </row>
    <row r="204" spans="1:31">
      <c r="A204">
        <v>1</v>
      </c>
      <c r="B204">
        <v>1</v>
      </c>
      <c r="C204">
        <f t="shared" ca="1" si="44"/>
        <v>3</v>
      </c>
      <c r="D204">
        <f t="shared" ca="1" si="45"/>
        <v>2</v>
      </c>
      <c r="E204">
        <f t="shared" ca="1" si="46"/>
        <v>1</v>
      </c>
      <c r="F204" s="110">
        <f t="shared" ca="1" si="47"/>
        <v>0</v>
      </c>
      <c r="G204">
        <v>0</v>
      </c>
      <c r="H204">
        <v>0</v>
      </c>
      <c r="I204">
        <v>5</v>
      </c>
      <c r="J204" s="1">
        <f t="shared" ca="1" si="48"/>
        <v>0</v>
      </c>
      <c r="K204" s="1">
        <f t="shared" ca="1" si="49"/>
        <v>0</v>
      </c>
      <c r="L204" s="13">
        <f t="shared" ca="1" si="50"/>
        <v>95</v>
      </c>
      <c r="M204" s="7">
        <f t="shared" ca="1" si="51"/>
        <v>1405</v>
      </c>
      <c r="N204" s="26">
        <f t="shared" ca="1" si="52"/>
        <v>6</v>
      </c>
      <c r="O204" s="44">
        <f t="shared" ca="1" si="53"/>
        <v>4.1694581524927896</v>
      </c>
      <c r="P204" s="44">
        <f t="shared" ca="1" si="54"/>
        <v>41.059762151375594</v>
      </c>
      <c r="Q204" s="44">
        <f t="shared" ca="1" si="55"/>
        <v>35.346387789404908</v>
      </c>
      <c r="R204" s="44">
        <f t="shared" ca="1" si="56"/>
        <v>3.8203074970390247</v>
      </c>
      <c r="S204" s="44">
        <f t="shared" ca="1" si="57"/>
        <v>4.1450176066110256</v>
      </c>
      <c r="T204" s="4">
        <f t="shared" ca="1" si="58"/>
        <v>0</v>
      </c>
      <c r="U204" s="120">
        <f t="shared" ca="1" si="59"/>
        <v>2135.4748169996506</v>
      </c>
      <c r="V204" s="4">
        <f t="shared" ca="1" si="60"/>
        <v>0</v>
      </c>
      <c r="W204" s="13">
        <f t="shared" ca="1" si="61"/>
        <v>12144.375</v>
      </c>
      <c r="X204" s="4">
        <f t="shared" ca="1" si="62"/>
        <v>0</v>
      </c>
      <c r="Y204" s="4">
        <f t="shared" si="63"/>
        <v>0</v>
      </c>
      <c r="Z204" s="13">
        <f t="shared" ca="1" si="64"/>
        <v>12144.375</v>
      </c>
      <c r="AA204" s="4">
        <f t="shared" ca="1" si="65"/>
        <v>0</v>
      </c>
      <c r="AE204" s="4"/>
    </row>
    <row r="205" spans="1:31">
      <c r="A205">
        <v>1</v>
      </c>
      <c r="B205">
        <v>1</v>
      </c>
      <c r="C205">
        <f t="shared" ca="1" si="44"/>
        <v>3</v>
      </c>
      <c r="D205">
        <f t="shared" ca="1" si="45"/>
        <v>2</v>
      </c>
      <c r="E205">
        <f t="shared" ca="1" si="46"/>
        <v>1</v>
      </c>
      <c r="F205" s="110">
        <f t="shared" ca="1" si="47"/>
        <v>0</v>
      </c>
      <c r="G205">
        <v>0</v>
      </c>
      <c r="H205">
        <v>0</v>
      </c>
      <c r="I205">
        <v>4</v>
      </c>
      <c r="J205" s="1">
        <f t="shared" ca="1" si="48"/>
        <v>0</v>
      </c>
      <c r="K205" s="1">
        <f t="shared" ca="1" si="49"/>
        <v>0</v>
      </c>
      <c r="L205" s="13">
        <f t="shared" ca="1" si="50"/>
        <v>76</v>
      </c>
      <c r="M205" s="7">
        <f t="shared" ca="1" si="51"/>
        <v>1424</v>
      </c>
      <c r="N205" s="26">
        <f t="shared" ca="1" si="52"/>
        <v>6</v>
      </c>
      <c r="O205" s="44">
        <f t="shared" ca="1" si="53"/>
        <v>4.1694581524927896</v>
      </c>
      <c r="P205" s="44">
        <f t="shared" ca="1" si="54"/>
        <v>41.694581524927891</v>
      </c>
      <c r="Q205" s="44">
        <f t="shared" ca="1" si="55"/>
        <v>41.694581524927891</v>
      </c>
      <c r="R205" s="44">
        <f t="shared" ca="1" si="56"/>
        <v>4.1694581524927887</v>
      </c>
      <c r="S205" s="44">
        <f t="shared" ca="1" si="57"/>
        <v>4.1694581524927896</v>
      </c>
      <c r="T205" s="4">
        <f t="shared" ca="1" si="58"/>
        <v>0</v>
      </c>
      <c r="U205" s="120">
        <f t="shared" ca="1" si="59"/>
        <v>2127.2072530862838</v>
      </c>
      <c r="V205" s="4">
        <f t="shared" ca="1" si="60"/>
        <v>0</v>
      </c>
      <c r="W205" s="13">
        <f t="shared" ca="1" si="61"/>
        <v>9715.5</v>
      </c>
      <c r="X205" s="4">
        <f t="shared" ca="1" si="62"/>
        <v>0</v>
      </c>
      <c r="Y205" s="4">
        <f t="shared" si="63"/>
        <v>0</v>
      </c>
      <c r="Z205" s="13">
        <f t="shared" ca="1" si="64"/>
        <v>9715.5</v>
      </c>
      <c r="AA205" s="4">
        <f t="shared" ca="1" si="65"/>
        <v>0</v>
      </c>
      <c r="AE205" s="4"/>
    </row>
    <row r="206" spans="1:31">
      <c r="A206">
        <v>1</v>
      </c>
      <c r="B206">
        <v>1</v>
      </c>
      <c r="C206">
        <f t="shared" ca="1" si="44"/>
        <v>3</v>
      </c>
      <c r="D206">
        <f t="shared" ca="1" si="45"/>
        <v>2</v>
      </c>
      <c r="E206">
        <f t="shared" ca="1" si="46"/>
        <v>1</v>
      </c>
      <c r="F206" s="110">
        <f t="shared" ca="1" si="47"/>
        <v>0</v>
      </c>
      <c r="G206">
        <v>0</v>
      </c>
      <c r="H206">
        <v>0</v>
      </c>
      <c r="I206">
        <v>3</v>
      </c>
      <c r="J206" s="1">
        <f t="shared" ca="1" si="48"/>
        <v>0</v>
      </c>
      <c r="K206" s="1">
        <f t="shared" ca="1" si="49"/>
        <v>0</v>
      </c>
      <c r="L206" s="13">
        <f t="shared" ca="1" si="50"/>
        <v>57</v>
      </c>
      <c r="M206" s="7">
        <f t="shared" ca="1" si="51"/>
        <v>1443</v>
      </c>
      <c r="N206" s="26">
        <f t="shared" ca="1" si="52"/>
        <v>6</v>
      </c>
      <c r="O206" s="44">
        <f t="shared" ca="1" si="53"/>
        <v>4.1694581524927896</v>
      </c>
      <c r="P206" s="44">
        <f t="shared" ca="1" si="54"/>
        <v>41.694581524927891</v>
      </c>
      <c r="Q206" s="44">
        <f t="shared" ca="1" si="55"/>
        <v>41.694581524927891</v>
      </c>
      <c r="R206" s="44">
        <f t="shared" ca="1" si="56"/>
        <v>4.1694581524927887</v>
      </c>
      <c r="S206" s="44">
        <f t="shared" ca="1" si="57"/>
        <v>4.1694581524927896</v>
      </c>
      <c r="T206" s="4">
        <f t="shared" ca="1" si="58"/>
        <v>0</v>
      </c>
      <c r="U206" s="120">
        <f t="shared" ca="1" si="59"/>
        <v>2108.2072530862838</v>
      </c>
      <c r="V206" s="4">
        <f t="shared" ca="1" si="60"/>
        <v>0</v>
      </c>
      <c r="W206" s="13">
        <f t="shared" ca="1" si="61"/>
        <v>7286.625</v>
      </c>
      <c r="X206" s="4">
        <f t="shared" ca="1" si="62"/>
        <v>0</v>
      </c>
      <c r="Y206" s="4">
        <f t="shared" si="63"/>
        <v>0</v>
      </c>
      <c r="Z206" s="13">
        <f t="shared" ca="1" si="64"/>
        <v>7286.625</v>
      </c>
      <c r="AA206" s="4">
        <f t="shared" ca="1" si="65"/>
        <v>0</v>
      </c>
      <c r="AE206" s="4"/>
    </row>
    <row r="207" spans="1:31">
      <c r="A207">
        <v>1</v>
      </c>
      <c r="B207">
        <v>1</v>
      </c>
      <c r="C207">
        <f t="shared" ca="1" si="44"/>
        <v>3</v>
      </c>
      <c r="D207">
        <f t="shared" ca="1" si="45"/>
        <v>2</v>
      </c>
      <c r="E207">
        <f t="shared" ca="1" si="46"/>
        <v>1</v>
      </c>
      <c r="F207" s="110">
        <f t="shared" ca="1" si="47"/>
        <v>0</v>
      </c>
      <c r="G207">
        <v>0</v>
      </c>
      <c r="H207">
        <v>0</v>
      </c>
      <c r="I207">
        <v>2</v>
      </c>
      <c r="J207" s="1">
        <f t="shared" ca="1" si="48"/>
        <v>4.5124999999999998E-2</v>
      </c>
      <c r="K207" s="1">
        <f t="shared" ca="1" si="49"/>
        <v>0</v>
      </c>
      <c r="L207" s="13">
        <f t="shared" ca="1" si="50"/>
        <v>38</v>
      </c>
      <c r="M207" s="7">
        <f t="shared" ca="1" si="51"/>
        <v>1462</v>
      </c>
      <c r="N207" s="26">
        <f t="shared" ca="1" si="52"/>
        <v>6</v>
      </c>
      <c r="O207" s="44">
        <f t="shared" ca="1" si="53"/>
        <v>4.1694581524927896</v>
      </c>
      <c r="P207" s="44">
        <f t="shared" ca="1" si="54"/>
        <v>41.694581524927891</v>
      </c>
      <c r="Q207" s="44">
        <f t="shared" ca="1" si="55"/>
        <v>41.694581524927891</v>
      </c>
      <c r="R207" s="44">
        <f t="shared" ca="1" si="56"/>
        <v>4.1694581524927887</v>
      </c>
      <c r="S207" s="44">
        <f t="shared" ca="1" si="57"/>
        <v>4.1694581524927896</v>
      </c>
      <c r="T207" s="4">
        <f t="shared" ca="1" si="58"/>
        <v>0</v>
      </c>
      <c r="U207" s="120">
        <f t="shared" ca="1" si="59"/>
        <v>2089.2072530862838</v>
      </c>
      <c r="V207" s="4">
        <f t="shared" ca="1" si="60"/>
        <v>0</v>
      </c>
      <c r="W207" s="13">
        <f t="shared" ca="1" si="61"/>
        <v>4857.75</v>
      </c>
      <c r="X207" s="4">
        <f t="shared" ca="1" si="62"/>
        <v>0</v>
      </c>
      <c r="Y207" s="4">
        <f t="shared" si="63"/>
        <v>0</v>
      </c>
      <c r="Z207" s="13">
        <f t="shared" ca="1" si="64"/>
        <v>4857.75</v>
      </c>
      <c r="AA207" s="4">
        <f t="shared" ca="1" si="65"/>
        <v>0</v>
      </c>
      <c r="AE207" s="4"/>
    </row>
    <row r="208" spans="1:31">
      <c r="A208">
        <v>1</v>
      </c>
      <c r="B208">
        <v>1</v>
      </c>
      <c r="C208">
        <f t="shared" ca="1" si="44"/>
        <v>3</v>
      </c>
      <c r="D208">
        <f t="shared" ca="1" si="45"/>
        <v>2</v>
      </c>
      <c r="E208">
        <f t="shared" ca="1" si="46"/>
        <v>1</v>
      </c>
      <c r="F208" s="110">
        <f t="shared" ca="1" si="47"/>
        <v>0</v>
      </c>
      <c r="G208">
        <v>0</v>
      </c>
      <c r="H208">
        <v>0</v>
      </c>
      <c r="I208">
        <v>1</v>
      </c>
      <c r="J208" s="1">
        <f t="shared" ca="1" si="48"/>
        <v>4.7500000000000042E-3</v>
      </c>
      <c r="K208" s="1">
        <f t="shared" ca="1" si="49"/>
        <v>0</v>
      </c>
      <c r="L208" s="13">
        <f t="shared" ca="1" si="50"/>
        <v>19</v>
      </c>
      <c r="M208" s="7">
        <f t="shared" ca="1" si="51"/>
        <v>1481</v>
      </c>
      <c r="N208" s="26">
        <f t="shared" ca="1" si="52"/>
        <v>6</v>
      </c>
      <c r="O208" s="44">
        <f t="shared" ca="1" si="53"/>
        <v>4.1694581524927896</v>
      </c>
      <c r="P208" s="44">
        <f t="shared" ca="1" si="54"/>
        <v>41.694581524927891</v>
      </c>
      <c r="Q208" s="44">
        <f t="shared" ca="1" si="55"/>
        <v>41.694581524927891</v>
      </c>
      <c r="R208" s="44">
        <f t="shared" ca="1" si="56"/>
        <v>4.1694581524927887</v>
      </c>
      <c r="S208" s="44">
        <f t="shared" ca="1" si="57"/>
        <v>4.1694581524927896</v>
      </c>
      <c r="T208" s="4">
        <f t="shared" ca="1" si="58"/>
        <v>0</v>
      </c>
      <c r="U208" s="120">
        <f t="shared" ca="1" si="59"/>
        <v>2070.2072530862838</v>
      </c>
      <c r="V208" s="4">
        <f t="shared" ca="1" si="60"/>
        <v>0</v>
      </c>
      <c r="W208" s="13">
        <f t="shared" ca="1" si="61"/>
        <v>2428.875</v>
      </c>
      <c r="X208" s="4">
        <f t="shared" ca="1" si="62"/>
        <v>0</v>
      </c>
      <c r="Y208" s="4">
        <f t="shared" si="63"/>
        <v>0</v>
      </c>
      <c r="Z208" s="13">
        <f t="shared" ca="1" si="64"/>
        <v>2428.875</v>
      </c>
      <c r="AA208" s="4">
        <f t="shared" ca="1" si="65"/>
        <v>0</v>
      </c>
      <c r="AE208" s="4"/>
    </row>
    <row r="209" spans="1:31">
      <c r="A209">
        <v>1</v>
      </c>
      <c r="B209">
        <v>1</v>
      </c>
      <c r="C209">
        <f t="shared" ca="1" si="44"/>
        <v>3</v>
      </c>
      <c r="D209">
        <f t="shared" ca="1" si="45"/>
        <v>2</v>
      </c>
      <c r="E209">
        <f t="shared" ca="1" si="46"/>
        <v>1</v>
      </c>
      <c r="F209" s="110">
        <f t="shared" ca="1" si="47"/>
        <v>0</v>
      </c>
      <c r="G209">
        <v>0</v>
      </c>
      <c r="H209">
        <v>0</v>
      </c>
      <c r="I209">
        <v>0</v>
      </c>
      <c r="J209" s="1">
        <f t="shared" ca="1" si="48"/>
        <v>1.2500000000000022E-4</v>
      </c>
      <c r="K209" s="1">
        <f t="shared" ca="1" si="49"/>
        <v>0</v>
      </c>
      <c r="L209" s="13">
        <f t="shared" ca="1" si="50"/>
        <v>0</v>
      </c>
      <c r="M209" s="7">
        <f t="shared" ca="1" si="51"/>
        <v>1500</v>
      </c>
      <c r="N209" s="26">
        <f t="shared" ca="1" si="52"/>
        <v>6</v>
      </c>
      <c r="O209" s="44">
        <f t="shared" ca="1" si="53"/>
        <v>4.1694581524927896</v>
      </c>
      <c r="P209" s="44">
        <f t="shared" ca="1" si="54"/>
        <v>41.694581524927891</v>
      </c>
      <c r="Q209" s="44">
        <f t="shared" ca="1" si="55"/>
        <v>41.694581524927891</v>
      </c>
      <c r="R209" s="44">
        <f t="shared" ca="1" si="56"/>
        <v>4.1694581524927887</v>
      </c>
      <c r="S209" s="44">
        <f t="shared" ca="1" si="57"/>
        <v>4.1694581524927896</v>
      </c>
      <c r="T209" s="4">
        <f t="shared" ca="1" si="58"/>
        <v>0</v>
      </c>
      <c r="U209" s="120">
        <f t="shared" ca="1" si="59"/>
        <v>2051.2072530862838</v>
      </c>
      <c r="V209" s="4">
        <f t="shared" ca="1" si="60"/>
        <v>0</v>
      </c>
      <c r="W209" s="13">
        <f t="shared" ca="1" si="61"/>
        <v>0</v>
      </c>
      <c r="X209" s="4">
        <f t="shared" ca="1" si="62"/>
        <v>0</v>
      </c>
      <c r="Y209" s="4">
        <f t="shared" si="63"/>
        <v>0</v>
      </c>
      <c r="Z209" s="13">
        <f t="shared" ca="1" si="64"/>
        <v>0</v>
      </c>
      <c r="AA209" s="4">
        <f t="shared" ca="1" si="65"/>
        <v>0</v>
      </c>
      <c r="AE209" s="4"/>
    </row>
    <row r="210" spans="1:31">
      <c r="A210">
        <v>1</v>
      </c>
      <c r="B210">
        <v>2</v>
      </c>
      <c r="C210">
        <f t="shared" ref="C210:C273" ca="1" si="66">MIN(8, 1+$B$10+$B$9+A210+B210)</f>
        <v>4</v>
      </c>
      <c r="D210">
        <f t="shared" ref="D210:D273" ca="1" si="67">C210-(1+$B$10)</f>
        <v>3</v>
      </c>
      <c r="E210">
        <f t="shared" ref="E210:E273" ca="1" si="68">MIN(A210, C210-(1+$B$10+$B$9))</f>
        <v>1</v>
      </c>
      <c r="F210" s="110">
        <f t="shared" ref="F210:F273" ca="1" si="69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0</v>
      </c>
      <c r="G210">
        <v>1</v>
      </c>
      <c r="H210">
        <v>1</v>
      </c>
      <c r="I210">
        <v>7</v>
      </c>
      <c r="J210" s="1">
        <f t="shared" ref="J210:J273" ca="1" si="70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71">F210*J210</f>
        <v>0</v>
      </c>
      <c r="L210" s="13">
        <f t="shared" ref="L210:L273" ca="1" si="72">MAX((G210+H210)*Set1WSTP + I210*$B$6, Set1SaveTP)</f>
        <v>595</v>
      </c>
      <c r="M210" s="7">
        <f t="shared" ref="M210:M273" ca="1" si="73">MAX(Set1MinTP-(L210+Set1Regain), 0)</f>
        <v>905</v>
      </c>
      <c r="N210" s="26">
        <f t="shared" ref="N210:N273" ca="1" si="74">CEILING(M210/Set1MeleeTP, 1)</f>
        <v>4</v>
      </c>
      <c r="O210" s="44">
        <f t="shared" ref="O210:O273" ca="1" si="75">VLOOKUP(N210,AvgRoundsSet1,2)</f>
        <v>2.8886114468927948</v>
      </c>
      <c r="P210" s="44">
        <f t="shared" ref="P210:P273" ca="1" si="76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28.886114468927953</v>
      </c>
      <c r="Q210" s="44">
        <f t="shared" ref="Q210:Q273" ca="1" si="77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28.886114468927953</v>
      </c>
      <c r="R210" s="44">
        <f t="shared" ref="R210:R273" ca="1" si="78">(P210+Q210)/20</f>
        <v>2.8886114468927953</v>
      </c>
      <c r="S210" s="44">
        <f t="shared" ref="S210:S273" ca="1" si="79">R210*Set1ConserveTP + O210*(1-Set1ConserveTP)</f>
        <v>2.8886114468927948</v>
      </c>
      <c r="T210" s="4">
        <f t="shared" ref="T210:T273" ca="1" si="80">K210*S210</f>
        <v>0</v>
      </c>
      <c r="U210" s="120">
        <f t="shared" ref="U210:U273" ca="1" si="81">MIN(L210+(S210+Set1OverTP)*AvgHitsPerRound1*Set1MeleeTP + Set1Regain + 10.5*Set1ConserveTP, 3000)</f>
        <v>2083.7564194948759</v>
      </c>
      <c r="V210" s="4">
        <f t="shared" ref="V210:V273" ca="1" si="82">U210*K210</f>
        <v>0</v>
      </c>
      <c r="W210" s="13">
        <f t="shared" ref="W210:W273" ca="1" si="83">G210*$K$10*((1-$L$10)*$L$14 + $L$10*$M$14*$M$10)*Set1WSDmg + H210*$K$13*((1-$L$13)*$L$15 + $L$13*$M$15*$M$11) + I210*$K$11*((1-$L$11)*$L$14 + $L$11*$M$14*$M$11) + E210*$K$12*$L$12*$M$10</f>
        <v>47995.641000000003</v>
      </c>
      <c r="X210" s="4">
        <f t="shared" ref="X210:X273" ca="1" si="84">K210*W210</f>
        <v>0</v>
      </c>
      <c r="Y210" s="4">
        <f t="shared" ref="Y210:Y273" si="85">IF($B$12=1, (VLOOKUP(C210, IF($B$13=10%,Souleater10,Souleater12), 6, FALSE) * $B$14), 0)</f>
        <v>0</v>
      </c>
      <c r="Z210" s="13">
        <f t="shared" ca="1" si="64"/>
        <v>47995.641000000003</v>
      </c>
      <c r="AA210" s="4">
        <f t="shared" ca="1" si="65"/>
        <v>0</v>
      </c>
      <c r="AE210" s="4"/>
    </row>
    <row r="211" spans="1:31">
      <c r="A211">
        <v>1</v>
      </c>
      <c r="B211">
        <v>2</v>
      </c>
      <c r="C211">
        <f t="shared" ca="1" si="66"/>
        <v>4</v>
      </c>
      <c r="D211">
        <f t="shared" ca="1" si="67"/>
        <v>3</v>
      </c>
      <c r="E211">
        <f t="shared" ca="1" si="68"/>
        <v>1</v>
      </c>
      <c r="F211" s="110">
        <f t="shared" ca="1" si="69"/>
        <v>0</v>
      </c>
      <c r="G211">
        <v>1</v>
      </c>
      <c r="H211">
        <v>1</v>
      </c>
      <c r="I211">
        <v>6</v>
      </c>
      <c r="J211" s="1">
        <f t="shared" ca="1" si="70"/>
        <v>0</v>
      </c>
      <c r="K211" s="1">
        <f t="shared" ca="1" si="71"/>
        <v>0</v>
      </c>
      <c r="L211" s="13">
        <f t="shared" ca="1" si="72"/>
        <v>576</v>
      </c>
      <c r="M211" s="7">
        <f t="shared" ca="1" si="73"/>
        <v>924</v>
      </c>
      <c r="N211" s="26">
        <f t="shared" ca="1" si="74"/>
        <v>4</v>
      </c>
      <c r="O211" s="44">
        <f t="shared" ca="1" si="75"/>
        <v>2.8886114468927948</v>
      </c>
      <c r="P211" s="44">
        <f t="shared" ca="1" si="76"/>
        <v>28.886114468927953</v>
      </c>
      <c r="Q211" s="44">
        <f t="shared" ca="1" si="77"/>
        <v>28.886114468927953</v>
      </c>
      <c r="R211" s="44">
        <f t="shared" ca="1" si="78"/>
        <v>2.8886114468927953</v>
      </c>
      <c r="S211" s="44">
        <f t="shared" ca="1" si="79"/>
        <v>2.8886114468927948</v>
      </c>
      <c r="T211" s="4">
        <f t="shared" ca="1" si="80"/>
        <v>0</v>
      </c>
      <c r="U211" s="120">
        <f t="shared" ca="1" si="81"/>
        <v>2064.7564194948759</v>
      </c>
      <c r="V211" s="4">
        <f t="shared" ca="1" si="82"/>
        <v>0</v>
      </c>
      <c r="W211" s="13">
        <f t="shared" ca="1" si="83"/>
        <v>45566.766000000003</v>
      </c>
      <c r="X211" s="4">
        <f t="shared" ca="1" si="84"/>
        <v>0</v>
      </c>
      <c r="Y211" s="4">
        <f t="shared" si="85"/>
        <v>0</v>
      </c>
      <c r="Z211" s="13">
        <f t="shared" ref="Z211:Z274" ca="1" si="86">Y211+W211</f>
        <v>45566.766000000003</v>
      </c>
      <c r="AA211" s="4">
        <f t="shared" ref="AA211:AA274" ca="1" si="87">Z211*K211</f>
        <v>0</v>
      </c>
      <c r="AE211" s="4"/>
    </row>
    <row r="212" spans="1:31">
      <c r="A212">
        <v>1</v>
      </c>
      <c r="B212">
        <v>2</v>
      </c>
      <c r="C212">
        <f t="shared" ca="1" si="66"/>
        <v>4</v>
      </c>
      <c r="D212">
        <f t="shared" ca="1" si="67"/>
        <v>3</v>
      </c>
      <c r="E212">
        <f t="shared" ca="1" si="68"/>
        <v>1</v>
      </c>
      <c r="F212" s="110">
        <f t="shared" ca="1" si="69"/>
        <v>0</v>
      </c>
      <c r="G212">
        <v>1</v>
      </c>
      <c r="H212">
        <v>1</v>
      </c>
      <c r="I212">
        <v>5</v>
      </c>
      <c r="J212" s="1">
        <f t="shared" ca="1" si="70"/>
        <v>0</v>
      </c>
      <c r="K212" s="1">
        <f t="shared" ca="1" si="71"/>
        <v>0</v>
      </c>
      <c r="L212" s="13">
        <f t="shared" ca="1" si="72"/>
        <v>557</v>
      </c>
      <c r="M212" s="7">
        <f t="shared" ca="1" si="73"/>
        <v>943</v>
      </c>
      <c r="N212" s="26">
        <f t="shared" ca="1" si="74"/>
        <v>4</v>
      </c>
      <c r="O212" s="44">
        <f t="shared" ca="1" si="75"/>
        <v>2.8886114468927948</v>
      </c>
      <c r="P212" s="44">
        <f t="shared" ca="1" si="76"/>
        <v>28.886114468927953</v>
      </c>
      <c r="Q212" s="44">
        <f t="shared" ca="1" si="77"/>
        <v>28.886114468927953</v>
      </c>
      <c r="R212" s="44">
        <f t="shared" ca="1" si="78"/>
        <v>2.8886114468927953</v>
      </c>
      <c r="S212" s="44">
        <f t="shared" ca="1" si="79"/>
        <v>2.8886114468927948</v>
      </c>
      <c r="T212" s="4">
        <f t="shared" ca="1" si="80"/>
        <v>0</v>
      </c>
      <c r="U212" s="120">
        <f t="shared" ca="1" si="81"/>
        <v>2045.7564194948757</v>
      </c>
      <c r="V212" s="4">
        <f t="shared" ca="1" si="82"/>
        <v>0</v>
      </c>
      <c r="W212" s="13">
        <f t="shared" ca="1" si="83"/>
        <v>43137.891000000003</v>
      </c>
      <c r="X212" s="4">
        <f t="shared" ca="1" si="84"/>
        <v>0</v>
      </c>
      <c r="Y212" s="4">
        <f t="shared" si="85"/>
        <v>0</v>
      </c>
      <c r="Z212" s="13">
        <f t="shared" ca="1" si="86"/>
        <v>43137.891000000003</v>
      </c>
      <c r="AA212" s="4">
        <f t="shared" ca="1" si="87"/>
        <v>0</v>
      </c>
      <c r="AE212" s="4"/>
    </row>
    <row r="213" spans="1:31">
      <c r="A213">
        <v>1</v>
      </c>
      <c r="B213">
        <v>2</v>
      </c>
      <c r="C213">
        <f t="shared" ca="1" si="66"/>
        <v>4</v>
      </c>
      <c r="D213">
        <f t="shared" ca="1" si="67"/>
        <v>3</v>
      </c>
      <c r="E213">
        <f t="shared" ca="1" si="68"/>
        <v>1</v>
      </c>
      <c r="F213" s="110">
        <f t="shared" ca="1" si="69"/>
        <v>0</v>
      </c>
      <c r="G213">
        <v>1</v>
      </c>
      <c r="H213">
        <v>1</v>
      </c>
      <c r="I213">
        <v>4</v>
      </c>
      <c r="J213" s="1">
        <f t="shared" ca="1" si="70"/>
        <v>0</v>
      </c>
      <c r="K213" s="1">
        <f t="shared" ca="1" si="71"/>
        <v>0</v>
      </c>
      <c r="L213" s="13">
        <f t="shared" ca="1" si="72"/>
        <v>538</v>
      </c>
      <c r="M213" s="7">
        <f t="shared" ca="1" si="73"/>
        <v>962</v>
      </c>
      <c r="N213" s="26">
        <f t="shared" ca="1" si="74"/>
        <v>4</v>
      </c>
      <c r="O213" s="44">
        <f t="shared" ca="1" si="75"/>
        <v>2.8886114468927948</v>
      </c>
      <c r="P213" s="44">
        <f t="shared" ca="1" si="76"/>
        <v>28.886114468927953</v>
      </c>
      <c r="Q213" s="44">
        <f t="shared" ca="1" si="77"/>
        <v>28.886114468927953</v>
      </c>
      <c r="R213" s="44">
        <f t="shared" ca="1" si="78"/>
        <v>2.8886114468927953</v>
      </c>
      <c r="S213" s="44">
        <f t="shared" ca="1" si="79"/>
        <v>2.8886114468927948</v>
      </c>
      <c r="T213" s="4">
        <f t="shared" ca="1" si="80"/>
        <v>0</v>
      </c>
      <c r="U213" s="120">
        <f t="shared" ca="1" si="81"/>
        <v>2026.7564194948757</v>
      </c>
      <c r="V213" s="4">
        <f t="shared" ca="1" si="82"/>
        <v>0</v>
      </c>
      <c r="W213" s="13">
        <f t="shared" ca="1" si="83"/>
        <v>40709.016000000003</v>
      </c>
      <c r="X213" s="4">
        <f t="shared" ca="1" si="84"/>
        <v>0</v>
      </c>
      <c r="Y213" s="4">
        <f t="shared" si="85"/>
        <v>0</v>
      </c>
      <c r="Z213" s="13">
        <f t="shared" ca="1" si="86"/>
        <v>40709.016000000003</v>
      </c>
      <c r="AA213" s="4">
        <f t="shared" ca="1" si="87"/>
        <v>0</v>
      </c>
      <c r="AE213" s="4"/>
    </row>
    <row r="214" spans="1:31">
      <c r="A214">
        <v>1</v>
      </c>
      <c r="B214">
        <v>2</v>
      </c>
      <c r="C214">
        <f t="shared" ca="1" si="66"/>
        <v>4</v>
      </c>
      <c r="D214">
        <f t="shared" ca="1" si="67"/>
        <v>3</v>
      </c>
      <c r="E214">
        <f t="shared" ca="1" si="68"/>
        <v>1</v>
      </c>
      <c r="F214" s="110">
        <f t="shared" ca="1" si="69"/>
        <v>0</v>
      </c>
      <c r="G214">
        <v>1</v>
      </c>
      <c r="H214">
        <v>1</v>
      </c>
      <c r="I214">
        <v>3</v>
      </c>
      <c r="J214" s="1">
        <f t="shared" ca="1" si="70"/>
        <v>0</v>
      </c>
      <c r="K214" s="1">
        <f t="shared" ca="1" si="71"/>
        <v>0</v>
      </c>
      <c r="L214" s="13">
        <f t="shared" ca="1" si="72"/>
        <v>519</v>
      </c>
      <c r="M214" s="7">
        <f t="shared" ca="1" si="73"/>
        <v>981</v>
      </c>
      <c r="N214" s="26">
        <f t="shared" ca="1" si="74"/>
        <v>4</v>
      </c>
      <c r="O214" s="44">
        <f t="shared" ca="1" si="75"/>
        <v>2.8886114468927948</v>
      </c>
      <c r="P214" s="44">
        <f t="shared" ca="1" si="76"/>
        <v>28.886114468927953</v>
      </c>
      <c r="Q214" s="44">
        <f t="shared" ca="1" si="77"/>
        <v>28.886114468927953</v>
      </c>
      <c r="R214" s="44">
        <f t="shared" ca="1" si="78"/>
        <v>2.8886114468927953</v>
      </c>
      <c r="S214" s="44">
        <f t="shared" ca="1" si="79"/>
        <v>2.8886114468927948</v>
      </c>
      <c r="T214" s="4">
        <f t="shared" ca="1" si="80"/>
        <v>0</v>
      </c>
      <c r="U214" s="120">
        <f t="shared" ca="1" si="81"/>
        <v>2007.7564194948757</v>
      </c>
      <c r="V214" s="4">
        <f t="shared" ca="1" si="82"/>
        <v>0</v>
      </c>
      <c r="W214" s="13">
        <f t="shared" ca="1" si="83"/>
        <v>38280.141000000003</v>
      </c>
      <c r="X214" s="4">
        <f t="shared" ca="1" si="84"/>
        <v>0</v>
      </c>
      <c r="Y214" s="4">
        <f t="shared" si="85"/>
        <v>0</v>
      </c>
      <c r="Z214" s="13">
        <f t="shared" ca="1" si="86"/>
        <v>38280.141000000003</v>
      </c>
      <c r="AA214" s="4">
        <f t="shared" ca="1" si="87"/>
        <v>0</v>
      </c>
      <c r="AE214" s="4"/>
    </row>
    <row r="215" spans="1:31">
      <c r="A215">
        <v>1</v>
      </c>
      <c r="B215">
        <v>2</v>
      </c>
      <c r="C215">
        <f t="shared" ca="1" si="66"/>
        <v>4</v>
      </c>
      <c r="D215">
        <f t="shared" ca="1" si="67"/>
        <v>3</v>
      </c>
      <c r="E215">
        <f t="shared" ca="1" si="68"/>
        <v>1</v>
      </c>
      <c r="F215" s="110">
        <f t="shared" ca="1" si="69"/>
        <v>0</v>
      </c>
      <c r="G215">
        <v>1</v>
      </c>
      <c r="H215">
        <v>1</v>
      </c>
      <c r="I215">
        <v>2</v>
      </c>
      <c r="J215" s="1">
        <f t="shared" ca="1" si="70"/>
        <v>0</v>
      </c>
      <c r="K215" s="1">
        <f t="shared" ca="1" si="71"/>
        <v>0</v>
      </c>
      <c r="L215" s="13">
        <f t="shared" ca="1" si="72"/>
        <v>500</v>
      </c>
      <c r="M215" s="7">
        <f t="shared" ca="1" si="73"/>
        <v>1000</v>
      </c>
      <c r="N215" s="26">
        <f t="shared" ca="1" si="74"/>
        <v>4</v>
      </c>
      <c r="O215" s="44">
        <f t="shared" ca="1" si="75"/>
        <v>2.8886114468927948</v>
      </c>
      <c r="P215" s="44">
        <f t="shared" ca="1" si="76"/>
        <v>28.886114468927953</v>
      </c>
      <c r="Q215" s="44">
        <f t="shared" ca="1" si="77"/>
        <v>28.886114468927953</v>
      </c>
      <c r="R215" s="44">
        <f t="shared" ca="1" si="78"/>
        <v>2.8886114468927953</v>
      </c>
      <c r="S215" s="44">
        <f t="shared" ca="1" si="79"/>
        <v>2.8886114468927948</v>
      </c>
      <c r="T215" s="4">
        <f t="shared" ca="1" si="80"/>
        <v>0</v>
      </c>
      <c r="U215" s="120">
        <f t="shared" ca="1" si="81"/>
        <v>1988.7564194948757</v>
      </c>
      <c r="V215" s="4">
        <f t="shared" ca="1" si="82"/>
        <v>0</v>
      </c>
      <c r="W215" s="13">
        <f t="shared" ca="1" si="83"/>
        <v>35851.266000000003</v>
      </c>
      <c r="X215" s="4">
        <f t="shared" ca="1" si="84"/>
        <v>0</v>
      </c>
      <c r="Y215" s="4">
        <f t="shared" si="85"/>
        <v>0</v>
      </c>
      <c r="Z215" s="13">
        <f t="shared" ca="1" si="86"/>
        <v>35851.266000000003</v>
      </c>
      <c r="AA215" s="4">
        <f t="shared" ca="1" si="87"/>
        <v>0</v>
      </c>
      <c r="AE215" s="4"/>
    </row>
    <row r="216" spans="1:31">
      <c r="A216">
        <v>1</v>
      </c>
      <c r="B216">
        <v>2</v>
      </c>
      <c r="C216">
        <f t="shared" ca="1" si="66"/>
        <v>4</v>
      </c>
      <c r="D216">
        <f t="shared" ca="1" si="67"/>
        <v>3</v>
      </c>
      <c r="E216">
        <f t="shared" ca="1" si="68"/>
        <v>1</v>
      </c>
      <c r="F216" s="110">
        <f t="shared" ca="1" si="69"/>
        <v>0</v>
      </c>
      <c r="G216">
        <v>1</v>
      </c>
      <c r="H216">
        <v>1</v>
      </c>
      <c r="I216">
        <v>1</v>
      </c>
      <c r="J216" s="1">
        <f t="shared" ca="1" si="70"/>
        <v>0</v>
      </c>
      <c r="K216" s="1">
        <f t="shared" ca="1" si="71"/>
        <v>0</v>
      </c>
      <c r="L216" s="13">
        <f t="shared" ca="1" si="72"/>
        <v>481</v>
      </c>
      <c r="M216" s="7">
        <f t="shared" ca="1" si="73"/>
        <v>1019</v>
      </c>
      <c r="N216" s="26">
        <f t="shared" ca="1" si="74"/>
        <v>4</v>
      </c>
      <c r="O216" s="44">
        <f t="shared" ca="1" si="75"/>
        <v>2.8886114468927948</v>
      </c>
      <c r="P216" s="44">
        <f t="shared" ca="1" si="76"/>
        <v>28.886114468927953</v>
      </c>
      <c r="Q216" s="44">
        <f t="shared" ca="1" si="77"/>
        <v>28.886114468927953</v>
      </c>
      <c r="R216" s="44">
        <f t="shared" ca="1" si="78"/>
        <v>2.8886114468927953</v>
      </c>
      <c r="S216" s="44">
        <f t="shared" ca="1" si="79"/>
        <v>2.8886114468927948</v>
      </c>
      <c r="T216" s="4">
        <f t="shared" ca="1" si="80"/>
        <v>0</v>
      </c>
      <c r="U216" s="120">
        <f t="shared" ca="1" si="81"/>
        <v>1969.7564194948757</v>
      </c>
      <c r="V216" s="4">
        <f t="shared" ca="1" si="82"/>
        <v>0</v>
      </c>
      <c r="W216" s="13">
        <f t="shared" ca="1" si="83"/>
        <v>33422.391000000003</v>
      </c>
      <c r="X216" s="4">
        <f t="shared" ca="1" si="84"/>
        <v>0</v>
      </c>
      <c r="Y216" s="4">
        <f t="shared" si="85"/>
        <v>0</v>
      </c>
      <c r="Z216" s="13">
        <f t="shared" ca="1" si="86"/>
        <v>33422.391000000003</v>
      </c>
      <c r="AA216" s="4">
        <f t="shared" ca="1" si="87"/>
        <v>0</v>
      </c>
      <c r="AE216" s="4"/>
    </row>
    <row r="217" spans="1:31">
      <c r="A217">
        <v>1</v>
      </c>
      <c r="B217">
        <v>2</v>
      </c>
      <c r="C217">
        <f t="shared" ca="1" si="66"/>
        <v>4</v>
      </c>
      <c r="D217">
        <f t="shared" ca="1" si="67"/>
        <v>3</v>
      </c>
      <c r="E217">
        <f t="shared" ca="1" si="68"/>
        <v>1</v>
      </c>
      <c r="F217" s="110">
        <f t="shared" ca="1" si="69"/>
        <v>0</v>
      </c>
      <c r="G217">
        <v>1</v>
      </c>
      <c r="H217">
        <v>1</v>
      </c>
      <c r="I217">
        <v>0</v>
      </c>
      <c r="J217" s="1">
        <f t="shared" ca="1" si="70"/>
        <v>0</v>
      </c>
      <c r="K217" s="1">
        <f t="shared" ca="1" si="71"/>
        <v>0</v>
      </c>
      <c r="L217" s="13">
        <f t="shared" ca="1" si="72"/>
        <v>462</v>
      </c>
      <c r="M217" s="7">
        <f t="shared" ca="1" si="73"/>
        <v>1038</v>
      </c>
      <c r="N217" s="26">
        <f t="shared" ca="1" si="74"/>
        <v>4</v>
      </c>
      <c r="O217" s="44">
        <f t="shared" ca="1" si="75"/>
        <v>2.8886114468927948</v>
      </c>
      <c r="P217" s="44">
        <f t="shared" ca="1" si="76"/>
        <v>28.886114468927953</v>
      </c>
      <c r="Q217" s="44">
        <f t="shared" ca="1" si="77"/>
        <v>28.886114468927953</v>
      </c>
      <c r="R217" s="44">
        <f t="shared" ca="1" si="78"/>
        <v>2.8886114468927953</v>
      </c>
      <c r="S217" s="44">
        <f t="shared" ca="1" si="79"/>
        <v>2.8886114468927948</v>
      </c>
      <c r="T217" s="4">
        <f t="shared" ca="1" si="80"/>
        <v>0</v>
      </c>
      <c r="U217" s="120">
        <f t="shared" ca="1" si="81"/>
        <v>1950.7564194948757</v>
      </c>
      <c r="V217" s="4">
        <f t="shared" ca="1" si="82"/>
        <v>0</v>
      </c>
      <c r="W217" s="13">
        <f t="shared" ca="1" si="83"/>
        <v>30993.516000000003</v>
      </c>
      <c r="X217" s="4">
        <f t="shared" ca="1" si="84"/>
        <v>0</v>
      </c>
      <c r="Y217" s="4">
        <f t="shared" si="85"/>
        <v>0</v>
      </c>
      <c r="Z217" s="13">
        <f t="shared" ca="1" si="86"/>
        <v>30993.516000000003</v>
      </c>
      <c r="AA217" s="4">
        <f t="shared" ca="1" si="87"/>
        <v>0</v>
      </c>
      <c r="AE217" s="4"/>
    </row>
    <row r="218" spans="1:31">
      <c r="A218">
        <v>1</v>
      </c>
      <c r="B218">
        <v>2</v>
      </c>
      <c r="C218">
        <f t="shared" ca="1" si="66"/>
        <v>4</v>
      </c>
      <c r="D218">
        <f t="shared" ca="1" si="67"/>
        <v>3</v>
      </c>
      <c r="E218">
        <f t="shared" ca="1" si="68"/>
        <v>1</v>
      </c>
      <c r="F218" s="110">
        <f t="shared" ca="1" si="69"/>
        <v>0</v>
      </c>
      <c r="G218">
        <v>1</v>
      </c>
      <c r="H218">
        <v>0</v>
      </c>
      <c r="I218">
        <v>7</v>
      </c>
      <c r="J218" s="1">
        <f t="shared" ca="1" si="70"/>
        <v>0</v>
      </c>
      <c r="K218" s="1">
        <f t="shared" ca="1" si="71"/>
        <v>0</v>
      </c>
      <c r="L218" s="13">
        <f t="shared" ca="1" si="72"/>
        <v>364</v>
      </c>
      <c r="M218" s="7">
        <f t="shared" ca="1" si="73"/>
        <v>1136</v>
      </c>
      <c r="N218" s="26">
        <f t="shared" ca="1" si="74"/>
        <v>5</v>
      </c>
      <c r="O218" s="44">
        <f t="shared" ca="1" si="75"/>
        <v>3.5346387789404914</v>
      </c>
      <c r="P218" s="44">
        <f t="shared" ca="1" si="76"/>
        <v>35.346387789404908</v>
      </c>
      <c r="Q218" s="44">
        <f t="shared" ca="1" si="77"/>
        <v>34.700360457357213</v>
      </c>
      <c r="R218" s="44">
        <f t="shared" ca="1" si="78"/>
        <v>3.5023374123381061</v>
      </c>
      <c r="S218" s="44">
        <f t="shared" ca="1" si="79"/>
        <v>3.532377683278324</v>
      </c>
      <c r="T218" s="4">
        <f t="shared" ca="1" si="80"/>
        <v>0</v>
      </c>
      <c r="U218" s="120">
        <f t="shared" ca="1" si="81"/>
        <v>2135.4497774977995</v>
      </c>
      <c r="V218" s="4">
        <f t="shared" ca="1" si="82"/>
        <v>0</v>
      </c>
      <c r="W218" s="13">
        <f t="shared" ca="1" si="83"/>
        <v>47995.641000000003</v>
      </c>
      <c r="X218" s="4">
        <f t="shared" ca="1" si="84"/>
        <v>0</v>
      </c>
      <c r="Y218" s="4">
        <f t="shared" si="85"/>
        <v>0</v>
      </c>
      <c r="Z218" s="13">
        <f t="shared" ca="1" si="86"/>
        <v>47995.641000000003</v>
      </c>
      <c r="AA218" s="4">
        <f t="shared" ca="1" si="87"/>
        <v>0</v>
      </c>
      <c r="AE218" s="4"/>
    </row>
    <row r="219" spans="1:31">
      <c r="A219">
        <v>1</v>
      </c>
      <c r="B219">
        <v>2</v>
      </c>
      <c r="C219">
        <f t="shared" ca="1" si="66"/>
        <v>4</v>
      </c>
      <c r="D219">
        <f t="shared" ca="1" si="67"/>
        <v>3</v>
      </c>
      <c r="E219">
        <f t="shared" ca="1" si="68"/>
        <v>1</v>
      </c>
      <c r="F219" s="110">
        <f t="shared" ca="1" si="69"/>
        <v>0</v>
      </c>
      <c r="G219">
        <v>1</v>
      </c>
      <c r="H219">
        <v>0</v>
      </c>
      <c r="I219">
        <v>6</v>
      </c>
      <c r="J219" s="1">
        <f t="shared" ca="1" si="70"/>
        <v>0</v>
      </c>
      <c r="K219" s="1">
        <f t="shared" ca="1" si="71"/>
        <v>0</v>
      </c>
      <c r="L219" s="13">
        <f t="shared" ca="1" si="72"/>
        <v>345</v>
      </c>
      <c r="M219" s="7">
        <f t="shared" ca="1" si="73"/>
        <v>1155</v>
      </c>
      <c r="N219" s="26">
        <f t="shared" ca="1" si="74"/>
        <v>5</v>
      </c>
      <c r="O219" s="44">
        <f t="shared" ca="1" si="75"/>
        <v>3.5346387789404914</v>
      </c>
      <c r="P219" s="44">
        <f t="shared" ca="1" si="76"/>
        <v>35.346387789404908</v>
      </c>
      <c r="Q219" s="44">
        <f t="shared" ca="1" si="77"/>
        <v>35.346387789404908</v>
      </c>
      <c r="R219" s="44">
        <f t="shared" ca="1" si="78"/>
        <v>3.5346387789404909</v>
      </c>
      <c r="S219" s="44">
        <f t="shared" ca="1" si="79"/>
        <v>3.5346387789404914</v>
      </c>
      <c r="T219" s="4">
        <f t="shared" ca="1" si="80"/>
        <v>0</v>
      </c>
      <c r="U219" s="120">
        <f t="shared" ca="1" si="81"/>
        <v>2117.4426794074939</v>
      </c>
      <c r="V219" s="4">
        <f t="shared" ca="1" si="82"/>
        <v>0</v>
      </c>
      <c r="W219" s="13">
        <f t="shared" ca="1" si="83"/>
        <v>45566.766000000003</v>
      </c>
      <c r="X219" s="4">
        <f t="shared" ca="1" si="84"/>
        <v>0</v>
      </c>
      <c r="Y219" s="4">
        <f t="shared" si="85"/>
        <v>0</v>
      </c>
      <c r="Z219" s="13">
        <f t="shared" ca="1" si="86"/>
        <v>45566.766000000003</v>
      </c>
      <c r="AA219" s="4">
        <f t="shared" ca="1" si="87"/>
        <v>0</v>
      </c>
      <c r="AE219" s="4"/>
    </row>
    <row r="220" spans="1:31">
      <c r="A220">
        <v>1</v>
      </c>
      <c r="B220">
        <v>2</v>
      </c>
      <c r="C220">
        <f t="shared" ca="1" si="66"/>
        <v>4</v>
      </c>
      <c r="D220">
        <f t="shared" ca="1" si="67"/>
        <v>3</v>
      </c>
      <c r="E220">
        <f t="shared" ca="1" si="68"/>
        <v>1</v>
      </c>
      <c r="F220" s="110">
        <f t="shared" ca="1" si="69"/>
        <v>0</v>
      </c>
      <c r="G220">
        <v>1</v>
      </c>
      <c r="H220">
        <v>0</v>
      </c>
      <c r="I220">
        <v>5</v>
      </c>
      <c r="J220" s="1">
        <f t="shared" ca="1" si="70"/>
        <v>0</v>
      </c>
      <c r="K220" s="1">
        <f t="shared" ca="1" si="71"/>
        <v>0</v>
      </c>
      <c r="L220" s="13">
        <f t="shared" ca="1" si="72"/>
        <v>326</v>
      </c>
      <c r="M220" s="7">
        <f t="shared" ca="1" si="73"/>
        <v>1174</v>
      </c>
      <c r="N220" s="26">
        <f t="shared" ca="1" si="74"/>
        <v>5</v>
      </c>
      <c r="O220" s="44">
        <f t="shared" ca="1" si="75"/>
        <v>3.5346387789404914</v>
      </c>
      <c r="P220" s="44">
        <f t="shared" ca="1" si="76"/>
        <v>35.346387789404908</v>
      </c>
      <c r="Q220" s="44">
        <f t="shared" ca="1" si="77"/>
        <v>35.346387789404908</v>
      </c>
      <c r="R220" s="44">
        <f t="shared" ca="1" si="78"/>
        <v>3.5346387789404909</v>
      </c>
      <c r="S220" s="44">
        <f t="shared" ca="1" si="79"/>
        <v>3.5346387789404914</v>
      </c>
      <c r="T220" s="4">
        <f t="shared" ca="1" si="80"/>
        <v>0</v>
      </c>
      <c r="U220" s="120">
        <f t="shared" ca="1" si="81"/>
        <v>2098.4426794074939</v>
      </c>
      <c r="V220" s="4">
        <f t="shared" ca="1" si="82"/>
        <v>0</v>
      </c>
      <c r="W220" s="13">
        <f t="shared" ca="1" si="83"/>
        <v>43137.891000000003</v>
      </c>
      <c r="X220" s="4">
        <f t="shared" ca="1" si="84"/>
        <v>0</v>
      </c>
      <c r="Y220" s="4">
        <f t="shared" si="85"/>
        <v>0</v>
      </c>
      <c r="Z220" s="13">
        <f t="shared" ca="1" si="86"/>
        <v>43137.891000000003</v>
      </c>
      <c r="AA220" s="4">
        <f t="shared" ca="1" si="87"/>
        <v>0</v>
      </c>
      <c r="AE220" s="4"/>
    </row>
    <row r="221" spans="1:31">
      <c r="A221">
        <v>1</v>
      </c>
      <c r="B221">
        <v>2</v>
      </c>
      <c r="C221">
        <f t="shared" ca="1" si="66"/>
        <v>4</v>
      </c>
      <c r="D221">
        <f t="shared" ca="1" si="67"/>
        <v>3</v>
      </c>
      <c r="E221">
        <f t="shared" ca="1" si="68"/>
        <v>1</v>
      </c>
      <c r="F221" s="110">
        <f t="shared" ca="1" si="69"/>
        <v>0</v>
      </c>
      <c r="G221">
        <v>1</v>
      </c>
      <c r="H221">
        <v>0</v>
      </c>
      <c r="I221">
        <v>4</v>
      </c>
      <c r="J221" s="1">
        <f t="shared" ca="1" si="70"/>
        <v>0</v>
      </c>
      <c r="K221" s="1">
        <f t="shared" ca="1" si="71"/>
        <v>0</v>
      </c>
      <c r="L221" s="13">
        <f t="shared" ca="1" si="72"/>
        <v>307</v>
      </c>
      <c r="M221" s="7">
        <f t="shared" ca="1" si="73"/>
        <v>1193</v>
      </c>
      <c r="N221" s="26">
        <f t="shared" ca="1" si="74"/>
        <v>5</v>
      </c>
      <c r="O221" s="44">
        <f t="shared" ca="1" si="75"/>
        <v>3.5346387789404914</v>
      </c>
      <c r="P221" s="44">
        <f t="shared" ca="1" si="76"/>
        <v>35.346387789404908</v>
      </c>
      <c r="Q221" s="44">
        <f t="shared" ca="1" si="77"/>
        <v>35.346387789404908</v>
      </c>
      <c r="R221" s="44">
        <f t="shared" ca="1" si="78"/>
        <v>3.5346387789404909</v>
      </c>
      <c r="S221" s="44">
        <f t="shared" ca="1" si="79"/>
        <v>3.5346387789404914</v>
      </c>
      <c r="T221" s="4">
        <f t="shared" ca="1" si="80"/>
        <v>0</v>
      </c>
      <c r="U221" s="120">
        <f t="shared" ca="1" si="81"/>
        <v>2079.4426794074939</v>
      </c>
      <c r="V221" s="4">
        <f t="shared" ca="1" si="82"/>
        <v>0</v>
      </c>
      <c r="W221" s="13">
        <f t="shared" ca="1" si="83"/>
        <v>40709.016000000003</v>
      </c>
      <c r="X221" s="4">
        <f t="shared" ca="1" si="84"/>
        <v>0</v>
      </c>
      <c r="Y221" s="4">
        <f t="shared" si="85"/>
        <v>0</v>
      </c>
      <c r="Z221" s="13">
        <f t="shared" ca="1" si="86"/>
        <v>40709.016000000003</v>
      </c>
      <c r="AA221" s="4">
        <f t="shared" ca="1" si="87"/>
        <v>0</v>
      </c>
      <c r="AE221" s="4"/>
    </row>
    <row r="222" spans="1:31">
      <c r="A222">
        <v>1</v>
      </c>
      <c r="B222">
        <v>2</v>
      </c>
      <c r="C222">
        <f t="shared" ca="1" si="66"/>
        <v>4</v>
      </c>
      <c r="D222">
        <f t="shared" ca="1" si="67"/>
        <v>3</v>
      </c>
      <c r="E222">
        <f t="shared" ca="1" si="68"/>
        <v>1</v>
      </c>
      <c r="F222" s="110">
        <f t="shared" ca="1" si="69"/>
        <v>0</v>
      </c>
      <c r="G222">
        <v>1</v>
      </c>
      <c r="H222">
        <v>0</v>
      </c>
      <c r="I222">
        <v>3</v>
      </c>
      <c r="J222" s="1">
        <f t="shared" ca="1" si="70"/>
        <v>0.81450624999999988</v>
      </c>
      <c r="K222" s="1">
        <f t="shared" ca="1" si="71"/>
        <v>0</v>
      </c>
      <c r="L222" s="13">
        <f t="shared" ca="1" si="72"/>
        <v>288</v>
      </c>
      <c r="M222" s="7">
        <f t="shared" ca="1" si="73"/>
        <v>1212</v>
      </c>
      <c r="N222" s="26">
        <f t="shared" ca="1" si="74"/>
        <v>5</v>
      </c>
      <c r="O222" s="44">
        <f t="shared" ca="1" si="75"/>
        <v>3.5346387789404914</v>
      </c>
      <c r="P222" s="44">
        <f t="shared" ca="1" si="76"/>
        <v>35.346387789404908</v>
      </c>
      <c r="Q222" s="44">
        <f t="shared" ca="1" si="77"/>
        <v>35.346387789404908</v>
      </c>
      <c r="R222" s="44">
        <f t="shared" ca="1" si="78"/>
        <v>3.5346387789404909</v>
      </c>
      <c r="S222" s="44">
        <f t="shared" ca="1" si="79"/>
        <v>3.5346387789404914</v>
      </c>
      <c r="T222" s="4">
        <f t="shared" ca="1" si="80"/>
        <v>0</v>
      </c>
      <c r="U222" s="120">
        <f t="shared" ca="1" si="81"/>
        <v>2060.4426794074939</v>
      </c>
      <c r="V222" s="4">
        <f t="shared" ca="1" si="82"/>
        <v>0</v>
      </c>
      <c r="W222" s="13">
        <f t="shared" ca="1" si="83"/>
        <v>38280.141000000003</v>
      </c>
      <c r="X222" s="4">
        <f t="shared" ca="1" si="84"/>
        <v>0</v>
      </c>
      <c r="Y222" s="4">
        <f t="shared" si="85"/>
        <v>0</v>
      </c>
      <c r="Z222" s="13">
        <f t="shared" ca="1" si="86"/>
        <v>38280.141000000003</v>
      </c>
      <c r="AA222" s="4">
        <f t="shared" ca="1" si="87"/>
        <v>0</v>
      </c>
      <c r="AE222" s="4"/>
    </row>
    <row r="223" spans="1:31">
      <c r="A223">
        <v>1</v>
      </c>
      <c r="B223">
        <v>2</v>
      </c>
      <c r="C223">
        <f t="shared" ca="1" si="66"/>
        <v>4</v>
      </c>
      <c r="D223">
        <f t="shared" ca="1" si="67"/>
        <v>3</v>
      </c>
      <c r="E223">
        <f t="shared" ca="1" si="68"/>
        <v>1</v>
      </c>
      <c r="F223" s="110">
        <f t="shared" ca="1" si="69"/>
        <v>0</v>
      </c>
      <c r="G223">
        <v>1</v>
      </c>
      <c r="H223">
        <v>0</v>
      </c>
      <c r="I223">
        <v>2</v>
      </c>
      <c r="J223" s="1">
        <f t="shared" ca="1" si="70"/>
        <v>0.12860625000000012</v>
      </c>
      <c r="K223" s="1">
        <f t="shared" ca="1" si="71"/>
        <v>0</v>
      </c>
      <c r="L223" s="13">
        <f t="shared" ca="1" si="72"/>
        <v>269</v>
      </c>
      <c r="M223" s="7">
        <f t="shared" ca="1" si="73"/>
        <v>1231</v>
      </c>
      <c r="N223" s="26">
        <f t="shared" ca="1" si="74"/>
        <v>5</v>
      </c>
      <c r="O223" s="44">
        <f t="shared" ca="1" si="75"/>
        <v>3.5346387789404914</v>
      </c>
      <c r="P223" s="44">
        <f t="shared" ca="1" si="76"/>
        <v>35.346387789404908</v>
      </c>
      <c r="Q223" s="44">
        <f t="shared" ca="1" si="77"/>
        <v>35.346387789404908</v>
      </c>
      <c r="R223" s="44">
        <f t="shared" ca="1" si="78"/>
        <v>3.5346387789404909</v>
      </c>
      <c r="S223" s="44">
        <f t="shared" ca="1" si="79"/>
        <v>3.5346387789404914</v>
      </c>
      <c r="T223" s="4">
        <f t="shared" ca="1" si="80"/>
        <v>0</v>
      </c>
      <c r="U223" s="120">
        <f t="shared" ca="1" si="81"/>
        <v>2041.4426794074936</v>
      </c>
      <c r="V223" s="4">
        <f t="shared" ca="1" si="82"/>
        <v>0</v>
      </c>
      <c r="W223" s="13">
        <f t="shared" ca="1" si="83"/>
        <v>35851.266000000003</v>
      </c>
      <c r="X223" s="4">
        <f t="shared" ca="1" si="84"/>
        <v>0</v>
      </c>
      <c r="Y223" s="4">
        <f t="shared" si="85"/>
        <v>0</v>
      </c>
      <c r="Z223" s="13">
        <f t="shared" ca="1" si="86"/>
        <v>35851.266000000003</v>
      </c>
      <c r="AA223" s="4">
        <f t="shared" ca="1" si="87"/>
        <v>0</v>
      </c>
      <c r="AE223" s="4"/>
    </row>
    <row r="224" spans="1:31">
      <c r="A224">
        <v>1</v>
      </c>
      <c r="B224">
        <v>2</v>
      </c>
      <c r="C224">
        <f t="shared" ca="1" si="66"/>
        <v>4</v>
      </c>
      <c r="D224">
        <f t="shared" ca="1" si="67"/>
        <v>3</v>
      </c>
      <c r="E224">
        <f t="shared" ca="1" si="68"/>
        <v>1</v>
      </c>
      <c r="F224" s="110">
        <f t="shared" ca="1" si="69"/>
        <v>0</v>
      </c>
      <c r="G224">
        <v>1</v>
      </c>
      <c r="H224">
        <v>0</v>
      </c>
      <c r="I224">
        <v>1</v>
      </c>
      <c r="J224" s="1">
        <f t="shared" ca="1" si="70"/>
        <v>6.7687500000000109E-3</v>
      </c>
      <c r="K224" s="1">
        <f t="shared" ca="1" si="71"/>
        <v>0</v>
      </c>
      <c r="L224" s="13">
        <f t="shared" ca="1" si="72"/>
        <v>250</v>
      </c>
      <c r="M224" s="7">
        <f t="shared" ca="1" si="73"/>
        <v>1250</v>
      </c>
      <c r="N224" s="26">
        <f t="shared" ca="1" si="74"/>
        <v>5</v>
      </c>
      <c r="O224" s="44">
        <f t="shared" ca="1" si="75"/>
        <v>3.5346387789404914</v>
      </c>
      <c r="P224" s="44">
        <f t="shared" ca="1" si="76"/>
        <v>35.346387789404908</v>
      </c>
      <c r="Q224" s="44">
        <f t="shared" ca="1" si="77"/>
        <v>35.346387789404908</v>
      </c>
      <c r="R224" s="44">
        <f t="shared" ca="1" si="78"/>
        <v>3.5346387789404909</v>
      </c>
      <c r="S224" s="44">
        <f t="shared" ca="1" si="79"/>
        <v>3.5346387789404914</v>
      </c>
      <c r="T224" s="4">
        <f t="shared" ca="1" si="80"/>
        <v>0</v>
      </c>
      <c r="U224" s="120">
        <f t="shared" ca="1" si="81"/>
        <v>2022.4426794074936</v>
      </c>
      <c r="V224" s="4">
        <f t="shared" ca="1" si="82"/>
        <v>0</v>
      </c>
      <c r="W224" s="13">
        <f t="shared" ca="1" si="83"/>
        <v>33422.391000000003</v>
      </c>
      <c r="X224" s="4">
        <f t="shared" ca="1" si="84"/>
        <v>0</v>
      </c>
      <c r="Y224" s="4">
        <f t="shared" si="85"/>
        <v>0</v>
      </c>
      <c r="Z224" s="13">
        <f t="shared" ca="1" si="86"/>
        <v>33422.391000000003</v>
      </c>
      <c r="AA224" s="4">
        <f t="shared" ca="1" si="87"/>
        <v>0</v>
      </c>
      <c r="AE224" s="4"/>
    </row>
    <row r="225" spans="1:31">
      <c r="A225">
        <v>1</v>
      </c>
      <c r="B225">
        <v>2</v>
      </c>
      <c r="C225">
        <f t="shared" ca="1" si="66"/>
        <v>4</v>
      </c>
      <c r="D225">
        <f t="shared" ca="1" si="67"/>
        <v>3</v>
      </c>
      <c r="E225">
        <f t="shared" ca="1" si="68"/>
        <v>1</v>
      </c>
      <c r="F225" s="110">
        <f t="shared" ca="1" si="69"/>
        <v>0</v>
      </c>
      <c r="G225">
        <v>1</v>
      </c>
      <c r="H225">
        <v>0</v>
      </c>
      <c r="I225">
        <v>0</v>
      </c>
      <c r="J225" s="1">
        <f t="shared" ca="1" si="70"/>
        <v>1.1875000000000031E-4</v>
      </c>
      <c r="K225" s="1">
        <f t="shared" ca="1" si="71"/>
        <v>0</v>
      </c>
      <c r="L225" s="13">
        <f t="shared" ca="1" si="72"/>
        <v>231</v>
      </c>
      <c r="M225" s="7">
        <f t="shared" ca="1" si="73"/>
        <v>1269</v>
      </c>
      <c r="N225" s="26">
        <f t="shared" ca="1" si="74"/>
        <v>5</v>
      </c>
      <c r="O225" s="44">
        <f t="shared" ca="1" si="75"/>
        <v>3.5346387789404914</v>
      </c>
      <c r="P225" s="44">
        <f t="shared" ca="1" si="76"/>
        <v>35.346387789404908</v>
      </c>
      <c r="Q225" s="44">
        <f t="shared" ca="1" si="77"/>
        <v>35.346387789404908</v>
      </c>
      <c r="R225" s="44">
        <f t="shared" ca="1" si="78"/>
        <v>3.5346387789404909</v>
      </c>
      <c r="S225" s="44">
        <f t="shared" ca="1" si="79"/>
        <v>3.5346387789404914</v>
      </c>
      <c r="T225" s="4">
        <f t="shared" ca="1" si="80"/>
        <v>0</v>
      </c>
      <c r="U225" s="120">
        <f t="shared" ca="1" si="81"/>
        <v>2003.4426794074936</v>
      </c>
      <c r="V225" s="4">
        <f t="shared" ca="1" si="82"/>
        <v>0</v>
      </c>
      <c r="W225" s="13">
        <f t="shared" ca="1" si="83"/>
        <v>30993.516000000003</v>
      </c>
      <c r="X225" s="4">
        <f t="shared" ca="1" si="84"/>
        <v>0</v>
      </c>
      <c r="Y225" s="4">
        <f t="shared" si="85"/>
        <v>0</v>
      </c>
      <c r="Z225" s="13">
        <f t="shared" ca="1" si="86"/>
        <v>30993.516000000003</v>
      </c>
      <c r="AA225" s="4">
        <f t="shared" ca="1" si="87"/>
        <v>0</v>
      </c>
      <c r="AE225" s="4"/>
    </row>
    <row r="226" spans="1:31">
      <c r="A226">
        <v>1</v>
      </c>
      <c r="B226">
        <v>2</v>
      </c>
      <c r="C226">
        <f t="shared" ca="1" si="66"/>
        <v>4</v>
      </c>
      <c r="D226">
        <f t="shared" ca="1" si="67"/>
        <v>3</v>
      </c>
      <c r="E226">
        <f t="shared" ca="1" si="68"/>
        <v>1</v>
      </c>
      <c r="F226" s="110">
        <f t="shared" ca="1" si="69"/>
        <v>0</v>
      </c>
      <c r="G226">
        <v>0</v>
      </c>
      <c r="H226">
        <v>1</v>
      </c>
      <c r="I226">
        <v>7</v>
      </c>
      <c r="J226" s="1">
        <f t="shared" ca="1" si="70"/>
        <v>0</v>
      </c>
      <c r="K226" s="1">
        <f t="shared" ca="1" si="71"/>
        <v>0</v>
      </c>
      <c r="L226" s="13">
        <f t="shared" ca="1" si="72"/>
        <v>364</v>
      </c>
      <c r="M226" s="7">
        <f t="shared" ca="1" si="73"/>
        <v>1136</v>
      </c>
      <c r="N226" s="26">
        <f t="shared" ca="1" si="74"/>
        <v>5</v>
      </c>
      <c r="O226" s="44">
        <f t="shared" ca="1" si="75"/>
        <v>3.5346387789404914</v>
      </c>
      <c r="P226" s="44">
        <f t="shared" ca="1" si="76"/>
        <v>35.346387789404908</v>
      </c>
      <c r="Q226" s="44">
        <f t="shared" ca="1" si="77"/>
        <v>34.700360457357213</v>
      </c>
      <c r="R226" s="44">
        <f t="shared" ca="1" si="78"/>
        <v>3.5023374123381061</v>
      </c>
      <c r="S226" s="44">
        <f t="shared" ca="1" si="79"/>
        <v>3.532377683278324</v>
      </c>
      <c r="T226" s="4">
        <f t="shared" ca="1" si="80"/>
        <v>0</v>
      </c>
      <c r="U226" s="120">
        <f t="shared" ca="1" si="81"/>
        <v>2135.4497774977995</v>
      </c>
      <c r="V226" s="4">
        <f t="shared" ca="1" si="82"/>
        <v>0</v>
      </c>
      <c r="W226" s="13">
        <f t="shared" ca="1" si="83"/>
        <v>17002.125</v>
      </c>
      <c r="X226" s="4">
        <f t="shared" ca="1" si="84"/>
        <v>0</v>
      </c>
      <c r="Y226" s="4">
        <f t="shared" si="85"/>
        <v>0</v>
      </c>
      <c r="Z226" s="13">
        <f t="shared" ca="1" si="86"/>
        <v>17002.125</v>
      </c>
      <c r="AA226" s="4">
        <f t="shared" ca="1" si="87"/>
        <v>0</v>
      </c>
      <c r="AE226" s="4"/>
    </row>
    <row r="227" spans="1:31">
      <c r="A227">
        <v>1</v>
      </c>
      <c r="B227">
        <v>2</v>
      </c>
      <c r="C227">
        <f t="shared" ca="1" si="66"/>
        <v>4</v>
      </c>
      <c r="D227">
        <f t="shared" ca="1" si="67"/>
        <v>3</v>
      </c>
      <c r="E227">
        <f t="shared" ca="1" si="68"/>
        <v>1</v>
      </c>
      <c r="F227" s="110">
        <f t="shared" ca="1" si="69"/>
        <v>0</v>
      </c>
      <c r="G227">
        <v>0</v>
      </c>
      <c r="H227">
        <v>1</v>
      </c>
      <c r="I227">
        <v>6</v>
      </c>
      <c r="J227" s="1">
        <f t="shared" ca="1" si="70"/>
        <v>0</v>
      </c>
      <c r="K227" s="1">
        <f t="shared" ca="1" si="71"/>
        <v>0</v>
      </c>
      <c r="L227" s="13">
        <f t="shared" ca="1" si="72"/>
        <v>345</v>
      </c>
      <c r="M227" s="7">
        <f t="shared" ca="1" si="73"/>
        <v>1155</v>
      </c>
      <c r="N227" s="26">
        <f t="shared" ca="1" si="74"/>
        <v>5</v>
      </c>
      <c r="O227" s="44">
        <f t="shared" ca="1" si="75"/>
        <v>3.5346387789404914</v>
      </c>
      <c r="P227" s="44">
        <f t="shared" ca="1" si="76"/>
        <v>35.346387789404908</v>
      </c>
      <c r="Q227" s="44">
        <f t="shared" ca="1" si="77"/>
        <v>35.346387789404908</v>
      </c>
      <c r="R227" s="44">
        <f t="shared" ca="1" si="78"/>
        <v>3.5346387789404909</v>
      </c>
      <c r="S227" s="44">
        <f t="shared" ca="1" si="79"/>
        <v>3.5346387789404914</v>
      </c>
      <c r="T227" s="4">
        <f t="shared" ca="1" si="80"/>
        <v>0</v>
      </c>
      <c r="U227" s="120">
        <f t="shared" ca="1" si="81"/>
        <v>2117.4426794074939</v>
      </c>
      <c r="V227" s="4">
        <f t="shared" ca="1" si="82"/>
        <v>0</v>
      </c>
      <c r="W227" s="13">
        <f t="shared" ca="1" si="83"/>
        <v>14573.25</v>
      </c>
      <c r="X227" s="4">
        <f t="shared" ca="1" si="84"/>
        <v>0</v>
      </c>
      <c r="Y227" s="4">
        <f t="shared" si="85"/>
        <v>0</v>
      </c>
      <c r="Z227" s="13">
        <f t="shared" ca="1" si="86"/>
        <v>14573.25</v>
      </c>
      <c r="AA227" s="4">
        <f t="shared" ca="1" si="87"/>
        <v>0</v>
      </c>
      <c r="AE227" s="4"/>
    </row>
    <row r="228" spans="1:31">
      <c r="A228">
        <v>1</v>
      </c>
      <c r="B228">
        <v>2</v>
      </c>
      <c r="C228">
        <f t="shared" ca="1" si="66"/>
        <v>4</v>
      </c>
      <c r="D228">
        <f t="shared" ca="1" si="67"/>
        <v>3</v>
      </c>
      <c r="E228">
        <f t="shared" ca="1" si="68"/>
        <v>1</v>
      </c>
      <c r="F228" s="110">
        <f t="shared" ca="1" si="69"/>
        <v>0</v>
      </c>
      <c r="G228">
        <v>0</v>
      </c>
      <c r="H228">
        <v>1</v>
      </c>
      <c r="I228">
        <v>5</v>
      </c>
      <c r="J228" s="1">
        <f t="shared" ca="1" si="70"/>
        <v>0</v>
      </c>
      <c r="K228" s="1">
        <f t="shared" ca="1" si="71"/>
        <v>0</v>
      </c>
      <c r="L228" s="13">
        <f t="shared" ca="1" si="72"/>
        <v>326</v>
      </c>
      <c r="M228" s="7">
        <f t="shared" ca="1" si="73"/>
        <v>1174</v>
      </c>
      <c r="N228" s="26">
        <f t="shared" ca="1" si="74"/>
        <v>5</v>
      </c>
      <c r="O228" s="44">
        <f t="shared" ca="1" si="75"/>
        <v>3.5346387789404914</v>
      </c>
      <c r="P228" s="44">
        <f t="shared" ca="1" si="76"/>
        <v>35.346387789404908</v>
      </c>
      <c r="Q228" s="44">
        <f t="shared" ca="1" si="77"/>
        <v>35.346387789404908</v>
      </c>
      <c r="R228" s="44">
        <f t="shared" ca="1" si="78"/>
        <v>3.5346387789404909</v>
      </c>
      <c r="S228" s="44">
        <f t="shared" ca="1" si="79"/>
        <v>3.5346387789404914</v>
      </c>
      <c r="T228" s="4">
        <f t="shared" ca="1" si="80"/>
        <v>0</v>
      </c>
      <c r="U228" s="120">
        <f t="shared" ca="1" si="81"/>
        <v>2098.4426794074939</v>
      </c>
      <c r="V228" s="4">
        <f t="shared" ca="1" si="82"/>
        <v>0</v>
      </c>
      <c r="W228" s="13">
        <f t="shared" ca="1" si="83"/>
        <v>12144.375</v>
      </c>
      <c r="X228" s="4">
        <f t="shared" ca="1" si="84"/>
        <v>0</v>
      </c>
      <c r="Y228" s="4">
        <f t="shared" si="85"/>
        <v>0</v>
      </c>
      <c r="Z228" s="13">
        <f t="shared" ca="1" si="86"/>
        <v>12144.375</v>
      </c>
      <c r="AA228" s="4">
        <f t="shared" ca="1" si="87"/>
        <v>0</v>
      </c>
      <c r="AE228" s="4"/>
    </row>
    <row r="229" spans="1:31">
      <c r="A229">
        <v>1</v>
      </c>
      <c r="B229">
        <v>2</v>
      </c>
      <c r="C229">
        <f t="shared" ca="1" si="66"/>
        <v>4</v>
      </c>
      <c r="D229">
        <f t="shared" ca="1" si="67"/>
        <v>3</v>
      </c>
      <c r="E229">
        <f t="shared" ca="1" si="68"/>
        <v>1</v>
      </c>
      <c r="F229" s="110">
        <f t="shared" ca="1" si="69"/>
        <v>0</v>
      </c>
      <c r="G229">
        <v>0</v>
      </c>
      <c r="H229">
        <v>1</v>
      </c>
      <c r="I229">
        <v>4</v>
      </c>
      <c r="J229" s="1">
        <f t="shared" ca="1" si="70"/>
        <v>0</v>
      </c>
      <c r="K229" s="1">
        <f t="shared" ca="1" si="71"/>
        <v>0</v>
      </c>
      <c r="L229" s="13">
        <f t="shared" ca="1" si="72"/>
        <v>307</v>
      </c>
      <c r="M229" s="7">
        <f t="shared" ca="1" si="73"/>
        <v>1193</v>
      </c>
      <c r="N229" s="26">
        <f t="shared" ca="1" si="74"/>
        <v>5</v>
      </c>
      <c r="O229" s="44">
        <f t="shared" ca="1" si="75"/>
        <v>3.5346387789404914</v>
      </c>
      <c r="P229" s="44">
        <f t="shared" ca="1" si="76"/>
        <v>35.346387789404908</v>
      </c>
      <c r="Q229" s="44">
        <f t="shared" ca="1" si="77"/>
        <v>35.346387789404908</v>
      </c>
      <c r="R229" s="44">
        <f t="shared" ca="1" si="78"/>
        <v>3.5346387789404909</v>
      </c>
      <c r="S229" s="44">
        <f t="shared" ca="1" si="79"/>
        <v>3.5346387789404914</v>
      </c>
      <c r="T229" s="4">
        <f t="shared" ca="1" si="80"/>
        <v>0</v>
      </c>
      <c r="U229" s="120">
        <f t="shared" ca="1" si="81"/>
        <v>2079.4426794074939</v>
      </c>
      <c r="V229" s="4">
        <f t="shared" ca="1" si="82"/>
        <v>0</v>
      </c>
      <c r="W229" s="13">
        <f t="shared" ca="1" si="83"/>
        <v>9715.5</v>
      </c>
      <c r="X229" s="4">
        <f t="shared" ca="1" si="84"/>
        <v>0</v>
      </c>
      <c r="Y229" s="4">
        <f t="shared" si="85"/>
        <v>0</v>
      </c>
      <c r="Z229" s="13">
        <f t="shared" ca="1" si="86"/>
        <v>9715.5</v>
      </c>
      <c r="AA229" s="4">
        <f t="shared" ca="1" si="87"/>
        <v>0</v>
      </c>
      <c r="AE229" s="4"/>
    </row>
    <row r="230" spans="1:31">
      <c r="A230">
        <v>1</v>
      </c>
      <c r="B230">
        <v>2</v>
      </c>
      <c r="C230">
        <f t="shared" ca="1" si="66"/>
        <v>4</v>
      </c>
      <c r="D230">
        <f t="shared" ca="1" si="67"/>
        <v>3</v>
      </c>
      <c r="E230">
        <f t="shared" ca="1" si="68"/>
        <v>1</v>
      </c>
      <c r="F230" s="110">
        <f t="shared" ca="1" si="69"/>
        <v>0</v>
      </c>
      <c r="G230">
        <v>0</v>
      </c>
      <c r="H230">
        <v>1</v>
      </c>
      <c r="I230">
        <v>3</v>
      </c>
      <c r="J230" s="1">
        <f t="shared" ca="1" si="70"/>
        <v>0</v>
      </c>
      <c r="K230" s="1">
        <f t="shared" ca="1" si="71"/>
        <v>0</v>
      </c>
      <c r="L230" s="13">
        <f t="shared" ca="1" si="72"/>
        <v>288</v>
      </c>
      <c r="M230" s="7">
        <f t="shared" ca="1" si="73"/>
        <v>1212</v>
      </c>
      <c r="N230" s="26">
        <f t="shared" ca="1" si="74"/>
        <v>5</v>
      </c>
      <c r="O230" s="44">
        <f t="shared" ca="1" si="75"/>
        <v>3.5346387789404914</v>
      </c>
      <c r="P230" s="44">
        <f t="shared" ca="1" si="76"/>
        <v>35.346387789404908</v>
      </c>
      <c r="Q230" s="44">
        <f t="shared" ca="1" si="77"/>
        <v>35.346387789404908</v>
      </c>
      <c r="R230" s="44">
        <f t="shared" ca="1" si="78"/>
        <v>3.5346387789404909</v>
      </c>
      <c r="S230" s="44">
        <f t="shared" ca="1" si="79"/>
        <v>3.5346387789404914</v>
      </c>
      <c r="T230" s="4">
        <f t="shared" ca="1" si="80"/>
        <v>0</v>
      </c>
      <c r="U230" s="120">
        <f t="shared" ca="1" si="81"/>
        <v>2060.4426794074939</v>
      </c>
      <c r="V230" s="4">
        <f t="shared" ca="1" si="82"/>
        <v>0</v>
      </c>
      <c r="W230" s="13">
        <f t="shared" ca="1" si="83"/>
        <v>7286.625</v>
      </c>
      <c r="X230" s="4">
        <f t="shared" ca="1" si="84"/>
        <v>0</v>
      </c>
      <c r="Y230" s="4">
        <f t="shared" si="85"/>
        <v>0</v>
      </c>
      <c r="Z230" s="13">
        <f t="shared" ca="1" si="86"/>
        <v>7286.625</v>
      </c>
      <c r="AA230" s="4">
        <f t="shared" ca="1" si="87"/>
        <v>0</v>
      </c>
      <c r="AE230" s="4"/>
    </row>
    <row r="231" spans="1:31">
      <c r="A231">
        <v>1</v>
      </c>
      <c r="B231">
        <v>2</v>
      </c>
      <c r="C231">
        <f t="shared" ca="1" si="66"/>
        <v>4</v>
      </c>
      <c r="D231">
        <f t="shared" ca="1" si="67"/>
        <v>3</v>
      </c>
      <c r="E231">
        <f t="shared" ca="1" si="68"/>
        <v>1</v>
      </c>
      <c r="F231" s="110">
        <f t="shared" ca="1" si="69"/>
        <v>0</v>
      </c>
      <c r="G231">
        <v>0</v>
      </c>
      <c r="H231">
        <v>1</v>
      </c>
      <c r="I231">
        <v>2</v>
      </c>
      <c r="J231" s="1">
        <f t="shared" ca="1" si="70"/>
        <v>0</v>
      </c>
      <c r="K231" s="1">
        <f t="shared" ca="1" si="71"/>
        <v>0</v>
      </c>
      <c r="L231" s="13">
        <f t="shared" ca="1" si="72"/>
        <v>269</v>
      </c>
      <c r="M231" s="7">
        <f t="shared" ca="1" si="73"/>
        <v>1231</v>
      </c>
      <c r="N231" s="26">
        <f t="shared" ca="1" si="74"/>
        <v>5</v>
      </c>
      <c r="O231" s="44">
        <f t="shared" ca="1" si="75"/>
        <v>3.5346387789404914</v>
      </c>
      <c r="P231" s="44">
        <f t="shared" ca="1" si="76"/>
        <v>35.346387789404908</v>
      </c>
      <c r="Q231" s="44">
        <f t="shared" ca="1" si="77"/>
        <v>35.346387789404908</v>
      </c>
      <c r="R231" s="44">
        <f t="shared" ca="1" si="78"/>
        <v>3.5346387789404909</v>
      </c>
      <c r="S231" s="44">
        <f t="shared" ca="1" si="79"/>
        <v>3.5346387789404914</v>
      </c>
      <c r="T231" s="4">
        <f t="shared" ca="1" si="80"/>
        <v>0</v>
      </c>
      <c r="U231" s="120">
        <f t="shared" ca="1" si="81"/>
        <v>2041.4426794074936</v>
      </c>
      <c r="V231" s="4">
        <f t="shared" ca="1" si="82"/>
        <v>0</v>
      </c>
      <c r="W231" s="13">
        <f t="shared" ca="1" si="83"/>
        <v>4857.75</v>
      </c>
      <c r="X231" s="4">
        <f t="shared" ca="1" si="84"/>
        <v>0</v>
      </c>
      <c r="Y231" s="4">
        <f t="shared" si="85"/>
        <v>0</v>
      </c>
      <c r="Z231" s="13">
        <f t="shared" ca="1" si="86"/>
        <v>4857.75</v>
      </c>
      <c r="AA231" s="4">
        <f t="shared" ca="1" si="87"/>
        <v>0</v>
      </c>
      <c r="AE231" s="4"/>
    </row>
    <row r="232" spans="1:31">
      <c r="A232">
        <v>1</v>
      </c>
      <c r="B232">
        <v>2</v>
      </c>
      <c r="C232">
        <f t="shared" ca="1" si="66"/>
        <v>4</v>
      </c>
      <c r="D232">
        <f t="shared" ca="1" si="67"/>
        <v>3</v>
      </c>
      <c r="E232">
        <f t="shared" ca="1" si="68"/>
        <v>1</v>
      </c>
      <c r="F232" s="110">
        <f t="shared" ca="1" si="69"/>
        <v>0</v>
      </c>
      <c r="G232">
        <v>0</v>
      </c>
      <c r="H232">
        <v>1</v>
      </c>
      <c r="I232">
        <v>1</v>
      </c>
      <c r="J232" s="1">
        <f t="shared" ca="1" si="70"/>
        <v>0</v>
      </c>
      <c r="K232" s="1">
        <f t="shared" ca="1" si="71"/>
        <v>0</v>
      </c>
      <c r="L232" s="13">
        <f t="shared" ca="1" si="72"/>
        <v>250</v>
      </c>
      <c r="M232" s="7">
        <f t="shared" ca="1" si="73"/>
        <v>1250</v>
      </c>
      <c r="N232" s="26">
        <f t="shared" ca="1" si="74"/>
        <v>5</v>
      </c>
      <c r="O232" s="44">
        <f t="shared" ca="1" si="75"/>
        <v>3.5346387789404914</v>
      </c>
      <c r="P232" s="44">
        <f t="shared" ca="1" si="76"/>
        <v>35.346387789404908</v>
      </c>
      <c r="Q232" s="44">
        <f t="shared" ca="1" si="77"/>
        <v>35.346387789404908</v>
      </c>
      <c r="R232" s="44">
        <f t="shared" ca="1" si="78"/>
        <v>3.5346387789404909</v>
      </c>
      <c r="S232" s="44">
        <f t="shared" ca="1" si="79"/>
        <v>3.5346387789404914</v>
      </c>
      <c r="T232" s="4">
        <f t="shared" ca="1" si="80"/>
        <v>0</v>
      </c>
      <c r="U232" s="120">
        <f t="shared" ca="1" si="81"/>
        <v>2022.4426794074936</v>
      </c>
      <c r="V232" s="4">
        <f t="shared" ca="1" si="82"/>
        <v>0</v>
      </c>
      <c r="W232" s="13">
        <f t="shared" ca="1" si="83"/>
        <v>2428.875</v>
      </c>
      <c r="X232" s="4">
        <f t="shared" ca="1" si="84"/>
        <v>0</v>
      </c>
      <c r="Y232" s="4">
        <f t="shared" si="85"/>
        <v>0</v>
      </c>
      <c r="Z232" s="13">
        <f t="shared" ca="1" si="86"/>
        <v>2428.875</v>
      </c>
      <c r="AA232" s="4">
        <f t="shared" ca="1" si="87"/>
        <v>0</v>
      </c>
      <c r="AE232" s="4"/>
    </row>
    <row r="233" spans="1:31">
      <c r="A233">
        <v>1</v>
      </c>
      <c r="B233">
        <v>2</v>
      </c>
      <c r="C233">
        <f t="shared" ca="1" si="66"/>
        <v>4</v>
      </c>
      <c r="D233">
        <f t="shared" ca="1" si="67"/>
        <v>3</v>
      </c>
      <c r="E233">
        <f t="shared" ca="1" si="68"/>
        <v>1</v>
      </c>
      <c r="F233" s="110">
        <f t="shared" ca="1" si="69"/>
        <v>0</v>
      </c>
      <c r="G233">
        <v>0</v>
      </c>
      <c r="H233">
        <v>1</v>
      </c>
      <c r="I233">
        <v>0</v>
      </c>
      <c r="J233" s="1">
        <f t="shared" ca="1" si="70"/>
        <v>0</v>
      </c>
      <c r="K233" s="1">
        <f t="shared" ca="1" si="71"/>
        <v>0</v>
      </c>
      <c r="L233" s="13">
        <f t="shared" ca="1" si="72"/>
        <v>231</v>
      </c>
      <c r="M233" s="7">
        <f t="shared" ca="1" si="73"/>
        <v>1269</v>
      </c>
      <c r="N233" s="26">
        <f t="shared" ca="1" si="74"/>
        <v>5</v>
      </c>
      <c r="O233" s="44">
        <f t="shared" ca="1" si="75"/>
        <v>3.5346387789404914</v>
      </c>
      <c r="P233" s="44">
        <f t="shared" ca="1" si="76"/>
        <v>35.346387789404908</v>
      </c>
      <c r="Q233" s="44">
        <f t="shared" ca="1" si="77"/>
        <v>35.346387789404908</v>
      </c>
      <c r="R233" s="44">
        <f t="shared" ca="1" si="78"/>
        <v>3.5346387789404909</v>
      </c>
      <c r="S233" s="44">
        <f t="shared" ca="1" si="79"/>
        <v>3.5346387789404914</v>
      </c>
      <c r="T233" s="4">
        <f t="shared" ca="1" si="80"/>
        <v>0</v>
      </c>
      <c r="U233" s="120">
        <f t="shared" ca="1" si="81"/>
        <v>2003.4426794074936</v>
      </c>
      <c r="V233" s="4">
        <f t="shared" ca="1" si="82"/>
        <v>0</v>
      </c>
      <c r="W233" s="13">
        <f t="shared" ca="1" si="83"/>
        <v>0</v>
      </c>
      <c r="X233" s="4">
        <f t="shared" ca="1" si="84"/>
        <v>0</v>
      </c>
      <c r="Y233" s="4">
        <f t="shared" si="85"/>
        <v>0</v>
      </c>
      <c r="Z233" s="13">
        <f t="shared" ca="1" si="86"/>
        <v>0</v>
      </c>
      <c r="AA233" s="4">
        <f t="shared" ca="1" si="87"/>
        <v>0</v>
      </c>
      <c r="AE233" s="4"/>
    </row>
    <row r="234" spans="1:31">
      <c r="A234">
        <v>1</v>
      </c>
      <c r="B234">
        <v>2</v>
      </c>
      <c r="C234">
        <f t="shared" ca="1" si="66"/>
        <v>4</v>
      </c>
      <c r="D234">
        <f t="shared" ca="1" si="67"/>
        <v>3</v>
      </c>
      <c r="E234">
        <f t="shared" ca="1" si="68"/>
        <v>1</v>
      </c>
      <c r="F234" s="110">
        <f t="shared" ca="1" si="69"/>
        <v>0</v>
      </c>
      <c r="G234">
        <v>0</v>
      </c>
      <c r="H234">
        <v>0</v>
      </c>
      <c r="I234">
        <v>7</v>
      </c>
      <c r="J234" s="1">
        <f t="shared" ca="1" si="70"/>
        <v>0</v>
      </c>
      <c r="K234" s="1">
        <f t="shared" ca="1" si="71"/>
        <v>0</v>
      </c>
      <c r="L234" s="13">
        <f t="shared" ca="1" si="72"/>
        <v>133</v>
      </c>
      <c r="M234" s="7">
        <f t="shared" ca="1" si="73"/>
        <v>1367</v>
      </c>
      <c r="N234" s="26">
        <f t="shared" ca="1" si="74"/>
        <v>5</v>
      </c>
      <c r="O234" s="44">
        <f t="shared" ca="1" si="75"/>
        <v>3.5346387789404914</v>
      </c>
      <c r="P234" s="44">
        <f t="shared" ca="1" si="76"/>
        <v>35.346387789404908</v>
      </c>
      <c r="Q234" s="44">
        <f t="shared" ca="1" si="77"/>
        <v>35.346387789404908</v>
      </c>
      <c r="R234" s="44">
        <f t="shared" ca="1" si="78"/>
        <v>3.5346387789404909</v>
      </c>
      <c r="S234" s="44">
        <f t="shared" ca="1" si="79"/>
        <v>3.5346387789404914</v>
      </c>
      <c r="T234" s="4">
        <f t="shared" ca="1" si="80"/>
        <v>0</v>
      </c>
      <c r="U234" s="120">
        <f t="shared" ca="1" si="81"/>
        <v>1905.4426794074936</v>
      </c>
      <c r="V234" s="4">
        <f t="shared" ca="1" si="82"/>
        <v>0</v>
      </c>
      <c r="W234" s="13">
        <f t="shared" ca="1" si="83"/>
        <v>17002.125</v>
      </c>
      <c r="X234" s="4">
        <f t="shared" ca="1" si="84"/>
        <v>0</v>
      </c>
      <c r="Y234" s="4">
        <f t="shared" si="85"/>
        <v>0</v>
      </c>
      <c r="Z234" s="13">
        <f t="shared" ca="1" si="86"/>
        <v>17002.125</v>
      </c>
      <c r="AA234" s="4">
        <f t="shared" ca="1" si="87"/>
        <v>0</v>
      </c>
      <c r="AE234" s="4"/>
    </row>
    <row r="235" spans="1:31">
      <c r="A235">
        <v>1</v>
      </c>
      <c r="B235">
        <v>2</v>
      </c>
      <c r="C235">
        <f t="shared" ca="1" si="66"/>
        <v>4</v>
      </c>
      <c r="D235">
        <f t="shared" ca="1" si="67"/>
        <v>3</v>
      </c>
      <c r="E235">
        <f t="shared" ca="1" si="68"/>
        <v>1</v>
      </c>
      <c r="F235" s="110">
        <f t="shared" ca="1" si="69"/>
        <v>0</v>
      </c>
      <c r="G235">
        <v>0</v>
      </c>
      <c r="H235">
        <v>0</v>
      </c>
      <c r="I235">
        <v>6</v>
      </c>
      <c r="J235" s="1">
        <f t="shared" ca="1" si="70"/>
        <v>0</v>
      </c>
      <c r="K235" s="1">
        <f t="shared" ca="1" si="71"/>
        <v>0</v>
      </c>
      <c r="L235" s="13">
        <f t="shared" ca="1" si="72"/>
        <v>114</v>
      </c>
      <c r="M235" s="7">
        <f t="shared" ca="1" si="73"/>
        <v>1386</v>
      </c>
      <c r="N235" s="26">
        <f t="shared" ca="1" si="74"/>
        <v>5</v>
      </c>
      <c r="O235" s="44">
        <f t="shared" ca="1" si="75"/>
        <v>3.5346387789404914</v>
      </c>
      <c r="P235" s="44">
        <f t="shared" ca="1" si="76"/>
        <v>35.346387789404908</v>
      </c>
      <c r="Q235" s="44">
        <f t="shared" ca="1" si="77"/>
        <v>35.346387789404908</v>
      </c>
      <c r="R235" s="44">
        <f t="shared" ca="1" si="78"/>
        <v>3.5346387789404909</v>
      </c>
      <c r="S235" s="44">
        <f t="shared" ca="1" si="79"/>
        <v>3.5346387789404914</v>
      </c>
      <c r="T235" s="4">
        <f t="shared" ca="1" si="80"/>
        <v>0</v>
      </c>
      <c r="U235" s="120">
        <f t="shared" ca="1" si="81"/>
        <v>1886.4426794074936</v>
      </c>
      <c r="V235" s="4">
        <f t="shared" ca="1" si="82"/>
        <v>0</v>
      </c>
      <c r="W235" s="13">
        <f t="shared" ca="1" si="83"/>
        <v>14573.25</v>
      </c>
      <c r="X235" s="4">
        <f t="shared" ca="1" si="84"/>
        <v>0</v>
      </c>
      <c r="Y235" s="4">
        <f t="shared" si="85"/>
        <v>0</v>
      </c>
      <c r="Z235" s="13">
        <f t="shared" ca="1" si="86"/>
        <v>14573.25</v>
      </c>
      <c r="AA235" s="4">
        <f t="shared" ca="1" si="87"/>
        <v>0</v>
      </c>
      <c r="AE235" s="4"/>
    </row>
    <row r="236" spans="1:31">
      <c r="A236">
        <v>1</v>
      </c>
      <c r="B236">
        <v>2</v>
      </c>
      <c r="C236">
        <f t="shared" ca="1" si="66"/>
        <v>4</v>
      </c>
      <c r="D236">
        <f t="shared" ca="1" si="67"/>
        <v>3</v>
      </c>
      <c r="E236">
        <f t="shared" ca="1" si="68"/>
        <v>1</v>
      </c>
      <c r="F236" s="110">
        <f t="shared" ca="1" si="69"/>
        <v>0</v>
      </c>
      <c r="G236">
        <v>0</v>
      </c>
      <c r="H236">
        <v>0</v>
      </c>
      <c r="I236">
        <v>5</v>
      </c>
      <c r="J236" s="1">
        <f t="shared" ca="1" si="70"/>
        <v>0</v>
      </c>
      <c r="K236" s="1">
        <f t="shared" ca="1" si="71"/>
        <v>0</v>
      </c>
      <c r="L236" s="13">
        <f t="shared" ca="1" si="72"/>
        <v>95</v>
      </c>
      <c r="M236" s="7">
        <f t="shared" ca="1" si="73"/>
        <v>1405</v>
      </c>
      <c r="N236" s="26">
        <f t="shared" ca="1" si="74"/>
        <v>6</v>
      </c>
      <c r="O236" s="44">
        <f t="shared" ca="1" si="75"/>
        <v>4.1694581524927896</v>
      </c>
      <c r="P236" s="44">
        <f t="shared" ca="1" si="76"/>
        <v>41.059762151375594</v>
      </c>
      <c r="Q236" s="44">
        <f t="shared" ca="1" si="77"/>
        <v>35.346387789404908</v>
      </c>
      <c r="R236" s="44">
        <f t="shared" ca="1" si="78"/>
        <v>3.8203074970390247</v>
      </c>
      <c r="S236" s="44">
        <f t="shared" ca="1" si="79"/>
        <v>4.1450176066110256</v>
      </c>
      <c r="T236" s="4">
        <f t="shared" ca="1" si="80"/>
        <v>0</v>
      </c>
      <c r="U236" s="120">
        <f t="shared" ca="1" si="81"/>
        <v>2135.4748169996506</v>
      </c>
      <c r="V236" s="4">
        <f t="shared" ca="1" si="82"/>
        <v>0</v>
      </c>
      <c r="W236" s="13">
        <f t="shared" ca="1" si="83"/>
        <v>12144.375</v>
      </c>
      <c r="X236" s="4">
        <f t="shared" ca="1" si="84"/>
        <v>0</v>
      </c>
      <c r="Y236" s="4">
        <f t="shared" si="85"/>
        <v>0</v>
      </c>
      <c r="Z236" s="13">
        <f t="shared" ca="1" si="86"/>
        <v>12144.375</v>
      </c>
      <c r="AA236" s="4">
        <f t="shared" ca="1" si="87"/>
        <v>0</v>
      </c>
      <c r="AE236" s="4"/>
    </row>
    <row r="237" spans="1:31">
      <c r="A237">
        <v>1</v>
      </c>
      <c r="B237">
        <v>2</v>
      </c>
      <c r="C237">
        <f t="shared" ca="1" si="66"/>
        <v>4</v>
      </c>
      <c r="D237">
        <f t="shared" ca="1" si="67"/>
        <v>3</v>
      </c>
      <c r="E237">
        <f t="shared" ca="1" si="68"/>
        <v>1</v>
      </c>
      <c r="F237" s="110">
        <f t="shared" ca="1" si="69"/>
        <v>0</v>
      </c>
      <c r="G237">
        <v>0</v>
      </c>
      <c r="H237">
        <v>0</v>
      </c>
      <c r="I237">
        <v>4</v>
      </c>
      <c r="J237" s="1">
        <f t="shared" ca="1" si="70"/>
        <v>0</v>
      </c>
      <c r="K237" s="1">
        <f t="shared" ca="1" si="71"/>
        <v>0</v>
      </c>
      <c r="L237" s="13">
        <f t="shared" ca="1" si="72"/>
        <v>76</v>
      </c>
      <c r="M237" s="7">
        <f t="shared" ca="1" si="73"/>
        <v>1424</v>
      </c>
      <c r="N237" s="26">
        <f t="shared" ca="1" si="74"/>
        <v>6</v>
      </c>
      <c r="O237" s="44">
        <f t="shared" ca="1" si="75"/>
        <v>4.1694581524927896</v>
      </c>
      <c r="P237" s="44">
        <f t="shared" ca="1" si="76"/>
        <v>41.694581524927891</v>
      </c>
      <c r="Q237" s="44">
        <f t="shared" ca="1" si="77"/>
        <v>41.694581524927891</v>
      </c>
      <c r="R237" s="44">
        <f t="shared" ca="1" si="78"/>
        <v>4.1694581524927887</v>
      </c>
      <c r="S237" s="44">
        <f t="shared" ca="1" si="79"/>
        <v>4.1694581524927896</v>
      </c>
      <c r="T237" s="4">
        <f t="shared" ca="1" si="80"/>
        <v>0</v>
      </c>
      <c r="U237" s="120">
        <f t="shared" ca="1" si="81"/>
        <v>2127.2072530862838</v>
      </c>
      <c r="V237" s="4">
        <f t="shared" ca="1" si="82"/>
        <v>0</v>
      </c>
      <c r="W237" s="13">
        <f t="shared" ca="1" si="83"/>
        <v>9715.5</v>
      </c>
      <c r="X237" s="4">
        <f t="shared" ca="1" si="84"/>
        <v>0</v>
      </c>
      <c r="Y237" s="4">
        <f t="shared" si="85"/>
        <v>0</v>
      </c>
      <c r="Z237" s="13">
        <f t="shared" ca="1" si="86"/>
        <v>9715.5</v>
      </c>
      <c r="AA237" s="4">
        <f t="shared" ca="1" si="87"/>
        <v>0</v>
      </c>
      <c r="AE237" s="4"/>
    </row>
    <row r="238" spans="1:31">
      <c r="A238">
        <v>1</v>
      </c>
      <c r="B238">
        <v>2</v>
      </c>
      <c r="C238">
        <f t="shared" ca="1" si="66"/>
        <v>4</v>
      </c>
      <c r="D238">
        <f t="shared" ca="1" si="67"/>
        <v>3</v>
      </c>
      <c r="E238">
        <f t="shared" ca="1" si="68"/>
        <v>1</v>
      </c>
      <c r="F238" s="110">
        <f t="shared" ca="1" si="69"/>
        <v>0</v>
      </c>
      <c r="G238">
        <v>0</v>
      </c>
      <c r="H238">
        <v>0</v>
      </c>
      <c r="I238">
        <v>3</v>
      </c>
      <c r="J238" s="1">
        <f t="shared" ca="1" si="70"/>
        <v>4.2868749999999997E-2</v>
      </c>
      <c r="K238" s="1">
        <f t="shared" ca="1" si="71"/>
        <v>0</v>
      </c>
      <c r="L238" s="13">
        <f t="shared" ca="1" si="72"/>
        <v>57</v>
      </c>
      <c r="M238" s="7">
        <f t="shared" ca="1" si="73"/>
        <v>1443</v>
      </c>
      <c r="N238" s="26">
        <f t="shared" ca="1" si="74"/>
        <v>6</v>
      </c>
      <c r="O238" s="44">
        <f t="shared" ca="1" si="75"/>
        <v>4.1694581524927896</v>
      </c>
      <c r="P238" s="44">
        <f t="shared" ca="1" si="76"/>
        <v>41.694581524927891</v>
      </c>
      <c r="Q238" s="44">
        <f t="shared" ca="1" si="77"/>
        <v>41.694581524927891</v>
      </c>
      <c r="R238" s="44">
        <f t="shared" ca="1" si="78"/>
        <v>4.1694581524927887</v>
      </c>
      <c r="S238" s="44">
        <f t="shared" ca="1" si="79"/>
        <v>4.1694581524927896</v>
      </c>
      <c r="T238" s="4">
        <f t="shared" ca="1" si="80"/>
        <v>0</v>
      </c>
      <c r="U238" s="120">
        <f t="shared" ca="1" si="81"/>
        <v>2108.2072530862838</v>
      </c>
      <c r="V238" s="4">
        <f t="shared" ca="1" si="82"/>
        <v>0</v>
      </c>
      <c r="W238" s="13">
        <f t="shared" ca="1" si="83"/>
        <v>7286.625</v>
      </c>
      <c r="X238" s="4">
        <f t="shared" ca="1" si="84"/>
        <v>0</v>
      </c>
      <c r="Y238" s="4">
        <f t="shared" si="85"/>
        <v>0</v>
      </c>
      <c r="Z238" s="13">
        <f t="shared" ca="1" si="86"/>
        <v>7286.625</v>
      </c>
      <c r="AA238" s="4">
        <f t="shared" ca="1" si="87"/>
        <v>0</v>
      </c>
      <c r="AE238" s="4"/>
    </row>
    <row r="239" spans="1:31">
      <c r="A239">
        <v>1</v>
      </c>
      <c r="B239">
        <v>2</v>
      </c>
      <c r="C239">
        <f t="shared" ca="1" si="66"/>
        <v>4</v>
      </c>
      <c r="D239">
        <f t="shared" ca="1" si="67"/>
        <v>3</v>
      </c>
      <c r="E239">
        <f t="shared" ca="1" si="68"/>
        <v>1</v>
      </c>
      <c r="F239" s="110">
        <f t="shared" ca="1" si="69"/>
        <v>0</v>
      </c>
      <c r="G239">
        <v>0</v>
      </c>
      <c r="H239">
        <v>0</v>
      </c>
      <c r="I239">
        <v>2</v>
      </c>
      <c r="J239" s="1">
        <f t="shared" ca="1" si="70"/>
        <v>6.7687500000000074E-3</v>
      </c>
      <c r="K239" s="1">
        <f t="shared" ca="1" si="71"/>
        <v>0</v>
      </c>
      <c r="L239" s="13">
        <f t="shared" ca="1" si="72"/>
        <v>38</v>
      </c>
      <c r="M239" s="7">
        <f t="shared" ca="1" si="73"/>
        <v>1462</v>
      </c>
      <c r="N239" s="26">
        <f t="shared" ca="1" si="74"/>
        <v>6</v>
      </c>
      <c r="O239" s="44">
        <f t="shared" ca="1" si="75"/>
        <v>4.1694581524927896</v>
      </c>
      <c r="P239" s="44">
        <f t="shared" ca="1" si="76"/>
        <v>41.694581524927891</v>
      </c>
      <c r="Q239" s="44">
        <f t="shared" ca="1" si="77"/>
        <v>41.694581524927891</v>
      </c>
      <c r="R239" s="44">
        <f t="shared" ca="1" si="78"/>
        <v>4.1694581524927887</v>
      </c>
      <c r="S239" s="44">
        <f t="shared" ca="1" si="79"/>
        <v>4.1694581524927896</v>
      </c>
      <c r="T239" s="4">
        <f t="shared" ca="1" si="80"/>
        <v>0</v>
      </c>
      <c r="U239" s="120">
        <f t="shared" ca="1" si="81"/>
        <v>2089.2072530862838</v>
      </c>
      <c r="V239" s="4">
        <f t="shared" ca="1" si="82"/>
        <v>0</v>
      </c>
      <c r="W239" s="13">
        <f t="shared" ca="1" si="83"/>
        <v>4857.75</v>
      </c>
      <c r="X239" s="4">
        <f t="shared" ca="1" si="84"/>
        <v>0</v>
      </c>
      <c r="Y239" s="4">
        <f t="shared" si="85"/>
        <v>0</v>
      </c>
      <c r="Z239" s="13">
        <f t="shared" ca="1" si="86"/>
        <v>4857.75</v>
      </c>
      <c r="AA239" s="4">
        <f t="shared" ca="1" si="87"/>
        <v>0</v>
      </c>
      <c r="AE239" s="4"/>
    </row>
    <row r="240" spans="1:31">
      <c r="A240">
        <v>1</v>
      </c>
      <c r="B240">
        <v>2</v>
      </c>
      <c r="C240">
        <f t="shared" ca="1" si="66"/>
        <v>4</v>
      </c>
      <c r="D240">
        <f t="shared" ca="1" si="67"/>
        <v>3</v>
      </c>
      <c r="E240">
        <f t="shared" ca="1" si="68"/>
        <v>1</v>
      </c>
      <c r="F240" s="110">
        <f t="shared" ca="1" si="69"/>
        <v>0</v>
      </c>
      <c r="G240">
        <v>0</v>
      </c>
      <c r="H240">
        <v>0</v>
      </c>
      <c r="I240">
        <v>1</v>
      </c>
      <c r="J240" s="1">
        <f t="shared" ca="1" si="70"/>
        <v>3.5625000000000061E-4</v>
      </c>
      <c r="K240" s="1">
        <f t="shared" ca="1" si="71"/>
        <v>0</v>
      </c>
      <c r="L240" s="13">
        <f t="shared" ca="1" si="72"/>
        <v>19</v>
      </c>
      <c r="M240" s="7">
        <f t="shared" ca="1" si="73"/>
        <v>1481</v>
      </c>
      <c r="N240" s="26">
        <f t="shared" ca="1" si="74"/>
        <v>6</v>
      </c>
      <c r="O240" s="44">
        <f t="shared" ca="1" si="75"/>
        <v>4.1694581524927896</v>
      </c>
      <c r="P240" s="44">
        <f t="shared" ca="1" si="76"/>
        <v>41.694581524927891</v>
      </c>
      <c r="Q240" s="44">
        <f t="shared" ca="1" si="77"/>
        <v>41.694581524927891</v>
      </c>
      <c r="R240" s="44">
        <f t="shared" ca="1" si="78"/>
        <v>4.1694581524927887</v>
      </c>
      <c r="S240" s="44">
        <f t="shared" ca="1" si="79"/>
        <v>4.1694581524927896</v>
      </c>
      <c r="T240" s="4">
        <f t="shared" ca="1" si="80"/>
        <v>0</v>
      </c>
      <c r="U240" s="120">
        <f t="shared" ca="1" si="81"/>
        <v>2070.2072530862838</v>
      </c>
      <c r="V240" s="4">
        <f t="shared" ca="1" si="82"/>
        <v>0</v>
      </c>
      <c r="W240" s="13">
        <f t="shared" ca="1" si="83"/>
        <v>2428.875</v>
      </c>
      <c r="X240" s="4">
        <f t="shared" ca="1" si="84"/>
        <v>0</v>
      </c>
      <c r="Y240" s="4">
        <f t="shared" si="85"/>
        <v>0</v>
      </c>
      <c r="Z240" s="13">
        <f t="shared" ca="1" si="86"/>
        <v>2428.875</v>
      </c>
      <c r="AA240" s="4">
        <f t="shared" ca="1" si="87"/>
        <v>0</v>
      </c>
      <c r="AE240" s="4"/>
    </row>
    <row r="241" spans="1:31">
      <c r="A241">
        <v>1</v>
      </c>
      <c r="B241">
        <v>2</v>
      </c>
      <c r="C241">
        <f t="shared" ca="1" si="66"/>
        <v>4</v>
      </c>
      <c r="D241">
        <f t="shared" ca="1" si="67"/>
        <v>3</v>
      </c>
      <c r="E241">
        <f t="shared" ca="1" si="68"/>
        <v>1</v>
      </c>
      <c r="F241" s="110">
        <f t="shared" ca="1" si="69"/>
        <v>0</v>
      </c>
      <c r="G241">
        <v>0</v>
      </c>
      <c r="H241">
        <v>0</v>
      </c>
      <c r="I241">
        <v>0</v>
      </c>
      <c r="J241" s="1">
        <f t="shared" ca="1" si="70"/>
        <v>6.2500000000000164E-6</v>
      </c>
      <c r="K241" s="1">
        <f t="shared" ca="1" si="71"/>
        <v>0</v>
      </c>
      <c r="L241" s="13">
        <f t="shared" ca="1" si="72"/>
        <v>0</v>
      </c>
      <c r="M241" s="7">
        <f t="shared" ca="1" si="73"/>
        <v>1500</v>
      </c>
      <c r="N241" s="26">
        <f t="shared" ca="1" si="74"/>
        <v>6</v>
      </c>
      <c r="O241" s="44">
        <f t="shared" ca="1" si="75"/>
        <v>4.1694581524927896</v>
      </c>
      <c r="P241" s="44">
        <f t="shared" ca="1" si="76"/>
        <v>41.694581524927891</v>
      </c>
      <c r="Q241" s="44">
        <f t="shared" ca="1" si="77"/>
        <v>41.694581524927891</v>
      </c>
      <c r="R241" s="44">
        <f t="shared" ca="1" si="78"/>
        <v>4.1694581524927887</v>
      </c>
      <c r="S241" s="44">
        <f t="shared" ca="1" si="79"/>
        <v>4.1694581524927896</v>
      </c>
      <c r="T241" s="4">
        <f t="shared" ca="1" si="80"/>
        <v>0</v>
      </c>
      <c r="U241" s="120">
        <f t="shared" ca="1" si="81"/>
        <v>2051.2072530862838</v>
      </c>
      <c r="V241" s="4">
        <f t="shared" ca="1" si="82"/>
        <v>0</v>
      </c>
      <c r="W241" s="13">
        <f t="shared" ca="1" si="83"/>
        <v>0</v>
      </c>
      <c r="X241" s="4">
        <f t="shared" ca="1" si="84"/>
        <v>0</v>
      </c>
      <c r="Y241" s="4">
        <f t="shared" si="85"/>
        <v>0</v>
      </c>
      <c r="Z241" s="13">
        <f t="shared" ca="1" si="86"/>
        <v>0</v>
      </c>
      <c r="AA241" s="4">
        <f t="shared" ca="1" si="87"/>
        <v>0</v>
      </c>
      <c r="AE241" s="4"/>
    </row>
    <row r="242" spans="1:31">
      <c r="A242">
        <v>1</v>
      </c>
      <c r="B242">
        <v>3</v>
      </c>
      <c r="C242">
        <f t="shared" ca="1" si="66"/>
        <v>5</v>
      </c>
      <c r="D242">
        <f t="shared" ca="1" si="67"/>
        <v>4</v>
      </c>
      <c r="E242">
        <f t="shared" ca="1" si="68"/>
        <v>1</v>
      </c>
      <c r="F242" s="110">
        <f t="shared" ca="1" si="69"/>
        <v>0</v>
      </c>
      <c r="G242">
        <v>1</v>
      </c>
      <c r="H242">
        <v>1</v>
      </c>
      <c r="I242">
        <v>7</v>
      </c>
      <c r="J242" s="1">
        <f t="shared" ca="1" si="70"/>
        <v>0</v>
      </c>
      <c r="K242" s="1">
        <f t="shared" ca="1" si="71"/>
        <v>0</v>
      </c>
      <c r="L242" s="13">
        <f t="shared" ca="1" si="72"/>
        <v>595</v>
      </c>
      <c r="M242" s="7">
        <f t="shared" ca="1" si="73"/>
        <v>905</v>
      </c>
      <c r="N242" s="26">
        <f t="shared" ca="1" si="74"/>
        <v>4</v>
      </c>
      <c r="O242" s="44">
        <f t="shared" ca="1" si="75"/>
        <v>2.8886114468927948</v>
      </c>
      <c r="P242" s="44">
        <f t="shared" ca="1" si="76"/>
        <v>28.886114468927953</v>
      </c>
      <c r="Q242" s="44">
        <f t="shared" ca="1" si="77"/>
        <v>28.886114468927953</v>
      </c>
      <c r="R242" s="44">
        <f t="shared" ca="1" si="78"/>
        <v>2.8886114468927953</v>
      </c>
      <c r="S242" s="44">
        <f t="shared" ca="1" si="79"/>
        <v>2.8886114468927948</v>
      </c>
      <c r="T242" s="4">
        <f t="shared" ca="1" si="80"/>
        <v>0</v>
      </c>
      <c r="U242" s="120">
        <f t="shared" ca="1" si="81"/>
        <v>2083.7564194948759</v>
      </c>
      <c r="V242" s="4">
        <f t="shared" ca="1" si="82"/>
        <v>0</v>
      </c>
      <c r="W242" s="13">
        <f t="shared" ca="1" si="83"/>
        <v>47995.641000000003</v>
      </c>
      <c r="X242" s="4">
        <f t="shared" ca="1" si="84"/>
        <v>0</v>
      </c>
      <c r="Y242" s="4">
        <f t="shared" si="85"/>
        <v>0</v>
      </c>
      <c r="Z242" s="13">
        <f t="shared" ca="1" si="86"/>
        <v>47995.641000000003</v>
      </c>
      <c r="AA242" s="4">
        <f t="shared" ca="1" si="87"/>
        <v>0</v>
      </c>
      <c r="AE242" s="4"/>
    </row>
    <row r="243" spans="1:31">
      <c r="A243">
        <v>1</v>
      </c>
      <c r="B243">
        <v>3</v>
      </c>
      <c r="C243">
        <f t="shared" ca="1" si="66"/>
        <v>5</v>
      </c>
      <c r="D243">
        <f t="shared" ca="1" si="67"/>
        <v>4</v>
      </c>
      <c r="E243">
        <f t="shared" ca="1" si="68"/>
        <v>1</v>
      </c>
      <c r="F243" s="110">
        <f t="shared" ca="1" si="69"/>
        <v>0</v>
      </c>
      <c r="G243">
        <v>1</v>
      </c>
      <c r="H243">
        <v>1</v>
      </c>
      <c r="I243">
        <v>6</v>
      </c>
      <c r="J243" s="1">
        <f t="shared" ca="1" si="70"/>
        <v>0</v>
      </c>
      <c r="K243" s="1">
        <f t="shared" ca="1" si="71"/>
        <v>0</v>
      </c>
      <c r="L243" s="13">
        <f t="shared" ca="1" si="72"/>
        <v>576</v>
      </c>
      <c r="M243" s="7">
        <f t="shared" ca="1" si="73"/>
        <v>924</v>
      </c>
      <c r="N243" s="26">
        <f t="shared" ca="1" si="74"/>
        <v>4</v>
      </c>
      <c r="O243" s="44">
        <f t="shared" ca="1" si="75"/>
        <v>2.8886114468927948</v>
      </c>
      <c r="P243" s="44">
        <f t="shared" ca="1" si="76"/>
        <v>28.886114468927953</v>
      </c>
      <c r="Q243" s="44">
        <f t="shared" ca="1" si="77"/>
        <v>28.886114468927953</v>
      </c>
      <c r="R243" s="44">
        <f t="shared" ca="1" si="78"/>
        <v>2.8886114468927953</v>
      </c>
      <c r="S243" s="44">
        <f t="shared" ca="1" si="79"/>
        <v>2.8886114468927948</v>
      </c>
      <c r="T243" s="4">
        <f t="shared" ca="1" si="80"/>
        <v>0</v>
      </c>
      <c r="U243" s="120">
        <f t="shared" ca="1" si="81"/>
        <v>2064.7564194948759</v>
      </c>
      <c r="V243" s="4">
        <f t="shared" ca="1" si="82"/>
        <v>0</v>
      </c>
      <c r="W243" s="13">
        <f t="shared" ca="1" si="83"/>
        <v>45566.766000000003</v>
      </c>
      <c r="X243" s="4">
        <f t="shared" ca="1" si="84"/>
        <v>0</v>
      </c>
      <c r="Y243" s="4">
        <f t="shared" si="85"/>
        <v>0</v>
      </c>
      <c r="Z243" s="13">
        <f t="shared" ca="1" si="86"/>
        <v>45566.766000000003</v>
      </c>
      <c r="AA243" s="4">
        <f t="shared" ca="1" si="87"/>
        <v>0</v>
      </c>
      <c r="AE243" s="4"/>
    </row>
    <row r="244" spans="1:31">
      <c r="A244">
        <v>1</v>
      </c>
      <c r="B244">
        <v>3</v>
      </c>
      <c r="C244">
        <f t="shared" ca="1" si="66"/>
        <v>5</v>
      </c>
      <c r="D244">
        <f t="shared" ca="1" si="67"/>
        <v>4</v>
      </c>
      <c r="E244">
        <f t="shared" ca="1" si="68"/>
        <v>1</v>
      </c>
      <c r="F244" s="110">
        <f t="shared" ca="1" si="69"/>
        <v>0</v>
      </c>
      <c r="G244">
        <v>1</v>
      </c>
      <c r="H244">
        <v>1</v>
      </c>
      <c r="I244">
        <v>5</v>
      </c>
      <c r="J244" s="1">
        <f t="shared" ca="1" si="70"/>
        <v>0</v>
      </c>
      <c r="K244" s="1">
        <f t="shared" ca="1" si="71"/>
        <v>0</v>
      </c>
      <c r="L244" s="13">
        <f t="shared" ca="1" si="72"/>
        <v>557</v>
      </c>
      <c r="M244" s="7">
        <f t="shared" ca="1" si="73"/>
        <v>943</v>
      </c>
      <c r="N244" s="26">
        <f t="shared" ca="1" si="74"/>
        <v>4</v>
      </c>
      <c r="O244" s="44">
        <f t="shared" ca="1" si="75"/>
        <v>2.8886114468927948</v>
      </c>
      <c r="P244" s="44">
        <f t="shared" ca="1" si="76"/>
        <v>28.886114468927953</v>
      </c>
      <c r="Q244" s="44">
        <f t="shared" ca="1" si="77"/>
        <v>28.886114468927953</v>
      </c>
      <c r="R244" s="44">
        <f t="shared" ca="1" si="78"/>
        <v>2.8886114468927953</v>
      </c>
      <c r="S244" s="44">
        <f t="shared" ca="1" si="79"/>
        <v>2.8886114468927948</v>
      </c>
      <c r="T244" s="4">
        <f t="shared" ca="1" si="80"/>
        <v>0</v>
      </c>
      <c r="U244" s="120">
        <f t="shared" ca="1" si="81"/>
        <v>2045.7564194948757</v>
      </c>
      <c r="V244" s="4">
        <f t="shared" ca="1" si="82"/>
        <v>0</v>
      </c>
      <c r="W244" s="13">
        <f t="shared" ca="1" si="83"/>
        <v>43137.891000000003</v>
      </c>
      <c r="X244" s="4">
        <f t="shared" ca="1" si="84"/>
        <v>0</v>
      </c>
      <c r="Y244" s="4">
        <f t="shared" si="85"/>
        <v>0</v>
      </c>
      <c r="Z244" s="13">
        <f t="shared" ca="1" si="86"/>
        <v>43137.891000000003</v>
      </c>
      <c r="AA244" s="4">
        <f t="shared" ca="1" si="87"/>
        <v>0</v>
      </c>
      <c r="AE244" s="4"/>
    </row>
    <row r="245" spans="1:31">
      <c r="A245">
        <v>1</v>
      </c>
      <c r="B245">
        <v>3</v>
      </c>
      <c r="C245">
        <f t="shared" ca="1" si="66"/>
        <v>5</v>
      </c>
      <c r="D245">
        <f t="shared" ca="1" si="67"/>
        <v>4</v>
      </c>
      <c r="E245">
        <f t="shared" ca="1" si="68"/>
        <v>1</v>
      </c>
      <c r="F245" s="110">
        <f t="shared" ca="1" si="69"/>
        <v>0</v>
      </c>
      <c r="G245">
        <v>1</v>
      </c>
      <c r="H245">
        <v>1</v>
      </c>
      <c r="I245">
        <v>4</v>
      </c>
      <c r="J245" s="1">
        <f t="shared" ca="1" si="70"/>
        <v>0</v>
      </c>
      <c r="K245" s="1">
        <f t="shared" ca="1" si="71"/>
        <v>0</v>
      </c>
      <c r="L245" s="13">
        <f t="shared" ca="1" si="72"/>
        <v>538</v>
      </c>
      <c r="M245" s="7">
        <f t="shared" ca="1" si="73"/>
        <v>962</v>
      </c>
      <c r="N245" s="26">
        <f t="shared" ca="1" si="74"/>
        <v>4</v>
      </c>
      <c r="O245" s="44">
        <f t="shared" ca="1" si="75"/>
        <v>2.8886114468927948</v>
      </c>
      <c r="P245" s="44">
        <f t="shared" ca="1" si="76"/>
        <v>28.886114468927953</v>
      </c>
      <c r="Q245" s="44">
        <f t="shared" ca="1" si="77"/>
        <v>28.886114468927953</v>
      </c>
      <c r="R245" s="44">
        <f t="shared" ca="1" si="78"/>
        <v>2.8886114468927953</v>
      </c>
      <c r="S245" s="44">
        <f t="shared" ca="1" si="79"/>
        <v>2.8886114468927948</v>
      </c>
      <c r="T245" s="4">
        <f t="shared" ca="1" si="80"/>
        <v>0</v>
      </c>
      <c r="U245" s="120">
        <f t="shared" ca="1" si="81"/>
        <v>2026.7564194948757</v>
      </c>
      <c r="V245" s="4">
        <f t="shared" ca="1" si="82"/>
        <v>0</v>
      </c>
      <c r="W245" s="13">
        <f t="shared" ca="1" si="83"/>
        <v>40709.016000000003</v>
      </c>
      <c r="X245" s="4">
        <f t="shared" ca="1" si="84"/>
        <v>0</v>
      </c>
      <c r="Y245" s="4">
        <f t="shared" si="85"/>
        <v>0</v>
      </c>
      <c r="Z245" s="13">
        <f t="shared" ca="1" si="86"/>
        <v>40709.016000000003</v>
      </c>
      <c r="AA245" s="4">
        <f t="shared" ca="1" si="87"/>
        <v>0</v>
      </c>
      <c r="AE245" s="4"/>
    </row>
    <row r="246" spans="1:31">
      <c r="A246">
        <v>1</v>
      </c>
      <c r="B246">
        <v>3</v>
      </c>
      <c r="C246">
        <f t="shared" ca="1" si="66"/>
        <v>5</v>
      </c>
      <c r="D246">
        <f t="shared" ca="1" si="67"/>
        <v>4</v>
      </c>
      <c r="E246">
        <f t="shared" ca="1" si="68"/>
        <v>1</v>
      </c>
      <c r="F246" s="110">
        <f t="shared" ca="1" si="69"/>
        <v>0</v>
      </c>
      <c r="G246">
        <v>1</v>
      </c>
      <c r="H246">
        <v>1</v>
      </c>
      <c r="I246">
        <v>3</v>
      </c>
      <c r="J246" s="1">
        <f t="shared" ca="1" si="70"/>
        <v>0</v>
      </c>
      <c r="K246" s="1">
        <f t="shared" ca="1" si="71"/>
        <v>0</v>
      </c>
      <c r="L246" s="13">
        <f t="shared" ca="1" si="72"/>
        <v>519</v>
      </c>
      <c r="M246" s="7">
        <f t="shared" ca="1" si="73"/>
        <v>981</v>
      </c>
      <c r="N246" s="26">
        <f t="shared" ca="1" si="74"/>
        <v>4</v>
      </c>
      <c r="O246" s="44">
        <f t="shared" ca="1" si="75"/>
        <v>2.8886114468927948</v>
      </c>
      <c r="P246" s="44">
        <f t="shared" ca="1" si="76"/>
        <v>28.886114468927953</v>
      </c>
      <c r="Q246" s="44">
        <f t="shared" ca="1" si="77"/>
        <v>28.886114468927953</v>
      </c>
      <c r="R246" s="44">
        <f t="shared" ca="1" si="78"/>
        <v>2.8886114468927953</v>
      </c>
      <c r="S246" s="44">
        <f t="shared" ca="1" si="79"/>
        <v>2.8886114468927948</v>
      </c>
      <c r="T246" s="4">
        <f t="shared" ca="1" si="80"/>
        <v>0</v>
      </c>
      <c r="U246" s="120">
        <f t="shared" ca="1" si="81"/>
        <v>2007.7564194948757</v>
      </c>
      <c r="V246" s="4">
        <f t="shared" ca="1" si="82"/>
        <v>0</v>
      </c>
      <c r="W246" s="13">
        <f t="shared" ca="1" si="83"/>
        <v>38280.141000000003</v>
      </c>
      <c r="X246" s="4">
        <f t="shared" ca="1" si="84"/>
        <v>0</v>
      </c>
      <c r="Y246" s="4">
        <f t="shared" si="85"/>
        <v>0</v>
      </c>
      <c r="Z246" s="13">
        <f t="shared" ca="1" si="86"/>
        <v>38280.141000000003</v>
      </c>
      <c r="AA246" s="4">
        <f t="shared" ca="1" si="87"/>
        <v>0</v>
      </c>
      <c r="AE246" s="4"/>
    </row>
    <row r="247" spans="1:31">
      <c r="A247">
        <v>1</v>
      </c>
      <c r="B247">
        <v>3</v>
      </c>
      <c r="C247">
        <f t="shared" ca="1" si="66"/>
        <v>5</v>
      </c>
      <c r="D247">
        <f t="shared" ca="1" si="67"/>
        <v>4</v>
      </c>
      <c r="E247">
        <f t="shared" ca="1" si="68"/>
        <v>1</v>
      </c>
      <c r="F247" s="110">
        <f t="shared" ca="1" si="69"/>
        <v>0</v>
      </c>
      <c r="G247">
        <v>1</v>
      </c>
      <c r="H247">
        <v>1</v>
      </c>
      <c r="I247">
        <v>2</v>
      </c>
      <c r="J247" s="1">
        <f t="shared" ca="1" si="70"/>
        <v>0</v>
      </c>
      <c r="K247" s="1">
        <f t="shared" ca="1" si="71"/>
        <v>0</v>
      </c>
      <c r="L247" s="13">
        <f t="shared" ca="1" si="72"/>
        <v>500</v>
      </c>
      <c r="M247" s="7">
        <f t="shared" ca="1" si="73"/>
        <v>1000</v>
      </c>
      <c r="N247" s="26">
        <f t="shared" ca="1" si="74"/>
        <v>4</v>
      </c>
      <c r="O247" s="44">
        <f t="shared" ca="1" si="75"/>
        <v>2.8886114468927948</v>
      </c>
      <c r="P247" s="44">
        <f t="shared" ca="1" si="76"/>
        <v>28.886114468927953</v>
      </c>
      <c r="Q247" s="44">
        <f t="shared" ca="1" si="77"/>
        <v>28.886114468927953</v>
      </c>
      <c r="R247" s="44">
        <f t="shared" ca="1" si="78"/>
        <v>2.8886114468927953</v>
      </c>
      <c r="S247" s="44">
        <f t="shared" ca="1" si="79"/>
        <v>2.8886114468927948</v>
      </c>
      <c r="T247" s="4">
        <f t="shared" ca="1" si="80"/>
        <v>0</v>
      </c>
      <c r="U247" s="120">
        <f t="shared" ca="1" si="81"/>
        <v>1988.7564194948757</v>
      </c>
      <c r="V247" s="4">
        <f t="shared" ca="1" si="82"/>
        <v>0</v>
      </c>
      <c r="W247" s="13">
        <f t="shared" ca="1" si="83"/>
        <v>35851.266000000003</v>
      </c>
      <c r="X247" s="4">
        <f t="shared" ca="1" si="84"/>
        <v>0</v>
      </c>
      <c r="Y247" s="4">
        <f t="shared" si="85"/>
        <v>0</v>
      </c>
      <c r="Z247" s="13">
        <f t="shared" ca="1" si="86"/>
        <v>35851.266000000003</v>
      </c>
      <c r="AA247" s="4">
        <f t="shared" ca="1" si="87"/>
        <v>0</v>
      </c>
      <c r="AE247" s="4"/>
    </row>
    <row r="248" spans="1:31">
      <c r="A248">
        <v>1</v>
      </c>
      <c r="B248">
        <v>3</v>
      </c>
      <c r="C248">
        <f t="shared" ca="1" si="66"/>
        <v>5</v>
      </c>
      <c r="D248">
        <f t="shared" ca="1" si="67"/>
        <v>4</v>
      </c>
      <c r="E248">
        <f t="shared" ca="1" si="68"/>
        <v>1</v>
      </c>
      <c r="F248" s="110">
        <f t="shared" ca="1" si="69"/>
        <v>0</v>
      </c>
      <c r="G248">
        <v>1</v>
      </c>
      <c r="H248">
        <v>1</v>
      </c>
      <c r="I248">
        <v>1</v>
      </c>
      <c r="J248" s="1">
        <f t="shared" ca="1" si="70"/>
        <v>0</v>
      </c>
      <c r="K248" s="1">
        <f t="shared" ca="1" si="71"/>
        <v>0</v>
      </c>
      <c r="L248" s="13">
        <f t="shared" ca="1" si="72"/>
        <v>481</v>
      </c>
      <c r="M248" s="7">
        <f t="shared" ca="1" si="73"/>
        <v>1019</v>
      </c>
      <c r="N248" s="26">
        <f t="shared" ca="1" si="74"/>
        <v>4</v>
      </c>
      <c r="O248" s="44">
        <f t="shared" ca="1" si="75"/>
        <v>2.8886114468927948</v>
      </c>
      <c r="P248" s="44">
        <f t="shared" ca="1" si="76"/>
        <v>28.886114468927953</v>
      </c>
      <c r="Q248" s="44">
        <f t="shared" ca="1" si="77"/>
        <v>28.886114468927953</v>
      </c>
      <c r="R248" s="44">
        <f t="shared" ca="1" si="78"/>
        <v>2.8886114468927953</v>
      </c>
      <c r="S248" s="44">
        <f t="shared" ca="1" si="79"/>
        <v>2.8886114468927948</v>
      </c>
      <c r="T248" s="4">
        <f t="shared" ca="1" si="80"/>
        <v>0</v>
      </c>
      <c r="U248" s="120">
        <f t="shared" ca="1" si="81"/>
        <v>1969.7564194948757</v>
      </c>
      <c r="V248" s="4">
        <f t="shared" ca="1" si="82"/>
        <v>0</v>
      </c>
      <c r="W248" s="13">
        <f t="shared" ca="1" si="83"/>
        <v>33422.391000000003</v>
      </c>
      <c r="X248" s="4">
        <f t="shared" ca="1" si="84"/>
        <v>0</v>
      </c>
      <c r="Y248" s="4">
        <f t="shared" si="85"/>
        <v>0</v>
      </c>
      <c r="Z248" s="13">
        <f t="shared" ca="1" si="86"/>
        <v>33422.391000000003</v>
      </c>
      <c r="AA248" s="4">
        <f t="shared" ca="1" si="87"/>
        <v>0</v>
      </c>
      <c r="AE248" s="4"/>
    </row>
    <row r="249" spans="1:31">
      <c r="A249">
        <v>1</v>
      </c>
      <c r="B249">
        <v>3</v>
      </c>
      <c r="C249">
        <f t="shared" ca="1" si="66"/>
        <v>5</v>
      </c>
      <c r="D249">
        <f t="shared" ca="1" si="67"/>
        <v>4</v>
      </c>
      <c r="E249">
        <f t="shared" ca="1" si="68"/>
        <v>1</v>
      </c>
      <c r="F249" s="110">
        <f t="shared" ca="1" si="69"/>
        <v>0</v>
      </c>
      <c r="G249">
        <v>1</v>
      </c>
      <c r="H249">
        <v>1</v>
      </c>
      <c r="I249">
        <v>0</v>
      </c>
      <c r="J249" s="1">
        <f t="shared" ca="1" si="70"/>
        <v>0</v>
      </c>
      <c r="K249" s="1">
        <f t="shared" ca="1" si="71"/>
        <v>0</v>
      </c>
      <c r="L249" s="13">
        <f t="shared" ca="1" si="72"/>
        <v>462</v>
      </c>
      <c r="M249" s="7">
        <f t="shared" ca="1" si="73"/>
        <v>1038</v>
      </c>
      <c r="N249" s="26">
        <f t="shared" ca="1" si="74"/>
        <v>4</v>
      </c>
      <c r="O249" s="44">
        <f t="shared" ca="1" si="75"/>
        <v>2.8886114468927948</v>
      </c>
      <c r="P249" s="44">
        <f t="shared" ca="1" si="76"/>
        <v>28.886114468927953</v>
      </c>
      <c r="Q249" s="44">
        <f t="shared" ca="1" si="77"/>
        <v>28.886114468927953</v>
      </c>
      <c r="R249" s="44">
        <f t="shared" ca="1" si="78"/>
        <v>2.8886114468927953</v>
      </c>
      <c r="S249" s="44">
        <f t="shared" ca="1" si="79"/>
        <v>2.8886114468927948</v>
      </c>
      <c r="T249" s="4">
        <f t="shared" ca="1" si="80"/>
        <v>0</v>
      </c>
      <c r="U249" s="120">
        <f t="shared" ca="1" si="81"/>
        <v>1950.7564194948757</v>
      </c>
      <c r="V249" s="4">
        <f t="shared" ca="1" si="82"/>
        <v>0</v>
      </c>
      <c r="W249" s="13">
        <f t="shared" ca="1" si="83"/>
        <v>30993.516000000003</v>
      </c>
      <c r="X249" s="4">
        <f t="shared" ca="1" si="84"/>
        <v>0</v>
      </c>
      <c r="Y249" s="4">
        <f t="shared" si="85"/>
        <v>0</v>
      </c>
      <c r="Z249" s="13">
        <f t="shared" ca="1" si="86"/>
        <v>30993.516000000003</v>
      </c>
      <c r="AA249" s="4">
        <f t="shared" ca="1" si="87"/>
        <v>0</v>
      </c>
      <c r="AE249" s="4"/>
    </row>
    <row r="250" spans="1:31">
      <c r="A250">
        <v>1</v>
      </c>
      <c r="B250">
        <v>3</v>
      </c>
      <c r="C250">
        <f t="shared" ca="1" si="66"/>
        <v>5</v>
      </c>
      <c r="D250">
        <f t="shared" ca="1" si="67"/>
        <v>4</v>
      </c>
      <c r="E250">
        <f t="shared" ca="1" si="68"/>
        <v>1</v>
      </c>
      <c r="F250" s="110">
        <f t="shared" ca="1" si="69"/>
        <v>0</v>
      </c>
      <c r="G250">
        <v>1</v>
      </c>
      <c r="H250">
        <v>0</v>
      </c>
      <c r="I250">
        <v>7</v>
      </c>
      <c r="J250" s="1">
        <f t="shared" ca="1" si="70"/>
        <v>0</v>
      </c>
      <c r="K250" s="1">
        <f t="shared" ca="1" si="71"/>
        <v>0</v>
      </c>
      <c r="L250" s="13">
        <f t="shared" ca="1" si="72"/>
        <v>364</v>
      </c>
      <c r="M250" s="7">
        <f t="shared" ca="1" si="73"/>
        <v>1136</v>
      </c>
      <c r="N250" s="26">
        <f t="shared" ca="1" si="74"/>
        <v>5</v>
      </c>
      <c r="O250" s="44">
        <f t="shared" ca="1" si="75"/>
        <v>3.5346387789404914</v>
      </c>
      <c r="P250" s="44">
        <f t="shared" ca="1" si="76"/>
        <v>35.346387789404908</v>
      </c>
      <c r="Q250" s="44">
        <f t="shared" ca="1" si="77"/>
        <v>34.700360457357213</v>
      </c>
      <c r="R250" s="44">
        <f t="shared" ca="1" si="78"/>
        <v>3.5023374123381061</v>
      </c>
      <c r="S250" s="44">
        <f t="shared" ca="1" si="79"/>
        <v>3.532377683278324</v>
      </c>
      <c r="T250" s="4">
        <f t="shared" ca="1" si="80"/>
        <v>0</v>
      </c>
      <c r="U250" s="120">
        <f t="shared" ca="1" si="81"/>
        <v>2135.4497774977995</v>
      </c>
      <c r="V250" s="4">
        <f t="shared" ca="1" si="82"/>
        <v>0</v>
      </c>
      <c r="W250" s="13">
        <f t="shared" ca="1" si="83"/>
        <v>47995.641000000003</v>
      </c>
      <c r="X250" s="4">
        <f t="shared" ca="1" si="84"/>
        <v>0</v>
      </c>
      <c r="Y250" s="4">
        <f t="shared" si="85"/>
        <v>0</v>
      </c>
      <c r="Z250" s="13">
        <f t="shared" ca="1" si="86"/>
        <v>47995.641000000003</v>
      </c>
      <c r="AA250" s="4">
        <f t="shared" ca="1" si="87"/>
        <v>0</v>
      </c>
      <c r="AE250" s="4"/>
    </row>
    <row r="251" spans="1:31">
      <c r="A251">
        <v>1</v>
      </c>
      <c r="B251">
        <v>3</v>
      </c>
      <c r="C251">
        <f t="shared" ca="1" si="66"/>
        <v>5</v>
      </c>
      <c r="D251">
        <f t="shared" ca="1" si="67"/>
        <v>4</v>
      </c>
      <c r="E251">
        <f t="shared" ca="1" si="68"/>
        <v>1</v>
      </c>
      <c r="F251" s="110">
        <f t="shared" ca="1" si="69"/>
        <v>0</v>
      </c>
      <c r="G251">
        <v>1</v>
      </c>
      <c r="H251">
        <v>0</v>
      </c>
      <c r="I251">
        <v>6</v>
      </c>
      <c r="J251" s="1">
        <f t="shared" ca="1" si="70"/>
        <v>0</v>
      </c>
      <c r="K251" s="1">
        <f t="shared" ca="1" si="71"/>
        <v>0</v>
      </c>
      <c r="L251" s="13">
        <f t="shared" ca="1" si="72"/>
        <v>345</v>
      </c>
      <c r="M251" s="7">
        <f t="shared" ca="1" si="73"/>
        <v>1155</v>
      </c>
      <c r="N251" s="26">
        <f t="shared" ca="1" si="74"/>
        <v>5</v>
      </c>
      <c r="O251" s="44">
        <f t="shared" ca="1" si="75"/>
        <v>3.5346387789404914</v>
      </c>
      <c r="P251" s="44">
        <f t="shared" ca="1" si="76"/>
        <v>35.346387789404908</v>
      </c>
      <c r="Q251" s="44">
        <f t="shared" ca="1" si="77"/>
        <v>35.346387789404908</v>
      </c>
      <c r="R251" s="44">
        <f t="shared" ca="1" si="78"/>
        <v>3.5346387789404909</v>
      </c>
      <c r="S251" s="44">
        <f t="shared" ca="1" si="79"/>
        <v>3.5346387789404914</v>
      </c>
      <c r="T251" s="4">
        <f t="shared" ca="1" si="80"/>
        <v>0</v>
      </c>
      <c r="U251" s="120">
        <f t="shared" ca="1" si="81"/>
        <v>2117.4426794074939</v>
      </c>
      <c r="V251" s="4">
        <f t="shared" ca="1" si="82"/>
        <v>0</v>
      </c>
      <c r="W251" s="13">
        <f t="shared" ca="1" si="83"/>
        <v>45566.766000000003</v>
      </c>
      <c r="X251" s="4">
        <f t="shared" ca="1" si="84"/>
        <v>0</v>
      </c>
      <c r="Y251" s="4">
        <f t="shared" si="85"/>
        <v>0</v>
      </c>
      <c r="Z251" s="13">
        <f t="shared" ca="1" si="86"/>
        <v>45566.766000000003</v>
      </c>
      <c r="AA251" s="4">
        <f t="shared" ca="1" si="87"/>
        <v>0</v>
      </c>
      <c r="AE251" s="4"/>
    </row>
    <row r="252" spans="1:31">
      <c r="A252">
        <v>1</v>
      </c>
      <c r="B252">
        <v>3</v>
      </c>
      <c r="C252">
        <f t="shared" ca="1" si="66"/>
        <v>5</v>
      </c>
      <c r="D252">
        <f t="shared" ca="1" si="67"/>
        <v>4</v>
      </c>
      <c r="E252">
        <f t="shared" ca="1" si="68"/>
        <v>1</v>
      </c>
      <c r="F252" s="110">
        <f t="shared" ca="1" si="69"/>
        <v>0</v>
      </c>
      <c r="G252">
        <v>1</v>
      </c>
      <c r="H252">
        <v>0</v>
      </c>
      <c r="I252">
        <v>5</v>
      </c>
      <c r="J252" s="1">
        <f t="shared" ca="1" si="70"/>
        <v>0</v>
      </c>
      <c r="K252" s="1">
        <f t="shared" ca="1" si="71"/>
        <v>0</v>
      </c>
      <c r="L252" s="13">
        <f t="shared" ca="1" si="72"/>
        <v>326</v>
      </c>
      <c r="M252" s="7">
        <f t="shared" ca="1" si="73"/>
        <v>1174</v>
      </c>
      <c r="N252" s="26">
        <f t="shared" ca="1" si="74"/>
        <v>5</v>
      </c>
      <c r="O252" s="44">
        <f t="shared" ca="1" si="75"/>
        <v>3.5346387789404914</v>
      </c>
      <c r="P252" s="44">
        <f t="shared" ca="1" si="76"/>
        <v>35.346387789404908</v>
      </c>
      <c r="Q252" s="44">
        <f t="shared" ca="1" si="77"/>
        <v>35.346387789404908</v>
      </c>
      <c r="R252" s="44">
        <f t="shared" ca="1" si="78"/>
        <v>3.5346387789404909</v>
      </c>
      <c r="S252" s="44">
        <f t="shared" ca="1" si="79"/>
        <v>3.5346387789404914</v>
      </c>
      <c r="T252" s="4">
        <f t="shared" ca="1" si="80"/>
        <v>0</v>
      </c>
      <c r="U252" s="120">
        <f t="shared" ca="1" si="81"/>
        <v>2098.4426794074939</v>
      </c>
      <c r="V252" s="4">
        <f t="shared" ca="1" si="82"/>
        <v>0</v>
      </c>
      <c r="W252" s="13">
        <f t="shared" ca="1" si="83"/>
        <v>43137.891000000003</v>
      </c>
      <c r="X252" s="4">
        <f t="shared" ca="1" si="84"/>
        <v>0</v>
      </c>
      <c r="Y252" s="4">
        <f t="shared" si="85"/>
        <v>0</v>
      </c>
      <c r="Z252" s="13">
        <f t="shared" ca="1" si="86"/>
        <v>43137.891000000003</v>
      </c>
      <c r="AA252" s="4">
        <f t="shared" ca="1" si="87"/>
        <v>0</v>
      </c>
      <c r="AE252" s="4"/>
    </row>
    <row r="253" spans="1:31">
      <c r="A253">
        <v>1</v>
      </c>
      <c r="B253">
        <v>3</v>
      </c>
      <c r="C253">
        <f t="shared" ca="1" si="66"/>
        <v>5</v>
      </c>
      <c r="D253">
        <f t="shared" ca="1" si="67"/>
        <v>4</v>
      </c>
      <c r="E253">
        <f t="shared" ca="1" si="68"/>
        <v>1</v>
      </c>
      <c r="F253" s="110">
        <f t="shared" ca="1" si="69"/>
        <v>0</v>
      </c>
      <c r="G253">
        <v>1</v>
      </c>
      <c r="H253">
        <v>0</v>
      </c>
      <c r="I253">
        <v>4</v>
      </c>
      <c r="J253" s="1">
        <f t="shared" ca="1" si="70"/>
        <v>0.77378093749999999</v>
      </c>
      <c r="K253" s="1">
        <f t="shared" ca="1" si="71"/>
        <v>0</v>
      </c>
      <c r="L253" s="13">
        <f t="shared" ca="1" si="72"/>
        <v>307</v>
      </c>
      <c r="M253" s="7">
        <f t="shared" ca="1" si="73"/>
        <v>1193</v>
      </c>
      <c r="N253" s="26">
        <f t="shared" ca="1" si="74"/>
        <v>5</v>
      </c>
      <c r="O253" s="44">
        <f t="shared" ca="1" si="75"/>
        <v>3.5346387789404914</v>
      </c>
      <c r="P253" s="44">
        <f t="shared" ca="1" si="76"/>
        <v>35.346387789404908</v>
      </c>
      <c r="Q253" s="44">
        <f t="shared" ca="1" si="77"/>
        <v>35.346387789404908</v>
      </c>
      <c r="R253" s="44">
        <f t="shared" ca="1" si="78"/>
        <v>3.5346387789404909</v>
      </c>
      <c r="S253" s="44">
        <f t="shared" ca="1" si="79"/>
        <v>3.5346387789404914</v>
      </c>
      <c r="T253" s="4">
        <f t="shared" ca="1" si="80"/>
        <v>0</v>
      </c>
      <c r="U253" s="120">
        <f t="shared" ca="1" si="81"/>
        <v>2079.4426794074939</v>
      </c>
      <c r="V253" s="4">
        <f t="shared" ca="1" si="82"/>
        <v>0</v>
      </c>
      <c r="W253" s="13">
        <f t="shared" ca="1" si="83"/>
        <v>40709.016000000003</v>
      </c>
      <c r="X253" s="4">
        <f t="shared" ca="1" si="84"/>
        <v>0</v>
      </c>
      <c r="Y253" s="4">
        <f t="shared" si="85"/>
        <v>0</v>
      </c>
      <c r="Z253" s="13">
        <f t="shared" ca="1" si="86"/>
        <v>40709.016000000003</v>
      </c>
      <c r="AA253" s="4">
        <f t="shared" ca="1" si="87"/>
        <v>0</v>
      </c>
      <c r="AE253" s="4"/>
    </row>
    <row r="254" spans="1:31">
      <c r="A254">
        <v>1</v>
      </c>
      <c r="B254">
        <v>3</v>
      </c>
      <c r="C254">
        <f t="shared" ca="1" si="66"/>
        <v>5</v>
      </c>
      <c r="D254">
        <f t="shared" ca="1" si="67"/>
        <v>4</v>
      </c>
      <c r="E254">
        <f t="shared" ca="1" si="68"/>
        <v>1</v>
      </c>
      <c r="F254" s="110">
        <f t="shared" ca="1" si="69"/>
        <v>0</v>
      </c>
      <c r="G254">
        <v>1</v>
      </c>
      <c r="H254">
        <v>0</v>
      </c>
      <c r="I254">
        <v>3</v>
      </c>
      <c r="J254" s="1">
        <f t="shared" ca="1" si="70"/>
        <v>0.16290125000000011</v>
      </c>
      <c r="K254" s="1">
        <f t="shared" ca="1" si="71"/>
        <v>0</v>
      </c>
      <c r="L254" s="13">
        <f t="shared" ca="1" si="72"/>
        <v>288</v>
      </c>
      <c r="M254" s="7">
        <f t="shared" ca="1" si="73"/>
        <v>1212</v>
      </c>
      <c r="N254" s="26">
        <f t="shared" ca="1" si="74"/>
        <v>5</v>
      </c>
      <c r="O254" s="44">
        <f t="shared" ca="1" si="75"/>
        <v>3.5346387789404914</v>
      </c>
      <c r="P254" s="44">
        <f t="shared" ca="1" si="76"/>
        <v>35.346387789404908</v>
      </c>
      <c r="Q254" s="44">
        <f t="shared" ca="1" si="77"/>
        <v>35.346387789404908</v>
      </c>
      <c r="R254" s="44">
        <f t="shared" ca="1" si="78"/>
        <v>3.5346387789404909</v>
      </c>
      <c r="S254" s="44">
        <f t="shared" ca="1" si="79"/>
        <v>3.5346387789404914</v>
      </c>
      <c r="T254" s="4">
        <f t="shared" ca="1" si="80"/>
        <v>0</v>
      </c>
      <c r="U254" s="120">
        <f t="shared" ca="1" si="81"/>
        <v>2060.4426794074939</v>
      </c>
      <c r="V254" s="4">
        <f t="shared" ca="1" si="82"/>
        <v>0</v>
      </c>
      <c r="W254" s="13">
        <f t="shared" ca="1" si="83"/>
        <v>38280.141000000003</v>
      </c>
      <c r="X254" s="4">
        <f t="shared" ca="1" si="84"/>
        <v>0</v>
      </c>
      <c r="Y254" s="4">
        <f t="shared" si="85"/>
        <v>0</v>
      </c>
      <c r="Z254" s="13">
        <f t="shared" ca="1" si="86"/>
        <v>38280.141000000003</v>
      </c>
      <c r="AA254" s="4">
        <f t="shared" ca="1" si="87"/>
        <v>0</v>
      </c>
      <c r="AE254" s="4"/>
    </row>
    <row r="255" spans="1:31">
      <c r="A255">
        <v>1</v>
      </c>
      <c r="B255">
        <v>3</v>
      </c>
      <c r="C255">
        <f t="shared" ca="1" si="66"/>
        <v>5</v>
      </c>
      <c r="D255">
        <f t="shared" ca="1" si="67"/>
        <v>4</v>
      </c>
      <c r="E255">
        <f t="shared" ca="1" si="68"/>
        <v>1</v>
      </c>
      <c r="F255" s="110">
        <f t="shared" ca="1" si="69"/>
        <v>0</v>
      </c>
      <c r="G255">
        <v>1</v>
      </c>
      <c r="H255">
        <v>0</v>
      </c>
      <c r="I255">
        <v>2</v>
      </c>
      <c r="J255" s="1">
        <f t="shared" ca="1" si="70"/>
        <v>1.2860625000000021E-2</v>
      </c>
      <c r="K255" s="1">
        <f t="shared" ca="1" si="71"/>
        <v>0</v>
      </c>
      <c r="L255" s="13">
        <f t="shared" ca="1" si="72"/>
        <v>269</v>
      </c>
      <c r="M255" s="7">
        <f t="shared" ca="1" si="73"/>
        <v>1231</v>
      </c>
      <c r="N255" s="26">
        <f t="shared" ca="1" si="74"/>
        <v>5</v>
      </c>
      <c r="O255" s="44">
        <f t="shared" ca="1" si="75"/>
        <v>3.5346387789404914</v>
      </c>
      <c r="P255" s="44">
        <f t="shared" ca="1" si="76"/>
        <v>35.346387789404908</v>
      </c>
      <c r="Q255" s="44">
        <f t="shared" ca="1" si="77"/>
        <v>35.346387789404908</v>
      </c>
      <c r="R255" s="44">
        <f t="shared" ca="1" si="78"/>
        <v>3.5346387789404909</v>
      </c>
      <c r="S255" s="44">
        <f t="shared" ca="1" si="79"/>
        <v>3.5346387789404914</v>
      </c>
      <c r="T255" s="4">
        <f t="shared" ca="1" si="80"/>
        <v>0</v>
      </c>
      <c r="U255" s="120">
        <f t="shared" ca="1" si="81"/>
        <v>2041.4426794074936</v>
      </c>
      <c r="V255" s="4">
        <f t="shared" ca="1" si="82"/>
        <v>0</v>
      </c>
      <c r="W255" s="13">
        <f t="shared" ca="1" si="83"/>
        <v>35851.266000000003</v>
      </c>
      <c r="X255" s="4">
        <f t="shared" ca="1" si="84"/>
        <v>0</v>
      </c>
      <c r="Y255" s="4">
        <f t="shared" si="85"/>
        <v>0</v>
      </c>
      <c r="Z255" s="13">
        <f t="shared" ca="1" si="86"/>
        <v>35851.266000000003</v>
      </c>
      <c r="AA255" s="4">
        <f t="shared" ca="1" si="87"/>
        <v>0</v>
      </c>
      <c r="AE255" s="4"/>
    </row>
    <row r="256" spans="1:31">
      <c r="A256">
        <v>1</v>
      </c>
      <c r="B256">
        <v>3</v>
      </c>
      <c r="C256">
        <f t="shared" ca="1" si="66"/>
        <v>5</v>
      </c>
      <c r="D256">
        <f t="shared" ca="1" si="67"/>
        <v>4</v>
      </c>
      <c r="E256">
        <f t="shared" ca="1" si="68"/>
        <v>1</v>
      </c>
      <c r="F256" s="110">
        <f t="shared" ca="1" si="69"/>
        <v>0</v>
      </c>
      <c r="G256">
        <v>1</v>
      </c>
      <c r="H256">
        <v>0</v>
      </c>
      <c r="I256">
        <v>1</v>
      </c>
      <c r="J256" s="1">
        <f t="shared" ca="1" si="70"/>
        <v>4.5125000000000118E-4</v>
      </c>
      <c r="K256" s="1">
        <f t="shared" ca="1" si="71"/>
        <v>0</v>
      </c>
      <c r="L256" s="13">
        <f t="shared" ca="1" si="72"/>
        <v>250</v>
      </c>
      <c r="M256" s="7">
        <f t="shared" ca="1" si="73"/>
        <v>1250</v>
      </c>
      <c r="N256" s="26">
        <f t="shared" ca="1" si="74"/>
        <v>5</v>
      </c>
      <c r="O256" s="44">
        <f t="shared" ca="1" si="75"/>
        <v>3.5346387789404914</v>
      </c>
      <c r="P256" s="44">
        <f t="shared" ca="1" si="76"/>
        <v>35.346387789404908</v>
      </c>
      <c r="Q256" s="44">
        <f t="shared" ca="1" si="77"/>
        <v>35.346387789404908</v>
      </c>
      <c r="R256" s="44">
        <f t="shared" ca="1" si="78"/>
        <v>3.5346387789404909</v>
      </c>
      <c r="S256" s="44">
        <f t="shared" ca="1" si="79"/>
        <v>3.5346387789404914</v>
      </c>
      <c r="T256" s="4">
        <f t="shared" ca="1" si="80"/>
        <v>0</v>
      </c>
      <c r="U256" s="120">
        <f t="shared" ca="1" si="81"/>
        <v>2022.4426794074936</v>
      </c>
      <c r="V256" s="4">
        <f t="shared" ca="1" si="82"/>
        <v>0</v>
      </c>
      <c r="W256" s="13">
        <f t="shared" ca="1" si="83"/>
        <v>33422.391000000003</v>
      </c>
      <c r="X256" s="4">
        <f t="shared" ca="1" si="84"/>
        <v>0</v>
      </c>
      <c r="Y256" s="4">
        <f t="shared" si="85"/>
        <v>0</v>
      </c>
      <c r="Z256" s="13">
        <f t="shared" ca="1" si="86"/>
        <v>33422.391000000003</v>
      </c>
      <c r="AA256" s="4">
        <f t="shared" ca="1" si="87"/>
        <v>0</v>
      </c>
      <c r="AE256" s="4"/>
    </row>
    <row r="257" spans="1:31">
      <c r="A257">
        <v>1</v>
      </c>
      <c r="B257">
        <v>3</v>
      </c>
      <c r="C257">
        <f t="shared" ca="1" si="66"/>
        <v>5</v>
      </c>
      <c r="D257">
        <f t="shared" ca="1" si="67"/>
        <v>4</v>
      </c>
      <c r="E257">
        <f t="shared" ca="1" si="68"/>
        <v>1</v>
      </c>
      <c r="F257" s="110">
        <f t="shared" ca="1" si="69"/>
        <v>0</v>
      </c>
      <c r="G257">
        <v>1</v>
      </c>
      <c r="H257">
        <v>0</v>
      </c>
      <c r="I257">
        <v>0</v>
      </c>
      <c r="J257" s="1">
        <f t="shared" ca="1" si="70"/>
        <v>5.9375000000000207E-6</v>
      </c>
      <c r="K257" s="1">
        <f t="shared" ca="1" si="71"/>
        <v>0</v>
      </c>
      <c r="L257" s="13">
        <f t="shared" ca="1" si="72"/>
        <v>231</v>
      </c>
      <c r="M257" s="7">
        <f t="shared" ca="1" si="73"/>
        <v>1269</v>
      </c>
      <c r="N257" s="26">
        <f t="shared" ca="1" si="74"/>
        <v>5</v>
      </c>
      <c r="O257" s="44">
        <f t="shared" ca="1" si="75"/>
        <v>3.5346387789404914</v>
      </c>
      <c r="P257" s="44">
        <f t="shared" ca="1" si="76"/>
        <v>35.346387789404908</v>
      </c>
      <c r="Q257" s="44">
        <f t="shared" ca="1" si="77"/>
        <v>35.346387789404908</v>
      </c>
      <c r="R257" s="44">
        <f t="shared" ca="1" si="78"/>
        <v>3.5346387789404909</v>
      </c>
      <c r="S257" s="44">
        <f t="shared" ca="1" si="79"/>
        <v>3.5346387789404914</v>
      </c>
      <c r="T257" s="4">
        <f t="shared" ca="1" si="80"/>
        <v>0</v>
      </c>
      <c r="U257" s="120">
        <f t="shared" ca="1" si="81"/>
        <v>2003.4426794074936</v>
      </c>
      <c r="V257" s="4">
        <f t="shared" ca="1" si="82"/>
        <v>0</v>
      </c>
      <c r="W257" s="13">
        <f t="shared" ca="1" si="83"/>
        <v>30993.516000000003</v>
      </c>
      <c r="X257" s="4">
        <f t="shared" ca="1" si="84"/>
        <v>0</v>
      </c>
      <c r="Y257" s="4">
        <f t="shared" si="85"/>
        <v>0</v>
      </c>
      <c r="Z257" s="13">
        <f t="shared" ca="1" si="86"/>
        <v>30993.516000000003</v>
      </c>
      <c r="AA257" s="4">
        <f t="shared" ca="1" si="87"/>
        <v>0</v>
      </c>
      <c r="AE257" s="4"/>
    </row>
    <row r="258" spans="1:31">
      <c r="A258">
        <v>1</v>
      </c>
      <c r="B258">
        <v>3</v>
      </c>
      <c r="C258">
        <f t="shared" ca="1" si="66"/>
        <v>5</v>
      </c>
      <c r="D258">
        <f t="shared" ca="1" si="67"/>
        <v>4</v>
      </c>
      <c r="E258">
        <f t="shared" ca="1" si="68"/>
        <v>1</v>
      </c>
      <c r="F258" s="110">
        <f t="shared" ca="1" si="69"/>
        <v>0</v>
      </c>
      <c r="G258">
        <v>0</v>
      </c>
      <c r="H258">
        <v>1</v>
      </c>
      <c r="I258">
        <v>7</v>
      </c>
      <c r="J258" s="1">
        <f t="shared" ca="1" si="70"/>
        <v>0</v>
      </c>
      <c r="K258" s="1">
        <f t="shared" ca="1" si="71"/>
        <v>0</v>
      </c>
      <c r="L258" s="13">
        <f t="shared" ca="1" si="72"/>
        <v>364</v>
      </c>
      <c r="M258" s="7">
        <f t="shared" ca="1" si="73"/>
        <v>1136</v>
      </c>
      <c r="N258" s="26">
        <f t="shared" ca="1" si="74"/>
        <v>5</v>
      </c>
      <c r="O258" s="44">
        <f t="shared" ca="1" si="75"/>
        <v>3.5346387789404914</v>
      </c>
      <c r="P258" s="44">
        <f t="shared" ca="1" si="76"/>
        <v>35.346387789404908</v>
      </c>
      <c r="Q258" s="44">
        <f t="shared" ca="1" si="77"/>
        <v>34.700360457357213</v>
      </c>
      <c r="R258" s="44">
        <f t="shared" ca="1" si="78"/>
        <v>3.5023374123381061</v>
      </c>
      <c r="S258" s="44">
        <f t="shared" ca="1" si="79"/>
        <v>3.532377683278324</v>
      </c>
      <c r="T258" s="4">
        <f t="shared" ca="1" si="80"/>
        <v>0</v>
      </c>
      <c r="U258" s="120">
        <f t="shared" ca="1" si="81"/>
        <v>2135.4497774977995</v>
      </c>
      <c r="V258" s="4">
        <f t="shared" ca="1" si="82"/>
        <v>0</v>
      </c>
      <c r="W258" s="13">
        <f t="shared" ca="1" si="83"/>
        <v>17002.125</v>
      </c>
      <c r="X258" s="4">
        <f t="shared" ca="1" si="84"/>
        <v>0</v>
      </c>
      <c r="Y258" s="4">
        <f t="shared" si="85"/>
        <v>0</v>
      </c>
      <c r="Z258" s="13">
        <f t="shared" ca="1" si="86"/>
        <v>17002.125</v>
      </c>
      <c r="AA258" s="4">
        <f t="shared" ca="1" si="87"/>
        <v>0</v>
      </c>
      <c r="AE258" s="4"/>
    </row>
    <row r="259" spans="1:31">
      <c r="A259">
        <v>1</v>
      </c>
      <c r="B259">
        <v>3</v>
      </c>
      <c r="C259">
        <f t="shared" ca="1" si="66"/>
        <v>5</v>
      </c>
      <c r="D259">
        <f t="shared" ca="1" si="67"/>
        <v>4</v>
      </c>
      <c r="E259">
        <f t="shared" ca="1" si="68"/>
        <v>1</v>
      </c>
      <c r="F259" s="110">
        <f t="shared" ca="1" si="69"/>
        <v>0</v>
      </c>
      <c r="G259">
        <v>0</v>
      </c>
      <c r="H259">
        <v>1</v>
      </c>
      <c r="I259">
        <v>6</v>
      </c>
      <c r="J259" s="1">
        <f t="shared" ca="1" si="70"/>
        <v>0</v>
      </c>
      <c r="K259" s="1">
        <f t="shared" ca="1" si="71"/>
        <v>0</v>
      </c>
      <c r="L259" s="13">
        <f t="shared" ca="1" si="72"/>
        <v>345</v>
      </c>
      <c r="M259" s="7">
        <f t="shared" ca="1" si="73"/>
        <v>1155</v>
      </c>
      <c r="N259" s="26">
        <f t="shared" ca="1" si="74"/>
        <v>5</v>
      </c>
      <c r="O259" s="44">
        <f t="shared" ca="1" si="75"/>
        <v>3.5346387789404914</v>
      </c>
      <c r="P259" s="44">
        <f t="shared" ca="1" si="76"/>
        <v>35.346387789404908</v>
      </c>
      <c r="Q259" s="44">
        <f t="shared" ca="1" si="77"/>
        <v>35.346387789404908</v>
      </c>
      <c r="R259" s="44">
        <f t="shared" ca="1" si="78"/>
        <v>3.5346387789404909</v>
      </c>
      <c r="S259" s="44">
        <f t="shared" ca="1" si="79"/>
        <v>3.5346387789404914</v>
      </c>
      <c r="T259" s="4">
        <f t="shared" ca="1" si="80"/>
        <v>0</v>
      </c>
      <c r="U259" s="120">
        <f t="shared" ca="1" si="81"/>
        <v>2117.4426794074939</v>
      </c>
      <c r="V259" s="4">
        <f t="shared" ca="1" si="82"/>
        <v>0</v>
      </c>
      <c r="W259" s="13">
        <f t="shared" ca="1" si="83"/>
        <v>14573.25</v>
      </c>
      <c r="X259" s="4">
        <f t="shared" ca="1" si="84"/>
        <v>0</v>
      </c>
      <c r="Y259" s="4">
        <f t="shared" si="85"/>
        <v>0</v>
      </c>
      <c r="Z259" s="13">
        <f t="shared" ca="1" si="86"/>
        <v>14573.25</v>
      </c>
      <c r="AA259" s="4">
        <f t="shared" ca="1" si="87"/>
        <v>0</v>
      </c>
      <c r="AE259" s="4"/>
    </row>
    <row r="260" spans="1:31">
      <c r="A260">
        <v>1</v>
      </c>
      <c r="B260">
        <v>3</v>
      </c>
      <c r="C260">
        <f t="shared" ca="1" si="66"/>
        <v>5</v>
      </c>
      <c r="D260">
        <f t="shared" ca="1" si="67"/>
        <v>4</v>
      </c>
      <c r="E260">
        <f t="shared" ca="1" si="68"/>
        <v>1</v>
      </c>
      <c r="F260" s="110">
        <f t="shared" ca="1" si="69"/>
        <v>0</v>
      </c>
      <c r="G260">
        <v>0</v>
      </c>
      <c r="H260">
        <v>1</v>
      </c>
      <c r="I260">
        <v>5</v>
      </c>
      <c r="J260" s="1">
        <f t="shared" ca="1" si="70"/>
        <v>0</v>
      </c>
      <c r="K260" s="1">
        <f t="shared" ca="1" si="71"/>
        <v>0</v>
      </c>
      <c r="L260" s="13">
        <f t="shared" ca="1" si="72"/>
        <v>326</v>
      </c>
      <c r="M260" s="7">
        <f t="shared" ca="1" si="73"/>
        <v>1174</v>
      </c>
      <c r="N260" s="26">
        <f t="shared" ca="1" si="74"/>
        <v>5</v>
      </c>
      <c r="O260" s="44">
        <f t="shared" ca="1" si="75"/>
        <v>3.5346387789404914</v>
      </c>
      <c r="P260" s="44">
        <f t="shared" ca="1" si="76"/>
        <v>35.346387789404908</v>
      </c>
      <c r="Q260" s="44">
        <f t="shared" ca="1" si="77"/>
        <v>35.346387789404908</v>
      </c>
      <c r="R260" s="44">
        <f t="shared" ca="1" si="78"/>
        <v>3.5346387789404909</v>
      </c>
      <c r="S260" s="44">
        <f t="shared" ca="1" si="79"/>
        <v>3.5346387789404914</v>
      </c>
      <c r="T260" s="4">
        <f t="shared" ca="1" si="80"/>
        <v>0</v>
      </c>
      <c r="U260" s="120">
        <f t="shared" ca="1" si="81"/>
        <v>2098.4426794074939</v>
      </c>
      <c r="V260" s="4">
        <f t="shared" ca="1" si="82"/>
        <v>0</v>
      </c>
      <c r="W260" s="13">
        <f t="shared" ca="1" si="83"/>
        <v>12144.375</v>
      </c>
      <c r="X260" s="4">
        <f t="shared" ca="1" si="84"/>
        <v>0</v>
      </c>
      <c r="Y260" s="4">
        <f t="shared" si="85"/>
        <v>0</v>
      </c>
      <c r="Z260" s="13">
        <f t="shared" ca="1" si="86"/>
        <v>12144.375</v>
      </c>
      <c r="AA260" s="4">
        <f t="shared" ca="1" si="87"/>
        <v>0</v>
      </c>
      <c r="AE260" s="4"/>
    </row>
    <row r="261" spans="1:31">
      <c r="A261">
        <v>1</v>
      </c>
      <c r="B261">
        <v>3</v>
      </c>
      <c r="C261">
        <f t="shared" ca="1" si="66"/>
        <v>5</v>
      </c>
      <c r="D261">
        <f t="shared" ca="1" si="67"/>
        <v>4</v>
      </c>
      <c r="E261">
        <f t="shared" ca="1" si="68"/>
        <v>1</v>
      </c>
      <c r="F261" s="110">
        <f t="shared" ca="1" si="69"/>
        <v>0</v>
      </c>
      <c r="G261">
        <v>0</v>
      </c>
      <c r="H261">
        <v>1</v>
      </c>
      <c r="I261">
        <v>4</v>
      </c>
      <c r="J261" s="1">
        <f t="shared" ca="1" si="70"/>
        <v>0</v>
      </c>
      <c r="K261" s="1">
        <f t="shared" ca="1" si="71"/>
        <v>0</v>
      </c>
      <c r="L261" s="13">
        <f t="shared" ca="1" si="72"/>
        <v>307</v>
      </c>
      <c r="M261" s="7">
        <f t="shared" ca="1" si="73"/>
        <v>1193</v>
      </c>
      <c r="N261" s="26">
        <f t="shared" ca="1" si="74"/>
        <v>5</v>
      </c>
      <c r="O261" s="44">
        <f t="shared" ca="1" si="75"/>
        <v>3.5346387789404914</v>
      </c>
      <c r="P261" s="44">
        <f t="shared" ca="1" si="76"/>
        <v>35.346387789404908</v>
      </c>
      <c r="Q261" s="44">
        <f t="shared" ca="1" si="77"/>
        <v>35.346387789404908</v>
      </c>
      <c r="R261" s="44">
        <f t="shared" ca="1" si="78"/>
        <v>3.5346387789404909</v>
      </c>
      <c r="S261" s="44">
        <f t="shared" ca="1" si="79"/>
        <v>3.5346387789404914</v>
      </c>
      <c r="T261" s="4">
        <f t="shared" ca="1" si="80"/>
        <v>0</v>
      </c>
      <c r="U261" s="120">
        <f t="shared" ca="1" si="81"/>
        <v>2079.4426794074939</v>
      </c>
      <c r="V261" s="4">
        <f t="shared" ca="1" si="82"/>
        <v>0</v>
      </c>
      <c r="W261" s="13">
        <f t="shared" ca="1" si="83"/>
        <v>9715.5</v>
      </c>
      <c r="X261" s="4">
        <f t="shared" ca="1" si="84"/>
        <v>0</v>
      </c>
      <c r="Y261" s="4">
        <f t="shared" si="85"/>
        <v>0</v>
      </c>
      <c r="Z261" s="13">
        <f t="shared" ca="1" si="86"/>
        <v>9715.5</v>
      </c>
      <c r="AA261" s="4">
        <f t="shared" ca="1" si="87"/>
        <v>0</v>
      </c>
      <c r="AE261" s="4"/>
    </row>
    <row r="262" spans="1:31">
      <c r="A262">
        <v>1</v>
      </c>
      <c r="B262">
        <v>3</v>
      </c>
      <c r="C262">
        <f t="shared" ca="1" si="66"/>
        <v>5</v>
      </c>
      <c r="D262">
        <f t="shared" ca="1" si="67"/>
        <v>4</v>
      </c>
      <c r="E262">
        <f t="shared" ca="1" si="68"/>
        <v>1</v>
      </c>
      <c r="F262" s="110">
        <f t="shared" ca="1" si="69"/>
        <v>0</v>
      </c>
      <c r="G262">
        <v>0</v>
      </c>
      <c r="H262">
        <v>1</v>
      </c>
      <c r="I262">
        <v>3</v>
      </c>
      <c r="J262" s="1">
        <f t="shared" ca="1" si="70"/>
        <v>0</v>
      </c>
      <c r="K262" s="1">
        <f t="shared" ca="1" si="71"/>
        <v>0</v>
      </c>
      <c r="L262" s="13">
        <f t="shared" ca="1" si="72"/>
        <v>288</v>
      </c>
      <c r="M262" s="7">
        <f t="shared" ca="1" si="73"/>
        <v>1212</v>
      </c>
      <c r="N262" s="26">
        <f t="shared" ca="1" si="74"/>
        <v>5</v>
      </c>
      <c r="O262" s="44">
        <f t="shared" ca="1" si="75"/>
        <v>3.5346387789404914</v>
      </c>
      <c r="P262" s="44">
        <f t="shared" ca="1" si="76"/>
        <v>35.346387789404908</v>
      </c>
      <c r="Q262" s="44">
        <f t="shared" ca="1" si="77"/>
        <v>35.346387789404908</v>
      </c>
      <c r="R262" s="44">
        <f t="shared" ca="1" si="78"/>
        <v>3.5346387789404909</v>
      </c>
      <c r="S262" s="44">
        <f t="shared" ca="1" si="79"/>
        <v>3.5346387789404914</v>
      </c>
      <c r="T262" s="4">
        <f t="shared" ca="1" si="80"/>
        <v>0</v>
      </c>
      <c r="U262" s="120">
        <f t="shared" ca="1" si="81"/>
        <v>2060.4426794074939</v>
      </c>
      <c r="V262" s="4">
        <f t="shared" ca="1" si="82"/>
        <v>0</v>
      </c>
      <c r="W262" s="13">
        <f t="shared" ca="1" si="83"/>
        <v>7286.625</v>
      </c>
      <c r="X262" s="4">
        <f t="shared" ca="1" si="84"/>
        <v>0</v>
      </c>
      <c r="Y262" s="4">
        <f t="shared" si="85"/>
        <v>0</v>
      </c>
      <c r="Z262" s="13">
        <f t="shared" ca="1" si="86"/>
        <v>7286.625</v>
      </c>
      <c r="AA262" s="4">
        <f t="shared" ca="1" si="87"/>
        <v>0</v>
      </c>
      <c r="AE262" s="4"/>
    </row>
    <row r="263" spans="1:31">
      <c r="A263">
        <v>1</v>
      </c>
      <c r="B263">
        <v>3</v>
      </c>
      <c r="C263">
        <f t="shared" ca="1" si="66"/>
        <v>5</v>
      </c>
      <c r="D263">
        <f t="shared" ca="1" si="67"/>
        <v>4</v>
      </c>
      <c r="E263">
        <f t="shared" ca="1" si="68"/>
        <v>1</v>
      </c>
      <c r="F263" s="110">
        <f t="shared" ca="1" si="69"/>
        <v>0</v>
      </c>
      <c r="G263">
        <v>0</v>
      </c>
      <c r="H263">
        <v>1</v>
      </c>
      <c r="I263">
        <v>2</v>
      </c>
      <c r="J263" s="1">
        <f t="shared" ca="1" si="70"/>
        <v>0</v>
      </c>
      <c r="K263" s="1">
        <f t="shared" ca="1" si="71"/>
        <v>0</v>
      </c>
      <c r="L263" s="13">
        <f t="shared" ca="1" si="72"/>
        <v>269</v>
      </c>
      <c r="M263" s="7">
        <f t="shared" ca="1" si="73"/>
        <v>1231</v>
      </c>
      <c r="N263" s="26">
        <f t="shared" ca="1" si="74"/>
        <v>5</v>
      </c>
      <c r="O263" s="44">
        <f t="shared" ca="1" si="75"/>
        <v>3.5346387789404914</v>
      </c>
      <c r="P263" s="44">
        <f t="shared" ca="1" si="76"/>
        <v>35.346387789404908</v>
      </c>
      <c r="Q263" s="44">
        <f t="shared" ca="1" si="77"/>
        <v>35.346387789404908</v>
      </c>
      <c r="R263" s="44">
        <f t="shared" ca="1" si="78"/>
        <v>3.5346387789404909</v>
      </c>
      <c r="S263" s="44">
        <f t="shared" ca="1" si="79"/>
        <v>3.5346387789404914</v>
      </c>
      <c r="T263" s="4">
        <f t="shared" ca="1" si="80"/>
        <v>0</v>
      </c>
      <c r="U263" s="120">
        <f t="shared" ca="1" si="81"/>
        <v>2041.4426794074936</v>
      </c>
      <c r="V263" s="4">
        <f t="shared" ca="1" si="82"/>
        <v>0</v>
      </c>
      <c r="W263" s="13">
        <f t="shared" ca="1" si="83"/>
        <v>4857.75</v>
      </c>
      <c r="X263" s="4">
        <f t="shared" ca="1" si="84"/>
        <v>0</v>
      </c>
      <c r="Y263" s="4">
        <f t="shared" si="85"/>
        <v>0</v>
      </c>
      <c r="Z263" s="13">
        <f t="shared" ca="1" si="86"/>
        <v>4857.75</v>
      </c>
      <c r="AA263" s="4">
        <f t="shared" ca="1" si="87"/>
        <v>0</v>
      </c>
      <c r="AE263" s="4"/>
    </row>
    <row r="264" spans="1:31">
      <c r="A264">
        <v>1</v>
      </c>
      <c r="B264">
        <v>3</v>
      </c>
      <c r="C264">
        <f t="shared" ca="1" si="66"/>
        <v>5</v>
      </c>
      <c r="D264">
        <f t="shared" ca="1" si="67"/>
        <v>4</v>
      </c>
      <c r="E264">
        <f t="shared" ca="1" si="68"/>
        <v>1</v>
      </c>
      <c r="F264" s="110">
        <f t="shared" ca="1" si="69"/>
        <v>0</v>
      </c>
      <c r="G264">
        <v>0</v>
      </c>
      <c r="H264">
        <v>1</v>
      </c>
      <c r="I264">
        <v>1</v>
      </c>
      <c r="J264" s="1">
        <f t="shared" ca="1" si="70"/>
        <v>0</v>
      </c>
      <c r="K264" s="1">
        <f t="shared" ca="1" si="71"/>
        <v>0</v>
      </c>
      <c r="L264" s="13">
        <f t="shared" ca="1" si="72"/>
        <v>250</v>
      </c>
      <c r="M264" s="7">
        <f t="shared" ca="1" si="73"/>
        <v>1250</v>
      </c>
      <c r="N264" s="26">
        <f t="shared" ca="1" si="74"/>
        <v>5</v>
      </c>
      <c r="O264" s="44">
        <f t="shared" ca="1" si="75"/>
        <v>3.5346387789404914</v>
      </c>
      <c r="P264" s="44">
        <f t="shared" ca="1" si="76"/>
        <v>35.346387789404908</v>
      </c>
      <c r="Q264" s="44">
        <f t="shared" ca="1" si="77"/>
        <v>35.346387789404908</v>
      </c>
      <c r="R264" s="44">
        <f t="shared" ca="1" si="78"/>
        <v>3.5346387789404909</v>
      </c>
      <c r="S264" s="44">
        <f t="shared" ca="1" si="79"/>
        <v>3.5346387789404914</v>
      </c>
      <c r="T264" s="4">
        <f t="shared" ca="1" si="80"/>
        <v>0</v>
      </c>
      <c r="U264" s="120">
        <f t="shared" ca="1" si="81"/>
        <v>2022.4426794074936</v>
      </c>
      <c r="V264" s="4">
        <f t="shared" ca="1" si="82"/>
        <v>0</v>
      </c>
      <c r="W264" s="13">
        <f t="shared" ca="1" si="83"/>
        <v>2428.875</v>
      </c>
      <c r="X264" s="4">
        <f t="shared" ca="1" si="84"/>
        <v>0</v>
      </c>
      <c r="Y264" s="4">
        <f t="shared" si="85"/>
        <v>0</v>
      </c>
      <c r="Z264" s="13">
        <f t="shared" ca="1" si="86"/>
        <v>2428.875</v>
      </c>
      <c r="AA264" s="4">
        <f t="shared" ca="1" si="87"/>
        <v>0</v>
      </c>
      <c r="AE264" s="4"/>
    </row>
    <row r="265" spans="1:31">
      <c r="A265">
        <v>1</v>
      </c>
      <c r="B265">
        <v>3</v>
      </c>
      <c r="C265">
        <f t="shared" ca="1" si="66"/>
        <v>5</v>
      </c>
      <c r="D265">
        <f t="shared" ca="1" si="67"/>
        <v>4</v>
      </c>
      <c r="E265">
        <f t="shared" ca="1" si="68"/>
        <v>1</v>
      </c>
      <c r="F265" s="110">
        <f t="shared" ca="1" si="69"/>
        <v>0</v>
      </c>
      <c r="G265">
        <v>0</v>
      </c>
      <c r="H265">
        <v>1</v>
      </c>
      <c r="I265">
        <v>0</v>
      </c>
      <c r="J265" s="1">
        <f t="shared" ca="1" si="70"/>
        <v>0</v>
      </c>
      <c r="K265" s="1">
        <f t="shared" ca="1" si="71"/>
        <v>0</v>
      </c>
      <c r="L265" s="13">
        <f t="shared" ca="1" si="72"/>
        <v>231</v>
      </c>
      <c r="M265" s="7">
        <f t="shared" ca="1" si="73"/>
        <v>1269</v>
      </c>
      <c r="N265" s="26">
        <f t="shared" ca="1" si="74"/>
        <v>5</v>
      </c>
      <c r="O265" s="44">
        <f t="shared" ca="1" si="75"/>
        <v>3.5346387789404914</v>
      </c>
      <c r="P265" s="44">
        <f t="shared" ca="1" si="76"/>
        <v>35.346387789404908</v>
      </c>
      <c r="Q265" s="44">
        <f t="shared" ca="1" si="77"/>
        <v>35.346387789404908</v>
      </c>
      <c r="R265" s="44">
        <f t="shared" ca="1" si="78"/>
        <v>3.5346387789404909</v>
      </c>
      <c r="S265" s="44">
        <f t="shared" ca="1" si="79"/>
        <v>3.5346387789404914</v>
      </c>
      <c r="T265" s="4">
        <f t="shared" ca="1" si="80"/>
        <v>0</v>
      </c>
      <c r="U265" s="120">
        <f t="shared" ca="1" si="81"/>
        <v>2003.4426794074936</v>
      </c>
      <c r="V265" s="4">
        <f t="shared" ca="1" si="82"/>
        <v>0</v>
      </c>
      <c r="W265" s="13">
        <f t="shared" ca="1" si="83"/>
        <v>0</v>
      </c>
      <c r="X265" s="4">
        <f t="shared" ca="1" si="84"/>
        <v>0</v>
      </c>
      <c r="Y265" s="4">
        <f t="shared" si="85"/>
        <v>0</v>
      </c>
      <c r="Z265" s="13">
        <f t="shared" ca="1" si="86"/>
        <v>0</v>
      </c>
      <c r="AA265" s="4">
        <f t="shared" ca="1" si="87"/>
        <v>0</v>
      </c>
      <c r="AE265" s="4"/>
    </row>
    <row r="266" spans="1:31">
      <c r="A266">
        <v>1</v>
      </c>
      <c r="B266">
        <v>3</v>
      </c>
      <c r="C266">
        <f t="shared" ca="1" si="66"/>
        <v>5</v>
      </c>
      <c r="D266">
        <f t="shared" ca="1" si="67"/>
        <v>4</v>
      </c>
      <c r="E266">
        <f t="shared" ca="1" si="68"/>
        <v>1</v>
      </c>
      <c r="F266" s="110">
        <f t="shared" ca="1" si="69"/>
        <v>0</v>
      </c>
      <c r="G266">
        <v>0</v>
      </c>
      <c r="H266">
        <v>0</v>
      </c>
      <c r="I266">
        <v>7</v>
      </c>
      <c r="J266" s="1">
        <f t="shared" ca="1" si="70"/>
        <v>0</v>
      </c>
      <c r="K266" s="1">
        <f t="shared" ca="1" si="71"/>
        <v>0</v>
      </c>
      <c r="L266" s="13">
        <f t="shared" ca="1" si="72"/>
        <v>133</v>
      </c>
      <c r="M266" s="7">
        <f t="shared" ca="1" si="73"/>
        <v>1367</v>
      </c>
      <c r="N266" s="26">
        <f t="shared" ca="1" si="74"/>
        <v>5</v>
      </c>
      <c r="O266" s="44">
        <f t="shared" ca="1" si="75"/>
        <v>3.5346387789404914</v>
      </c>
      <c r="P266" s="44">
        <f t="shared" ca="1" si="76"/>
        <v>35.346387789404908</v>
      </c>
      <c r="Q266" s="44">
        <f t="shared" ca="1" si="77"/>
        <v>35.346387789404908</v>
      </c>
      <c r="R266" s="44">
        <f t="shared" ca="1" si="78"/>
        <v>3.5346387789404909</v>
      </c>
      <c r="S266" s="44">
        <f t="shared" ca="1" si="79"/>
        <v>3.5346387789404914</v>
      </c>
      <c r="T266" s="4">
        <f t="shared" ca="1" si="80"/>
        <v>0</v>
      </c>
      <c r="U266" s="120">
        <f t="shared" ca="1" si="81"/>
        <v>1905.4426794074936</v>
      </c>
      <c r="V266" s="4">
        <f t="shared" ca="1" si="82"/>
        <v>0</v>
      </c>
      <c r="W266" s="13">
        <f t="shared" ca="1" si="83"/>
        <v>17002.125</v>
      </c>
      <c r="X266" s="4">
        <f t="shared" ca="1" si="84"/>
        <v>0</v>
      </c>
      <c r="Y266" s="4">
        <f t="shared" si="85"/>
        <v>0</v>
      </c>
      <c r="Z266" s="13">
        <f t="shared" ca="1" si="86"/>
        <v>17002.125</v>
      </c>
      <c r="AA266" s="4">
        <f t="shared" ca="1" si="87"/>
        <v>0</v>
      </c>
      <c r="AE266" s="4"/>
    </row>
    <row r="267" spans="1:31">
      <c r="A267">
        <v>1</v>
      </c>
      <c r="B267">
        <v>3</v>
      </c>
      <c r="C267">
        <f t="shared" ca="1" si="66"/>
        <v>5</v>
      </c>
      <c r="D267">
        <f t="shared" ca="1" si="67"/>
        <v>4</v>
      </c>
      <c r="E267">
        <f t="shared" ca="1" si="68"/>
        <v>1</v>
      </c>
      <c r="F267" s="110">
        <f t="shared" ca="1" si="69"/>
        <v>0</v>
      </c>
      <c r="G267">
        <v>0</v>
      </c>
      <c r="H267">
        <v>0</v>
      </c>
      <c r="I267">
        <v>6</v>
      </c>
      <c r="J267" s="1">
        <f t="shared" ca="1" si="70"/>
        <v>0</v>
      </c>
      <c r="K267" s="1">
        <f t="shared" ca="1" si="71"/>
        <v>0</v>
      </c>
      <c r="L267" s="13">
        <f t="shared" ca="1" si="72"/>
        <v>114</v>
      </c>
      <c r="M267" s="7">
        <f t="shared" ca="1" si="73"/>
        <v>1386</v>
      </c>
      <c r="N267" s="26">
        <f t="shared" ca="1" si="74"/>
        <v>5</v>
      </c>
      <c r="O267" s="44">
        <f t="shared" ca="1" si="75"/>
        <v>3.5346387789404914</v>
      </c>
      <c r="P267" s="44">
        <f t="shared" ca="1" si="76"/>
        <v>35.346387789404908</v>
      </c>
      <c r="Q267" s="44">
        <f t="shared" ca="1" si="77"/>
        <v>35.346387789404908</v>
      </c>
      <c r="R267" s="44">
        <f t="shared" ca="1" si="78"/>
        <v>3.5346387789404909</v>
      </c>
      <c r="S267" s="44">
        <f t="shared" ca="1" si="79"/>
        <v>3.5346387789404914</v>
      </c>
      <c r="T267" s="4">
        <f t="shared" ca="1" si="80"/>
        <v>0</v>
      </c>
      <c r="U267" s="120">
        <f t="shared" ca="1" si="81"/>
        <v>1886.4426794074936</v>
      </c>
      <c r="V267" s="4">
        <f t="shared" ca="1" si="82"/>
        <v>0</v>
      </c>
      <c r="W267" s="13">
        <f t="shared" ca="1" si="83"/>
        <v>14573.25</v>
      </c>
      <c r="X267" s="4">
        <f t="shared" ca="1" si="84"/>
        <v>0</v>
      </c>
      <c r="Y267" s="4">
        <f t="shared" si="85"/>
        <v>0</v>
      </c>
      <c r="Z267" s="13">
        <f t="shared" ca="1" si="86"/>
        <v>14573.25</v>
      </c>
      <c r="AA267" s="4">
        <f t="shared" ca="1" si="87"/>
        <v>0</v>
      </c>
      <c r="AE267" s="4"/>
    </row>
    <row r="268" spans="1:31">
      <c r="A268">
        <v>1</v>
      </c>
      <c r="B268">
        <v>3</v>
      </c>
      <c r="C268">
        <f t="shared" ca="1" si="66"/>
        <v>5</v>
      </c>
      <c r="D268">
        <f t="shared" ca="1" si="67"/>
        <v>4</v>
      </c>
      <c r="E268">
        <f t="shared" ca="1" si="68"/>
        <v>1</v>
      </c>
      <c r="F268" s="110">
        <f t="shared" ca="1" si="69"/>
        <v>0</v>
      </c>
      <c r="G268">
        <v>0</v>
      </c>
      <c r="H268">
        <v>0</v>
      </c>
      <c r="I268">
        <v>5</v>
      </c>
      <c r="J268" s="1">
        <f t="shared" ca="1" si="70"/>
        <v>0</v>
      </c>
      <c r="K268" s="1">
        <f t="shared" ca="1" si="71"/>
        <v>0</v>
      </c>
      <c r="L268" s="13">
        <f t="shared" ca="1" si="72"/>
        <v>95</v>
      </c>
      <c r="M268" s="7">
        <f t="shared" ca="1" si="73"/>
        <v>1405</v>
      </c>
      <c r="N268" s="26">
        <f t="shared" ca="1" si="74"/>
        <v>6</v>
      </c>
      <c r="O268" s="44">
        <f t="shared" ca="1" si="75"/>
        <v>4.1694581524927896</v>
      </c>
      <c r="P268" s="44">
        <f t="shared" ca="1" si="76"/>
        <v>41.059762151375594</v>
      </c>
      <c r="Q268" s="44">
        <f t="shared" ca="1" si="77"/>
        <v>35.346387789404908</v>
      </c>
      <c r="R268" s="44">
        <f t="shared" ca="1" si="78"/>
        <v>3.8203074970390247</v>
      </c>
      <c r="S268" s="44">
        <f t="shared" ca="1" si="79"/>
        <v>4.1450176066110256</v>
      </c>
      <c r="T268" s="4">
        <f t="shared" ca="1" si="80"/>
        <v>0</v>
      </c>
      <c r="U268" s="120">
        <f t="shared" ca="1" si="81"/>
        <v>2135.4748169996506</v>
      </c>
      <c r="V268" s="4">
        <f t="shared" ca="1" si="82"/>
        <v>0</v>
      </c>
      <c r="W268" s="13">
        <f t="shared" ca="1" si="83"/>
        <v>12144.375</v>
      </c>
      <c r="X268" s="4">
        <f t="shared" ca="1" si="84"/>
        <v>0</v>
      </c>
      <c r="Y268" s="4">
        <f t="shared" si="85"/>
        <v>0</v>
      </c>
      <c r="Z268" s="13">
        <f t="shared" ca="1" si="86"/>
        <v>12144.375</v>
      </c>
      <c r="AA268" s="4">
        <f t="shared" ca="1" si="87"/>
        <v>0</v>
      </c>
      <c r="AE268" s="4"/>
    </row>
    <row r="269" spans="1:31">
      <c r="A269">
        <v>1</v>
      </c>
      <c r="B269">
        <v>3</v>
      </c>
      <c r="C269">
        <f t="shared" ca="1" si="66"/>
        <v>5</v>
      </c>
      <c r="D269">
        <f t="shared" ca="1" si="67"/>
        <v>4</v>
      </c>
      <c r="E269">
        <f t="shared" ca="1" si="68"/>
        <v>1</v>
      </c>
      <c r="F269" s="110">
        <f t="shared" ca="1" si="69"/>
        <v>0</v>
      </c>
      <c r="G269">
        <v>0</v>
      </c>
      <c r="H269">
        <v>0</v>
      </c>
      <c r="I269">
        <v>4</v>
      </c>
      <c r="J269" s="1">
        <f t="shared" ca="1" si="70"/>
        <v>4.0725312499999999E-2</v>
      </c>
      <c r="K269" s="1">
        <f t="shared" ca="1" si="71"/>
        <v>0</v>
      </c>
      <c r="L269" s="13">
        <f t="shared" ca="1" si="72"/>
        <v>76</v>
      </c>
      <c r="M269" s="7">
        <f t="shared" ca="1" si="73"/>
        <v>1424</v>
      </c>
      <c r="N269" s="26">
        <f t="shared" ca="1" si="74"/>
        <v>6</v>
      </c>
      <c r="O269" s="44">
        <f t="shared" ca="1" si="75"/>
        <v>4.1694581524927896</v>
      </c>
      <c r="P269" s="44">
        <f t="shared" ca="1" si="76"/>
        <v>41.694581524927891</v>
      </c>
      <c r="Q269" s="44">
        <f t="shared" ca="1" si="77"/>
        <v>41.694581524927891</v>
      </c>
      <c r="R269" s="44">
        <f t="shared" ca="1" si="78"/>
        <v>4.1694581524927887</v>
      </c>
      <c r="S269" s="44">
        <f t="shared" ca="1" si="79"/>
        <v>4.1694581524927896</v>
      </c>
      <c r="T269" s="4">
        <f t="shared" ca="1" si="80"/>
        <v>0</v>
      </c>
      <c r="U269" s="120">
        <f t="shared" ca="1" si="81"/>
        <v>2127.2072530862838</v>
      </c>
      <c r="V269" s="4">
        <f t="shared" ca="1" si="82"/>
        <v>0</v>
      </c>
      <c r="W269" s="13">
        <f t="shared" ca="1" si="83"/>
        <v>9715.5</v>
      </c>
      <c r="X269" s="4">
        <f t="shared" ca="1" si="84"/>
        <v>0</v>
      </c>
      <c r="Y269" s="4">
        <f t="shared" si="85"/>
        <v>0</v>
      </c>
      <c r="Z269" s="13">
        <f t="shared" ca="1" si="86"/>
        <v>9715.5</v>
      </c>
      <c r="AA269" s="4">
        <f t="shared" ca="1" si="87"/>
        <v>0</v>
      </c>
      <c r="AE269" s="4"/>
    </row>
    <row r="270" spans="1:31">
      <c r="A270">
        <v>1</v>
      </c>
      <c r="B270">
        <v>3</v>
      </c>
      <c r="C270">
        <f t="shared" ca="1" si="66"/>
        <v>5</v>
      </c>
      <c r="D270">
        <f t="shared" ca="1" si="67"/>
        <v>4</v>
      </c>
      <c r="E270">
        <f t="shared" ca="1" si="68"/>
        <v>1</v>
      </c>
      <c r="F270" s="110">
        <f t="shared" ca="1" si="69"/>
        <v>0</v>
      </c>
      <c r="G270">
        <v>0</v>
      </c>
      <c r="H270">
        <v>0</v>
      </c>
      <c r="I270">
        <v>3</v>
      </c>
      <c r="J270" s="1">
        <f t="shared" ca="1" si="70"/>
        <v>8.5737500000000067E-3</v>
      </c>
      <c r="K270" s="1">
        <f t="shared" ca="1" si="71"/>
        <v>0</v>
      </c>
      <c r="L270" s="13">
        <f t="shared" ca="1" si="72"/>
        <v>57</v>
      </c>
      <c r="M270" s="7">
        <f t="shared" ca="1" si="73"/>
        <v>1443</v>
      </c>
      <c r="N270" s="26">
        <f t="shared" ca="1" si="74"/>
        <v>6</v>
      </c>
      <c r="O270" s="44">
        <f t="shared" ca="1" si="75"/>
        <v>4.1694581524927896</v>
      </c>
      <c r="P270" s="44">
        <f t="shared" ca="1" si="76"/>
        <v>41.694581524927891</v>
      </c>
      <c r="Q270" s="44">
        <f t="shared" ca="1" si="77"/>
        <v>41.694581524927891</v>
      </c>
      <c r="R270" s="44">
        <f t="shared" ca="1" si="78"/>
        <v>4.1694581524927887</v>
      </c>
      <c r="S270" s="44">
        <f t="shared" ca="1" si="79"/>
        <v>4.1694581524927896</v>
      </c>
      <c r="T270" s="4">
        <f t="shared" ca="1" si="80"/>
        <v>0</v>
      </c>
      <c r="U270" s="120">
        <f t="shared" ca="1" si="81"/>
        <v>2108.2072530862838</v>
      </c>
      <c r="V270" s="4">
        <f t="shared" ca="1" si="82"/>
        <v>0</v>
      </c>
      <c r="W270" s="13">
        <f t="shared" ca="1" si="83"/>
        <v>7286.625</v>
      </c>
      <c r="X270" s="4">
        <f t="shared" ca="1" si="84"/>
        <v>0</v>
      </c>
      <c r="Y270" s="4">
        <f t="shared" si="85"/>
        <v>0</v>
      </c>
      <c r="Z270" s="13">
        <f t="shared" ca="1" si="86"/>
        <v>7286.625</v>
      </c>
      <c r="AA270" s="4">
        <f t="shared" ca="1" si="87"/>
        <v>0</v>
      </c>
      <c r="AE270" s="4"/>
    </row>
    <row r="271" spans="1:31">
      <c r="A271">
        <v>1</v>
      </c>
      <c r="B271">
        <v>3</v>
      </c>
      <c r="C271">
        <f t="shared" ca="1" si="66"/>
        <v>5</v>
      </c>
      <c r="D271">
        <f t="shared" ca="1" si="67"/>
        <v>4</v>
      </c>
      <c r="E271">
        <f t="shared" ca="1" si="68"/>
        <v>1</v>
      </c>
      <c r="F271" s="110">
        <f t="shared" ca="1" si="69"/>
        <v>0</v>
      </c>
      <c r="G271">
        <v>0</v>
      </c>
      <c r="H271">
        <v>0</v>
      </c>
      <c r="I271">
        <v>2</v>
      </c>
      <c r="J271" s="1">
        <f t="shared" ca="1" si="70"/>
        <v>6.7687500000000126E-4</v>
      </c>
      <c r="K271" s="1">
        <f t="shared" ca="1" si="71"/>
        <v>0</v>
      </c>
      <c r="L271" s="13">
        <f t="shared" ca="1" si="72"/>
        <v>38</v>
      </c>
      <c r="M271" s="7">
        <f t="shared" ca="1" si="73"/>
        <v>1462</v>
      </c>
      <c r="N271" s="26">
        <f t="shared" ca="1" si="74"/>
        <v>6</v>
      </c>
      <c r="O271" s="44">
        <f t="shared" ca="1" si="75"/>
        <v>4.1694581524927896</v>
      </c>
      <c r="P271" s="44">
        <f t="shared" ca="1" si="76"/>
        <v>41.694581524927891</v>
      </c>
      <c r="Q271" s="44">
        <f t="shared" ca="1" si="77"/>
        <v>41.694581524927891</v>
      </c>
      <c r="R271" s="44">
        <f t="shared" ca="1" si="78"/>
        <v>4.1694581524927887</v>
      </c>
      <c r="S271" s="44">
        <f t="shared" ca="1" si="79"/>
        <v>4.1694581524927896</v>
      </c>
      <c r="T271" s="4">
        <f t="shared" ca="1" si="80"/>
        <v>0</v>
      </c>
      <c r="U271" s="120">
        <f t="shared" ca="1" si="81"/>
        <v>2089.2072530862838</v>
      </c>
      <c r="V271" s="4">
        <f t="shared" ca="1" si="82"/>
        <v>0</v>
      </c>
      <c r="W271" s="13">
        <f t="shared" ca="1" si="83"/>
        <v>4857.75</v>
      </c>
      <c r="X271" s="4">
        <f t="shared" ca="1" si="84"/>
        <v>0</v>
      </c>
      <c r="Y271" s="4">
        <f t="shared" si="85"/>
        <v>0</v>
      </c>
      <c r="Z271" s="13">
        <f t="shared" ca="1" si="86"/>
        <v>4857.75</v>
      </c>
      <c r="AA271" s="4">
        <f t="shared" ca="1" si="87"/>
        <v>0</v>
      </c>
      <c r="AE271" s="4"/>
    </row>
    <row r="272" spans="1:31">
      <c r="A272">
        <v>1</v>
      </c>
      <c r="B272">
        <v>3</v>
      </c>
      <c r="C272">
        <f t="shared" ca="1" si="66"/>
        <v>5</v>
      </c>
      <c r="D272">
        <f t="shared" ca="1" si="67"/>
        <v>4</v>
      </c>
      <c r="E272">
        <f t="shared" ca="1" si="68"/>
        <v>1</v>
      </c>
      <c r="F272" s="110">
        <f t="shared" ca="1" si="69"/>
        <v>0</v>
      </c>
      <c r="G272">
        <v>0</v>
      </c>
      <c r="H272">
        <v>0</v>
      </c>
      <c r="I272">
        <v>1</v>
      </c>
      <c r="J272" s="1">
        <f t="shared" ca="1" si="70"/>
        <v>2.3750000000000062E-5</v>
      </c>
      <c r="K272" s="1">
        <f t="shared" ca="1" si="71"/>
        <v>0</v>
      </c>
      <c r="L272" s="13">
        <f t="shared" ca="1" si="72"/>
        <v>19</v>
      </c>
      <c r="M272" s="7">
        <f t="shared" ca="1" si="73"/>
        <v>1481</v>
      </c>
      <c r="N272" s="26">
        <f t="shared" ca="1" si="74"/>
        <v>6</v>
      </c>
      <c r="O272" s="44">
        <f t="shared" ca="1" si="75"/>
        <v>4.1694581524927896</v>
      </c>
      <c r="P272" s="44">
        <f t="shared" ca="1" si="76"/>
        <v>41.694581524927891</v>
      </c>
      <c r="Q272" s="44">
        <f t="shared" ca="1" si="77"/>
        <v>41.694581524927891</v>
      </c>
      <c r="R272" s="44">
        <f t="shared" ca="1" si="78"/>
        <v>4.1694581524927887</v>
      </c>
      <c r="S272" s="44">
        <f t="shared" ca="1" si="79"/>
        <v>4.1694581524927896</v>
      </c>
      <c r="T272" s="4">
        <f t="shared" ca="1" si="80"/>
        <v>0</v>
      </c>
      <c r="U272" s="120">
        <f t="shared" ca="1" si="81"/>
        <v>2070.2072530862838</v>
      </c>
      <c r="V272" s="4">
        <f t="shared" ca="1" si="82"/>
        <v>0</v>
      </c>
      <c r="W272" s="13">
        <f t="shared" ca="1" si="83"/>
        <v>2428.875</v>
      </c>
      <c r="X272" s="4">
        <f t="shared" ca="1" si="84"/>
        <v>0</v>
      </c>
      <c r="Y272" s="4">
        <f t="shared" si="85"/>
        <v>0</v>
      </c>
      <c r="Z272" s="13">
        <f t="shared" ca="1" si="86"/>
        <v>2428.875</v>
      </c>
      <c r="AA272" s="4">
        <f t="shared" ca="1" si="87"/>
        <v>0</v>
      </c>
      <c r="AE272" s="4"/>
    </row>
    <row r="273" spans="1:31">
      <c r="A273">
        <v>1</v>
      </c>
      <c r="B273">
        <v>3</v>
      </c>
      <c r="C273">
        <f t="shared" ca="1" si="66"/>
        <v>5</v>
      </c>
      <c r="D273">
        <f t="shared" ca="1" si="67"/>
        <v>4</v>
      </c>
      <c r="E273">
        <f t="shared" ca="1" si="68"/>
        <v>1</v>
      </c>
      <c r="F273" s="110">
        <f t="shared" ca="1" si="69"/>
        <v>0</v>
      </c>
      <c r="G273">
        <v>0</v>
      </c>
      <c r="H273">
        <v>0</v>
      </c>
      <c r="I273">
        <v>0</v>
      </c>
      <c r="J273" s="1">
        <f t="shared" ca="1" si="70"/>
        <v>3.1250000000000114E-7</v>
      </c>
      <c r="K273" s="1">
        <f t="shared" ca="1" si="71"/>
        <v>0</v>
      </c>
      <c r="L273" s="13">
        <f t="shared" ca="1" si="72"/>
        <v>0</v>
      </c>
      <c r="M273" s="7">
        <f t="shared" ca="1" si="73"/>
        <v>1500</v>
      </c>
      <c r="N273" s="26">
        <f t="shared" ca="1" si="74"/>
        <v>6</v>
      </c>
      <c r="O273" s="44">
        <f t="shared" ca="1" si="75"/>
        <v>4.1694581524927896</v>
      </c>
      <c r="P273" s="44">
        <f t="shared" ca="1" si="76"/>
        <v>41.694581524927891</v>
      </c>
      <c r="Q273" s="44">
        <f t="shared" ca="1" si="77"/>
        <v>41.694581524927891</v>
      </c>
      <c r="R273" s="44">
        <f t="shared" ca="1" si="78"/>
        <v>4.1694581524927887</v>
      </c>
      <c r="S273" s="44">
        <f t="shared" ca="1" si="79"/>
        <v>4.1694581524927896</v>
      </c>
      <c r="T273" s="4">
        <f t="shared" ca="1" si="80"/>
        <v>0</v>
      </c>
      <c r="U273" s="120">
        <f t="shared" ca="1" si="81"/>
        <v>2051.2072530862838</v>
      </c>
      <c r="V273" s="4">
        <f t="shared" ca="1" si="82"/>
        <v>0</v>
      </c>
      <c r="W273" s="13">
        <f t="shared" ca="1" si="83"/>
        <v>0</v>
      </c>
      <c r="X273" s="4">
        <f t="shared" ca="1" si="84"/>
        <v>0</v>
      </c>
      <c r="Y273" s="4">
        <f t="shared" si="85"/>
        <v>0</v>
      </c>
      <c r="Z273" s="13">
        <f t="shared" ca="1" si="86"/>
        <v>0</v>
      </c>
      <c r="AA273" s="4">
        <f t="shared" ca="1" si="87"/>
        <v>0</v>
      </c>
      <c r="AE273" s="4"/>
    </row>
    <row r="274" spans="1:31">
      <c r="A274">
        <v>2</v>
      </c>
      <c r="B274">
        <v>0</v>
      </c>
      <c r="C274">
        <f t="shared" ref="C274:C337" ca="1" si="88">MIN(8, 1+$B$10+$B$9+A274+B274)</f>
        <v>3</v>
      </c>
      <c r="D274">
        <f t="shared" ref="D274:D337" ca="1" si="89">C274-(1+$B$10)</f>
        <v>2</v>
      </c>
      <c r="E274">
        <f t="shared" ref="E274:E337" ca="1" si="90">MIN(A274, C274-(1+$B$10+$B$9))</f>
        <v>2</v>
      </c>
      <c r="F274" s="110">
        <f t="shared" ref="F274:F337" ca="1" si="91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0</v>
      </c>
      <c r="G274">
        <v>1</v>
      </c>
      <c r="H274">
        <v>1</v>
      </c>
      <c r="I274">
        <v>7</v>
      </c>
      <c r="J274" s="1">
        <f t="shared" ref="J274:J337" ca="1" si="92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93">F274*J274</f>
        <v>0</v>
      </c>
      <c r="L274" s="13">
        <f t="shared" ref="L274:L337" ca="1" si="94">MAX((G274+H274)*Set1WSTP + I274*$B$6, Set1SaveTP)</f>
        <v>595</v>
      </c>
      <c r="M274" s="7">
        <f t="shared" ref="M274:M337" ca="1" si="95">MAX(Set1MinTP-(L274+Set1Regain), 0)</f>
        <v>905</v>
      </c>
      <c r="N274" s="26">
        <f t="shared" ref="N274:N337" ca="1" si="96">CEILING(M274/Set1MeleeTP, 1)</f>
        <v>4</v>
      </c>
      <c r="O274" s="44">
        <f t="shared" ref="O274:O337" ca="1" si="97">VLOOKUP(N274,AvgRoundsSet1,2)</f>
        <v>2.8886114468927948</v>
      </c>
      <c r="P274" s="44">
        <f t="shared" ref="P274:P337" ca="1" si="98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28.886114468927953</v>
      </c>
      <c r="Q274" s="44">
        <f t="shared" ref="Q274:Q337" ca="1" si="99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28.886114468927953</v>
      </c>
      <c r="R274" s="44">
        <f t="shared" ref="R274:R337" ca="1" si="100">(P274+Q274)/20</f>
        <v>2.8886114468927953</v>
      </c>
      <c r="S274" s="44">
        <f t="shared" ref="S274:S337" ca="1" si="101">R274*Set1ConserveTP + O274*(1-Set1ConserveTP)</f>
        <v>2.8886114468927948</v>
      </c>
      <c r="T274" s="4">
        <f t="shared" ref="T274:T337" ca="1" si="102">K274*S274</f>
        <v>0</v>
      </c>
      <c r="U274" s="120">
        <f t="shared" ref="U274:U337" ca="1" si="103">MIN(L274+(S274+Set1OverTP)*AvgHitsPerRound1*Set1MeleeTP + Set1Regain + 10.5*Set1ConserveTP, 3000)</f>
        <v>2083.7564194948759</v>
      </c>
      <c r="V274" s="4">
        <f t="shared" ref="V274:V337" ca="1" si="104">U274*K274</f>
        <v>0</v>
      </c>
      <c r="W274" s="13">
        <f t="shared" ref="W274:W337" ca="1" si="105">G274*$K$10*((1-$L$10)*$L$14 + $L$10*$M$14*$M$10)*Set1WSDmg + H274*$K$13*((1-$L$13)*$L$15 + $L$13*$M$15*$M$11) + I274*$K$11*((1-$L$11)*$L$14 + $L$11*$M$14*$M$11) + E274*$K$12*$L$12*$M$10</f>
        <v>47995.641000000003</v>
      </c>
      <c r="X274" s="4">
        <f t="shared" ref="X274:X337" ca="1" si="106">K274*W274</f>
        <v>0</v>
      </c>
      <c r="Y274" s="4">
        <f t="shared" ref="Y274:Y337" si="107">IF($B$12=1, (VLOOKUP(C274, IF($B$13=10%,Souleater10,Souleater12), 6, FALSE) * $B$14), 0)</f>
        <v>0</v>
      </c>
      <c r="Z274" s="13">
        <f t="shared" ca="1" si="86"/>
        <v>47995.641000000003</v>
      </c>
      <c r="AA274" s="4">
        <f t="shared" ca="1" si="87"/>
        <v>0</v>
      </c>
      <c r="AE274" s="4"/>
    </row>
    <row r="275" spans="1:31">
      <c r="A275">
        <v>2</v>
      </c>
      <c r="B275">
        <v>0</v>
      </c>
      <c r="C275">
        <f t="shared" ca="1" si="88"/>
        <v>3</v>
      </c>
      <c r="D275">
        <f t="shared" ca="1" si="89"/>
        <v>2</v>
      </c>
      <c r="E275">
        <f t="shared" ca="1" si="90"/>
        <v>2</v>
      </c>
      <c r="F275" s="110">
        <f t="shared" ca="1" si="91"/>
        <v>0</v>
      </c>
      <c r="G275">
        <v>1</v>
      </c>
      <c r="H275">
        <v>1</v>
      </c>
      <c r="I275">
        <v>6</v>
      </c>
      <c r="J275" s="1">
        <f t="shared" ca="1" si="92"/>
        <v>0</v>
      </c>
      <c r="K275" s="1">
        <f t="shared" ca="1" si="93"/>
        <v>0</v>
      </c>
      <c r="L275" s="13">
        <f t="shared" ca="1" si="94"/>
        <v>576</v>
      </c>
      <c r="M275" s="7">
        <f t="shared" ca="1" si="95"/>
        <v>924</v>
      </c>
      <c r="N275" s="26">
        <f t="shared" ca="1" si="96"/>
        <v>4</v>
      </c>
      <c r="O275" s="44">
        <f t="shared" ca="1" si="97"/>
        <v>2.8886114468927948</v>
      </c>
      <c r="P275" s="44">
        <f t="shared" ca="1" si="98"/>
        <v>28.886114468927953</v>
      </c>
      <c r="Q275" s="44">
        <f t="shared" ca="1" si="99"/>
        <v>28.886114468927953</v>
      </c>
      <c r="R275" s="44">
        <f t="shared" ca="1" si="100"/>
        <v>2.8886114468927953</v>
      </c>
      <c r="S275" s="44">
        <f t="shared" ca="1" si="101"/>
        <v>2.8886114468927948</v>
      </c>
      <c r="T275" s="4">
        <f t="shared" ca="1" si="102"/>
        <v>0</v>
      </c>
      <c r="U275" s="120">
        <f t="shared" ca="1" si="103"/>
        <v>2064.7564194948759</v>
      </c>
      <c r="V275" s="4">
        <f t="shared" ca="1" si="104"/>
        <v>0</v>
      </c>
      <c r="W275" s="13">
        <f t="shared" ca="1" si="105"/>
        <v>45566.766000000003</v>
      </c>
      <c r="X275" s="4">
        <f t="shared" ca="1" si="106"/>
        <v>0</v>
      </c>
      <c r="Y275" s="4">
        <f t="shared" si="107"/>
        <v>0</v>
      </c>
      <c r="Z275" s="13">
        <f t="shared" ref="Z275:Z338" ca="1" si="108">Y275+W275</f>
        <v>45566.766000000003</v>
      </c>
      <c r="AA275" s="4">
        <f t="shared" ref="AA275:AA338" ca="1" si="109">Z275*K275</f>
        <v>0</v>
      </c>
      <c r="AE275" s="4"/>
    </row>
    <row r="276" spans="1:31">
      <c r="A276">
        <v>2</v>
      </c>
      <c r="B276">
        <v>0</v>
      </c>
      <c r="C276">
        <f t="shared" ca="1" si="88"/>
        <v>3</v>
      </c>
      <c r="D276">
        <f t="shared" ca="1" si="89"/>
        <v>2</v>
      </c>
      <c r="E276">
        <f t="shared" ca="1" si="90"/>
        <v>2</v>
      </c>
      <c r="F276" s="110">
        <f t="shared" ca="1" si="91"/>
        <v>0</v>
      </c>
      <c r="G276">
        <v>1</v>
      </c>
      <c r="H276">
        <v>1</v>
      </c>
      <c r="I276">
        <v>5</v>
      </c>
      <c r="J276" s="1">
        <f t="shared" ca="1" si="92"/>
        <v>0</v>
      </c>
      <c r="K276" s="1">
        <f t="shared" ca="1" si="93"/>
        <v>0</v>
      </c>
      <c r="L276" s="13">
        <f t="shared" ca="1" si="94"/>
        <v>557</v>
      </c>
      <c r="M276" s="7">
        <f t="shared" ca="1" si="95"/>
        <v>943</v>
      </c>
      <c r="N276" s="26">
        <f t="shared" ca="1" si="96"/>
        <v>4</v>
      </c>
      <c r="O276" s="44">
        <f t="shared" ca="1" si="97"/>
        <v>2.8886114468927948</v>
      </c>
      <c r="P276" s="44">
        <f t="shared" ca="1" si="98"/>
        <v>28.886114468927953</v>
      </c>
      <c r="Q276" s="44">
        <f t="shared" ca="1" si="99"/>
        <v>28.886114468927953</v>
      </c>
      <c r="R276" s="44">
        <f t="shared" ca="1" si="100"/>
        <v>2.8886114468927953</v>
      </c>
      <c r="S276" s="44">
        <f t="shared" ca="1" si="101"/>
        <v>2.8886114468927948</v>
      </c>
      <c r="T276" s="4">
        <f t="shared" ca="1" si="102"/>
        <v>0</v>
      </c>
      <c r="U276" s="120">
        <f t="shared" ca="1" si="103"/>
        <v>2045.7564194948757</v>
      </c>
      <c r="V276" s="4">
        <f t="shared" ca="1" si="104"/>
        <v>0</v>
      </c>
      <c r="W276" s="13">
        <f t="shared" ca="1" si="105"/>
        <v>43137.891000000003</v>
      </c>
      <c r="X276" s="4">
        <f t="shared" ca="1" si="106"/>
        <v>0</v>
      </c>
      <c r="Y276" s="4">
        <f t="shared" si="107"/>
        <v>0</v>
      </c>
      <c r="Z276" s="13">
        <f t="shared" ca="1" si="108"/>
        <v>43137.891000000003</v>
      </c>
      <c r="AA276" s="4">
        <f t="shared" ca="1" si="109"/>
        <v>0</v>
      </c>
      <c r="AE276" s="4"/>
    </row>
    <row r="277" spans="1:31">
      <c r="A277">
        <v>2</v>
      </c>
      <c r="B277">
        <v>0</v>
      </c>
      <c r="C277">
        <f t="shared" ca="1" si="88"/>
        <v>3</v>
      </c>
      <c r="D277">
        <f t="shared" ca="1" si="89"/>
        <v>2</v>
      </c>
      <c r="E277">
        <f t="shared" ca="1" si="90"/>
        <v>2</v>
      </c>
      <c r="F277" s="110">
        <f t="shared" ca="1" si="91"/>
        <v>0</v>
      </c>
      <c r="G277">
        <v>1</v>
      </c>
      <c r="H277">
        <v>1</v>
      </c>
      <c r="I277">
        <v>4</v>
      </c>
      <c r="J277" s="1">
        <f t="shared" ca="1" si="92"/>
        <v>0</v>
      </c>
      <c r="K277" s="1">
        <f t="shared" ca="1" si="93"/>
        <v>0</v>
      </c>
      <c r="L277" s="13">
        <f t="shared" ca="1" si="94"/>
        <v>538</v>
      </c>
      <c r="M277" s="7">
        <f t="shared" ca="1" si="95"/>
        <v>962</v>
      </c>
      <c r="N277" s="26">
        <f t="shared" ca="1" si="96"/>
        <v>4</v>
      </c>
      <c r="O277" s="44">
        <f t="shared" ca="1" si="97"/>
        <v>2.8886114468927948</v>
      </c>
      <c r="P277" s="44">
        <f t="shared" ca="1" si="98"/>
        <v>28.886114468927953</v>
      </c>
      <c r="Q277" s="44">
        <f t="shared" ca="1" si="99"/>
        <v>28.886114468927953</v>
      </c>
      <c r="R277" s="44">
        <f t="shared" ca="1" si="100"/>
        <v>2.8886114468927953</v>
      </c>
      <c r="S277" s="44">
        <f t="shared" ca="1" si="101"/>
        <v>2.8886114468927948</v>
      </c>
      <c r="T277" s="4">
        <f t="shared" ca="1" si="102"/>
        <v>0</v>
      </c>
      <c r="U277" s="120">
        <f t="shared" ca="1" si="103"/>
        <v>2026.7564194948757</v>
      </c>
      <c r="V277" s="4">
        <f t="shared" ca="1" si="104"/>
        <v>0</v>
      </c>
      <c r="W277" s="13">
        <f t="shared" ca="1" si="105"/>
        <v>40709.016000000003</v>
      </c>
      <c r="X277" s="4">
        <f t="shared" ca="1" si="106"/>
        <v>0</v>
      </c>
      <c r="Y277" s="4">
        <f t="shared" si="107"/>
        <v>0</v>
      </c>
      <c r="Z277" s="13">
        <f t="shared" ca="1" si="108"/>
        <v>40709.016000000003</v>
      </c>
      <c r="AA277" s="4">
        <f t="shared" ca="1" si="109"/>
        <v>0</v>
      </c>
      <c r="AE277" s="4"/>
    </row>
    <row r="278" spans="1:31">
      <c r="A278">
        <v>2</v>
      </c>
      <c r="B278">
        <v>0</v>
      </c>
      <c r="C278">
        <f t="shared" ca="1" si="88"/>
        <v>3</v>
      </c>
      <c r="D278">
        <f t="shared" ca="1" si="89"/>
        <v>2</v>
      </c>
      <c r="E278">
        <f t="shared" ca="1" si="90"/>
        <v>2</v>
      </c>
      <c r="F278" s="110">
        <f t="shared" ca="1" si="91"/>
        <v>0</v>
      </c>
      <c r="G278">
        <v>1</v>
      </c>
      <c r="H278">
        <v>1</v>
      </c>
      <c r="I278">
        <v>3</v>
      </c>
      <c r="J278" s="1">
        <f t="shared" ca="1" si="92"/>
        <v>0</v>
      </c>
      <c r="K278" s="1">
        <f t="shared" ca="1" si="93"/>
        <v>0</v>
      </c>
      <c r="L278" s="13">
        <f t="shared" ca="1" si="94"/>
        <v>519</v>
      </c>
      <c r="M278" s="7">
        <f t="shared" ca="1" si="95"/>
        <v>981</v>
      </c>
      <c r="N278" s="26">
        <f t="shared" ca="1" si="96"/>
        <v>4</v>
      </c>
      <c r="O278" s="44">
        <f t="shared" ca="1" si="97"/>
        <v>2.8886114468927948</v>
      </c>
      <c r="P278" s="44">
        <f t="shared" ca="1" si="98"/>
        <v>28.886114468927953</v>
      </c>
      <c r="Q278" s="44">
        <f t="shared" ca="1" si="99"/>
        <v>28.886114468927953</v>
      </c>
      <c r="R278" s="44">
        <f t="shared" ca="1" si="100"/>
        <v>2.8886114468927953</v>
      </c>
      <c r="S278" s="44">
        <f t="shared" ca="1" si="101"/>
        <v>2.8886114468927948</v>
      </c>
      <c r="T278" s="4">
        <f t="shared" ca="1" si="102"/>
        <v>0</v>
      </c>
      <c r="U278" s="120">
        <f t="shared" ca="1" si="103"/>
        <v>2007.7564194948757</v>
      </c>
      <c r="V278" s="4">
        <f t="shared" ca="1" si="104"/>
        <v>0</v>
      </c>
      <c r="W278" s="13">
        <f t="shared" ca="1" si="105"/>
        <v>38280.141000000003</v>
      </c>
      <c r="X278" s="4">
        <f t="shared" ca="1" si="106"/>
        <v>0</v>
      </c>
      <c r="Y278" s="4">
        <f t="shared" si="107"/>
        <v>0</v>
      </c>
      <c r="Z278" s="13">
        <f t="shared" ca="1" si="108"/>
        <v>38280.141000000003</v>
      </c>
      <c r="AA278" s="4">
        <f t="shared" ca="1" si="109"/>
        <v>0</v>
      </c>
      <c r="AE278" s="4"/>
    </row>
    <row r="279" spans="1:31">
      <c r="A279">
        <v>2</v>
      </c>
      <c r="B279">
        <v>0</v>
      </c>
      <c r="C279">
        <f t="shared" ca="1" si="88"/>
        <v>3</v>
      </c>
      <c r="D279">
        <f t="shared" ca="1" si="89"/>
        <v>2</v>
      </c>
      <c r="E279">
        <f t="shared" ca="1" si="90"/>
        <v>2</v>
      </c>
      <c r="F279" s="110">
        <f t="shared" ca="1" si="91"/>
        <v>0</v>
      </c>
      <c r="G279">
        <v>1</v>
      </c>
      <c r="H279">
        <v>1</v>
      </c>
      <c r="I279">
        <v>2</v>
      </c>
      <c r="J279" s="1">
        <f t="shared" ca="1" si="92"/>
        <v>0</v>
      </c>
      <c r="K279" s="1">
        <f t="shared" ca="1" si="93"/>
        <v>0</v>
      </c>
      <c r="L279" s="13">
        <f t="shared" ca="1" si="94"/>
        <v>500</v>
      </c>
      <c r="M279" s="7">
        <f t="shared" ca="1" si="95"/>
        <v>1000</v>
      </c>
      <c r="N279" s="26">
        <f t="shared" ca="1" si="96"/>
        <v>4</v>
      </c>
      <c r="O279" s="44">
        <f t="shared" ca="1" si="97"/>
        <v>2.8886114468927948</v>
      </c>
      <c r="P279" s="44">
        <f t="shared" ca="1" si="98"/>
        <v>28.886114468927953</v>
      </c>
      <c r="Q279" s="44">
        <f t="shared" ca="1" si="99"/>
        <v>28.886114468927953</v>
      </c>
      <c r="R279" s="44">
        <f t="shared" ca="1" si="100"/>
        <v>2.8886114468927953</v>
      </c>
      <c r="S279" s="44">
        <f t="shared" ca="1" si="101"/>
        <v>2.8886114468927948</v>
      </c>
      <c r="T279" s="4">
        <f t="shared" ca="1" si="102"/>
        <v>0</v>
      </c>
      <c r="U279" s="120">
        <f t="shared" ca="1" si="103"/>
        <v>1988.7564194948757</v>
      </c>
      <c r="V279" s="4">
        <f t="shared" ca="1" si="104"/>
        <v>0</v>
      </c>
      <c r="W279" s="13">
        <f t="shared" ca="1" si="105"/>
        <v>35851.266000000003</v>
      </c>
      <c r="X279" s="4">
        <f t="shared" ca="1" si="106"/>
        <v>0</v>
      </c>
      <c r="Y279" s="4">
        <f t="shared" si="107"/>
        <v>0</v>
      </c>
      <c r="Z279" s="13">
        <f t="shared" ca="1" si="108"/>
        <v>35851.266000000003</v>
      </c>
      <c r="AA279" s="4">
        <f t="shared" ca="1" si="109"/>
        <v>0</v>
      </c>
      <c r="AE279" s="4"/>
    </row>
    <row r="280" spans="1:31">
      <c r="A280">
        <v>2</v>
      </c>
      <c r="B280">
        <v>0</v>
      </c>
      <c r="C280">
        <f t="shared" ca="1" si="88"/>
        <v>3</v>
      </c>
      <c r="D280">
        <f t="shared" ca="1" si="89"/>
        <v>2</v>
      </c>
      <c r="E280">
        <f t="shared" ca="1" si="90"/>
        <v>2</v>
      </c>
      <c r="F280" s="110">
        <f t="shared" ca="1" si="91"/>
        <v>0</v>
      </c>
      <c r="G280">
        <v>1</v>
      </c>
      <c r="H280">
        <v>1</v>
      </c>
      <c r="I280">
        <v>1</v>
      </c>
      <c r="J280" s="1">
        <f t="shared" ca="1" si="92"/>
        <v>0</v>
      </c>
      <c r="K280" s="1">
        <f t="shared" ca="1" si="93"/>
        <v>0</v>
      </c>
      <c r="L280" s="13">
        <f t="shared" ca="1" si="94"/>
        <v>481</v>
      </c>
      <c r="M280" s="7">
        <f t="shared" ca="1" si="95"/>
        <v>1019</v>
      </c>
      <c r="N280" s="26">
        <f t="shared" ca="1" si="96"/>
        <v>4</v>
      </c>
      <c r="O280" s="44">
        <f t="shared" ca="1" si="97"/>
        <v>2.8886114468927948</v>
      </c>
      <c r="P280" s="44">
        <f t="shared" ca="1" si="98"/>
        <v>28.886114468927953</v>
      </c>
      <c r="Q280" s="44">
        <f t="shared" ca="1" si="99"/>
        <v>28.886114468927953</v>
      </c>
      <c r="R280" s="44">
        <f t="shared" ca="1" si="100"/>
        <v>2.8886114468927953</v>
      </c>
      <c r="S280" s="44">
        <f t="shared" ca="1" si="101"/>
        <v>2.8886114468927948</v>
      </c>
      <c r="T280" s="4">
        <f t="shared" ca="1" si="102"/>
        <v>0</v>
      </c>
      <c r="U280" s="120">
        <f t="shared" ca="1" si="103"/>
        <v>1969.7564194948757</v>
      </c>
      <c r="V280" s="4">
        <f t="shared" ca="1" si="104"/>
        <v>0</v>
      </c>
      <c r="W280" s="13">
        <f t="shared" ca="1" si="105"/>
        <v>33422.391000000003</v>
      </c>
      <c r="X280" s="4">
        <f t="shared" ca="1" si="106"/>
        <v>0</v>
      </c>
      <c r="Y280" s="4">
        <f t="shared" si="107"/>
        <v>0</v>
      </c>
      <c r="Z280" s="13">
        <f t="shared" ca="1" si="108"/>
        <v>33422.391000000003</v>
      </c>
      <c r="AA280" s="4">
        <f t="shared" ca="1" si="109"/>
        <v>0</v>
      </c>
      <c r="AE280" s="4"/>
    </row>
    <row r="281" spans="1:31">
      <c r="A281">
        <v>2</v>
      </c>
      <c r="B281">
        <v>0</v>
      </c>
      <c r="C281">
        <f t="shared" ca="1" si="88"/>
        <v>3</v>
      </c>
      <c r="D281">
        <f t="shared" ca="1" si="89"/>
        <v>2</v>
      </c>
      <c r="E281">
        <f t="shared" ca="1" si="90"/>
        <v>2</v>
      </c>
      <c r="F281" s="110">
        <f t="shared" ca="1" si="91"/>
        <v>0</v>
      </c>
      <c r="G281">
        <v>1</v>
      </c>
      <c r="H281">
        <v>1</v>
      </c>
      <c r="I281">
        <v>0</v>
      </c>
      <c r="J281" s="1">
        <f t="shared" ca="1" si="92"/>
        <v>0</v>
      </c>
      <c r="K281" s="1">
        <f t="shared" ca="1" si="93"/>
        <v>0</v>
      </c>
      <c r="L281" s="13">
        <f t="shared" ca="1" si="94"/>
        <v>462</v>
      </c>
      <c r="M281" s="7">
        <f t="shared" ca="1" si="95"/>
        <v>1038</v>
      </c>
      <c r="N281" s="26">
        <f t="shared" ca="1" si="96"/>
        <v>4</v>
      </c>
      <c r="O281" s="44">
        <f t="shared" ca="1" si="97"/>
        <v>2.8886114468927948</v>
      </c>
      <c r="P281" s="44">
        <f t="shared" ca="1" si="98"/>
        <v>28.886114468927953</v>
      </c>
      <c r="Q281" s="44">
        <f t="shared" ca="1" si="99"/>
        <v>28.886114468927953</v>
      </c>
      <c r="R281" s="44">
        <f t="shared" ca="1" si="100"/>
        <v>2.8886114468927953</v>
      </c>
      <c r="S281" s="44">
        <f t="shared" ca="1" si="101"/>
        <v>2.8886114468927948</v>
      </c>
      <c r="T281" s="4">
        <f t="shared" ca="1" si="102"/>
        <v>0</v>
      </c>
      <c r="U281" s="120">
        <f t="shared" ca="1" si="103"/>
        <v>1950.7564194948757</v>
      </c>
      <c r="V281" s="4">
        <f t="shared" ca="1" si="104"/>
        <v>0</v>
      </c>
      <c r="W281" s="13">
        <f t="shared" ca="1" si="105"/>
        <v>30993.516000000003</v>
      </c>
      <c r="X281" s="4">
        <f t="shared" ca="1" si="106"/>
        <v>0</v>
      </c>
      <c r="Y281" s="4">
        <f t="shared" si="107"/>
        <v>0</v>
      </c>
      <c r="Z281" s="13">
        <f t="shared" ca="1" si="108"/>
        <v>30993.516000000003</v>
      </c>
      <c r="AA281" s="4">
        <f t="shared" ca="1" si="109"/>
        <v>0</v>
      </c>
      <c r="AE281" s="4"/>
    </row>
    <row r="282" spans="1:31">
      <c r="A282">
        <v>2</v>
      </c>
      <c r="B282">
        <v>0</v>
      </c>
      <c r="C282">
        <f t="shared" ca="1" si="88"/>
        <v>3</v>
      </c>
      <c r="D282">
        <f t="shared" ca="1" si="89"/>
        <v>2</v>
      </c>
      <c r="E282">
        <f t="shared" ca="1" si="90"/>
        <v>2</v>
      </c>
      <c r="F282" s="110">
        <f t="shared" ca="1" si="91"/>
        <v>0</v>
      </c>
      <c r="G282">
        <v>1</v>
      </c>
      <c r="H282">
        <v>0</v>
      </c>
      <c r="I282">
        <v>7</v>
      </c>
      <c r="J282" s="1">
        <f t="shared" ca="1" si="92"/>
        <v>0</v>
      </c>
      <c r="K282" s="1">
        <f t="shared" ca="1" si="93"/>
        <v>0</v>
      </c>
      <c r="L282" s="13">
        <f t="shared" ca="1" si="94"/>
        <v>364</v>
      </c>
      <c r="M282" s="7">
        <f t="shared" ca="1" si="95"/>
        <v>1136</v>
      </c>
      <c r="N282" s="26">
        <f t="shared" ca="1" si="96"/>
        <v>5</v>
      </c>
      <c r="O282" s="44">
        <f t="shared" ca="1" si="97"/>
        <v>3.5346387789404914</v>
      </c>
      <c r="P282" s="44">
        <f t="shared" ca="1" si="98"/>
        <v>35.346387789404908</v>
      </c>
      <c r="Q282" s="44">
        <f t="shared" ca="1" si="99"/>
        <v>34.700360457357213</v>
      </c>
      <c r="R282" s="44">
        <f t="shared" ca="1" si="100"/>
        <v>3.5023374123381061</v>
      </c>
      <c r="S282" s="44">
        <f t="shared" ca="1" si="101"/>
        <v>3.532377683278324</v>
      </c>
      <c r="T282" s="4">
        <f t="shared" ca="1" si="102"/>
        <v>0</v>
      </c>
      <c r="U282" s="120">
        <f t="shared" ca="1" si="103"/>
        <v>2135.4497774977995</v>
      </c>
      <c r="V282" s="4">
        <f t="shared" ca="1" si="104"/>
        <v>0</v>
      </c>
      <c r="W282" s="13">
        <f t="shared" ca="1" si="105"/>
        <v>47995.641000000003</v>
      </c>
      <c r="X282" s="4">
        <f t="shared" ca="1" si="106"/>
        <v>0</v>
      </c>
      <c r="Y282" s="4">
        <f t="shared" si="107"/>
        <v>0</v>
      </c>
      <c r="Z282" s="13">
        <f t="shared" ca="1" si="108"/>
        <v>47995.641000000003</v>
      </c>
      <c r="AA282" s="4">
        <f t="shared" ca="1" si="109"/>
        <v>0</v>
      </c>
      <c r="AE282" s="4"/>
    </row>
    <row r="283" spans="1:31">
      <c r="A283">
        <v>2</v>
      </c>
      <c r="B283">
        <v>0</v>
      </c>
      <c r="C283">
        <f t="shared" ca="1" si="88"/>
        <v>3</v>
      </c>
      <c r="D283">
        <f t="shared" ca="1" si="89"/>
        <v>2</v>
      </c>
      <c r="E283">
        <f t="shared" ca="1" si="90"/>
        <v>2</v>
      </c>
      <c r="F283" s="110">
        <f t="shared" ca="1" si="91"/>
        <v>0</v>
      </c>
      <c r="G283">
        <v>1</v>
      </c>
      <c r="H283">
        <v>0</v>
      </c>
      <c r="I283">
        <v>6</v>
      </c>
      <c r="J283" s="1">
        <f t="shared" ca="1" si="92"/>
        <v>0</v>
      </c>
      <c r="K283" s="1">
        <f t="shared" ca="1" si="93"/>
        <v>0</v>
      </c>
      <c r="L283" s="13">
        <f t="shared" ca="1" si="94"/>
        <v>345</v>
      </c>
      <c r="M283" s="7">
        <f t="shared" ca="1" si="95"/>
        <v>1155</v>
      </c>
      <c r="N283" s="26">
        <f t="shared" ca="1" si="96"/>
        <v>5</v>
      </c>
      <c r="O283" s="44">
        <f t="shared" ca="1" si="97"/>
        <v>3.5346387789404914</v>
      </c>
      <c r="P283" s="44">
        <f t="shared" ca="1" si="98"/>
        <v>35.346387789404908</v>
      </c>
      <c r="Q283" s="44">
        <f t="shared" ca="1" si="99"/>
        <v>35.346387789404908</v>
      </c>
      <c r="R283" s="44">
        <f t="shared" ca="1" si="100"/>
        <v>3.5346387789404909</v>
      </c>
      <c r="S283" s="44">
        <f t="shared" ca="1" si="101"/>
        <v>3.5346387789404914</v>
      </c>
      <c r="T283" s="4">
        <f t="shared" ca="1" si="102"/>
        <v>0</v>
      </c>
      <c r="U283" s="120">
        <f t="shared" ca="1" si="103"/>
        <v>2117.4426794074939</v>
      </c>
      <c r="V283" s="4">
        <f t="shared" ca="1" si="104"/>
        <v>0</v>
      </c>
      <c r="W283" s="13">
        <f t="shared" ca="1" si="105"/>
        <v>45566.766000000003</v>
      </c>
      <c r="X283" s="4">
        <f t="shared" ca="1" si="106"/>
        <v>0</v>
      </c>
      <c r="Y283" s="4">
        <f t="shared" si="107"/>
        <v>0</v>
      </c>
      <c r="Z283" s="13">
        <f t="shared" ca="1" si="108"/>
        <v>45566.766000000003</v>
      </c>
      <c r="AA283" s="4">
        <f t="shared" ca="1" si="109"/>
        <v>0</v>
      </c>
      <c r="AE283" s="4"/>
    </row>
    <row r="284" spans="1:31">
      <c r="A284">
        <v>2</v>
      </c>
      <c r="B284">
        <v>0</v>
      </c>
      <c r="C284">
        <f t="shared" ca="1" si="88"/>
        <v>3</v>
      </c>
      <c r="D284">
        <f t="shared" ca="1" si="89"/>
        <v>2</v>
      </c>
      <c r="E284">
        <f t="shared" ca="1" si="90"/>
        <v>2</v>
      </c>
      <c r="F284" s="110">
        <f t="shared" ca="1" si="91"/>
        <v>0</v>
      </c>
      <c r="G284">
        <v>1</v>
      </c>
      <c r="H284">
        <v>0</v>
      </c>
      <c r="I284">
        <v>5</v>
      </c>
      <c r="J284" s="1">
        <f t="shared" ca="1" si="92"/>
        <v>0</v>
      </c>
      <c r="K284" s="1">
        <f t="shared" ca="1" si="93"/>
        <v>0</v>
      </c>
      <c r="L284" s="13">
        <f t="shared" ca="1" si="94"/>
        <v>326</v>
      </c>
      <c r="M284" s="7">
        <f t="shared" ca="1" si="95"/>
        <v>1174</v>
      </c>
      <c r="N284" s="26">
        <f t="shared" ca="1" si="96"/>
        <v>5</v>
      </c>
      <c r="O284" s="44">
        <f t="shared" ca="1" si="97"/>
        <v>3.5346387789404914</v>
      </c>
      <c r="P284" s="44">
        <f t="shared" ca="1" si="98"/>
        <v>35.346387789404908</v>
      </c>
      <c r="Q284" s="44">
        <f t="shared" ca="1" si="99"/>
        <v>35.346387789404908</v>
      </c>
      <c r="R284" s="44">
        <f t="shared" ca="1" si="100"/>
        <v>3.5346387789404909</v>
      </c>
      <c r="S284" s="44">
        <f t="shared" ca="1" si="101"/>
        <v>3.5346387789404914</v>
      </c>
      <c r="T284" s="4">
        <f t="shared" ca="1" si="102"/>
        <v>0</v>
      </c>
      <c r="U284" s="120">
        <f t="shared" ca="1" si="103"/>
        <v>2098.4426794074939</v>
      </c>
      <c r="V284" s="4">
        <f t="shared" ca="1" si="104"/>
        <v>0</v>
      </c>
      <c r="W284" s="13">
        <f t="shared" ca="1" si="105"/>
        <v>43137.891000000003</v>
      </c>
      <c r="X284" s="4">
        <f t="shared" ca="1" si="106"/>
        <v>0</v>
      </c>
      <c r="Y284" s="4">
        <f t="shared" si="107"/>
        <v>0</v>
      </c>
      <c r="Z284" s="13">
        <f t="shared" ca="1" si="108"/>
        <v>43137.891000000003</v>
      </c>
      <c r="AA284" s="4">
        <f t="shared" ca="1" si="109"/>
        <v>0</v>
      </c>
      <c r="AE284" s="4"/>
    </row>
    <row r="285" spans="1:31">
      <c r="A285">
        <v>2</v>
      </c>
      <c r="B285">
        <v>0</v>
      </c>
      <c r="C285">
        <f t="shared" ca="1" si="88"/>
        <v>3</v>
      </c>
      <c r="D285">
        <f t="shared" ca="1" si="89"/>
        <v>2</v>
      </c>
      <c r="E285">
        <f t="shared" ca="1" si="90"/>
        <v>2</v>
      </c>
      <c r="F285" s="110">
        <f t="shared" ca="1" si="91"/>
        <v>0</v>
      </c>
      <c r="G285">
        <v>1</v>
      </c>
      <c r="H285">
        <v>0</v>
      </c>
      <c r="I285">
        <v>4</v>
      </c>
      <c r="J285" s="1">
        <f t="shared" ca="1" si="92"/>
        <v>0</v>
      </c>
      <c r="K285" s="1">
        <f t="shared" ca="1" si="93"/>
        <v>0</v>
      </c>
      <c r="L285" s="13">
        <f t="shared" ca="1" si="94"/>
        <v>307</v>
      </c>
      <c r="M285" s="7">
        <f t="shared" ca="1" si="95"/>
        <v>1193</v>
      </c>
      <c r="N285" s="26">
        <f t="shared" ca="1" si="96"/>
        <v>5</v>
      </c>
      <c r="O285" s="44">
        <f t="shared" ca="1" si="97"/>
        <v>3.5346387789404914</v>
      </c>
      <c r="P285" s="44">
        <f t="shared" ca="1" si="98"/>
        <v>35.346387789404908</v>
      </c>
      <c r="Q285" s="44">
        <f t="shared" ca="1" si="99"/>
        <v>35.346387789404908</v>
      </c>
      <c r="R285" s="44">
        <f t="shared" ca="1" si="100"/>
        <v>3.5346387789404909</v>
      </c>
      <c r="S285" s="44">
        <f t="shared" ca="1" si="101"/>
        <v>3.5346387789404914</v>
      </c>
      <c r="T285" s="4">
        <f t="shared" ca="1" si="102"/>
        <v>0</v>
      </c>
      <c r="U285" s="120">
        <f t="shared" ca="1" si="103"/>
        <v>2079.4426794074939</v>
      </c>
      <c r="V285" s="4">
        <f t="shared" ca="1" si="104"/>
        <v>0</v>
      </c>
      <c r="W285" s="13">
        <f t="shared" ca="1" si="105"/>
        <v>40709.016000000003</v>
      </c>
      <c r="X285" s="4">
        <f t="shared" ca="1" si="106"/>
        <v>0</v>
      </c>
      <c r="Y285" s="4">
        <f t="shared" si="107"/>
        <v>0</v>
      </c>
      <c r="Z285" s="13">
        <f t="shared" ca="1" si="108"/>
        <v>40709.016000000003</v>
      </c>
      <c r="AA285" s="4">
        <f t="shared" ca="1" si="109"/>
        <v>0</v>
      </c>
      <c r="AE285" s="4"/>
    </row>
    <row r="286" spans="1:31">
      <c r="A286">
        <v>2</v>
      </c>
      <c r="B286">
        <v>0</v>
      </c>
      <c r="C286">
        <f t="shared" ca="1" si="88"/>
        <v>3</v>
      </c>
      <c r="D286">
        <f t="shared" ca="1" si="89"/>
        <v>2</v>
      </c>
      <c r="E286">
        <f t="shared" ca="1" si="90"/>
        <v>2</v>
      </c>
      <c r="F286" s="110">
        <f t="shared" ca="1" si="91"/>
        <v>0</v>
      </c>
      <c r="G286">
        <v>1</v>
      </c>
      <c r="H286">
        <v>0</v>
      </c>
      <c r="I286">
        <v>3</v>
      </c>
      <c r="J286" s="1">
        <f t="shared" ca="1" si="92"/>
        <v>0</v>
      </c>
      <c r="K286" s="1">
        <f t="shared" ca="1" si="93"/>
        <v>0</v>
      </c>
      <c r="L286" s="13">
        <f t="shared" ca="1" si="94"/>
        <v>288</v>
      </c>
      <c r="M286" s="7">
        <f t="shared" ca="1" si="95"/>
        <v>1212</v>
      </c>
      <c r="N286" s="26">
        <f t="shared" ca="1" si="96"/>
        <v>5</v>
      </c>
      <c r="O286" s="44">
        <f t="shared" ca="1" si="97"/>
        <v>3.5346387789404914</v>
      </c>
      <c r="P286" s="44">
        <f t="shared" ca="1" si="98"/>
        <v>35.346387789404908</v>
      </c>
      <c r="Q286" s="44">
        <f t="shared" ca="1" si="99"/>
        <v>35.346387789404908</v>
      </c>
      <c r="R286" s="44">
        <f t="shared" ca="1" si="100"/>
        <v>3.5346387789404909</v>
      </c>
      <c r="S286" s="44">
        <f t="shared" ca="1" si="101"/>
        <v>3.5346387789404914</v>
      </c>
      <c r="T286" s="4">
        <f t="shared" ca="1" si="102"/>
        <v>0</v>
      </c>
      <c r="U286" s="120">
        <f t="shared" ca="1" si="103"/>
        <v>2060.4426794074939</v>
      </c>
      <c r="V286" s="4">
        <f t="shared" ca="1" si="104"/>
        <v>0</v>
      </c>
      <c r="W286" s="13">
        <f t="shared" ca="1" si="105"/>
        <v>38280.141000000003</v>
      </c>
      <c r="X286" s="4">
        <f t="shared" ca="1" si="106"/>
        <v>0</v>
      </c>
      <c r="Y286" s="4">
        <f t="shared" si="107"/>
        <v>0</v>
      </c>
      <c r="Z286" s="13">
        <f t="shared" ca="1" si="108"/>
        <v>38280.141000000003</v>
      </c>
      <c r="AA286" s="4">
        <f t="shared" ca="1" si="109"/>
        <v>0</v>
      </c>
      <c r="AE286" s="4"/>
    </row>
    <row r="287" spans="1:31">
      <c r="A287">
        <v>2</v>
      </c>
      <c r="B287">
        <v>0</v>
      </c>
      <c r="C287">
        <f t="shared" ca="1" si="88"/>
        <v>3</v>
      </c>
      <c r="D287">
        <f t="shared" ca="1" si="89"/>
        <v>2</v>
      </c>
      <c r="E287">
        <f t="shared" ca="1" si="90"/>
        <v>2</v>
      </c>
      <c r="F287" s="110">
        <f t="shared" ca="1" si="91"/>
        <v>0</v>
      </c>
      <c r="G287">
        <v>1</v>
      </c>
      <c r="H287">
        <v>0</v>
      </c>
      <c r="I287">
        <v>2</v>
      </c>
      <c r="J287" s="1">
        <f t="shared" ca="1" si="92"/>
        <v>0.85737499999999989</v>
      </c>
      <c r="K287" s="1">
        <f t="shared" ca="1" si="93"/>
        <v>0</v>
      </c>
      <c r="L287" s="13">
        <f t="shared" ca="1" si="94"/>
        <v>269</v>
      </c>
      <c r="M287" s="7">
        <f t="shared" ca="1" si="95"/>
        <v>1231</v>
      </c>
      <c r="N287" s="26">
        <f t="shared" ca="1" si="96"/>
        <v>5</v>
      </c>
      <c r="O287" s="44">
        <f t="shared" ca="1" si="97"/>
        <v>3.5346387789404914</v>
      </c>
      <c r="P287" s="44">
        <f t="shared" ca="1" si="98"/>
        <v>35.346387789404908</v>
      </c>
      <c r="Q287" s="44">
        <f t="shared" ca="1" si="99"/>
        <v>35.346387789404908</v>
      </c>
      <c r="R287" s="44">
        <f t="shared" ca="1" si="100"/>
        <v>3.5346387789404909</v>
      </c>
      <c r="S287" s="44">
        <f t="shared" ca="1" si="101"/>
        <v>3.5346387789404914</v>
      </c>
      <c r="T287" s="4">
        <f t="shared" ca="1" si="102"/>
        <v>0</v>
      </c>
      <c r="U287" s="120">
        <f t="shared" ca="1" si="103"/>
        <v>2041.4426794074936</v>
      </c>
      <c r="V287" s="4">
        <f t="shared" ca="1" si="104"/>
        <v>0</v>
      </c>
      <c r="W287" s="13">
        <f t="shared" ca="1" si="105"/>
        <v>35851.266000000003</v>
      </c>
      <c r="X287" s="4">
        <f t="shared" ca="1" si="106"/>
        <v>0</v>
      </c>
      <c r="Y287" s="4">
        <f t="shared" si="107"/>
        <v>0</v>
      </c>
      <c r="Z287" s="13">
        <f t="shared" ca="1" si="108"/>
        <v>35851.266000000003</v>
      </c>
      <c r="AA287" s="4">
        <f t="shared" ca="1" si="109"/>
        <v>0</v>
      </c>
      <c r="AE287" s="4"/>
    </row>
    <row r="288" spans="1:31">
      <c r="A288">
        <v>2</v>
      </c>
      <c r="B288">
        <v>0</v>
      </c>
      <c r="C288">
        <f t="shared" ca="1" si="88"/>
        <v>3</v>
      </c>
      <c r="D288">
        <f t="shared" ca="1" si="89"/>
        <v>2</v>
      </c>
      <c r="E288">
        <f t="shared" ca="1" si="90"/>
        <v>2</v>
      </c>
      <c r="F288" s="110">
        <f t="shared" ca="1" si="91"/>
        <v>0</v>
      </c>
      <c r="G288">
        <v>1</v>
      </c>
      <c r="H288">
        <v>0</v>
      </c>
      <c r="I288">
        <v>1</v>
      </c>
      <c r="J288" s="1">
        <f t="shared" ca="1" si="92"/>
        <v>9.025000000000008E-2</v>
      </c>
      <c r="K288" s="1">
        <f t="shared" ca="1" si="93"/>
        <v>0</v>
      </c>
      <c r="L288" s="13">
        <f t="shared" ca="1" si="94"/>
        <v>250</v>
      </c>
      <c r="M288" s="7">
        <f t="shared" ca="1" si="95"/>
        <v>1250</v>
      </c>
      <c r="N288" s="26">
        <f t="shared" ca="1" si="96"/>
        <v>5</v>
      </c>
      <c r="O288" s="44">
        <f t="shared" ca="1" si="97"/>
        <v>3.5346387789404914</v>
      </c>
      <c r="P288" s="44">
        <f t="shared" ca="1" si="98"/>
        <v>35.346387789404908</v>
      </c>
      <c r="Q288" s="44">
        <f t="shared" ca="1" si="99"/>
        <v>35.346387789404908</v>
      </c>
      <c r="R288" s="44">
        <f t="shared" ca="1" si="100"/>
        <v>3.5346387789404909</v>
      </c>
      <c r="S288" s="44">
        <f t="shared" ca="1" si="101"/>
        <v>3.5346387789404914</v>
      </c>
      <c r="T288" s="4">
        <f t="shared" ca="1" si="102"/>
        <v>0</v>
      </c>
      <c r="U288" s="120">
        <f t="shared" ca="1" si="103"/>
        <v>2022.4426794074936</v>
      </c>
      <c r="V288" s="4">
        <f t="shared" ca="1" si="104"/>
        <v>0</v>
      </c>
      <c r="W288" s="13">
        <f t="shared" ca="1" si="105"/>
        <v>33422.391000000003</v>
      </c>
      <c r="X288" s="4">
        <f t="shared" ca="1" si="106"/>
        <v>0</v>
      </c>
      <c r="Y288" s="4">
        <f t="shared" si="107"/>
        <v>0</v>
      </c>
      <c r="Z288" s="13">
        <f t="shared" ca="1" si="108"/>
        <v>33422.391000000003</v>
      </c>
      <c r="AA288" s="4">
        <f t="shared" ca="1" si="109"/>
        <v>0</v>
      </c>
      <c r="AE288" s="4"/>
    </row>
    <row r="289" spans="1:31">
      <c r="A289">
        <v>2</v>
      </c>
      <c r="B289">
        <v>0</v>
      </c>
      <c r="C289">
        <f t="shared" ca="1" si="88"/>
        <v>3</v>
      </c>
      <c r="D289">
        <f t="shared" ca="1" si="89"/>
        <v>2</v>
      </c>
      <c r="E289">
        <f t="shared" ca="1" si="90"/>
        <v>2</v>
      </c>
      <c r="F289" s="110">
        <f t="shared" ca="1" si="91"/>
        <v>0</v>
      </c>
      <c r="G289">
        <v>1</v>
      </c>
      <c r="H289">
        <v>0</v>
      </c>
      <c r="I289">
        <v>0</v>
      </c>
      <c r="J289" s="1">
        <f t="shared" ca="1" si="92"/>
        <v>2.3750000000000038E-3</v>
      </c>
      <c r="K289" s="1">
        <f t="shared" ca="1" si="93"/>
        <v>0</v>
      </c>
      <c r="L289" s="13">
        <f t="shared" ca="1" si="94"/>
        <v>231</v>
      </c>
      <c r="M289" s="7">
        <f t="shared" ca="1" si="95"/>
        <v>1269</v>
      </c>
      <c r="N289" s="26">
        <f t="shared" ca="1" si="96"/>
        <v>5</v>
      </c>
      <c r="O289" s="44">
        <f t="shared" ca="1" si="97"/>
        <v>3.5346387789404914</v>
      </c>
      <c r="P289" s="44">
        <f t="shared" ca="1" si="98"/>
        <v>35.346387789404908</v>
      </c>
      <c r="Q289" s="44">
        <f t="shared" ca="1" si="99"/>
        <v>35.346387789404908</v>
      </c>
      <c r="R289" s="44">
        <f t="shared" ca="1" si="100"/>
        <v>3.5346387789404909</v>
      </c>
      <c r="S289" s="44">
        <f t="shared" ca="1" si="101"/>
        <v>3.5346387789404914</v>
      </c>
      <c r="T289" s="4">
        <f t="shared" ca="1" si="102"/>
        <v>0</v>
      </c>
      <c r="U289" s="120">
        <f t="shared" ca="1" si="103"/>
        <v>2003.4426794074936</v>
      </c>
      <c r="V289" s="4">
        <f t="shared" ca="1" si="104"/>
        <v>0</v>
      </c>
      <c r="W289" s="13">
        <f t="shared" ca="1" si="105"/>
        <v>30993.516000000003</v>
      </c>
      <c r="X289" s="4">
        <f t="shared" ca="1" si="106"/>
        <v>0</v>
      </c>
      <c r="Y289" s="4">
        <f t="shared" si="107"/>
        <v>0</v>
      </c>
      <c r="Z289" s="13">
        <f t="shared" ca="1" si="108"/>
        <v>30993.516000000003</v>
      </c>
      <c r="AA289" s="4">
        <f t="shared" ca="1" si="109"/>
        <v>0</v>
      </c>
      <c r="AE289" s="4"/>
    </row>
    <row r="290" spans="1:31">
      <c r="A290">
        <v>2</v>
      </c>
      <c r="B290">
        <v>0</v>
      </c>
      <c r="C290">
        <f t="shared" ca="1" si="88"/>
        <v>3</v>
      </c>
      <c r="D290">
        <f t="shared" ca="1" si="89"/>
        <v>2</v>
      </c>
      <c r="E290">
        <f t="shared" ca="1" si="90"/>
        <v>2</v>
      </c>
      <c r="F290" s="110">
        <f t="shared" ca="1" si="91"/>
        <v>0</v>
      </c>
      <c r="G290">
        <v>0</v>
      </c>
      <c r="H290">
        <v>1</v>
      </c>
      <c r="I290">
        <v>7</v>
      </c>
      <c r="J290" s="1">
        <f t="shared" ca="1" si="92"/>
        <v>0</v>
      </c>
      <c r="K290" s="1">
        <f t="shared" ca="1" si="93"/>
        <v>0</v>
      </c>
      <c r="L290" s="13">
        <f t="shared" ca="1" si="94"/>
        <v>364</v>
      </c>
      <c r="M290" s="7">
        <f t="shared" ca="1" si="95"/>
        <v>1136</v>
      </c>
      <c r="N290" s="26">
        <f t="shared" ca="1" si="96"/>
        <v>5</v>
      </c>
      <c r="O290" s="44">
        <f t="shared" ca="1" si="97"/>
        <v>3.5346387789404914</v>
      </c>
      <c r="P290" s="44">
        <f t="shared" ca="1" si="98"/>
        <v>35.346387789404908</v>
      </c>
      <c r="Q290" s="44">
        <f t="shared" ca="1" si="99"/>
        <v>34.700360457357213</v>
      </c>
      <c r="R290" s="44">
        <f t="shared" ca="1" si="100"/>
        <v>3.5023374123381061</v>
      </c>
      <c r="S290" s="44">
        <f t="shared" ca="1" si="101"/>
        <v>3.532377683278324</v>
      </c>
      <c r="T290" s="4">
        <f t="shared" ca="1" si="102"/>
        <v>0</v>
      </c>
      <c r="U290" s="120">
        <f t="shared" ca="1" si="103"/>
        <v>2135.4497774977995</v>
      </c>
      <c r="V290" s="4">
        <f t="shared" ca="1" si="104"/>
        <v>0</v>
      </c>
      <c r="W290" s="13">
        <f t="shared" ca="1" si="105"/>
        <v>17002.125</v>
      </c>
      <c r="X290" s="4">
        <f t="shared" ca="1" si="106"/>
        <v>0</v>
      </c>
      <c r="Y290" s="4">
        <f t="shared" si="107"/>
        <v>0</v>
      </c>
      <c r="Z290" s="13">
        <f t="shared" ca="1" si="108"/>
        <v>17002.125</v>
      </c>
      <c r="AA290" s="4">
        <f t="shared" ca="1" si="109"/>
        <v>0</v>
      </c>
      <c r="AE290" s="4"/>
    </row>
    <row r="291" spans="1:31">
      <c r="A291">
        <v>2</v>
      </c>
      <c r="B291">
        <v>0</v>
      </c>
      <c r="C291">
        <f t="shared" ca="1" si="88"/>
        <v>3</v>
      </c>
      <c r="D291">
        <f t="shared" ca="1" si="89"/>
        <v>2</v>
      </c>
      <c r="E291">
        <f t="shared" ca="1" si="90"/>
        <v>2</v>
      </c>
      <c r="F291" s="110">
        <f t="shared" ca="1" si="91"/>
        <v>0</v>
      </c>
      <c r="G291">
        <v>0</v>
      </c>
      <c r="H291">
        <v>1</v>
      </c>
      <c r="I291">
        <v>6</v>
      </c>
      <c r="J291" s="1">
        <f t="shared" ca="1" si="92"/>
        <v>0</v>
      </c>
      <c r="K291" s="1">
        <f t="shared" ca="1" si="93"/>
        <v>0</v>
      </c>
      <c r="L291" s="13">
        <f t="shared" ca="1" si="94"/>
        <v>345</v>
      </c>
      <c r="M291" s="7">
        <f t="shared" ca="1" si="95"/>
        <v>1155</v>
      </c>
      <c r="N291" s="26">
        <f t="shared" ca="1" si="96"/>
        <v>5</v>
      </c>
      <c r="O291" s="44">
        <f t="shared" ca="1" si="97"/>
        <v>3.5346387789404914</v>
      </c>
      <c r="P291" s="44">
        <f t="shared" ca="1" si="98"/>
        <v>35.346387789404908</v>
      </c>
      <c r="Q291" s="44">
        <f t="shared" ca="1" si="99"/>
        <v>35.346387789404908</v>
      </c>
      <c r="R291" s="44">
        <f t="shared" ca="1" si="100"/>
        <v>3.5346387789404909</v>
      </c>
      <c r="S291" s="44">
        <f t="shared" ca="1" si="101"/>
        <v>3.5346387789404914</v>
      </c>
      <c r="T291" s="4">
        <f t="shared" ca="1" si="102"/>
        <v>0</v>
      </c>
      <c r="U291" s="120">
        <f t="shared" ca="1" si="103"/>
        <v>2117.4426794074939</v>
      </c>
      <c r="V291" s="4">
        <f t="shared" ca="1" si="104"/>
        <v>0</v>
      </c>
      <c r="W291" s="13">
        <f t="shared" ca="1" si="105"/>
        <v>14573.25</v>
      </c>
      <c r="X291" s="4">
        <f t="shared" ca="1" si="106"/>
        <v>0</v>
      </c>
      <c r="Y291" s="4">
        <f t="shared" si="107"/>
        <v>0</v>
      </c>
      <c r="Z291" s="13">
        <f t="shared" ca="1" si="108"/>
        <v>14573.25</v>
      </c>
      <c r="AA291" s="4">
        <f t="shared" ca="1" si="109"/>
        <v>0</v>
      </c>
      <c r="AE291" s="4"/>
    </row>
    <row r="292" spans="1:31">
      <c r="A292">
        <v>2</v>
      </c>
      <c r="B292">
        <v>0</v>
      </c>
      <c r="C292">
        <f t="shared" ca="1" si="88"/>
        <v>3</v>
      </c>
      <c r="D292">
        <f t="shared" ca="1" si="89"/>
        <v>2</v>
      </c>
      <c r="E292">
        <f t="shared" ca="1" si="90"/>
        <v>2</v>
      </c>
      <c r="F292" s="110">
        <f t="shared" ca="1" si="91"/>
        <v>0</v>
      </c>
      <c r="G292">
        <v>0</v>
      </c>
      <c r="H292">
        <v>1</v>
      </c>
      <c r="I292">
        <v>5</v>
      </c>
      <c r="J292" s="1">
        <f t="shared" ca="1" si="92"/>
        <v>0</v>
      </c>
      <c r="K292" s="1">
        <f t="shared" ca="1" si="93"/>
        <v>0</v>
      </c>
      <c r="L292" s="13">
        <f t="shared" ca="1" si="94"/>
        <v>326</v>
      </c>
      <c r="M292" s="7">
        <f t="shared" ca="1" si="95"/>
        <v>1174</v>
      </c>
      <c r="N292" s="26">
        <f t="shared" ca="1" si="96"/>
        <v>5</v>
      </c>
      <c r="O292" s="44">
        <f t="shared" ca="1" si="97"/>
        <v>3.5346387789404914</v>
      </c>
      <c r="P292" s="44">
        <f t="shared" ca="1" si="98"/>
        <v>35.346387789404908</v>
      </c>
      <c r="Q292" s="44">
        <f t="shared" ca="1" si="99"/>
        <v>35.346387789404908</v>
      </c>
      <c r="R292" s="44">
        <f t="shared" ca="1" si="100"/>
        <v>3.5346387789404909</v>
      </c>
      <c r="S292" s="44">
        <f t="shared" ca="1" si="101"/>
        <v>3.5346387789404914</v>
      </c>
      <c r="T292" s="4">
        <f t="shared" ca="1" si="102"/>
        <v>0</v>
      </c>
      <c r="U292" s="120">
        <f t="shared" ca="1" si="103"/>
        <v>2098.4426794074939</v>
      </c>
      <c r="V292" s="4">
        <f t="shared" ca="1" si="104"/>
        <v>0</v>
      </c>
      <c r="W292" s="13">
        <f t="shared" ca="1" si="105"/>
        <v>12144.375</v>
      </c>
      <c r="X292" s="4">
        <f t="shared" ca="1" si="106"/>
        <v>0</v>
      </c>
      <c r="Y292" s="4">
        <f t="shared" si="107"/>
        <v>0</v>
      </c>
      <c r="Z292" s="13">
        <f t="shared" ca="1" si="108"/>
        <v>12144.375</v>
      </c>
      <c r="AA292" s="4">
        <f t="shared" ca="1" si="109"/>
        <v>0</v>
      </c>
      <c r="AE292" s="4"/>
    </row>
    <row r="293" spans="1:31">
      <c r="A293">
        <v>2</v>
      </c>
      <c r="B293">
        <v>0</v>
      </c>
      <c r="C293">
        <f t="shared" ca="1" si="88"/>
        <v>3</v>
      </c>
      <c r="D293">
        <f t="shared" ca="1" si="89"/>
        <v>2</v>
      </c>
      <c r="E293">
        <f t="shared" ca="1" si="90"/>
        <v>2</v>
      </c>
      <c r="F293" s="110">
        <f t="shared" ca="1" si="91"/>
        <v>0</v>
      </c>
      <c r="G293">
        <v>0</v>
      </c>
      <c r="H293">
        <v>1</v>
      </c>
      <c r="I293">
        <v>4</v>
      </c>
      <c r="J293" s="1">
        <f t="shared" ca="1" si="92"/>
        <v>0</v>
      </c>
      <c r="K293" s="1">
        <f t="shared" ca="1" si="93"/>
        <v>0</v>
      </c>
      <c r="L293" s="13">
        <f t="shared" ca="1" si="94"/>
        <v>307</v>
      </c>
      <c r="M293" s="7">
        <f t="shared" ca="1" si="95"/>
        <v>1193</v>
      </c>
      <c r="N293" s="26">
        <f t="shared" ca="1" si="96"/>
        <v>5</v>
      </c>
      <c r="O293" s="44">
        <f t="shared" ca="1" si="97"/>
        <v>3.5346387789404914</v>
      </c>
      <c r="P293" s="44">
        <f t="shared" ca="1" si="98"/>
        <v>35.346387789404908</v>
      </c>
      <c r="Q293" s="44">
        <f t="shared" ca="1" si="99"/>
        <v>35.346387789404908</v>
      </c>
      <c r="R293" s="44">
        <f t="shared" ca="1" si="100"/>
        <v>3.5346387789404909</v>
      </c>
      <c r="S293" s="44">
        <f t="shared" ca="1" si="101"/>
        <v>3.5346387789404914</v>
      </c>
      <c r="T293" s="4">
        <f t="shared" ca="1" si="102"/>
        <v>0</v>
      </c>
      <c r="U293" s="120">
        <f t="shared" ca="1" si="103"/>
        <v>2079.4426794074939</v>
      </c>
      <c r="V293" s="4">
        <f t="shared" ca="1" si="104"/>
        <v>0</v>
      </c>
      <c r="W293" s="13">
        <f t="shared" ca="1" si="105"/>
        <v>9715.5</v>
      </c>
      <c r="X293" s="4">
        <f t="shared" ca="1" si="106"/>
        <v>0</v>
      </c>
      <c r="Y293" s="4">
        <f t="shared" si="107"/>
        <v>0</v>
      </c>
      <c r="Z293" s="13">
        <f t="shared" ca="1" si="108"/>
        <v>9715.5</v>
      </c>
      <c r="AA293" s="4">
        <f t="shared" ca="1" si="109"/>
        <v>0</v>
      </c>
      <c r="AE293" s="4"/>
    </row>
    <row r="294" spans="1:31">
      <c r="A294">
        <v>2</v>
      </c>
      <c r="B294">
        <v>0</v>
      </c>
      <c r="C294">
        <f t="shared" ca="1" si="88"/>
        <v>3</v>
      </c>
      <c r="D294">
        <f t="shared" ca="1" si="89"/>
        <v>2</v>
      </c>
      <c r="E294">
        <f t="shared" ca="1" si="90"/>
        <v>2</v>
      </c>
      <c r="F294" s="110">
        <f t="shared" ca="1" si="91"/>
        <v>0</v>
      </c>
      <c r="G294">
        <v>0</v>
      </c>
      <c r="H294">
        <v>1</v>
      </c>
      <c r="I294">
        <v>3</v>
      </c>
      <c r="J294" s="1">
        <f t="shared" ca="1" si="92"/>
        <v>0</v>
      </c>
      <c r="K294" s="1">
        <f t="shared" ca="1" si="93"/>
        <v>0</v>
      </c>
      <c r="L294" s="13">
        <f t="shared" ca="1" si="94"/>
        <v>288</v>
      </c>
      <c r="M294" s="7">
        <f t="shared" ca="1" si="95"/>
        <v>1212</v>
      </c>
      <c r="N294" s="26">
        <f t="shared" ca="1" si="96"/>
        <v>5</v>
      </c>
      <c r="O294" s="44">
        <f t="shared" ca="1" si="97"/>
        <v>3.5346387789404914</v>
      </c>
      <c r="P294" s="44">
        <f t="shared" ca="1" si="98"/>
        <v>35.346387789404908</v>
      </c>
      <c r="Q294" s="44">
        <f t="shared" ca="1" si="99"/>
        <v>35.346387789404908</v>
      </c>
      <c r="R294" s="44">
        <f t="shared" ca="1" si="100"/>
        <v>3.5346387789404909</v>
      </c>
      <c r="S294" s="44">
        <f t="shared" ca="1" si="101"/>
        <v>3.5346387789404914</v>
      </c>
      <c r="T294" s="4">
        <f t="shared" ca="1" si="102"/>
        <v>0</v>
      </c>
      <c r="U294" s="120">
        <f t="shared" ca="1" si="103"/>
        <v>2060.4426794074939</v>
      </c>
      <c r="V294" s="4">
        <f t="shared" ca="1" si="104"/>
        <v>0</v>
      </c>
      <c r="W294" s="13">
        <f t="shared" ca="1" si="105"/>
        <v>7286.625</v>
      </c>
      <c r="X294" s="4">
        <f t="shared" ca="1" si="106"/>
        <v>0</v>
      </c>
      <c r="Y294" s="4">
        <f t="shared" si="107"/>
        <v>0</v>
      </c>
      <c r="Z294" s="13">
        <f t="shared" ca="1" si="108"/>
        <v>7286.625</v>
      </c>
      <c r="AA294" s="4">
        <f t="shared" ca="1" si="109"/>
        <v>0</v>
      </c>
      <c r="AE294" s="4"/>
    </row>
    <row r="295" spans="1:31">
      <c r="A295">
        <v>2</v>
      </c>
      <c r="B295">
        <v>0</v>
      </c>
      <c r="C295">
        <f t="shared" ca="1" si="88"/>
        <v>3</v>
      </c>
      <c r="D295">
        <f t="shared" ca="1" si="89"/>
        <v>2</v>
      </c>
      <c r="E295">
        <f t="shared" ca="1" si="90"/>
        <v>2</v>
      </c>
      <c r="F295" s="110">
        <f t="shared" ca="1" si="91"/>
        <v>0</v>
      </c>
      <c r="G295">
        <v>0</v>
      </c>
      <c r="H295">
        <v>1</v>
      </c>
      <c r="I295">
        <v>2</v>
      </c>
      <c r="J295" s="1">
        <f t="shared" ca="1" si="92"/>
        <v>0</v>
      </c>
      <c r="K295" s="1">
        <f t="shared" ca="1" si="93"/>
        <v>0</v>
      </c>
      <c r="L295" s="13">
        <f t="shared" ca="1" si="94"/>
        <v>269</v>
      </c>
      <c r="M295" s="7">
        <f t="shared" ca="1" si="95"/>
        <v>1231</v>
      </c>
      <c r="N295" s="26">
        <f t="shared" ca="1" si="96"/>
        <v>5</v>
      </c>
      <c r="O295" s="44">
        <f t="shared" ca="1" si="97"/>
        <v>3.5346387789404914</v>
      </c>
      <c r="P295" s="44">
        <f t="shared" ca="1" si="98"/>
        <v>35.346387789404908</v>
      </c>
      <c r="Q295" s="44">
        <f t="shared" ca="1" si="99"/>
        <v>35.346387789404908</v>
      </c>
      <c r="R295" s="44">
        <f t="shared" ca="1" si="100"/>
        <v>3.5346387789404909</v>
      </c>
      <c r="S295" s="44">
        <f t="shared" ca="1" si="101"/>
        <v>3.5346387789404914</v>
      </c>
      <c r="T295" s="4">
        <f t="shared" ca="1" si="102"/>
        <v>0</v>
      </c>
      <c r="U295" s="120">
        <f t="shared" ca="1" si="103"/>
        <v>2041.4426794074936</v>
      </c>
      <c r="V295" s="4">
        <f t="shared" ca="1" si="104"/>
        <v>0</v>
      </c>
      <c r="W295" s="13">
        <f t="shared" ca="1" si="105"/>
        <v>4857.75</v>
      </c>
      <c r="X295" s="4">
        <f t="shared" ca="1" si="106"/>
        <v>0</v>
      </c>
      <c r="Y295" s="4">
        <f t="shared" si="107"/>
        <v>0</v>
      </c>
      <c r="Z295" s="13">
        <f t="shared" ca="1" si="108"/>
        <v>4857.75</v>
      </c>
      <c r="AA295" s="4">
        <f t="shared" ca="1" si="109"/>
        <v>0</v>
      </c>
      <c r="AE295" s="4"/>
    </row>
    <row r="296" spans="1:31">
      <c r="A296">
        <v>2</v>
      </c>
      <c r="B296">
        <v>0</v>
      </c>
      <c r="C296">
        <f t="shared" ca="1" si="88"/>
        <v>3</v>
      </c>
      <c r="D296">
        <f t="shared" ca="1" si="89"/>
        <v>2</v>
      </c>
      <c r="E296">
        <f t="shared" ca="1" si="90"/>
        <v>2</v>
      </c>
      <c r="F296" s="110">
        <f t="shared" ca="1" si="91"/>
        <v>0</v>
      </c>
      <c r="G296">
        <v>0</v>
      </c>
      <c r="H296">
        <v>1</v>
      </c>
      <c r="I296">
        <v>1</v>
      </c>
      <c r="J296" s="1">
        <f t="shared" ca="1" si="92"/>
        <v>0</v>
      </c>
      <c r="K296" s="1">
        <f t="shared" ca="1" si="93"/>
        <v>0</v>
      </c>
      <c r="L296" s="13">
        <f t="shared" ca="1" si="94"/>
        <v>250</v>
      </c>
      <c r="M296" s="7">
        <f t="shared" ca="1" si="95"/>
        <v>1250</v>
      </c>
      <c r="N296" s="26">
        <f t="shared" ca="1" si="96"/>
        <v>5</v>
      </c>
      <c r="O296" s="44">
        <f t="shared" ca="1" si="97"/>
        <v>3.5346387789404914</v>
      </c>
      <c r="P296" s="44">
        <f t="shared" ca="1" si="98"/>
        <v>35.346387789404908</v>
      </c>
      <c r="Q296" s="44">
        <f t="shared" ca="1" si="99"/>
        <v>35.346387789404908</v>
      </c>
      <c r="R296" s="44">
        <f t="shared" ca="1" si="100"/>
        <v>3.5346387789404909</v>
      </c>
      <c r="S296" s="44">
        <f t="shared" ca="1" si="101"/>
        <v>3.5346387789404914</v>
      </c>
      <c r="T296" s="4">
        <f t="shared" ca="1" si="102"/>
        <v>0</v>
      </c>
      <c r="U296" s="120">
        <f t="shared" ca="1" si="103"/>
        <v>2022.4426794074936</v>
      </c>
      <c r="V296" s="4">
        <f t="shared" ca="1" si="104"/>
        <v>0</v>
      </c>
      <c r="W296" s="13">
        <f t="shared" ca="1" si="105"/>
        <v>2428.875</v>
      </c>
      <c r="X296" s="4">
        <f t="shared" ca="1" si="106"/>
        <v>0</v>
      </c>
      <c r="Y296" s="4">
        <f t="shared" si="107"/>
        <v>0</v>
      </c>
      <c r="Z296" s="13">
        <f t="shared" ca="1" si="108"/>
        <v>2428.875</v>
      </c>
      <c r="AA296" s="4">
        <f t="shared" ca="1" si="109"/>
        <v>0</v>
      </c>
      <c r="AE296" s="4"/>
    </row>
    <row r="297" spans="1:31">
      <c r="A297">
        <v>2</v>
      </c>
      <c r="B297">
        <v>0</v>
      </c>
      <c r="C297">
        <f t="shared" ca="1" si="88"/>
        <v>3</v>
      </c>
      <c r="D297">
        <f t="shared" ca="1" si="89"/>
        <v>2</v>
      </c>
      <c r="E297">
        <f t="shared" ca="1" si="90"/>
        <v>2</v>
      </c>
      <c r="F297" s="110">
        <f t="shared" ca="1" si="91"/>
        <v>0</v>
      </c>
      <c r="G297">
        <v>0</v>
      </c>
      <c r="H297">
        <v>1</v>
      </c>
      <c r="I297">
        <v>0</v>
      </c>
      <c r="J297" s="1">
        <f t="shared" ca="1" si="92"/>
        <v>0</v>
      </c>
      <c r="K297" s="1">
        <f t="shared" ca="1" si="93"/>
        <v>0</v>
      </c>
      <c r="L297" s="13">
        <f t="shared" ca="1" si="94"/>
        <v>231</v>
      </c>
      <c r="M297" s="7">
        <f t="shared" ca="1" si="95"/>
        <v>1269</v>
      </c>
      <c r="N297" s="26">
        <f t="shared" ca="1" si="96"/>
        <v>5</v>
      </c>
      <c r="O297" s="44">
        <f t="shared" ca="1" si="97"/>
        <v>3.5346387789404914</v>
      </c>
      <c r="P297" s="44">
        <f t="shared" ca="1" si="98"/>
        <v>35.346387789404908</v>
      </c>
      <c r="Q297" s="44">
        <f t="shared" ca="1" si="99"/>
        <v>35.346387789404908</v>
      </c>
      <c r="R297" s="44">
        <f t="shared" ca="1" si="100"/>
        <v>3.5346387789404909</v>
      </c>
      <c r="S297" s="44">
        <f t="shared" ca="1" si="101"/>
        <v>3.5346387789404914</v>
      </c>
      <c r="T297" s="4">
        <f t="shared" ca="1" si="102"/>
        <v>0</v>
      </c>
      <c r="U297" s="120">
        <f t="shared" ca="1" si="103"/>
        <v>2003.4426794074936</v>
      </c>
      <c r="V297" s="4">
        <f t="shared" ca="1" si="104"/>
        <v>0</v>
      </c>
      <c r="W297" s="13">
        <f t="shared" ca="1" si="105"/>
        <v>0</v>
      </c>
      <c r="X297" s="4">
        <f t="shared" ca="1" si="106"/>
        <v>0</v>
      </c>
      <c r="Y297" s="4">
        <f t="shared" si="107"/>
        <v>0</v>
      </c>
      <c r="Z297" s="13">
        <f t="shared" ca="1" si="108"/>
        <v>0</v>
      </c>
      <c r="AA297" s="4">
        <f t="shared" ca="1" si="109"/>
        <v>0</v>
      </c>
      <c r="AE297" s="4"/>
    </row>
    <row r="298" spans="1:31">
      <c r="A298">
        <v>2</v>
      </c>
      <c r="B298">
        <v>0</v>
      </c>
      <c r="C298">
        <f t="shared" ca="1" si="88"/>
        <v>3</v>
      </c>
      <c r="D298">
        <f t="shared" ca="1" si="89"/>
        <v>2</v>
      </c>
      <c r="E298">
        <f t="shared" ca="1" si="90"/>
        <v>2</v>
      </c>
      <c r="F298" s="110">
        <f t="shared" ca="1" si="91"/>
        <v>0</v>
      </c>
      <c r="G298">
        <v>0</v>
      </c>
      <c r="H298">
        <v>0</v>
      </c>
      <c r="I298">
        <v>7</v>
      </c>
      <c r="J298" s="1">
        <f t="shared" ca="1" si="92"/>
        <v>0</v>
      </c>
      <c r="K298" s="1">
        <f t="shared" ca="1" si="93"/>
        <v>0</v>
      </c>
      <c r="L298" s="13">
        <f t="shared" ca="1" si="94"/>
        <v>133</v>
      </c>
      <c r="M298" s="7">
        <f t="shared" ca="1" si="95"/>
        <v>1367</v>
      </c>
      <c r="N298" s="26">
        <f t="shared" ca="1" si="96"/>
        <v>5</v>
      </c>
      <c r="O298" s="44">
        <f t="shared" ca="1" si="97"/>
        <v>3.5346387789404914</v>
      </c>
      <c r="P298" s="44">
        <f t="shared" ca="1" si="98"/>
        <v>35.346387789404908</v>
      </c>
      <c r="Q298" s="44">
        <f t="shared" ca="1" si="99"/>
        <v>35.346387789404908</v>
      </c>
      <c r="R298" s="44">
        <f t="shared" ca="1" si="100"/>
        <v>3.5346387789404909</v>
      </c>
      <c r="S298" s="44">
        <f t="shared" ca="1" si="101"/>
        <v>3.5346387789404914</v>
      </c>
      <c r="T298" s="4">
        <f t="shared" ca="1" si="102"/>
        <v>0</v>
      </c>
      <c r="U298" s="120">
        <f t="shared" ca="1" si="103"/>
        <v>1905.4426794074936</v>
      </c>
      <c r="V298" s="4">
        <f t="shared" ca="1" si="104"/>
        <v>0</v>
      </c>
      <c r="W298" s="13">
        <f t="shared" ca="1" si="105"/>
        <v>17002.125</v>
      </c>
      <c r="X298" s="4">
        <f t="shared" ca="1" si="106"/>
        <v>0</v>
      </c>
      <c r="Y298" s="4">
        <f t="shared" si="107"/>
        <v>0</v>
      </c>
      <c r="Z298" s="13">
        <f t="shared" ca="1" si="108"/>
        <v>17002.125</v>
      </c>
      <c r="AA298" s="4">
        <f t="shared" ca="1" si="109"/>
        <v>0</v>
      </c>
      <c r="AE298" s="4"/>
    </row>
    <row r="299" spans="1:31">
      <c r="A299">
        <v>2</v>
      </c>
      <c r="B299">
        <v>0</v>
      </c>
      <c r="C299">
        <f t="shared" ca="1" si="88"/>
        <v>3</v>
      </c>
      <c r="D299">
        <f t="shared" ca="1" si="89"/>
        <v>2</v>
      </c>
      <c r="E299">
        <f t="shared" ca="1" si="90"/>
        <v>2</v>
      </c>
      <c r="F299" s="110">
        <f t="shared" ca="1" si="91"/>
        <v>0</v>
      </c>
      <c r="G299">
        <v>0</v>
      </c>
      <c r="H299">
        <v>0</v>
      </c>
      <c r="I299">
        <v>6</v>
      </c>
      <c r="J299" s="1">
        <f t="shared" ca="1" si="92"/>
        <v>0</v>
      </c>
      <c r="K299" s="1">
        <f t="shared" ca="1" si="93"/>
        <v>0</v>
      </c>
      <c r="L299" s="13">
        <f t="shared" ca="1" si="94"/>
        <v>114</v>
      </c>
      <c r="M299" s="7">
        <f t="shared" ca="1" si="95"/>
        <v>1386</v>
      </c>
      <c r="N299" s="26">
        <f t="shared" ca="1" si="96"/>
        <v>5</v>
      </c>
      <c r="O299" s="44">
        <f t="shared" ca="1" si="97"/>
        <v>3.5346387789404914</v>
      </c>
      <c r="P299" s="44">
        <f t="shared" ca="1" si="98"/>
        <v>35.346387789404908</v>
      </c>
      <c r="Q299" s="44">
        <f t="shared" ca="1" si="99"/>
        <v>35.346387789404908</v>
      </c>
      <c r="R299" s="44">
        <f t="shared" ca="1" si="100"/>
        <v>3.5346387789404909</v>
      </c>
      <c r="S299" s="44">
        <f t="shared" ca="1" si="101"/>
        <v>3.5346387789404914</v>
      </c>
      <c r="T299" s="4">
        <f t="shared" ca="1" si="102"/>
        <v>0</v>
      </c>
      <c r="U299" s="120">
        <f t="shared" ca="1" si="103"/>
        <v>1886.4426794074936</v>
      </c>
      <c r="V299" s="4">
        <f t="shared" ca="1" si="104"/>
        <v>0</v>
      </c>
      <c r="W299" s="13">
        <f t="shared" ca="1" si="105"/>
        <v>14573.25</v>
      </c>
      <c r="X299" s="4">
        <f t="shared" ca="1" si="106"/>
        <v>0</v>
      </c>
      <c r="Y299" s="4">
        <f t="shared" si="107"/>
        <v>0</v>
      </c>
      <c r="Z299" s="13">
        <f t="shared" ca="1" si="108"/>
        <v>14573.25</v>
      </c>
      <c r="AA299" s="4">
        <f t="shared" ca="1" si="109"/>
        <v>0</v>
      </c>
      <c r="AE299" s="4"/>
    </row>
    <row r="300" spans="1:31">
      <c r="A300">
        <v>2</v>
      </c>
      <c r="B300">
        <v>0</v>
      </c>
      <c r="C300">
        <f t="shared" ca="1" si="88"/>
        <v>3</v>
      </c>
      <c r="D300">
        <f t="shared" ca="1" si="89"/>
        <v>2</v>
      </c>
      <c r="E300">
        <f t="shared" ca="1" si="90"/>
        <v>2</v>
      </c>
      <c r="F300" s="110">
        <f t="shared" ca="1" si="91"/>
        <v>0</v>
      </c>
      <c r="G300">
        <v>0</v>
      </c>
      <c r="H300">
        <v>0</v>
      </c>
      <c r="I300">
        <v>5</v>
      </c>
      <c r="J300" s="1">
        <f t="shared" ca="1" si="92"/>
        <v>0</v>
      </c>
      <c r="K300" s="1">
        <f t="shared" ca="1" si="93"/>
        <v>0</v>
      </c>
      <c r="L300" s="13">
        <f t="shared" ca="1" si="94"/>
        <v>95</v>
      </c>
      <c r="M300" s="7">
        <f t="shared" ca="1" si="95"/>
        <v>1405</v>
      </c>
      <c r="N300" s="26">
        <f t="shared" ca="1" si="96"/>
        <v>6</v>
      </c>
      <c r="O300" s="44">
        <f t="shared" ca="1" si="97"/>
        <v>4.1694581524927896</v>
      </c>
      <c r="P300" s="44">
        <f t="shared" ca="1" si="98"/>
        <v>41.059762151375594</v>
      </c>
      <c r="Q300" s="44">
        <f t="shared" ca="1" si="99"/>
        <v>35.346387789404908</v>
      </c>
      <c r="R300" s="44">
        <f t="shared" ca="1" si="100"/>
        <v>3.8203074970390247</v>
      </c>
      <c r="S300" s="44">
        <f t="shared" ca="1" si="101"/>
        <v>4.1450176066110256</v>
      </c>
      <c r="T300" s="4">
        <f t="shared" ca="1" si="102"/>
        <v>0</v>
      </c>
      <c r="U300" s="120">
        <f t="shared" ca="1" si="103"/>
        <v>2135.4748169996506</v>
      </c>
      <c r="V300" s="4">
        <f t="shared" ca="1" si="104"/>
        <v>0</v>
      </c>
      <c r="W300" s="13">
        <f t="shared" ca="1" si="105"/>
        <v>12144.375</v>
      </c>
      <c r="X300" s="4">
        <f t="shared" ca="1" si="106"/>
        <v>0</v>
      </c>
      <c r="Y300" s="4">
        <f t="shared" si="107"/>
        <v>0</v>
      </c>
      <c r="Z300" s="13">
        <f t="shared" ca="1" si="108"/>
        <v>12144.375</v>
      </c>
      <c r="AA300" s="4">
        <f t="shared" ca="1" si="109"/>
        <v>0</v>
      </c>
      <c r="AE300" s="4"/>
    </row>
    <row r="301" spans="1:31">
      <c r="A301">
        <v>2</v>
      </c>
      <c r="B301">
        <v>0</v>
      </c>
      <c r="C301">
        <f t="shared" ca="1" si="88"/>
        <v>3</v>
      </c>
      <c r="D301">
        <f t="shared" ca="1" si="89"/>
        <v>2</v>
      </c>
      <c r="E301">
        <f t="shared" ca="1" si="90"/>
        <v>2</v>
      </c>
      <c r="F301" s="110">
        <f t="shared" ca="1" si="91"/>
        <v>0</v>
      </c>
      <c r="G301">
        <v>0</v>
      </c>
      <c r="H301">
        <v>0</v>
      </c>
      <c r="I301">
        <v>4</v>
      </c>
      <c r="J301" s="1">
        <f t="shared" ca="1" si="92"/>
        <v>0</v>
      </c>
      <c r="K301" s="1">
        <f t="shared" ca="1" si="93"/>
        <v>0</v>
      </c>
      <c r="L301" s="13">
        <f t="shared" ca="1" si="94"/>
        <v>76</v>
      </c>
      <c r="M301" s="7">
        <f t="shared" ca="1" si="95"/>
        <v>1424</v>
      </c>
      <c r="N301" s="26">
        <f t="shared" ca="1" si="96"/>
        <v>6</v>
      </c>
      <c r="O301" s="44">
        <f t="shared" ca="1" si="97"/>
        <v>4.1694581524927896</v>
      </c>
      <c r="P301" s="44">
        <f t="shared" ca="1" si="98"/>
        <v>41.694581524927891</v>
      </c>
      <c r="Q301" s="44">
        <f t="shared" ca="1" si="99"/>
        <v>41.694581524927891</v>
      </c>
      <c r="R301" s="44">
        <f t="shared" ca="1" si="100"/>
        <v>4.1694581524927887</v>
      </c>
      <c r="S301" s="44">
        <f t="shared" ca="1" si="101"/>
        <v>4.1694581524927896</v>
      </c>
      <c r="T301" s="4">
        <f t="shared" ca="1" si="102"/>
        <v>0</v>
      </c>
      <c r="U301" s="120">
        <f t="shared" ca="1" si="103"/>
        <v>2127.2072530862838</v>
      </c>
      <c r="V301" s="4">
        <f t="shared" ca="1" si="104"/>
        <v>0</v>
      </c>
      <c r="W301" s="13">
        <f t="shared" ca="1" si="105"/>
        <v>9715.5</v>
      </c>
      <c r="X301" s="4">
        <f t="shared" ca="1" si="106"/>
        <v>0</v>
      </c>
      <c r="Y301" s="4">
        <f t="shared" si="107"/>
        <v>0</v>
      </c>
      <c r="Z301" s="13">
        <f t="shared" ca="1" si="108"/>
        <v>9715.5</v>
      </c>
      <c r="AA301" s="4">
        <f t="shared" ca="1" si="109"/>
        <v>0</v>
      </c>
      <c r="AE301" s="4"/>
    </row>
    <row r="302" spans="1:31">
      <c r="A302">
        <v>2</v>
      </c>
      <c r="B302">
        <v>0</v>
      </c>
      <c r="C302">
        <f t="shared" ca="1" si="88"/>
        <v>3</v>
      </c>
      <c r="D302">
        <f t="shared" ca="1" si="89"/>
        <v>2</v>
      </c>
      <c r="E302">
        <f t="shared" ca="1" si="90"/>
        <v>2</v>
      </c>
      <c r="F302" s="110">
        <f t="shared" ca="1" si="91"/>
        <v>0</v>
      </c>
      <c r="G302">
        <v>0</v>
      </c>
      <c r="H302">
        <v>0</v>
      </c>
      <c r="I302">
        <v>3</v>
      </c>
      <c r="J302" s="1">
        <f t="shared" ca="1" si="92"/>
        <v>0</v>
      </c>
      <c r="K302" s="1">
        <f t="shared" ca="1" si="93"/>
        <v>0</v>
      </c>
      <c r="L302" s="13">
        <f t="shared" ca="1" si="94"/>
        <v>57</v>
      </c>
      <c r="M302" s="7">
        <f t="shared" ca="1" si="95"/>
        <v>1443</v>
      </c>
      <c r="N302" s="26">
        <f t="shared" ca="1" si="96"/>
        <v>6</v>
      </c>
      <c r="O302" s="44">
        <f t="shared" ca="1" si="97"/>
        <v>4.1694581524927896</v>
      </c>
      <c r="P302" s="44">
        <f t="shared" ca="1" si="98"/>
        <v>41.694581524927891</v>
      </c>
      <c r="Q302" s="44">
        <f t="shared" ca="1" si="99"/>
        <v>41.694581524927891</v>
      </c>
      <c r="R302" s="44">
        <f t="shared" ca="1" si="100"/>
        <v>4.1694581524927887</v>
      </c>
      <c r="S302" s="44">
        <f t="shared" ca="1" si="101"/>
        <v>4.1694581524927896</v>
      </c>
      <c r="T302" s="4">
        <f t="shared" ca="1" si="102"/>
        <v>0</v>
      </c>
      <c r="U302" s="120">
        <f t="shared" ca="1" si="103"/>
        <v>2108.2072530862838</v>
      </c>
      <c r="V302" s="4">
        <f t="shared" ca="1" si="104"/>
        <v>0</v>
      </c>
      <c r="W302" s="13">
        <f t="shared" ca="1" si="105"/>
        <v>7286.625</v>
      </c>
      <c r="X302" s="4">
        <f t="shared" ca="1" si="106"/>
        <v>0</v>
      </c>
      <c r="Y302" s="4">
        <f t="shared" si="107"/>
        <v>0</v>
      </c>
      <c r="Z302" s="13">
        <f t="shared" ca="1" si="108"/>
        <v>7286.625</v>
      </c>
      <c r="AA302" s="4">
        <f t="shared" ca="1" si="109"/>
        <v>0</v>
      </c>
      <c r="AE302" s="4"/>
    </row>
    <row r="303" spans="1:31">
      <c r="A303">
        <v>2</v>
      </c>
      <c r="B303">
        <v>0</v>
      </c>
      <c r="C303">
        <f t="shared" ca="1" si="88"/>
        <v>3</v>
      </c>
      <c r="D303">
        <f t="shared" ca="1" si="89"/>
        <v>2</v>
      </c>
      <c r="E303">
        <f t="shared" ca="1" si="90"/>
        <v>2</v>
      </c>
      <c r="F303" s="110">
        <f t="shared" ca="1" si="91"/>
        <v>0</v>
      </c>
      <c r="G303">
        <v>0</v>
      </c>
      <c r="H303">
        <v>0</v>
      </c>
      <c r="I303">
        <v>2</v>
      </c>
      <c r="J303" s="1">
        <f t="shared" ca="1" si="92"/>
        <v>4.5124999999999998E-2</v>
      </c>
      <c r="K303" s="1">
        <f t="shared" ca="1" si="93"/>
        <v>0</v>
      </c>
      <c r="L303" s="13">
        <f t="shared" ca="1" si="94"/>
        <v>38</v>
      </c>
      <c r="M303" s="7">
        <f t="shared" ca="1" si="95"/>
        <v>1462</v>
      </c>
      <c r="N303" s="26">
        <f t="shared" ca="1" si="96"/>
        <v>6</v>
      </c>
      <c r="O303" s="44">
        <f t="shared" ca="1" si="97"/>
        <v>4.1694581524927896</v>
      </c>
      <c r="P303" s="44">
        <f t="shared" ca="1" si="98"/>
        <v>41.694581524927891</v>
      </c>
      <c r="Q303" s="44">
        <f t="shared" ca="1" si="99"/>
        <v>41.694581524927891</v>
      </c>
      <c r="R303" s="44">
        <f t="shared" ca="1" si="100"/>
        <v>4.1694581524927887</v>
      </c>
      <c r="S303" s="44">
        <f t="shared" ca="1" si="101"/>
        <v>4.1694581524927896</v>
      </c>
      <c r="T303" s="4">
        <f t="shared" ca="1" si="102"/>
        <v>0</v>
      </c>
      <c r="U303" s="120">
        <f t="shared" ca="1" si="103"/>
        <v>2089.2072530862838</v>
      </c>
      <c r="V303" s="4">
        <f t="shared" ca="1" si="104"/>
        <v>0</v>
      </c>
      <c r="W303" s="13">
        <f t="shared" ca="1" si="105"/>
        <v>4857.75</v>
      </c>
      <c r="X303" s="4">
        <f t="shared" ca="1" si="106"/>
        <v>0</v>
      </c>
      <c r="Y303" s="4">
        <f t="shared" si="107"/>
        <v>0</v>
      </c>
      <c r="Z303" s="13">
        <f t="shared" ca="1" si="108"/>
        <v>4857.75</v>
      </c>
      <c r="AA303" s="4">
        <f t="shared" ca="1" si="109"/>
        <v>0</v>
      </c>
      <c r="AE303" s="4"/>
    </row>
    <row r="304" spans="1:31">
      <c r="A304">
        <v>2</v>
      </c>
      <c r="B304">
        <v>0</v>
      </c>
      <c r="C304">
        <f t="shared" ca="1" si="88"/>
        <v>3</v>
      </c>
      <c r="D304">
        <f t="shared" ca="1" si="89"/>
        <v>2</v>
      </c>
      <c r="E304">
        <f t="shared" ca="1" si="90"/>
        <v>2</v>
      </c>
      <c r="F304" s="110">
        <f t="shared" ca="1" si="91"/>
        <v>0</v>
      </c>
      <c r="G304">
        <v>0</v>
      </c>
      <c r="H304">
        <v>0</v>
      </c>
      <c r="I304">
        <v>1</v>
      </c>
      <c r="J304" s="1">
        <f t="shared" ca="1" si="92"/>
        <v>4.7500000000000042E-3</v>
      </c>
      <c r="K304" s="1">
        <f t="shared" ca="1" si="93"/>
        <v>0</v>
      </c>
      <c r="L304" s="13">
        <f t="shared" ca="1" si="94"/>
        <v>19</v>
      </c>
      <c r="M304" s="7">
        <f t="shared" ca="1" si="95"/>
        <v>1481</v>
      </c>
      <c r="N304" s="26">
        <f t="shared" ca="1" si="96"/>
        <v>6</v>
      </c>
      <c r="O304" s="44">
        <f t="shared" ca="1" si="97"/>
        <v>4.1694581524927896</v>
      </c>
      <c r="P304" s="44">
        <f t="shared" ca="1" si="98"/>
        <v>41.694581524927891</v>
      </c>
      <c r="Q304" s="44">
        <f t="shared" ca="1" si="99"/>
        <v>41.694581524927891</v>
      </c>
      <c r="R304" s="44">
        <f t="shared" ca="1" si="100"/>
        <v>4.1694581524927887</v>
      </c>
      <c r="S304" s="44">
        <f t="shared" ca="1" si="101"/>
        <v>4.1694581524927896</v>
      </c>
      <c r="T304" s="4">
        <f t="shared" ca="1" si="102"/>
        <v>0</v>
      </c>
      <c r="U304" s="120">
        <f t="shared" ca="1" si="103"/>
        <v>2070.2072530862838</v>
      </c>
      <c r="V304" s="4">
        <f t="shared" ca="1" si="104"/>
        <v>0</v>
      </c>
      <c r="W304" s="13">
        <f t="shared" ca="1" si="105"/>
        <v>2428.875</v>
      </c>
      <c r="X304" s="4">
        <f t="shared" ca="1" si="106"/>
        <v>0</v>
      </c>
      <c r="Y304" s="4">
        <f t="shared" si="107"/>
        <v>0</v>
      </c>
      <c r="Z304" s="13">
        <f t="shared" ca="1" si="108"/>
        <v>2428.875</v>
      </c>
      <c r="AA304" s="4">
        <f t="shared" ca="1" si="109"/>
        <v>0</v>
      </c>
      <c r="AE304" s="4"/>
    </row>
    <row r="305" spans="1:31">
      <c r="A305">
        <v>2</v>
      </c>
      <c r="B305">
        <v>0</v>
      </c>
      <c r="C305">
        <f t="shared" ca="1" si="88"/>
        <v>3</v>
      </c>
      <c r="D305">
        <f t="shared" ca="1" si="89"/>
        <v>2</v>
      </c>
      <c r="E305">
        <f t="shared" ca="1" si="90"/>
        <v>2</v>
      </c>
      <c r="F305" s="110">
        <f t="shared" ca="1" si="91"/>
        <v>0</v>
      </c>
      <c r="G305">
        <v>0</v>
      </c>
      <c r="H305">
        <v>0</v>
      </c>
      <c r="I305">
        <v>0</v>
      </c>
      <c r="J305" s="1">
        <f t="shared" ca="1" si="92"/>
        <v>1.2500000000000022E-4</v>
      </c>
      <c r="K305" s="1">
        <f t="shared" ca="1" si="93"/>
        <v>0</v>
      </c>
      <c r="L305" s="13">
        <f t="shared" ca="1" si="94"/>
        <v>0</v>
      </c>
      <c r="M305" s="7">
        <f t="shared" ca="1" si="95"/>
        <v>1500</v>
      </c>
      <c r="N305" s="26">
        <f t="shared" ca="1" si="96"/>
        <v>6</v>
      </c>
      <c r="O305" s="44">
        <f t="shared" ca="1" si="97"/>
        <v>4.1694581524927896</v>
      </c>
      <c r="P305" s="44">
        <f t="shared" ca="1" si="98"/>
        <v>41.694581524927891</v>
      </c>
      <c r="Q305" s="44">
        <f t="shared" ca="1" si="99"/>
        <v>41.694581524927891</v>
      </c>
      <c r="R305" s="44">
        <f t="shared" ca="1" si="100"/>
        <v>4.1694581524927887</v>
      </c>
      <c r="S305" s="44">
        <f t="shared" ca="1" si="101"/>
        <v>4.1694581524927896</v>
      </c>
      <c r="T305" s="4">
        <f t="shared" ca="1" si="102"/>
        <v>0</v>
      </c>
      <c r="U305" s="120">
        <f t="shared" ca="1" si="103"/>
        <v>2051.2072530862838</v>
      </c>
      <c r="V305" s="4">
        <f t="shared" ca="1" si="104"/>
        <v>0</v>
      </c>
      <c r="W305" s="13">
        <f t="shared" ca="1" si="105"/>
        <v>0</v>
      </c>
      <c r="X305" s="4">
        <f t="shared" ca="1" si="106"/>
        <v>0</v>
      </c>
      <c r="Y305" s="4">
        <f t="shared" si="107"/>
        <v>0</v>
      </c>
      <c r="Z305" s="13">
        <f t="shared" ca="1" si="108"/>
        <v>0</v>
      </c>
      <c r="AA305" s="4">
        <f t="shared" ca="1" si="109"/>
        <v>0</v>
      </c>
      <c r="AE305" s="4"/>
    </row>
    <row r="306" spans="1:31">
      <c r="A306">
        <v>2</v>
      </c>
      <c r="B306">
        <v>1</v>
      </c>
      <c r="C306">
        <f t="shared" ca="1" si="88"/>
        <v>4</v>
      </c>
      <c r="D306">
        <f t="shared" ca="1" si="89"/>
        <v>3</v>
      </c>
      <c r="E306">
        <f t="shared" ca="1" si="90"/>
        <v>2</v>
      </c>
      <c r="F306" s="110">
        <f t="shared" ca="1" si="91"/>
        <v>0</v>
      </c>
      <c r="G306">
        <v>1</v>
      </c>
      <c r="H306">
        <v>1</v>
      </c>
      <c r="I306">
        <v>7</v>
      </c>
      <c r="J306" s="1">
        <f t="shared" ca="1" si="92"/>
        <v>0</v>
      </c>
      <c r="K306" s="1">
        <f t="shared" ca="1" si="93"/>
        <v>0</v>
      </c>
      <c r="L306" s="13">
        <f t="shared" ca="1" si="94"/>
        <v>595</v>
      </c>
      <c r="M306" s="7">
        <f t="shared" ca="1" si="95"/>
        <v>905</v>
      </c>
      <c r="N306" s="26">
        <f t="shared" ca="1" si="96"/>
        <v>4</v>
      </c>
      <c r="O306" s="44">
        <f t="shared" ca="1" si="97"/>
        <v>2.8886114468927948</v>
      </c>
      <c r="P306" s="44">
        <f t="shared" ca="1" si="98"/>
        <v>28.886114468927953</v>
      </c>
      <c r="Q306" s="44">
        <f t="shared" ca="1" si="99"/>
        <v>28.886114468927953</v>
      </c>
      <c r="R306" s="44">
        <f t="shared" ca="1" si="100"/>
        <v>2.8886114468927953</v>
      </c>
      <c r="S306" s="44">
        <f t="shared" ca="1" si="101"/>
        <v>2.8886114468927948</v>
      </c>
      <c r="T306" s="4">
        <f t="shared" ca="1" si="102"/>
        <v>0</v>
      </c>
      <c r="U306" s="120">
        <f t="shared" ca="1" si="103"/>
        <v>2083.7564194948759</v>
      </c>
      <c r="V306" s="4">
        <f t="shared" ca="1" si="104"/>
        <v>0</v>
      </c>
      <c r="W306" s="13">
        <f t="shared" ca="1" si="105"/>
        <v>47995.641000000003</v>
      </c>
      <c r="X306" s="4">
        <f t="shared" ca="1" si="106"/>
        <v>0</v>
      </c>
      <c r="Y306" s="4">
        <f t="shared" si="107"/>
        <v>0</v>
      </c>
      <c r="Z306" s="13">
        <f t="shared" ca="1" si="108"/>
        <v>47995.641000000003</v>
      </c>
      <c r="AA306" s="4">
        <f t="shared" ca="1" si="109"/>
        <v>0</v>
      </c>
      <c r="AE306" s="4"/>
    </row>
    <row r="307" spans="1:31">
      <c r="A307">
        <v>2</v>
      </c>
      <c r="B307">
        <v>1</v>
      </c>
      <c r="C307">
        <f t="shared" ca="1" si="88"/>
        <v>4</v>
      </c>
      <c r="D307">
        <f t="shared" ca="1" si="89"/>
        <v>3</v>
      </c>
      <c r="E307">
        <f t="shared" ca="1" si="90"/>
        <v>2</v>
      </c>
      <c r="F307" s="110">
        <f t="shared" ca="1" si="91"/>
        <v>0</v>
      </c>
      <c r="G307">
        <v>1</v>
      </c>
      <c r="H307">
        <v>1</v>
      </c>
      <c r="I307">
        <v>6</v>
      </c>
      <c r="J307" s="1">
        <f t="shared" ca="1" si="92"/>
        <v>0</v>
      </c>
      <c r="K307" s="1">
        <f t="shared" ca="1" si="93"/>
        <v>0</v>
      </c>
      <c r="L307" s="13">
        <f t="shared" ca="1" si="94"/>
        <v>576</v>
      </c>
      <c r="M307" s="7">
        <f t="shared" ca="1" si="95"/>
        <v>924</v>
      </c>
      <c r="N307" s="26">
        <f t="shared" ca="1" si="96"/>
        <v>4</v>
      </c>
      <c r="O307" s="44">
        <f t="shared" ca="1" si="97"/>
        <v>2.8886114468927948</v>
      </c>
      <c r="P307" s="44">
        <f t="shared" ca="1" si="98"/>
        <v>28.886114468927953</v>
      </c>
      <c r="Q307" s="44">
        <f t="shared" ca="1" si="99"/>
        <v>28.886114468927953</v>
      </c>
      <c r="R307" s="44">
        <f t="shared" ca="1" si="100"/>
        <v>2.8886114468927953</v>
      </c>
      <c r="S307" s="44">
        <f t="shared" ca="1" si="101"/>
        <v>2.8886114468927948</v>
      </c>
      <c r="T307" s="4">
        <f t="shared" ca="1" si="102"/>
        <v>0</v>
      </c>
      <c r="U307" s="120">
        <f t="shared" ca="1" si="103"/>
        <v>2064.7564194948759</v>
      </c>
      <c r="V307" s="4">
        <f t="shared" ca="1" si="104"/>
        <v>0</v>
      </c>
      <c r="W307" s="13">
        <f t="shared" ca="1" si="105"/>
        <v>45566.766000000003</v>
      </c>
      <c r="X307" s="4">
        <f t="shared" ca="1" si="106"/>
        <v>0</v>
      </c>
      <c r="Y307" s="4">
        <f t="shared" si="107"/>
        <v>0</v>
      </c>
      <c r="Z307" s="13">
        <f t="shared" ca="1" si="108"/>
        <v>45566.766000000003</v>
      </c>
      <c r="AA307" s="4">
        <f t="shared" ca="1" si="109"/>
        <v>0</v>
      </c>
      <c r="AE307" s="4"/>
    </row>
    <row r="308" spans="1:31">
      <c r="A308">
        <v>2</v>
      </c>
      <c r="B308">
        <v>1</v>
      </c>
      <c r="C308">
        <f t="shared" ca="1" si="88"/>
        <v>4</v>
      </c>
      <c r="D308">
        <f t="shared" ca="1" si="89"/>
        <v>3</v>
      </c>
      <c r="E308">
        <f t="shared" ca="1" si="90"/>
        <v>2</v>
      </c>
      <c r="F308" s="110">
        <f t="shared" ca="1" si="91"/>
        <v>0</v>
      </c>
      <c r="G308">
        <v>1</v>
      </c>
      <c r="H308">
        <v>1</v>
      </c>
      <c r="I308">
        <v>5</v>
      </c>
      <c r="J308" s="1">
        <f t="shared" ca="1" si="92"/>
        <v>0</v>
      </c>
      <c r="K308" s="1">
        <f t="shared" ca="1" si="93"/>
        <v>0</v>
      </c>
      <c r="L308" s="13">
        <f t="shared" ca="1" si="94"/>
        <v>557</v>
      </c>
      <c r="M308" s="7">
        <f t="shared" ca="1" si="95"/>
        <v>943</v>
      </c>
      <c r="N308" s="26">
        <f t="shared" ca="1" si="96"/>
        <v>4</v>
      </c>
      <c r="O308" s="44">
        <f t="shared" ca="1" si="97"/>
        <v>2.8886114468927948</v>
      </c>
      <c r="P308" s="44">
        <f t="shared" ca="1" si="98"/>
        <v>28.886114468927953</v>
      </c>
      <c r="Q308" s="44">
        <f t="shared" ca="1" si="99"/>
        <v>28.886114468927953</v>
      </c>
      <c r="R308" s="44">
        <f t="shared" ca="1" si="100"/>
        <v>2.8886114468927953</v>
      </c>
      <c r="S308" s="44">
        <f t="shared" ca="1" si="101"/>
        <v>2.8886114468927948</v>
      </c>
      <c r="T308" s="4">
        <f t="shared" ca="1" si="102"/>
        <v>0</v>
      </c>
      <c r="U308" s="120">
        <f t="shared" ca="1" si="103"/>
        <v>2045.7564194948757</v>
      </c>
      <c r="V308" s="4">
        <f t="shared" ca="1" si="104"/>
        <v>0</v>
      </c>
      <c r="W308" s="13">
        <f t="shared" ca="1" si="105"/>
        <v>43137.891000000003</v>
      </c>
      <c r="X308" s="4">
        <f t="shared" ca="1" si="106"/>
        <v>0</v>
      </c>
      <c r="Y308" s="4">
        <f t="shared" si="107"/>
        <v>0</v>
      </c>
      <c r="Z308" s="13">
        <f t="shared" ca="1" si="108"/>
        <v>43137.891000000003</v>
      </c>
      <c r="AA308" s="4">
        <f t="shared" ca="1" si="109"/>
        <v>0</v>
      </c>
      <c r="AE308" s="4"/>
    </row>
    <row r="309" spans="1:31">
      <c r="A309">
        <v>2</v>
      </c>
      <c r="B309">
        <v>1</v>
      </c>
      <c r="C309">
        <f t="shared" ca="1" si="88"/>
        <v>4</v>
      </c>
      <c r="D309">
        <f t="shared" ca="1" si="89"/>
        <v>3</v>
      </c>
      <c r="E309">
        <f t="shared" ca="1" si="90"/>
        <v>2</v>
      </c>
      <c r="F309" s="110">
        <f t="shared" ca="1" si="91"/>
        <v>0</v>
      </c>
      <c r="G309">
        <v>1</v>
      </c>
      <c r="H309">
        <v>1</v>
      </c>
      <c r="I309">
        <v>4</v>
      </c>
      <c r="J309" s="1">
        <f t="shared" ca="1" si="92"/>
        <v>0</v>
      </c>
      <c r="K309" s="1">
        <f t="shared" ca="1" si="93"/>
        <v>0</v>
      </c>
      <c r="L309" s="13">
        <f t="shared" ca="1" si="94"/>
        <v>538</v>
      </c>
      <c r="M309" s="7">
        <f t="shared" ca="1" si="95"/>
        <v>962</v>
      </c>
      <c r="N309" s="26">
        <f t="shared" ca="1" si="96"/>
        <v>4</v>
      </c>
      <c r="O309" s="44">
        <f t="shared" ca="1" si="97"/>
        <v>2.8886114468927948</v>
      </c>
      <c r="P309" s="44">
        <f t="shared" ca="1" si="98"/>
        <v>28.886114468927953</v>
      </c>
      <c r="Q309" s="44">
        <f t="shared" ca="1" si="99"/>
        <v>28.886114468927953</v>
      </c>
      <c r="R309" s="44">
        <f t="shared" ca="1" si="100"/>
        <v>2.8886114468927953</v>
      </c>
      <c r="S309" s="44">
        <f t="shared" ca="1" si="101"/>
        <v>2.8886114468927948</v>
      </c>
      <c r="T309" s="4">
        <f t="shared" ca="1" si="102"/>
        <v>0</v>
      </c>
      <c r="U309" s="120">
        <f t="shared" ca="1" si="103"/>
        <v>2026.7564194948757</v>
      </c>
      <c r="V309" s="4">
        <f t="shared" ca="1" si="104"/>
        <v>0</v>
      </c>
      <c r="W309" s="13">
        <f t="shared" ca="1" si="105"/>
        <v>40709.016000000003</v>
      </c>
      <c r="X309" s="4">
        <f t="shared" ca="1" si="106"/>
        <v>0</v>
      </c>
      <c r="Y309" s="4">
        <f t="shared" si="107"/>
        <v>0</v>
      </c>
      <c r="Z309" s="13">
        <f t="shared" ca="1" si="108"/>
        <v>40709.016000000003</v>
      </c>
      <c r="AA309" s="4">
        <f t="shared" ca="1" si="109"/>
        <v>0</v>
      </c>
      <c r="AE309" s="4"/>
    </row>
    <row r="310" spans="1:31">
      <c r="A310">
        <v>2</v>
      </c>
      <c r="B310">
        <v>1</v>
      </c>
      <c r="C310">
        <f t="shared" ca="1" si="88"/>
        <v>4</v>
      </c>
      <c r="D310">
        <f t="shared" ca="1" si="89"/>
        <v>3</v>
      </c>
      <c r="E310">
        <f t="shared" ca="1" si="90"/>
        <v>2</v>
      </c>
      <c r="F310" s="110">
        <f t="shared" ca="1" si="91"/>
        <v>0</v>
      </c>
      <c r="G310">
        <v>1</v>
      </c>
      <c r="H310">
        <v>1</v>
      </c>
      <c r="I310">
        <v>3</v>
      </c>
      <c r="J310" s="1">
        <f t="shared" ca="1" si="92"/>
        <v>0</v>
      </c>
      <c r="K310" s="1">
        <f t="shared" ca="1" si="93"/>
        <v>0</v>
      </c>
      <c r="L310" s="13">
        <f t="shared" ca="1" si="94"/>
        <v>519</v>
      </c>
      <c r="M310" s="7">
        <f t="shared" ca="1" si="95"/>
        <v>981</v>
      </c>
      <c r="N310" s="26">
        <f t="shared" ca="1" si="96"/>
        <v>4</v>
      </c>
      <c r="O310" s="44">
        <f t="shared" ca="1" si="97"/>
        <v>2.8886114468927948</v>
      </c>
      <c r="P310" s="44">
        <f t="shared" ca="1" si="98"/>
        <v>28.886114468927953</v>
      </c>
      <c r="Q310" s="44">
        <f t="shared" ca="1" si="99"/>
        <v>28.886114468927953</v>
      </c>
      <c r="R310" s="44">
        <f t="shared" ca="1" si="100"/>
        <v>2.8886114468927953</v>
      </c>
      <c r="S310" s="44">
        <f t="shared" ca="1" si="101"/>
        <v>2.8886114468927948</v>
      </c>
      <c r="T310" s="4">
        <f t="shared" ca="1" si="102"/>
        <v>0</v>
      </c>
      <c r="U310" s="120">
        <f t="shared" ca="1" si="103"/>
        <v>2007.7564194948757</v>
      </c>
      <c r="V310" s="4">
        <f t="shared" ca="1" si="104"/>
        <v>0</v>
      </c>
      <c r="W310" s="13">
        <f t="shared" ca="1" si="105"/>
        <v>38280.141000000003</v>
      </c>
      <c r="X310" s="4">
        <f t="shared" ca="1" si="106"/>
        <v>0</v>
      </c>
      <c r="Y310" s="4">
        <f t="shared" si="107"/>
        <v>0</v>
      </c>
      <c r="Z310" s="13">
        <f t="shared" ca="1" si="108"/>
        <v>38280.141000000003</v>
      </c>
      <c r="AA310" s="4">
        <f t="shared" ca="1" si="109"/>
        <v>0</v>
      </c>
      <c r="AE310" s="4"/>
    </row>
    <row r="311" spans="1:31">
      <c r="A311">
        <v>2</v>
      </c>
      <c r="B311">
        <v>1</v>
      </c>
      <c r="C311">
        <f t="shared" ca="1" si="88"/>
        <v>4</v>
      </c>
      <c r="D311">
        <f t="shared" ca="1" si="89"/>
        <v>3</v>
      </c>
      <c r="E311">
        <f t="shared" ca="1" si="90"/>
        <v>2</v>
      </c>
      <c r="F311" s="110">
        <f t="shared" ca="1" si="91"/>
        <v>0</v>
      </c>
      <c r="G311">
        <v>1</v>
      </c>
      <c r="H311">
        <v>1</v>
      </c>
      <c r="I311">
        <v>2</v>
      </c>
      <c r="J311" s="1">
        <f t="shared" ca="1" si="92"/>
        <v>0</v>
      </c>
      <c r="K311" s="1">
        <f t="shared" ca="1" si="93"/>
        <v>0</v>
      </c>
      <c r="L311" s="13">
        <f t="shared" ca="1" si="94"/>
        <v>500</v>
      </c>
      <c r="M311" s="7">
        <f t="shared" ca="1" si="95"/>
        <v>1000</v>
      </c>
      <c r="N311" s="26">
        <f t="shared" ca="1" si="96"/>
        <v>4</v>
      </c>
      <c r="O311" s="44">
        <f t="shared" ca="1" si="97"/>
        <v>2.8886114468927948</v>
      </c>
      <c r="P311" s="44">
        <f t="shared" ca="1" si="98"/>
        <v>28.886114468927953</v>
      </c>
      <c r="Q311" s="44">
        <f t="shared" ca="1" si="99"/>
        <v>28.886114468927953</v>
      </c>
      <c r="R311" s="44">
        <f t="shared" ca="1" si="100"/>
        <v>2.8886114468927953</v>
      </c>
      <c r="S311" s="44">
        <f t="shared" ca="1" si="101"/>
        <v>2.8886114468927948</v>
      </c>
      <c r="T311" s="4">
        <f t="shared" ca="1" si="102"/>
        <v>0</v>
      </c>
      <c r="U311" s="120">
        <f t="shared" ca="1" si="103"/>
        <v>1988.7564194948757</v>
      </c>
      <c r="V311" s="4">
        <f t="shared" ca="1" si="104"/>
        <v>0</v>
      </c>
      <c r="W311" s="13">
        <f t="shared" ca="1" si="105"/>
        <v>35851.266000000003</v>
      </c>
      <c r="X311" s="4">
        <f t="shared" ca="1" si="106"/>
        <v>0</v>
      </c>
      <c r="Y311" s="4">
        <f t="shared" si="107"/>
        <v>0</v>
      </c>
      <c r="Z311" s="13">
        <f t="shared" ca="1" si="108"/>
        <v>35851.266000000003</v>
      </c>
      <c r="AA311" s="4">
        <f t="shared" ca="1" si="109"/>
        <v>0</v>
      </c>
      <c r="AE311" s="4"/>
    </row>
    <row r="312" spans="1:31">
      <c r="A312">
        <v>2</v>
      </c>
      <c r="B312">
        <v>1</v>
      </c>
      <c r="C312">
        <f t="shared" ca="1" si="88"/>
        <v>4</v>
      </c>
      <c r="D312">
        <f t="shared" ca="1" si="89"/>
        <v>3</v>
      </c>
      <c r="E312">
        <f t="shared" ca="1" si="90"/>
        <v>2</v>
      </c>
      <c r="F312" s="110">
        <f t="shared" ca="1" si="91"/>
        <v>0</v>
      </c>
      <c r="G312">
        <v>1</v>
      </c>
      <c r="H312">
        <v>1</v>
      </c>
      <c r="I312">
        <v>1</v>
      </c>
      <c r="J312" s="1">
        <f t="shared" ca="1" si="92"/>
        <v>0</v>
      </c>
      <c r="K312" s="1">
        <f t="shared" ca="1" si="93"/>
        <v>0</v>
      </c>
      <c r="L312" s="13">
        <f t="shared" ca="1" si="94"/>
        <v>481</v>
      </c>
      <c r="M312" s="7">
        <f t="shared" ca="1" si="95"/>
        <v>1019</v>
      </c>
      <c r="N312" s="26">
        <f t="shared" ca="1" si="96"/>
        <v>4</v>
      </c>
      <c r="O312" s="44">
        <f t="shared" ca="1" si="97"/>
        <v>2.8886114468927948</v>
      </c>
      <c r="P312" s="44">
        <f t="shared" ca="1" si="98"/>
        <v>28.886114468927953</v>
      </c>
      <c r="Q312" s="44">
        <f t="shared" ca="1" si="99"/>
        <v>28.886114468927953</v>
      </c>
      <c r="R312" s="44">
        <f t="shared" ca="1" si="100"/>
        <v>2.8886114468927953</v>
      </c>
      <c r="S312" s="44">
        <f t="shared" ca="1" si="101"/>
        <v>2.8886114468927948</v>
      </c>
      <c r="T312" s="4">
        <f t="shared" ca="1" si="102"/>
        <v>0</v>
      </c>
      <c r="U312" s="120">
        <f t="shared" ca="1" si="103"/>
        <v>1969.7564194948757</v>
      </c>
      <c r="V312" s="4">
        <f t="shared" ca="1" si="104"/>
        <v>0</v>
      </c>
      <c r="W312" s="13">
        <f t="shared" ca="1" si="105"/>
        <v>33422.391000000003</v>
      </c>
      <c r="X312" s="4">
        <f t="shared" ca="1" si="106"/>
        <v>0</v>
      </c>
      <c r="Y312" s="4">
        <f t="shared" si="107"/>
        <v>0</v>
      </c>
      <c r="Z312" s="13">
        <f t="shared" ca="1" si="108"/>
        <v>33422.391000000003</v>
      </c>
      <c r="AA312" s="4">
        <f t="shared" ca="1" si="109"/>
        <v>0</v>
      </c>
      <c r="AE312" s="4"/>
    </row>
    <row r="313" spans="1:31">
      <c r="A313">
        <v>2</v>
      </c>
      <c r="B313">
        <v>1</v>
      </c>
      <c r="C313">
        <f t="shared" ca="1" si="88"/>
        <v>4</v>
      </c>
      <c r="D313">
        <f t="shared" ca="1" si="89"/>
        <v>3</v>
      </c>
      <c r="E313">
        <f t="shared" ca="1" si="90"/>
        <v>2</v>
      </c>
      <c r="F313" s="110">
        <f t="shared" ca="1" si="91"/>
        <v>0</v>
      </c>
      <c r="G313">
        <v>1</v>
      </c>
      <c r="H313">
        <v>1</v>
      </c>
      <c r="I313">
        <v>0</v>
      </c>
      <c r="J313" s="1">
        <f t="shared" ca="1" si="92"/>
        <v>0</v>
      </c>
      <c r="K313" s="1">
        <f t="shared" ca="1" si="93"/>
        <v>0</v>
      </c>
      <c r="L313" s="13">
        <f t="shared" ca="1" si="94"/>
        <v>462</v>
      </c>
      <c r="M313" s="7">
        <f t="shared" ca="1" si="95"/>
        <v>1038</v>
      </c>
      <c r="N313" s="26">
        <f t="shared" ca="1" si="96"/>
        <v>4</v>
      </c>
      <c r="O313" s="44">
        <f t="shared" ca="1" si="97"/>
        <v>2.8886114468927948</v>
      </c>
      <c r="P313" s="44">
        <f t="shared" ca="1" si="98"/>
        <v>28.886114468927953</v>
      </c>
      <c r="Q313" s="44">
        <f t="shared" ca="1" si="99"/>
        <v>28.886114468927953</v>
      </c>
      <c r="R313" s="44">
        <f t="shared" ca="1" si="100"/>
        <v>2.8886114468927953</v>
      </c>
      <c r="S313" s="44">
        <f t="shared" ca="1" si="101"/>
        <v>2.8886114468927948</v>
      </c>
      <c r="T313" s="4">
        <f t="shared" ca="1" si="102"/>
        <v>0</v>
      </c>
      <c r="U313" s="120">
        <f t="shared" ca="1" si="103"/>
        <v>1950.7564194948757</v>
      </c>
      <c r="V313" s="4">
        <f t="shared" ca="1" si="104"/>
        <v>0</v>
      </c>
      <c r="W313" s="13">
        <f t="shared" ca="1" si="105"/>
        <v>30993.516000000003</v>
      </c>
      <c r="X313" s="4">
        <f t="shared" ca="1" si="106"/>
        <v>0</v>
      </c>
      <c r="Y313" s="4">
        <f t="shared" si="107"/>
        <v>0</v>
      </c>
      <c r="Z313" s="13">
        <f t="shared" ca="1" si="108"/>
        <v>30993.516000000003</v>
      </c>
      <c r="AA313" s="4">
        <f t="shared" ca="1" si="109"/>
        <v>0</v>
      </c>
      <c r="AE313" s="4"/>
    </row>
    <row r="314" spans="1:31">
      <c r="A314">
        <v>2</v>
      </c>
      <c r="B314">
        <v>1</v>
      </c>
      <c r="C314">
        <f t="shared" ca="1" si="88"/>
        <v>4</v>
      </c>
      <c r="D314">
        <f t="shared" ca="1" si="89"/>
        <v>3</v>
      </c>
      <c r="E314">
        <f t="shared" ca="1" si="90"/>
        <v>2</v>
      </c>
      <c r="F314" s="110">
        <f t="shared" ca="1" si="91"/>
        <v>0</v>
      </c>
      <c r="G314">
        <v>1</v>
      </c>
      <c r="H314">
        <v>0</v>
      </c>
      <c r="I314">
        <v>7</v>
      </c>
      <c r="J314" s="1">
        <f t="shared" ca="1" si="92"/>
        <v>0</v>
      </c>
      <c r="K314" s="1">
        <f t="shared" ca="1" si="93"/>
        <v>0</v>
      </c>
      <c r="L314" s="13">
        <f t="shared" ca="1" si="94"/>
        <v>364</v>
      </c>
      <c r="M314" s="7">
        <f t="shared" ca="1" si="95"/>
        <v>1136</v>
      </c>
      <c r="N314" s="26">
        <f t="shared" ca="1" si="96"/>
        <v>5</v>
      </c>
      <c r="O314" s="44">
        <f t="shared" ca="1" si="97"/>
        <v>3.5346387789404914</v>
      </c>
      <c r="P314" s="44">
        <f t="shared" ca="1" si="98"/>
        <v>35.346387789404908</v>
      </c>
      <c r="Q314" s="44">
        <f t="shared" ca="1" si="99"/>
        <v>34.700360457357213</v>
      </c>
      <c r="R314" s="44">
        <f t="shared" ca="1" si="100"/>
        <v>3.5023374123381061</v>
      </c>
      <c r="S314" s="44">
        <f t="shared" ca="1" si="101"/>
        <v>3.532377683278324</v>
      </c>
      <c r="T314" s="4">
        <f t="shared" ca="1" si="102"/>
        <v>0</v>
      </c>
      <c r="U314" s="120">
        <f t="shared" ca="1" si="103"/>
        <v>2135.4497774977995</v>
      </c>
      <c r="V314" s="4">
        <f t="shared" ca="1" si="104"/>
        <v>0</v>
      </c>
      <c r="W314" s="13">
        <f t="shared" ca="1" si="105"/>
        <v>47995.641000000003</v>
      </c>
      <c r="X314" s="4">
        <f t="shared" ca="1" si="106"/>
        <v>0</v>
      </c>
      <c r="Y314" s="4">
        <f t="shared" si="107"/>
        <v>0</v>
      </c>
      <c r="Z314" s="13">
        <f t="shared" ca="1" si="108"/>
        <v>47995.641000000003</v>
      </c>
      <c r="AA314" s="4">
        <f t="shared" ca="1" si="109"/>
        <v>0</v>
      </c>
      <c r="AE314" s="4"/>
    </row>
    <row r="315" spans="1:31">
      <c r="A315">
        <v>2</v>
      </c>
      <c r="B315">
        <v>1</v>
      </c>
      <c r="C315">
        <f t="shared" ca="1" si="88"/>
        <v>4</v>
      </c>
      <c r="D315">
        <f t="shared" ca="1" si="89"/>
        <v>3</v>
      </c>
      <c r="E315">
        <f t="shared" ca="1" si="90"/>
        <v>2</v>
      </c>
      <c r="F315" s="110">
        <f t="shared" ca="1" si="91"/>
        <v>0</v>
      </c>
      <c r="G315">
        <v>1</v>
      </c>
      <c r="H315">
        <v>0</v>
      </c>
      <c r="I315">
        <v>6</v>
      </c>
      <c r="J315" s="1">
        <f t="shared" ca="1" si="92"/>
        <v>0</v>
      </c>
      <c r="K315" s="1">
        <f t="shared" ca="1" si="93"/>
        <v>0</v>
      </c>
      <c r="L315" s="13">
        <f t="shared" ca="1" si="94"/>
        <v>345</v>
      </c>
      <c r="M315" s="7">
        <f t="shared" ca="1" si="95"/>
        <v>1155</v>
      </c>
      <c r="N315" s="26">
        <f t="shared" ca="1" si="96"/>
        <v>5</v>
      </c>
      <c r="O315" s="44">
        <f t="shared" ca="1" si="97"/>
        <v>3.5346387789404914</v>
      </c>
      <c r="P315" s="44">
        <f t="shared" ca="1" si="98"/>
        <v>35.346387789404908</v>
      </c>
      <c r="Q315" s="44">
        <f t="shared" ca="1" si="99"/>
        <v>35.346387789404908</v>
      </c>
      <c r="R315" s="44">
        <f t="shared" ca="1" si="100"/>
        <v>3.5346387789404909</v>
      </c>
      <c r="S315" s="44">
        <f t="shared" ca="1" si="101"/>
        <v>3.5346387789404914</v>
      </c>
      <c r="T315" s="4">
        <f t="shared" ca="1" si="102"/>
        <v>0</v>
      </c>
      <c r="U315" s="120">
        <f t="shared" ca="1" si="103"/>
        <v>2117.4426794074939</v>
      </c>
      <c r="V315" s="4">
        <f t="shared" ca="1" si="104"/>
        <v>0</v>
      </c>
      <c r="W315" s="13">
        <f t="shared" ca="1" si="105"/>
        <v>45566.766000000003</v>
      </c>
      <c r="X315" s="4">
        <f t="shared" ca="1" si="106"/>
        <v>0</v>
      </c>
      <c r="Y315" s="4">
        <f t="shared" si="107"/>
        <v>0</v>
      </c>
      <c r="Z315" s="13">
        <f t="shared" ca="1" si="108"/>
        <v>45566.766000000003</v>
      </c>
      <c r="AA315" s="4">
        <f t="shared" ca="1" si="109"/>
        <v>0</v>
      </c>
      <c r="AE315" s="4"/>
    </row>
    <row r="316" spans="1:31">
      <c r="A316">
        <v>2</v>
      </c>
      <c r="B316">
        <v>1</v>
      </c>
      <c r="C316">
        <f t="shared" ca="1" si="88"/>
        <v>4</v>
      </c>
      <c r="D316">
        <f t="shared" ca="1" si="89"/>
        <v>3</v>
      </c>
      <c r="E316">
        <f t="shared" ca="1" si="90"/>
        <v>2</v>
      </c>
      <c r="F316" s="110">
        <f t="shared" ca="1" si="91"/>
        <v>0</v>
      </c>
      <c r="G316">
        <v>1</v>
      </c>
      <c r="H316">
        <v>0</v>
      </c>
      <c r="I316">
        <v>5</v>
      </c>
      <c r="J316" s="1">
        <f t="shared" ca="1" si="92"/>
        <v>0</v>
      </c>
      <c r="K316" s="1">
        <f t="shared" ca="1" si="93"/>
        <v>0</v>
      </c>
      <c r="L316" s="13">
        <f t="shared" ca="1" si="94"/>
        <v>326</v>
      </c>
      <c r="M316" s="7">
        <f t="shared" ca="1" si="95"/>
        <v>1174</v>
      </c>
      <c r="N316" s="26">
        <f t="shared" ca="1" si="96"/>
        <v>5</v>
      </c>
      <c r="O316" s="44">
        <f t="shared" ca="1" si="97"/>
        <v>3.5346387789404914</v>
      </c>
      <c r="P316" s="44">
        <f t="shared" ca="1" si="98"/>
        <v>35.346387789404908</v>
      </c>
      <c r="Q316" s="44">
        <f t="shared" ca="1" si="99"/>
        <v>35.346387789404908</v>
      </c>
      <c r="R316" s="44">
        <f t="shared" ca="1" si="100"/>
        <v>3.5346387789404909</v>
      </c>
      <c r="S316" s="44">
        <f t="shared" ca="1" si="101"/>
        <v>3.5346387789404914</v>
      </c>
      <c r="T316" s="4">
        <f t="shared" ca="1" si="102"/>
        <v>0</v>
      </c>
      <c r="U316" s="120">
        <f t="shared" ca="1" si="103"/>
        <v>2098.4426794074939</v>
      </c>
      <c r="V316" s="4">
        <f t="shared" ca="1" si="104"/>
        <v>0</v>
      </c>
      <c r="W316" s="13">
        <f t="shared" ca="1" si="105"/>
        <v>43137.891000000003</v>
      </c>
      <c r="X316" s="4">
        <f t="shared" ca="1" si="106"/>
        <v>0</v>
      </c>
      <c r="Y316" s="4">
        <f t="shared" si="107"/>
        <v>0</v>
      </c>
      <c r="Z316" s="13">
        <f t="shared" ca="1" si="108"/>
        <v>43137.891000000003</v>
      </c>
      <c r="AA316" s="4">
        <f t="shared" ca="1" si="109"/>
        <v>0</v>
      </c>
      <c r="AE316" s="4"/>
    </row>
    <row r="317" spans="1:31">
      <c r="A317">
        <v>2</v>
      </c>
      <c r="B317">
        <v>1</v>
      </c>
      <c r="C317">
        <f t="shared" ca="1" si="88"/>
        <v>4</v>
      </c>
      <c r="D317">
        <f t="shared" ca="1" si="89"/>
        <v>3</v>
      </c>
      <c r="E317">
        <f t="shared" ca="1" si="90"/>
        <v>2</v>
      </c>
      <c r="F317" s="110">
        <f t="shared" ca="1" si="91"/>
        <v>0</v>
      </c>
      <c r="G317">
        <v>1</v>
      </c>
      <c r="H317">
        <v>0</v>
      </c>
      <c r="I317">
        <v>4</v>
      </c>
      <c r="J317" s="1">
        <f t="shared" ca="1" si="92"/>
        <v>0</v>
      </c>
      <c r="K317" s="1">
        <f t="shared" ca="1" si="93"/>
        <v>0</v>
      </c>
      <c r="L317" s="13">
        <f t="shared" ca="1" si="94"/>
        <v>307</v>
      </c>
      <c r="M317" s="7">
        <f t="shared" ca="1" si="95"/>
        <v>1193</v>
      </c>
      <c r="N317" s="26">
        <f t="shared" ca="1" si="96"/>
        <v>5</v>
      </c>
      <c r="O317" s="44">
        <f t="shared" ca="1" si="97"/>
        <v>3.5346387789404914</v>
      </c>
      <c r="P317" s="44">
        <f t="shared" ca="1" si="98"/>
        <v>35.346387789404908</v>
      </c>
      <c r="Q317" s="44">
        <f t="shared" ca="1" si="99"/>
        <v>35.346387789404908</v>
      </c>
      <c r="R317" s="44">
        <f t="shared" ca="1" si="100"/>
        <v>3.5346387789404909</v>
      </c>
      <c r="S317" s="44">
        <f t="shared" ca="1" si="101"/>
        <v>3.5346387789404914</v>
      </c>
      <c r="T317" s="4">
        <f t="shared" ca="1" si="102"/>
        <v>0</v>
      </c>
      <c r="U317" s="120">
        <f t="shared" ca="1" si="103"/>
        <v>2079.4426794074939</v>
      </c>
      <c r="V317" s="4">
        <f t="shared" ca="1" si="104"/>
        <v>0</v>
      </c>
      <c r="W317" s="13">
        <f t="shared" ca="1" si="105"/>
        <v>40709.016000000003</v>
      </c>
      <c r="X317" s="4">
        <f t="shared" ca="1" si="106"/>
        <v>0</v>
      </c>
      <c r="Y317" s="4">
        <f t="shared" si="107"/>
        <v>0</v>
      </c>
      <c r="Z317" s="13">
        <f t="shared" ca="1" si="108"/>
        <v>40709.016000000003</v>
      </c>
      <c r="AA317" s="4">
        <f t="shared" ca="1" si="109"/>
        <v>0</v>
      </c>
      <c r="AE317" s="4"/>
    </row>
    <row r="318" spans="1:31">
      <c r="A318">
        <v>2</v>
      </c>
      <c r="B318">
        <v>1</v>
      </c>
      <c r="C318">
        <f t="shared" ca="1" si="88"/>
        <v>4</v>
      </c>
      <c r="D318">
        <f t="shared" ca="1" si="89"/>
        <v>3</v>
      </c>
      <c r="E318">
        <f t="shared" ca="1" si="90"/>
        <v>2</v>
      </c>
      <c r="F318" s="110">
        <f t="shared" ca="1" si="91"/>
        <v>0</v>
      </c>
      <c r="G318">
        <v>1</v>
      </c>
      <c r="H318">
        <v>0</v>
      </c>
      <c r="I318">
        <v>3</v>
      </c>
      <c r="J318" s="1">
        <f t="shared" ca="1" si="92"/>
        <v>0.81450624999999988</v>
      </c>
      <c r="K318" s="1">
        <f t="shared" ca="1" si="93"/>
        <v>0</v>
      </c>
      <c r="L318" s="13">
        <f t="shared" ca="1" si="94"/>
        <v>288</v>
      </c>
      <c r="M318" s="7">
        <f t="shared" ca="1" si="95"/>
        <v>1212</v>
      </c>
      <c r="N318" s="26">
        <f t="shared" ca="1" si="96"/>
        <v>5</v>
      </c>
      <c r="O318" s="44">
        <f t="shared" ca="1" si="97"/>
        <v>3.5346387789404914</v>
      </c>
      <c r="P318" s="44">
        <f t="shared" ca="1" si="98"/>
        <v>35.346387789404908</v>
      </c>
      <c r="Q318" s="44">
        <f t="shared" ca="1" si="99"/>
        <v>35.346387789404908</v>
      </c>
      <c r="R318" s="44">
        <f t="shared" ca="1" si="100"/>
        <v>3.5346387789404909</v>
      </c>
      <c r="S318" s="44">
        <f t="shared" ca="1" si="101"/>
        <v>3.5346387789404914</v>
      </c>
      <c r="T318" s="4">
        <f t="shared" ca="1" si="102"/>
        <v>0</v>
      </c>
      <c r="U318" s="120">
        <f t="shared" ca="1" si="103"/>
        <v>2060.4426794074939</v>
      </c>
      <c r="V318" s="4">
        <f t="shared" ca="1" si="104"/>
        <v>0</v>
      </c>
      <c r="W318" s="13">
        <f t="shared" ca="1" si="105"/>
        <v>38280.141000000003</v>
      </c>
      <c r="X318" s="4">
        <f t="shared" ca="1" si="106"/>
        <v>0</v>
      </c>
      <c r="Y318" s="4">
        <f t="shared" si="107"/>
        <v>0</v>
      </c>
      <c r="Z318" s="13">
        <f t="shared" ca="1" si="108"/>
        <v>38280.141000000003</v>
      </c>
      <c r="AA318" s="4">
        <f t="shared" ca="1" si="109"/>
        <v>0</v>
      </c>
      <c r="AE318" s="4"/>
    </row>
    <row r="319" spans="1:31">
      <c r="A319">
        <v>2</v>
      </c>
      <c r="B319">
        <v>1</v>
      </c>
      <c r="C319">
        <f t="shared" ca="1" si="88"/>
        <v>4</v>
      </c>
      <c r="D319">
        <f t="shared" ca="1" si="89"/>
        <v>3</v>
      </c>
      <c r="E319">
        <f t="shared" ca="1" si="90"/>
        <v>2</v>
      </c>
      <c r="F319" s="110">
        <f t="shared" ca="1" si="91"/>
        <v>0</v>
      </c>
      <c r="G319">
        <v>1</v>
      </c>
      <c r="H319">
        <v>0</v>
      </c>
      <c r="I319">
        <v>2</v>
      </c>
      <c r="J319" s="1">
        <f t="shared" ca="1" si="92"/>
        <v>0.12860625000000012</v>
      </c>
      <c r="K319" s="1">
        <f t="shared" ca="1" si="93"/>
        <v>0</v>
      </c>
      <c r="L319" s="13">
        <f t="shared" ca="1" si="94"/>
        <v>269</v>
      </c>
      <c r="M319" s="7">
        <f t="shared" ca="1" si="95"/>
        <v>1231</v>
      </c>
      <c r="N319" s="26">
        <f t="shared" ca="1" si="96"/>
        <v>5</v>
      </c>
      <c r="O319" s="44">
        <f t="shared" ca="1" si="97"/>
        <v>3.5346387789404914</v>
      </c>
      <c r="P319" s="44">
        <f t="shared" ca="1" si="98"/>
        <v>35.346387789404908</v>
      </c>
      <c r="Q319" s="44">
        <f t="shared" ca="1" si="99"/>
        <v>35.346387789404908</v>
      </c>
      <c r="R319" s="44">
        <f t="shared" ca="1" si="100"/>
        <v>3.5346387789404909</v>
      </c>
      <c r="S319" s="44">
        <f t="shared" ca="1" si="101"/>
        <v>3.5346387789404914</v>
      </c>
      <c r="T319" s="4">
        <f t="shared" ca="1" si="102"/>
        <v>0</v>
      </c>
      <c r="U319" s="120">
        <f t="shared" ca="1" si="103"/>
        <v>2041.4426794074936</v>
      </c>
      <c r="V319" s="4">
        <f t="shared" ca="1" si="104"/>
        <v>0</v>
      </c>
      <c r="W319" s="13">
        <f t="shared" ca="1" si="105"/>
        <v>35851.266000000003</v>
      </c>
      <c r="X319" s="4">
        <f t="shared" ca="1" si="106"/>
        <v>0</v>
      </c>
      <c r="Y319" s="4">
        <f t="shared" si="107"/>
        <v>0</v>
      </c>
      <c r="Z319" s="13">
        <f t="shared" ca="1" si="108"/>
        <v>35851.266000000003</v>
      </c>
      <c r="AA319" s="4">
        <f t="shared" ca="1" si="109"/>
        <v>0</v>
      </c>
      <c r="AE319" s="4"/>
    </row>
    <row r="320" spans="1:31">
      <c r="A320">
        <v>2</v>
      </c>
      <c r="B320">
        <v>1</v>
      </c>
      <c r="C320">
        <f t="shared" ca="1" si="88"/>
        <v>4</v>
      </c>
      <c r="D320">
        <f t="shared" ca="1" si="89"/>
        <v>3</v>
      </c>
      <c r="E320">
        <f t="shared" ca="1" si="90"/>
        <v>2</v>
      </c>
      <c r="F320" s="110">
        <f t="shared" ca="1" si="91"/>
        <v>0</v>
      </c>
      <c r="G320">
        <v>1</v>
      </c>
      <c r="H320">
        <v>0</v>
      </c>
      <c r="I320">
        <v>1</v>
      </c>
      <c r="J320" s="1">
        <f t="shared" ca="1" si="92"/>
        <v>6.7687500000000109E-3</v>
      </c>
      <c r="K320" s="1">
        <f t="shared" ca="1" si="93"/>
        <v>0</v>
      </c>
      <c r="L320" s="13">
        <f t="shared" ca="1" si="94"/>
        <v>250</v>
      </c>
      <c r="M320" s="7">
        <f t="shared" ca="1" si="95"/>
        <v>1250</v>
      </c>
      <c r="N320" s="26">
        <f t="shared" ca="1" si="96"/>
        <v>5</v>
      </c>
      <c r="O320" s="44">
        <f t="shared" ca="1" si="97"/>
        <v>3.5346387789404914</v>
      </c>
      <c r="P320" s="44">
        <f t="shared" ca="1" si="98"/>
        <v>35.346387789404908</v>
      </c>
      <c r="Q320" s="44">
        <f t="shared" ca="1" si="99"/>
        <v>35.346387789404908</v>
      </c>
      <c r="R320" s="44">
        <f t="shared" ca="1" si="100"/>
        <v>3.5346387789404909</v>
      </c>
      <c r="S320" s="44">
        <f t="shared" ca="1" si="101"/>
        <v>3.5346387789404914</v>
      </c>
      <c r="T320" s="4">
        <f t="shared" ca="1" si="102"/>
        <v>0</v>
      </c>
      <c r="U320" s="120">
        <f t="shared" ca="1" si="103"/>
        <v>2022.4426794074936</v>
      </c>
      <c r="V320" s="4">
        <f t="shared" ca="1" si="104"/>
        <v>0</v>
      </c>
      <c r="W320" s="13">
        <f t="shared" ca="1" si="105"/>
        <v>33422.391000000003</v>
      </c>
      <c r="X320" s="4">
        <f t="shared" ca="1" si="106"/>
        <v>0</v>
      </c>
      <c r="Y320" s="4">
        <f t="shared" si="107"/>
        <v>0</v>
      </c>
      <c r="Z320" s="13">
        <f t="shared" ca="1" si="108"/>
        <v>33422.391000000003</v>
      </c>
      <c r="AA320" s="4">
        <f t="shared" ca="1" si="109"/>
        <v>0</v>
      </c>
      <c r="AE320" s="4"/>
    </row>
    <row r="321" spans="1:31">
      <c r="A321">
        <v>2</v>
      </c>
      <c r="B321">
        <v>1</v>
      </c>
      <c r="C321">
        <f t="shared" ca="1" si="88"/>
        <v>4</v>
      </c>
      <c r="D321">
        <f t="shared" ca="1" si="89"/>
        <v>3</v>
      </c>
      <c r="E321">
        <f t="shared" ca="1" si="90"/>
        <v>2</v>
      </c>
      <c r="F321" s="110">
        <f t="shared" ca="1" si="91"/>
        <v>0</v>
      </c>
      <c r="G321">
        <v>1</v>
      </c>
      <c r="H321">
        <v>0</v>
      </c>
      <c r="I321">
        <v>0</v>
      </c>
      <c r="J321" s="1">
        <f t="shared" ca="1" si="92"/>
        <v>1.1875000000000031E-4</v>
      </c>
      <c r="K321" s="1">
        <f t="shared" ca="1" si="93"/>
        <v>0</v>
      </c>
      <c r="L321" s="13">
        <f t="shared" ca="1" si="94"/>
        <v>231</v>
      </c>
      <c r="M321" s="7">
        <f t="shared" ca="1" si="95"/>
        <v>1269</v>
      </c>
      <c r="N321" s="26">
        <f t="shared" ca="1" si="96"/>
        <v>5</v>
      </c>
      <c r="O321" s="44">
        <f t="shared" ca="1" si="97"/>
        <v>3.5346387789404914</v>
      </c>
      <c r="P321" s="44">
        <f t="shared" ca="1" si="98"/>
        <v>35.346387789404908</v>
      </c>
      <c r="Q321" s="44">
        <f t="shared" ca="1" si="99"/>
        <v>35.346387789404908</v>
      </c>
      <c r="R321" s="44">
        <f t="shared" ca="1" si="100"/>
        <v>3.5346387789404909</v>
      </c>
      <c r="S321" s="44">
        <f t="shared" ca="1" si="101"/>
        <v>3.5346387789404914</v>
      </c>
      <c r="T321" s="4">
        <f t="shared" ca="1" si="102"/>
        <v>0</v>
      </c>
      <c r="U321" s="120">
        <f t="shared" ca="1" si="103"/>
        <v>2003.4426794074936</v>
      </c>
      <c r="V321" s="4">
        <f t="shared" ca="1" si="104"/>
        <v>0</v>
      </c>
      <c r="W321" s="13">
        <f t="shared" ca="1" si="105"/>
        <v>30993.516000000003</v>
      </c>
      <c r="X321" s="4">
        <f t="shared" ca="1" si="106"/>
        <v>0</v>
      </c>
      <c r="Y321" s="4">
        <f t="shared" si="107"/>
        <v>0</v>
      </c>
      <c r="Z321" s="13">
        <f t="shared" ca="1" si="108"/>
        <v>30993.516000000003</v>
      </c>
      <c r="AA321" s="4">
        <f t="shared" ca="1" si="109"/>
        <v>0</v>
      </c>
      <c r="AE321" s="4"/>
    </row>
    <row r="322" spans="1:31">
      <c r="A322">
        <v>2</v>
      </c>
      <c r="B322">
        <v>1</v>
      </c>
      <c r="C322">
        <f t="shared" ca="1" si="88"/>
        <v>4</v>
      </c>
      <c r="D322">
        <f t="shared" ca="1" si="89"/>
        <v>3</v>
      </c>
      <c r="E322">
        <f t="shared" ca="1" si="90"/>
        <v>2</v>
      </c>
      <c r="F322" s="110">
        <f t="shared" ca="1" si="91"/>
        <v>0</v>
      </c>
      <c r="G322">
        <v>0</v>
      </c>
      <c r="H322">
        <v>1</v>
      </c>
      <c r="I322">
        <v>7</v>
      </c>
      <c r="J322" s="1">
        <f t="shared" ca="1" si="92"/>
        <v>0</v>
      </c>
      <c r="K322" s="1">
        <f t="shared" ca="1" si="93"/>
        <v>0</v>
      </c>
      <c r="L322" s="13">
        <f t="shared" ca="1" si="94"/>
        <v>364</v>
      </c>
      <c r="M322" s="7">
        <f t="shared" ca="1" si="95"/>
        <v>1136</v>
      </c>
      <c r="N322" s="26">
        <f t="shared" ca="1" si="96"/>
        <v>5</v>
      </c>
      <c r="O322" s="44">
        <f t="shared" ca="1" si="97"/>
        <v>3.5346387789404914</v>
      </c>
      <c r="P322" s="44">
        <f t="shared" ca="1" si="98"/>
        <v>35.346387789404908</v>
      </c>
      <c r="Q322" s="44">
        <f t="shared" ca="1" si="99"/>
        <v>34.700360457357213</v>
      </c>
      <c r="R322" s="44">
        <f t="shared" ca="1" si="100"/>
        <v>3.5023374123381061</v>
      </c>
      <c r="S322" s="44">
        <f t="shared" ca="1" si="101"/>
        <v>3.532377683278324</v>
      </c>
      <c r="T322" s="4">
        <f t="shared" ca="1" si="102"/>
        <v>0</v>
      </c>
      <c r="U322" s="120">
        <f t="shared" ca="1" si="103"/>
        <v>2135.4497774977995</v>
      </c>
      <c r="V322" s="4">
        <f t="shared" ca="1" si="104"/>
        <v>0</v>
      </c>
      <c r="W322" s="13">
        <f t="shared" ca="1" si="105"/>
        <v>17002.125</v>
      </c>
      <c r="X322" s="4">
        <f t="shared" ca="1" si="106"/>
        <v>0</v>
      </c>
      <c r="Y322" s="4">
        <f t="shared" si="107"/>
        <v>0</v>
      </c>
      <c r="Z322" s="13">
        <f t="shared" ca="1" si="108"/>
        <v>17002.125</v>
      </c>
      <c r="AA322" s="4">
        <f t="shared" ca="1" si="109"/>
        <v>0</v>
      </c>
      <c r="AE322" s="4"/>
    </row>
    <row r="323" spans="1:31">
      <c r="A323">
        <v>2</v>
      </c>
      <c r="B323">
        <v>1</v>
      </c>
      <c r="C323">
        <f t="shared" ca="1" si="88"/>
        <v>4</v>
      </c>
      <c r="D323">
        <f t="shared" ca="1" si="89"/>
        <v>3</v>
      </c>
      <c r="E323">
        <f t="shared" ca="1" si="90"/>
        <v>2</v>
      </c>
      <c r="F323" s="110">
        <f t="shared" ca="1" si="91"/>
        <v>0</v>
      </c>
      <c r="G323">
        <v>0</v>
      </c>
      <c r="H323">
        <v>1</v>
      </c>
      <c r="I323">
        <v>6</v>
      </c>
      <c r="J323" s="1">
        <f t="shared" ca="1" si="92"/>
        <v>0</v>
      </c>
      <c r="K323" s="1">
        <f t="shared" ca="1" si="93"/>
        <v>0</v>
      </c>
      <c r="L323" s="13">
        <f t="shared" ca="1" si="94"/>
        <v>345</v>
      </c>
      <c r="M323" s="7">
        <f t="shared" ca="1" si="95"/>
        <v>1155</v>
      </c>
      <c r="N323" s="26">
        <f t="shared" ca="1" si="96"/>
        <v>5</v>
      </c>
      <c r="O323" s="44">
        <f t="shared" ca="1" si="97"/>
        <v>3.5346387789404914</v>
      </c>
      <c r="P323" s="44">
        <f t="shared" ca="1" si="98"/>
        <v>35.346387789404908</v>
      </c>
      <c r="Q323" s="44">
        <f t="shared" ca="1" si="99"/>
        <v>35.346387789404908</v>
      </c>
      <c r="R323" s="44">
        <f t="shared" ca="1" si="100"/>
        <v>3.5346387789404909</v>
      </c>
      <c r="S323" s="44">
        <f t="shared" ca="1" si="101"/>
        <v>3.5346387789404914</v>
      </c>
      <c r="T323" s="4">
        <f t="shared" ca="1" si="102"/>
        <v>0</v>
      </c>
      <c r="U323" s="120">
        <f t="shared" ca="1" si="103"/>
        <v>2117.4426794074939</v>
      </c>
      <c r="V323" s="4">
        <f t="shared" ca="1" si="104"/>
        <v>0</v>
      </c>
      <c r="W323" s="13">
        <f t="shared" ca="1" si="105"/>
        <v>14573.25</v>
      </c>
      <c r="X323" s="4">
        <f t="shared" ca="1" si="106"/>
        <v>0</v>
      </c>
      <c r="Y323" s="4">
        <f t="shared" si="107"/>
        <v>0</v>
      </c>
      <c r="Z323" s="13">
        <f t="shared" ca="1" si="108"/>
        <v>14573.25</v>
      </c>
      <c r="AA323" s="4">
        <f t="shared" ca="1" si="109"/>
        <v>0</v>
      </c>
      <c r="AE323" s="4"/>
    </row>
    <row r="324" spans="1:31">
      <c r="A324">
        <v>2</v>
      </c>
      <c r="B324">
        <v>1</v>
      </c>
      <c r="C324">
        <f t="shared" ca="1" si="88"/>
        <v>4</v>
      </c>
      <c r="D324">
        <f t="shared" ca="1" si="89"/>
        <v>3</v>
      </c>
      <c r="E324">
        <f t="shared" ca="1" si="90"/>
        <v>2</v>
      </c>
      <c r="F324" s="110">
        <f t="shared" ca="1" si="91"/>
        <v>0</v>
      </c>
      <c r="G324">
        <v>0</v>
      </c>
      <c r="H324">
        <v>1</v>
      </c>
      <c r="I324">
        <v>5</v>
      </c>
      <c r="J324" s="1">
        <f t="shared" ca="1" si="92"/>
        <v>0</v>
      </c>
      <c r="K324" s="1">
        <f t="shared" ca="1" si="93"/>
        <v>0</v>
      </c>
      <c r="L324" s="13">
        <f t="shared" ca="1" si="94"/>
        <v>326</v>
      </c>
      <c r="M324" s="7">
        <f t="shared" ca="1" si="95"/>
        <v>1174</v>
      </c>
      <c r="N324" s="26">
        <f t="shared" ca="1" si="96"/>
        <v>5</v>
      </c>
      <c r="O324" s="44">
        <f t="shared" ca="1" si="97"/>
        <v>3.5346387789404914</v>
      </c>
      <c r="P324" s="44">
        <f t="shared" ca="1" si="98"/>
        <v>35.346387789404908</v>
      </c>
      <c r="Q324" s="44">
        <f t="shared" ca="1" si="99"/>
        <v>35.346387789404908</v>
      </c>
      <c r="R324" s="44">
        <f t="shared" ca="1" si="100"/>
        <v>3.5346387789404909</v>
      </c>
      <c r="S324" s="44">
        <f t="shared" ca="1" si="101"/>
        <v>3.5346387789404914</v>
      </c>
      <c r="T324" s="4">
        <f t="shared" ca="1" si="102"/>
        <v>0</v>
      </c>
      <c r="U324" s="120">
        <f t="shared" ca="1" si="103"/>
        <v>2098.4426794074939</v>
      </c>
      <c r="V324" s="4">
        <f t="shared" ca="1" si="104"/>
        <v>0</v>
      </c>
      <c r="W324" s="13">
        <f t="shared" ca="1" si="105"/>
        <v>12144.375</v>
      </c>
      <c r="X324" s="4">
        <f t="shared" ca="1" si="106"/>
        <v>0</v>
      </c>
      <c r="Y324" s="4">
        <f t="shared" si="107"/>
        <v>0</v>
      </c>
      <c r="Z324" s="13">
        <f t="shared" ca="1" si="108"/>
        <v>12144.375</v>
      </c>
      <c r="AA324" s="4">
        <f t="shared" ca="1" si="109"/>
        <v>0</v>
      </c>
      <c r="AE324" s="4"/>
    </row>
    <row r="325" spans="1:31">
      <c r="A325">
        <v>2</v>
      </c>
      <c r="B325">
        <v>1</v>
      </c>
      <c r="C325">
        <f t="shared" ca="1" si="88"/>
        <v>4</v>
      </c>
      <c r="D325">
        <f t="shared" ca="1" si="89"/>
        <v>3</v>
      </c>
      <c r="E325">
        <f t="shared" ca="1" si="90"/>
        <v>2</v>
      </c>
      <c r="F325" s="110">
        <f t="shared" ca="1" si="91"/>
        <v>0</v>
      </c>
      <c r="G325">
        <v>0</v>
      </c>
      <c r="H325">
        <v>1</v>
      </c>
      <c r="I325">
        <v>4</v>
      </c>
      <c r="J325" s="1">
        <f t="shared" ca="1" si="92"/>
        <v>0</v>
      </c>
      <c r="K325" s="1">
        <f t="shared" ca="1" si="93"/>
        <v>0</v>
      </c>
      <c r="L325" s="13">
        <f t="shared" ca="1" si="94"/>
        <v>307</v>
      </c>
      <c r="M325" s="7">
        <f t="shared" ca="1" si="95"/>
        <v>1193</v>
      </c>
      <c r="N325" s="26">
        <f t="shared" ca="1" si="96"/>
        <v>5</v>
      </c>
      <c r="O325" s="44">
        <f t="shared" ca="1" si="97"/>
        <v>3.5346387789404914</v>
      </c>
      <c r="P325" s="44">
        <f t="shared" ca="1" si="98"/>
        <v>35.346387789404908</v>
      </c>
      <c r="Q325" s="44">
        <f t="shared" ca="1" si="99"/>
        <v>35.346387789404908</v>
      </c>
      <c r="R325" s="44">
        <f t="shared" ca="1" si="100"/>
        <v>3.5346387789404909</v>
      </c>
      <c r="S325" s="44">
        <f t="shared" ca="1" si="101"/>
        <v>3.5346387789404914</v>
      </c>
      <c r="T325" s="4">
        <f t="shared" ca="1" si="102"/>
        <v>0</v>
      </c>
      <c r="U325" s="120">
        <f t="shared" ca="1" si="103"/>
        <v>2079.4426794074939</v>
      </c>
      <c r="V325" s="4">
        <f t="shared" ca="1" si="104"/>
        <v>0</v>
      </c>
      <c r="W325" s="13">
        <f t="shared" ca="1" si="105"/>
        <v>9715.5</v>
      </c>
      <c r="X325" s="4">
        <f t="shared" ca="1" si="106"/>
        <v>0</v>
      </c>
      <c r="Y325" s="4">
        <f t="shared" si="107"/>
        <v>0</v>
      </c>
      <c r="Z325" s="13">
        <f t="shared" ca="1" si="108"/>
        <v>9715.5</v>
      </c>
      <c r="AA325" s="4">
        <f t="shared" ca="1" si="109"/>
        <v>0</v>
      </c>
      <c r="AE325" s="4"/>
    </row>
    <row r="326" spans="1:31">
      <c r="A326">
        <v>2</v>
      </c>
      <c r="B326">
        <v>1</v>
      </c>
      <c r="C326">
        <f t="shared" ca="1" si="88"/>
        <v>4</v>
      </c>
      <c r="D326">
        <f t="shared" ca="1" si="89"/>
        <v>3</v>
      </c>
      <c r="E326">
        <f t="shared" ca="1" si="90"/>
        <v>2</v>
      </c>
      <c r="F326" s="110">
        <f t="shared" ca="1" si="91"/>
        <v>0</v>
      </c>
      <c r="G326">
        <v>0</v>
      </c>
      <c r="H326">
        <v>1</v>
      </c>
      <c r="I326">
        <v>3</v>
      </c>
      <c r="J326" s="1">
        <f t="shared" ca="1" si="92"/>
        <v>0</v>
      </c>
      <c r="K326" s="1">
        <f t="shared" ca="1" si="93"/>
        <v>0</v>
      </c>
      <c r="L326" s="13">
        <f t="shared" ca="1" si="94"/>
        <v>288</v>
      </c>
      <c r="M326" s="7">
        <f t="shared" ca="1" si="95"/>
        <v>1212</v>
      </c>
      <c r="N326" s="26">
        <f t="shared" ca="1" si="96"/>
        <v>5</v>
      </c>
      <c r="O326" s="44">
        <f t="shared" ca="1" si="97"/>
        <v>3.5346387789404914</v>
      </c>
      <c r="P326" s="44">
        <f t="shared" ca="1" si="98"/>
        <v>35.346387789404908</v>
      </c>
      <c r="Q326" s="44">
        <f t="shared" ca="1" si="99"/>
        <v>35.346387789404908</v>
      </c>
      <c r="R326" s="44">
        <f t="shared" ca="1" si="100"/>
        <v>3.5346387789404909</v>
      </c>
      <c r="S326" s="44">
        <f t="shared" ca="1" si="101"/>
        <v>3.5346387789404914</v>
      </c>
      <c r="T326" s="4">
        <f t="shared" ca="1" si="102"/>
        <v>0</v>
      </c>
      <c r="U326" s="120">
        <f t="shared" ca="1" si="103"/>
        <v>2060.4426794074939</v>
      </c>
      <c r="V326" s="4">
        <f t="shared" ca="1" si="104"/>
        <v>0</v>
      </c>
      <c r="W326" s="13">
        <f t="shared" ca="1" si="105"/>
        <v>7286.625</v>
      </c>
      <c r="X326" s="4">
        <f t="shared" ca="1" si="106"/>
        <v>0</v>
      </c>
      <c r="Y326" s="4">
        <f t="shared" si="107"/>
        <v>0</v>
      </c>
      <c r="Z326" s="13">
        <f t="shared" ca="1" si="108"/>
        <v>7286.625</v>
      </c>
      <c r="AA326" s="4">
        <f t="shared" ca="1" si="109"/>
        <v>0</v>
      </c>
      <c r="AE326" s="4"/>
    </row>
    <row r="327" spans="1:31">
      <c r="A327">
        <v>2</v>
      </c>
      <c r="B327">
        <v>1</v>
      </c>
      <c r="C327">
        <f t="shared" ca="1" si="88"/>
        <v>4</v>
      </c>
      <c r="D327">
        <f t="shared" ca="1" si="89"/>
        <v>3</v>
      </c>
      <c r="E327">
        <f t="shared" ca="1" si="90"/>
        <v>2</v>
      </c>
      <c r="F327" s="110">
        <f t="shared" ca="1" si="91"/>
        <v>0</v>
      </c>
      <c r="G327">
        <v>0</v>
      </c>
      <c r="H327">
        <v>1</v>
      </c>
      <c r="I327">
        <v>2</v>
      </c>
      <c r="J327" s="1">
        <f t="shared" ca="1" si="92"/>
        <v>0</v>
      </c>
      <c r="K327" s="1">
        <f t="shared" ca="1" si="93"/>
        <v>0</v>
      </c>
      <c r="L327" s="13">
        <f t="shared" ca="1" si="94"/>
        <v>269</v>
      </c>
      <c r="M327" s="7">
        <f t="shared" ca="1" si="95"/>
        <v>1231</v>
      </c>
      <c r="N327" s="26">
        <f t="shared" ca="1" si="96"/>
        <v>5</v>
      </c>
      <c r="O327" s="44">
        <f t="shared" ca="1" si="97"/>
        <v>3.5346387789404914</v>
      </c>
      <c r="P327" s="44">
        <f t="shared" ca="1" si="98"/>
        <v>35.346387789404908</v>
      </c>
      <c r="Q327" s="44">
        <f t="shared" ca="1" si="99"/>
        <v>35.346387789404908</v>
      </c>
      <c r="R327" s="44">
        <f t="shared" ca="1" si="100"/>
        <v>3.5346387789404909</v>
      </c>
      <c r="S327" s="44">
        <f t="shared" ca="1" si="101"/>
        <v>3.5346387789404914</v>
      </c>
      <c r="T327" s="4">
        <f t="shared" ca="1" si="102"/>
        <v>0</v>
      </c>
      <c r="U327" s="120">
        <f t="shared" ca="1" si="103"/>
        <v>2041.4426794074936</v>
      </c>
      <c r="V327" s="4">
        <f t="shared" ca="1" si="104"/>
        <v>0</v>
      </c>
      <c r="W327" s="13">
        <f t="shared" ca="1" si="105"/>
        <v>4857.75</v>
      </c>
      <c r="X327" s="4">
        <f t="shared" ca="1" si="106"/>
        <v>0</v>
      </c>
      <c r="Y327" s="4">
        <f t="shared" si="107"/>
        <v>0</v>
      </c>
      <c r="Z327" s="13">
        <f t="shared" ca="1" si="108"/>
        <v>4857.75</v>
      </c>
      <c r="AA327" s="4">
        <f t="shared" ca="1" si="109"/>
        <v>0</v>
      </c>
      <c r="AE327" s="4"/>
    </row>
    <row r="328" spans="1:31">
      <c r="A328">
        <v>2</v>
      </c>
      <c r="B328">
        <v>1</v>
      </c>
      <c r="C328">
        <f t="shared" ca="1" si="88"/>
        <v>4</v>
      </c>
      <c r="D328">
        <f t="shared" ca="1" si="89"/>
        <v>3</v>
      </c>
      <c r="E328">
        <f t="shared" ca="1" si="90"/>
        <v>2</v>
      </c>
      <c r="F328" s="110">
        <f t="shared" ca="1" si="91"/>
        <v>0</v>
      </c>
      <c r="G328">
        <v>0</v>
      </c>
      <c r="H328">
        <v>1</v>
      </c>
      <c r="I328">
        <v>1</v>
      </c>
      <c r="J328" s="1">
        <f t="shared" ca="1" si="92"/>
        <v>0</v>
      </c>
      <c r="K328" s="1">
        <f t="shared" ca="1" si="93"/>
        <v>0</v>
      </c>
      <c r="L328" s="13">
        <f t="shared" ca="1" si="94"/>
        <v>250</v>
      </c>
      <c r="M328" s="7">
        <f t="shared" ca="1" si="95"/>
        <v>1250</v>
      </c>
      <c r="N328" s="26">
        <f t="shared" ca="1" si="96"/>
        <v>5</v>
      </c>
      <c r="O328" s="44">
        <f t="shared" ca="1" si="97"/>
        <v>3.5346387789404914</v>
      </c>
      <c r="P328" s="44">
        <f t="shared" ca="1" si="98"/>
        <v>35.346387789404908</v>
      </c>
      <c r="Q328" s="44">
        <f t="shared" ca="1" si="99"/>
        <v>35.346387789404908</v>
      </c>
      <c r="R328" s="44">
        <f t="shared" ca="1" si="100"/>
        <v>3.5346387789404909</v>
      </c>
      <c r="S328" s="44">
        <f t="shared" ca="1" si="101"/>
        <v>3.5346387789404914</v>
      </c>
      <c r="T328" s="4">
        <f t="shared" ca="1" si="102"/>
        <v>0</v>
      </c>
      <c r="U328" s="120">
        <f t="shared" ca="1" si="103"/>
        <v>2022.4426794074936</v>
      </c>
      <c r="V328" s="4">
        <f t="shared" ca="1" si="104"/>
        <v>0</v>
      </c>
      <c r="W328" s="13">
        <f t="shared" ca="1" si="105"/>
        <v>2428.875</v>
      </c>
      <c r="X328" s="4">
        <f t="shared" ca="1" si="106"/>
        <v>0</v>
      </c>
      <c r="Y328" s="4">
        <f t="shared" si="107"/>
        <v>0</v>
      </c>
      <c r="Z328" s="13">
        <f t="shared" ca="1" si="108"/>
        <v>2428.875</v>
      </c>
      <c r="AA328" s="4">
        <f t="shared" ca="1" si="109"/>
        <v>0</v>
      </c>
      <c r="AE328" s="4"/>
    </row>
    <row r="329" spans="1:31">
      <c r="A329">
        <v>2</v>
      </c>
      <c r="B329">
        <v>1</v>
      </c>
      <c r="C329">
        <f t="shared" ca="1" si="88"/>
        <v>4</v>
      </c>
      <c r="D329">
        <f t="shared" ca="1" si="89"/>
        <v>3</v>
      </c>
      <c r="E329">
        <f t="shared" ca="1" si="90"/>
        <v>2</v>
      </c>
      <c r="F329" s="110">
        <f t="shared" ca="1" si="91"/>
        <v>0</v>
      </c>
      <c r="G329">
        <v>0</v>
      </c>
      <c r="H329">
        <v>1</v>
      </c>
      <c r="I329">
        <v>0</v>
      </c>
      <c r="J329" s="1">
        <f t="shared" ca="1" si="92"/>
        <v>0</v>
      </c>
      <c r="K329" s="1">
        <f t="shared" ca="1" si="93"/>
        <v>0</v>
      </c>
      <c r="L329" s="13">
        <f t="shared" ca="1" si="94"/>
        <v>231</v>
      </c>
      <c r="M329" s="7">
        <f t="shared" ca="1" si="95"/>
        <v>1269</v>
      </c>
      <c r="N329" s="26">
        <f t="shared" ca="1" si="96"/>
        <v>5</v>
      </c>
      <c r="O329" s="44">
        <f t="shared" ca="1" si="97"/>
        <v>3.5346387789404914</v>
      </c>
      <c r="P329" s="44">
        <f t="shared" ca="1" si="98"/>
        <v>35.346387789404908</v>
      </c>
      <c r="Q329" s="44">
        <f t="shared" ca="1" si="99"/>
        <v>35.346387789404908</v>
      </c>
      <c r="R329" s="44">
        <f t="shared" ca="1" si="100"/>
        <v>3.5346387789404909</v>
      </c>
      <c r="S329" s="44">
        <f t="shared" ca="1" si="101"/>
        <v>3.5346387789404914</v>
      </c>
      <c r="T329" s="4">
        <f t="shared" ca="1" si="102"/>
        <v>0</v>
      </c>
      <c r="U329" s="120">
        <f t="shared" ca="1" si="103"/>
        <v>2003.4426794074936</v>
      </c>
      <c r="V329" s="4">
        <f t="shared" ca="1" si="104"/>
        <v>0</v>
      </c>
      <c r="W329" s="13">
        <f t="shared" ca="1" si="105"/>
        <v>0</v>
      </c>
      <c r="X329" s="4">
        <f t="shared" ca="1" si="106"/>
        <v>0</v>
      </c>
      <c r="Y329" s="4">
        <f t="shared" si="107"/>
        <v>0</v>
      </c>
      <c r="Z329" s="13">
        <f t="shared" ca="1" si="108"/>
        <v>0</v>
      </c>
      <c r="AA329" s="4">
        <f t="shared" ca="1" si="109"/>
        <v>0</v>
      </c>
      <c r="AE329" s="4"/>
    </row>
    <row r="330" spans="1:31">
      <c r="A330">
        <v>2</v>
      </c>
      <c r="B330">
        <v>1</v>
      </c>
      <c r="C330">
        <f t="shared" ca="1" si="88"/>
        <v>4</v>
      </c>
      <c r="D330">
        <f t="shared" ca="1" si="89"/>
        <v>3</v>
      </c>
      <c r="E330">
        <f t="shared" ca="1" si="90"/>
        <v>2</v>
      </c>
      <c r="F330" s="110">
        <f t="shared" ca="1" si="91"/>
        <v>0</v>
      </c>
      <c r="G330">
        <v>0</v>
      </c>
      <c r="H330">
        <v>0</v>
      </c>
      <c r="I330">
        <v>7</v>
      </c>
      <c r="J330" s="1">
        <f t="shared" ca="1" si="92"/>
        <v>0</v>
      </c>
      <c r="K330" s="1">
        <f t="shared" ca="1" si="93"/>
        <v>0</v>
      </c>
      <c r="L330" s="13">
        <f t="shared" ca="1" si="94"/>
        <v>133</v>
      </c>
      <c r="M330" s="7">
        <f t="shared" ca="1" si="95"/>
        <v>1367</v>
      </c>
      <c r="N330" s="26">
        <f t="shared" ca="1" si="96"/>
        <v>5</v>
      </c>
      <c r="O330" s="44">
        <f t="shared" ca="1" si="97"/>
        <v>3.5346387789404914</v>
      </c>
      <c r="P330" s="44">
        <f t="shared" ca="1" si="98"/>
        <v>35.346387789404908</v>
      </c>
      <c r="Q330" s="44">
        <f t="shared" ca="1" si="99"/>
        <v>35.346387789404908</v>
      </c>
      <c r="R330" s="44">
        <f t="shared" ca="1" si="100"/>
        <v>3.5346387789404909</v>
      </c>
      <c r="S330" s="44">
        <f t="shared" ca="1" si="101"/>
        <v>3.5346387789404914</v>
      </c>
      <c r="T330" s="4">
        <f t="shared" ca="1" si="102"/>
        <v>0</v>
      </c>
      <c r="U330" s="120">
        <f t="shared" ca="1" si="103"/>
        <v>1905.4426794074936</v>
      </c>
      <c r="V330" s="4">
        <f t="shared" ca="1" si="104"/>
        <v>0</v>
      </c>
      <c r="W330" s="13">
        <f t="shared" ca="1" si="105"/>
        <v>17002.125</v>
      </c>
      <c r="X330" s="4">
        <f t="shared" ca="1" si="106"/>
        <v>0</v>
      </c>
      <c r="Y330" s="4">
        <f t="shared" si="107"/>
        <v>0</v>
      </c>
      <c r="Z330" s="13">
        <f t="shared" ca="1" si="108"/>
        <v>17002.125</v>
      </c>
      <c r="AA330" s="4">
        <f t="shared" ca="1" si="109"/>
        <v>0</v>
      </c>
      <c r="AE330" s="4"/>
    </row>
    <row r="331" spans="1:31">
      <c r="A331">
        <v>2</v>
      </c>
      <c r="B331">
        <v>1</v>
      </c>
      <c r="C331">
        <f t="shared" ca="1" si="88"/>
        <v>4</v>
      </c>
      <c r="D331">
        <f t="shared" ca="1" si="89"/>
        <v>3</v>
      </c>
      <c r="E331">
        <f t="shared" ca="1" si="90"/>
        <v>2</v>
      </c>
      <c r="F331" s="110">
        <f t="shared" ca="1" si="91"/>
        <v>0</v>
      </c>
      <c r="G331">
        <v>0</v>
      </c>
      <c r="H331">
        <v>0</v>
      </c>
      <c r="I331">
        <v>6</v>
      </c>
      <c r="J331" s="1">
        <f t="shared" ca="1" si="92"/>
        <v>0</v>
      </c>
      <c r="K331" s="1">
        <f t="shared" ca="1" si="93"/>
        <v>0</v>
      </c>
      <c r="L331" s="13">
        <f t="shared" ca="1" si="94"/>
        <v>114</v>
      </c>
      <c r="M331" s="7">
        <f t="shared" ca="1" si="95"/>
        <v>1386</v>
      </c>
      <c r="N331" s="26">
        <f t="shared" ca="1" si="96"/>
        <v>5</v>
      </c>
      <c r="O331" s="44">
        <f t="shared" ca="1" si="97"/>
        <v>3.5346387789404914</v>
      </c>
      <c r="P331" s="44">
        <f t="shared" ca="1" si="98"/>
        <v>35.346387789404908</v>
      </c>
      <c r="Q331" s="44">
        <f t="shared" ca="1" si="99"/>
        <v>35.346387789404908</v>
      </c>
      <c r="R331" s="44">
        <f t="shared" ca="1" si="100"/>
        <v>3.5346387789404909</v>
      </c>
      <c r="S331" s="44">
        <f t="shared" ca="1" si="101"/>
        <v>3.5346387789404914</v>
      </c>
      <c r="T331" s="4">
        <f t="shared" ca="1" si="102"/>
        <v>0</v>
      </c>
      <c r="U331" s="120">
        <f t="shared" ca="1" si="103"/>
        <v>1886.4426794074936</v>
      </c>
      <c r="V331" s="4">
        <f t="shared" ca="1" si="104"/>
        <v>0</v>
      </c>
      <c r="W331" s="13">
        <f t="shared" ca="1" si="105"/>
        <v>14573.25</v>
      </c>
      <c r="X331" s="4">
        <f t="shared" ca="1" si="106"/>
        <v>0</v>
      </c>
      <c r="Y331" s="4">
        <f t="shared" si="107"/>
        <v>0</v>
      </c>
      <c r="Z331" s="13">
        <f t="shared" ca="1" si="108"/>
        <v>14573.25</v>
      </c>
      <c r="AA331" s="4">
        <f t="shared" ca="1" si="109"/>
        <v>0</v>
      </c>
      <c r="AE331" s="4"/>
    </row>
    <row r="332" spans="1:31">
      <c r="A332">
        <v>2</v>
      </c>
      <c r="B332">
        <v>1</v>
      </c>
      <c r="C332">
        <f t="shared" ca="1" si="88"/>
        <v>4</v>
      </c>
      <c r="D332">
        <f t="shared" ca="1" si="89"/>
        <v>3</v>
      </c>
      <c r="E332">
        <f t="shared" ca="1" si="90"/>
        <v>2</v>
      </c>
      <c r="F332" s="110">
        <f t="shared" ca="1" si="91"/>
        <v>0</v>
      </c>
      <c r="G332">
        <v>0</v>
      </c>
      <c r="H332">
        <v>0</v>
      </c>
      <c r="I332">
        <v>5</v>
      </c>
      <c r="J332" s="1">
        <f t="shared" ca="1" si="92"/>
        <v>0</v>
      </c>
      <c r="K332" s="1">
        <f t="shared" ca="1" si="93"/>
        <v>0</v>
      </c>
      <c r="L332" s="13">
        <f t="shared" ca="1" si="94"/>
        <v>95</v>
      </c>
      <c r="M332" s="7">
        <f t="shared" ca="1" si="95"/>
        <v>1405</v>
      </c>
      <c r="N332" s="26">
        <f t="shared" ca="1" si="96"/>
        <v>6</v>
      </c>
      <c r="O332" s="44">
        <f t="shared" ca="1" si="97"/>
        <v>4.1694581524927896</v>
      </c>
      <c r="P332" s="44">
        <f t="shared" ca="1" si="98"/>
        <v>41.059762151375594</v>
      </c>
      <c r="Q332" s="44">
        <f t="shared" ca="1" si="99"/>
        <v>35.346387789404908</v>
      </c>
      <c r="R332" s="44">
        <f t="shared" ca="1" si="100"/>
        <v>3.8203074970390247</v>
      </c>
      <c r="S332" s="44">
        <f t="shared" ca="1" si="101"/>
        <v>4.1450176066110256</v>
      </c>
      <c r="T332" s="4">
        <f t="shared" ca="1" si="102"/>
        <v>0</v>
      </c>
      <c r="U332" s="120">
        <f t="shared" ca="1" si="103"/>
        <v>2135.4748169996506</v>
      </c>
      <c r="V332" s="4">
        <f t="shared" ca="1" si="104"/>
        <v>0</v>
      </c>
      <c r="W332" s="13">
        <f t="shared" ca="1" si="105"/>
        <v>12144.375</v>
      </c>
      <c r="X332" s="4">
        <f t="shared" ca="1" si="106"/>
        <v>0</v>
      </c>
      <c r="Y332" s="4">
        <f t="shared" si="107"/>
        <v>0</v>
      </c>
      <c r="Z332" s="13">
        <f t="shared" ca="1" si="108"/>
        <v>12144.375</v>
      </c>
      <c r="AA332" s="4">
        <f t="shared" ca="1" si="109"/>
        <v>0</v>
      </c>
      <c r="AE332" s="4"/>
    </row>
    <row r="333" spans="1:31">
      <c r="A333">
        <v>2</v>
      </c>
      <c r="B333">
        <v>1</v>
      </c>
      <c r="C333">
        <f t="shared" ca="1" si="88"/>
        <v>4</v>
      </c>
      <c r="D333">
        <f t="shared" ca="1" si="89"/>
        <v>3</v>
      </c>
      <c r="E333">
        <f t="shared" ca="1" si="90"/>
        <v>2</v>
      </c>
      <c r="F333" s="110">
        <f t="shared" ca="1" si="91"/>
        <v>0</v>
      </c>
      <c r="G333">
        <v>0</v>
      </c>
      <c r="H333">
        <v>0</v>
      </c>
      <c r="I333">
        <v>4</v>
      </c>
      <c r="J333" s="1">
        <f t="shared" ca="1" si="92"/>
        <v>0</v>
      </c>
      <c r="K333" s="1">
        <f t="shared" ca="1" si="93"/>
        <v>0</v>
      </c>
      <c r="L333" s="13">
        <f t="shared" ca="1" si="94"/>
        <v>76</v>
      </c>
      <c r="M333" s="7">
        <f t="shared" ca="1" si="95"/>
        <v>1424</v>
      </c>
      <c r="N333" s="26">
        <f t="shared" ca="1" si="96"/>
        <v>6</v>
      </c>
      <c r="O333" s="44">
        <f t="shared" ca="1" si="97"/>
        <v>4.1694581524927896</v>
      </c>
      <c r="P333" s="44">
        <f t="shared" ca="1" si="98"/>
        <v>41.694581524927891</v>
      </c>
      <c r="Q333" s="44">
        <f t="shared" ca="1" si="99"/>
        <v>41.694581524927891</v>
      </c>
      <c r="R333" s="44">
        <f t="shared" ca="1" si="100"/>
        <v>4.1694581524927887</v>
      </c>
      <c r="S333" s="44">
        <f t="shared" ca="1" si="101"/>
        <v>4.1694581524927896</v>
      </c>
      <c r="T333" s="4">
        <f t="shared" ca="1" si="102"/>
        <v>0</v>
      </c>
      <c r="U333" s="120">
        <f t="shared" ca="1" si="103"/>
        <v>2127.2072530862838</v>
      </c>
      <c r="V333" s="4">
        <f t="shared" ca="1" si="104"/>
        <v>0</v>
      </c>
      <c r="W333" s="13">
        <f t="shared" ca="1" si="105"/>
        <v>9715.5</v>
      </c>
      <c r="X333" s="4">
        <f t="shared" ca="1" si="106"/>
        <v>0</v>
      </c>
      <c r="Y333" s="4">
        <f t="shared" si="107"/>
        <v>0</v>
      </c>
      <c r="Z333" s="13">
        <f t="shared" ca="1" si="108"/>
        <v>9715.5</v>
      </c>
      <c r="AA333" s="4">
        <f t="shared" ca="1" si="109"/>
        <v>0</v>
      </c>
      <c r="AE333" s="4"/>
    </row>
    <row r="334" spans="1:31">
      <c r="A334">
        <v>2</v>
      </c>
      <c r="B334">
        <v>1</v>
      </c>
      <c r="C334">
        <f t="shared" ca="1" si="88"/>
        <v>4</v>
      </c>
      <c r="D334">
        <f t="shared" ca="1" si="89"/>
        <v>3</v>
      </c>
      <c r="E334">
        <f t="shared" ca="1" si="90"/>
        <v>2</v>
      </c>
      <c r="F334" s="110">
        <f t="shared" ca="1" si="91"/>
        <v>0</v>
      </c>
      <c r="G334">
        <v>0</v>
      </c>
      <c r="H334">
        <v>0</v>
      </c>
      <c r="I334">
        <v>3</v>
      </c>
      <c r="J334" s="1">
        <f t="shared" ca="1" si="92"/>
        <v>4.2868749999999997E-2</v>
      </c>
      <c r="K334" s="1">
        <f t="shared" ca="1" si="93"/>
        <v>0</v>
      </c>
      <c r="L334" s="13">
        <f t="shared" ca="1" si="94"/>
        <v>57</v>
      </c>
      <c r="M334" s="7">
        <f t="shared" ca="1" si="95"/>
        <v>1443</v>
      </c>
      <c r="N334" s="26">
        <f t="shared" ca="1" si="96"/>
        <v>6</v>
      </c>
      <c r="O334" s="44">
        <f t="shared" ca="1" si="97"/>
        <v>4.1694581524927896</v>
      </c>
      <c r="P334" s="44">
        <f t="shared" ca="1" si="98"/>
        <v>41.694581524927891</v>
      </c>
      <c r="Q334" s="44">
        <f t="shared" ca="1" si="99"/>
        <v>41.694581524927891</v>
      </c>
      <c r="R334" s="44">
        <f t="shared" ca="1" si="100"/>
        <v>4.1694581524927887</v>
      </c>
      <c r="S334" s="44">
        <f t="shared" ca="1" si="101"/>
        <v>4.1694581524927896</v>
      </c>
      <c r="T334" s="4">
        <f t="shared" ca="1" si="102"/>
        <v>0</v>
      </c>
      <c r="U334" s="120">
        <f t="shared" ca="1" si="103"/>
        <v>2108.2072530862838</v>
      </c>
      <c r="V334" s="4">
        <f t="shared" ca="1" si="104"/>
        <v>0</v>
      </c>
      <c r="W334" s="13">
        <f t="shared" ca="1" si="105"/>
        <v>7286.625</v>
      </c>
      <c r="X334" s="4">
        <f t="shared" ca="1" si="106"/>
        <v>0</v>
      </c>
      <c r="Y334" s="4">
        <f t="shared" si="107"/>
        <v>0</v>
      </c>
      <c r="Z334" s="13">
        <f t="shared" ca="1" si="108"/>
        <v>7286.625</v>
      </c>
      <c r="AA334" s="4">
        <f t="shared" ca="1" si="109"/>
        <v>0</v>
      </c>
      <c r="AE334" s="4"/>
    </row>
    <row r="335" spans="1:31">
      <c r="A335">
        <v>2</v>
      </c>
      <c r="B335">
        <v>1</v>
      </c>
      <c r="C335">
        <f t="shared" ca="1" si="88"/>
        <v>4</v>
      </c>
      <c r="D335">
        <f t="shared" ca="1" si="89"/>
        <v>3</v>
      </c>
      <c r="E335">
        <f t="shared" ca="1" si="90"/>
        <v>2</v>
      </c>
      <c r="F335" s="110">
        <f t="shared" ca="1" si="91"/>
        <v>0</v>
      </c>
      <c r="G335">
        <v>0</v>
      </c>
      <c r="H335">
        <v>0</v>
      </c>
      <c r="I335">
        <v>2</v>
      </c>
      <c r="J335" s="1">
        <f t="shared" ca="1" si="92"/>
        <v>6.7687500000000074E-3</v>
      </c>
      <c r="K335" s="1">
        <f t="shared" ca="1" si="93"/>
        <v>0</v>
      </c>
      <c r="L335" s="13">
        <f t="shared" ca="1" si="94"/>
        <v>38</v>
      </c>
      <c r="M335" s="7">
        <f t="shared" ca="1" si="95"/>
        <v>1462</v>
      </c>
      <c r="N335" s="26">
        <f t="shared" ca="1" si="96"/>
        <v>6</v>
      </c>
      <c r="O335" s="44">
        <f t="shared" ca="1" si="97"/>
        <v>4.1694581524927896</v>
      </c>
      <c r="P335" s="44">
        <f t="shared" ca="1" si="98"/>
        <v>41.694581524927891</v>
      </c>
      <c r="Q335" s="44">
        <f t="shared" ca="1" si="99"/>
        <v>41.694581524927891</v>
      </c>
      <c r="R335" s="44">
        <f t="shared" ca="1" si="100"/>
        <v>4.1694581524927887</v>
      </c>
      <c r="S335" s="44">
        <f t="shared" ca="1" si="101"/>
        <v>4.1694581524927896</v>
      </c>
      <c r="T335" s="4">
        <f t="shared" ca="1" si="102"/>
        <v>0</v>
      </c>
      <c r="U335" s="120">
        <f t="shared" ca="1" si="103"/>
        <v>2089.2072530862838</v>
      </c>
      <c r="V335" s="4">
        <f t="shared" ca="1" si="104"/>
        <v>0</v>
      </c>
      <c r="W335" s="13">
        <f t="shared" ca="1" si="105"/>
        <v>4857.75</v>
      </c>
      <c r="X335" s="4">
        <f t="shared" ca="1" si="106"/>
        <v>0</v>
      </c>
      <c r="Y335" s="4">
        <f t="shared" si="107"/>
        <v>0</v>
      </c>
      <c r="Z335" s="13">
        <f t="shared" ca="1" si="108"/>
        <v>4857.75</v>
      </c>
      <c r="AA335" s="4">
        <f t="shared" ca="1" si="109"/>
        <v>0</v>
      </c>
      <c r="AE335" s="4"/>
    </row>
    <row r="336" spans="1:31">
      <c r="A336">
        <v>2</v>
      </c>
      <c r="B336">
        <v>1</v>
      </c>
      <c r="C336">
        <f t="shared" ca="1" si="88"/>
        <v>4</v>
      </c>
      <c r="D336">
        <f t="shared" ca="1" si="89"/>
        <v>3</v>
      </c>
      <c r="E336">
        <f t="shared" ca="1" si="90"/>
        <v>2</v>
      </c>
      <c r="F336" s="110">
        <f t="shared" ca="1" si="91"/>
        <v>0</v>
      </c>
      <c r="G336">
        <v>0</v>
      </c>
      <c r="H336">
        <v>0</v>
      </c>
      <c r="I336">
        <v>1</v>
      </c>
      <c r="J336" s="1">
        <f t="shared" ca="1" si="92"/>
        <v>3.5625000000000061E-4</v>
      </c>
      <c r="K336" s="1">
        <f t="shared" ca="1" si="93"/>
        <v>0</v>
      </c>
      <c r="L336" s="13">
        <f t="shared" ca="1" si="94"/>
        <v>19</v>
      </c>
      <c r="M336" s="7">
        <f t="shared" ca="1" si="95"/>
        <v>1481</v>
      </c>
      <c r="N336" s="26">
        <f t="shared" ca="1" si="96"/>
        <v>6</v>
      </c>
      <c r="O336" s="44">
        <f t="shared" ca="1" si="97"/>
        <v>4.1694581524927896</v>
      </c>
      <c r="P336" s="44">
        <f t="shared" ca="1" si="98"/>
        <v>41.694581524927891</v>
      </c>
      <c r="Q336" s="44">
        <f t="shared" ca="1" si="99"/>
        <v>41.694581524927891</v>
      </c>
      <c r="R336" s="44">
        <f t="shared" ca="1" si="100"/>
        <v>4.1694581524927887</v>
      </c>
      <c r="S336" s="44">
        <f t="shared" ca="1" si="101"/>
        <v>4.1694581524927896</v>
      </c>
      <c r="T336" s="4">
        <f t="shared" ca="1" si="102"/>
        <v>0</v>
      </c>
      <c r="U336" s="120">
        <f t="shared" ca="1" si="103"/>
        <v>2070.2072530862838</v>
      </c>
      <c r="V336" s="4">
        <f t="shared" ca="1" si="104"/>
        <v>0</v>
      </c>
      <c r="W336" s="13">
        <f t="shared" ca="1" si="105"/>
        <v>2428.875</v>
      </c>
      <c r="X336" s="4">
        <f t="shared" ca="1" si="106"/>
        <v>0</v>
      </c>
      <c r="Y336" s="4">
        <f t="shared" si="107"/>
        <v>0</v>
      </c>
      <c r="Z336" s="13">
        <f t="shared" ca="1" si="108"/>
        <v>2428.875</v>
      </c>
      <c r="AA336" s="4">
        <f t="shared" ca="1" si="109"/>
        <v>0</v>
      </c>
      <c r="AE336" s="4"/>
    </row>
    <row r="337" spans="1:31">
      <c r="A337">
        <v>2</v>
      </c>
      <c r="B337">
        <v>1</v>
      </c>
      <c r="C337">
        <f t="shared" ca="1" si="88"/>
        <v>4</v>
      </c>
      <c r="D337">
        <f t="shared" ca="1" si="89"/>
        <v>3</v>
      </c>
      <c r="E337">
        <f t="shared" ca="1" si="90"/>
        <v>2</v>
      </c>
      <c r="F337" s="110">
        <f t="shared" ca="1" si="91"/>
        <v>0</v>
      </c>
      <c r="G337">
        <v>0</v>
      </c>
      <c r="H337">
        <v>0</v>
      </c>
      <c r="I337">
        <v>0</v>
      </c>
      <c r="J337" s="1">
        <f t="shared" ca="1" si="92"/>
        <v>6.2500000000000164E-6</v>
      </c>
      <c r="K337" s="1">
        <f t="shared" ca="1" si="93"/>
        <v>0</v>
      </c>
      <c r="L337" s="13">
        <f t="shared" ca="1" si="94"/>
        <v>0</v>
      </c>
      <c r="M337" s="7">
        <f t="shared" ca="1" si="95"/>
        <v>1500</v>
      </c>
      <c r="N337" s="26">
        <f t="shared" ca="1" si="96"/>
        <v>6</v>
      </c>
      <c r="O337" s="44">
        <f t="shared" ca="1" si="97"/>
        <v>4.1694581524927896</v>
      </c>
      <c r="P337" s="44">
        <f t="shared" ca="1" si="98"/>
        <v>41.694581524927891</v>
      </c>
      <c r="Q337" s="44">
        <f t="shared" ca="1" si="99"/>
        <v>41.694581524927891</v>
      </c>
      <c r="R337" s="44">
        <f t="shared" ca="1" si="100"/>
        <v>4.1694581524927887</v>
      </c>
      <c r="S337" s="44">
        <f t="shared" ca="1" si="101"/>
        <v>4.1694581524927896</v>
      </c>
      <c r="T337" s="4">
        <f t="shared" ca="1" si="102"/>
        <v>0</v>
      </c>
      <c r="U337" s="120">
        <f t="shared" ca="1" si="103"/>
        <v>2051.2072530862838</v>
      </c>
      <c r="V337" s="4">
        <f t="shared" ca="1" si="104"/>
        <v>0</v>
      </c>
      <c r="W337" s="13">
        <f t="shared" ca="1" si="105"/>
        <v>0</v>
      </c>
      <c r="X337" s="4">
        <f t="shared" ca="1" si="106"/>
        <v>0</v>
      </c>
      <c r="Y337" s="4">
        <f t="shared" si="107"/>
        <v>0</v>
      </c>
      <c r="Z337" s="13">
        <f t="shared" ca="1" si="108"/>
        <v>0</v>
      </c>
      <c r="AA337" s="4">
        <f t="shared" ca="1" si="109"/>
        <v>0</v>
      </c>
      <c r="AE337" s="4"/>
    </row>
    <row r="338" spans="1:31">
      <c r="A338">
        <v>2</v>
      </c>
      <c r="B338">
        <v>2</v>
      </c>
      <c r="C338">
        <f t="shared" ref="C338:C401" ca="1" si="110">MIN(8, 1+$B$10+$B$9+A338+B338)</f>
        <v>5</v>
      </c>
      <c r="D338">
        <f t="shared" ref="D338:D401" ca="1" si="111">C338-(1+$B$10)</f>
        <v>4</v>
      </c>
      <c r="E338">
        <f t="shared" ref="E338:E401" ca="1" si="112">MIN(A338, C338-(1+$B$10+$B$9))</f>
        <v>2</v>
      </c>
      <c r="F338" s="110">
        <f t="shared" ref="F338:F401" ca="1" si="113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0</v>
      </c>
      <c r="G338">
        <v>1</v>
      </c>
      <c r="H338">
        <v>1</v>
      </c>
      <c r="I338">
        <v>7</v>
      </c>
      <c r="J338" s="1">
        <f t="shared" ref="J338:J401" ca="1" si="114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15">F338*J338</f>
        <v>0</v>
      </c>
      <c r="L338" s="13">
        <f t="shared" ref="L338:L401" ca="1" si="116">MAX((G338+H338)*Set1WSTP + I338*$B$6, Set1SaveTP)</f>
        <v>595</v>
      </c>
      <c r="M338" s="7">
        <f t="shared" ref="M338:M401" ca="1" si="117">MAX(Set1MinTP-(L338+Set1Regain), 0)</f>
        <v>905</v>
      </c>
      <c r="N338" s="26">
        <f t="shared" ref="N338:N401" ca="1" si="118">CEILING(M338/Set1MeleeTP, 1)</f>
        <v>4</v>
      </c>
      <c r="O338" s="44">
        <f t="shared" ref="O338:O401" ca="1" si="119">VLOOKUP(N338,AvgRoundsSet1,2)</f>
        <v>2.8886114468927948</v>
      </c>
      <c r="P338" s="44">
        <f t="shared" ref="P338:P401" ca="1" si="120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28.886114468927953</v>
      </c>
      <c r="Q338" s="44">
        <f t="shared" ref="Q338:Q401" ca="1" si="121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28.886114468927953</v>
      </c>
      <c r="R338" s="44">
        <f t="shared" ref="R338:R401" ca="1" si="122">(P338+Q338)/20</f>
        <v>2.8886114468927953</v>
      </c>
      <c r="S338" s="44">
        <f t="shared" ref="S338:S401" ca="1" si="123">R338*Set1ConserveTP + O338*(1-Set1ConserveTP)</f>
        <v>2.8886114468927948</v>
      </c>
      <c r="T338" s="4">
        <f t="shared" ref="T338:T401" ca="1" si="124">K338*S338</f>
        <v>0</v>
      </c>
      <c r="U338" s="120">
        <f t="shared" ref="U338:U401" ca="1" si="125">MIN(L338+(S338+Set1OverTP)*AvgHitsPerRound1*Set1MeleeTP + Set1Regain + 10.5*Set1ConserveTP, 3000)</f>
        <v>2083.7564194948759</v>
      </c>
      <c r="V338" s="4">
        <f t="shared" ref="V338:V401" ca="1" si="126">U338*K338</f>
        <v>0</v>
      </c>
      <c r="W338" s="13">
        <f t="shared" ref="W338:W401" ca="1" si="127">G338*$K$10*((1-$L$10)*$L$14 + $L$10*$M$14*$M$10)*Set1WSDmg + H338*$K$13*((1-$L$13)*$L$15 + $L$13*$M$15*$M$11) + I338*$K$11*((1-$L$11)*$L$14 + $L$11*$M$14*$M$11) + E338*$K$12*$L$12*$M$10</f>
        <v>47995.641000000003</v>
      </c>
      <c r="X338" s="4">
        <f t="shared" ref="X338:X401" ca="1" si="128">K338*W338</f>
        <v>0</v>
      </c>
      <c r="Y338" s="4">
        <f t="shared" ref="Y338:Y401" si="129">IF($B$12=1, (VLOOKUP(C338, IF($B$13=10%,Souleater10,Souleater12), 6, FALSE) * $B$14), 0)</f>
        <v>0</v>
      </c>
      <c r="Z338" s="13">
        <f t="shared" ca="1" si="108"/>
        <v>47995.641000000003</v>
      </c>
      <c r="AA338" s="4">
        <f t="shared" ca="1" si="109"/>
        <v>0</v>
      </c>
      <c r="AE338" s="4"/>
    </row>
    <row r="339" spans="1:31">
      <c r="A339">
        <v>2</v>
      </c>
      <c r="B339">
        <v>2</v>
      </c>
      <c r="C339">
        <f t="shared" ca="1" si="110"/>
        <v>5</v>
      </c>
      <c r="D339">
        <f t="shared" ca="1" si="111"/>
        <v>4</v>
      </c>
      <c r="E339">
        <f t="shared" ca="1" si="112"/>
        <v>2</v>
      </c>
      <c r="F339" s="110">
        <f t="shared" ca="1" si="113"/>
        <v>0</v>
      </c>
      <c r="G339">
        <v>1</v>
      </c>
      <c r="H339">
        <v>1</v>
      </c>
      <c r="I339">
        <v>6</v>
      </c>
      <c r="J339" s="1">
        <f t="shared" ca="1" si="114"/>
        <v>0</v>
      </c>
      <c r="K339" s="1">
        <f t="shared" ca="1" si="115"/>
        <v>0</v>
      </c>
      <c r="L339" s="13">
        <f t="shared" ca="1" si="116"/>
        <v>576</v>
      </c>
      <c r="M339" s="7">
        <f t="shared" ca="1" si="117"/>
        <v>924</v>
      </c>
      <c r="N339" s="26">
        <f t="shared" ca="1" si="118"/>
        <v>4</v>
      </c>
      <c r="O339" s="44">
        <f t="shared" ca="1" si="119"/>
        <v>2.8886114468927948</v>
      </c>
      <c r="P339" s="44">
        <f t="shared" ca="1" si="120"/>
        <v>28.886114468927953</v>
      </c>
      <c r="Q339" s="44">
        <f t="shared" ca="1" si="121"/>
        <v>28.886114468927953</v>
      </c>
      <c r="R339" s="44">
        <f t="shared" ca="1" si="122"/>
        <v>2.8886114468927953</v>
      </c>
      <c r="S339" s="44">
        <f t="shared" ca="1" si="123"/>
        <v>2.8886114468927948</v>
      </c>
      <c r="T339" s="4">
        <f t="shared" ca="1" si="124"/>
        <v>0</v>
      </c>
      <c r="U339" s="120">
        <f t="shared" ca="1" si="125"/>
        <v>2064.7564194948759</v>
      </c>
      <c r="V339" s="4">
        <f t="shared" ca="1" si="126"/>
        <v>0</v>
      </c>
      <c r="W339" s="13">
        <f t="shared" ca="1" si="127"/>
        <v>45566.766000000003</v>
      </c>
      <c r="X339" s="4">
        <f t="shared" ca="1" si="128"/>
        <v>0</v>
      </c>
      <c r="Y339" s="4">
        <f t="shared" si="129"/>
        <v>0</v>
      </c>
      <c r="Z339" s="13">
        <f t="shared" ref="Z339:Z402" ca="1" si="130">Y339+W339</f>
        <v>45566.766000000003</v>
      </c>
      <c r="AA339" s="4">
        <f t="shared" ref="AA339:AA402" ca="1" si="131">Z339*K339</f>
        <v>0</v>
      </c>
      <c r="AE339" s="4"/>
    </row>
    <row r="340" spans="1:31">
      <c r="A340">
        <v>2</v>
      </c>
      <c r="B340">
        <v>2</v>
      </c>
      <c r="C340">
        <f t="shared" ca="1" si="110"/>
        <v>5</v>
      </c>
      <c r="D340">
        <f t="shared" ca="1" si="111"/>
        <v>4</v>
      </c>
      <c r="E340">
        <f t="shared" ca="1" si="112"/>
        <v>2</v>
      </c>
      <c r="F340" s="110">
        <f t="shared" ca="1" si="113"/>
        <v>0</v>
      </c>
      <c r="G340">
        <v>1</v>
      </c>
      <c r="H340">
        <v>1</v>
      </c>
      <c r="I340">
        <v>5</v>
      </c>
      <c r="J340" s="1">
        <f t="shared" ca="1" si="114"/>
        <v>0</v>
      </c>
      <c r="K340" s="1">
        <f t="shared" ca="1" si="115"/>
        <v>0</v>
      </c>
      <c r="L340" s="13">
        <f t="shared" ca="1" si="116"/>
        <v>557</v>
      </c>
      <c r="M340" s="7">
        <f t="shared" ca="1" si="117"/>
        <v>943</v>
      </c>
      <c r="N340" s="26">
        <f t="shared" ca="1" si="118"/>
        <v>4</v>
      </c>
      <c r="O340" s="44">
        <f t="shared" ca="1" si="119"/>
        <v>2.8886114468927948</v>
      </c>
      <c r="P340" s="44">
        <f t="shared" ca="1" si="120"/>
        <v>28.886114468927953</v>
      </c>
      <c r="Q340" s="44">
        <f t="shared" ca="1" si="121"/>
        <v>28.886114468927953</v>
      </c>
      <c r="R340" s="44">
        <f t="shared" ca="1" si="122"/>
        <v>2.8886114468927953</v>
      </c>
      <c r="S340" s="44">
        <f t="shared" ca="1" si="123"/>
        <v>2.8886114468927948</v>
      </c>
      <c r="T340" s="4">
        <f t="shared" ca="1" si="124"/>
        <v>0</v>
      </c>
      <c r="U340" s="120">
        <f t="shared" ca="1" si="125"/>
        <v>2045.7564194948757</v>
      </c>
      <c r="V340" s="4">
        <f t="shared" ca="1" si="126"/>
        <v>0</v>
      </c>
      <c r="W340" s="13">
        <f t="shared" ca="1" si="127"/>
        <v>43137.891000000003</v>
      </c>
      <c r="X340" s="4">
        <f t="shared" ca="1" si="128"/>
        <v>0</v>
      </c>
      <c r="Y340" s="4">
        <f t="shared" si="129"/>
        <v>0</v>
      </c>
      <c r="Z340" s="13">
        <f t="shared" ca="1" si="130"/>
        <v>43137.891000000003</v>
      </c>
      <c r="AA340" s="4">
        <f t="shared" ca="1" si="131"/>
        <v>0</v>
      </c>
      <c r="AE340" s="4"/>
    </row>
    <row r="341" spans="1:31">
      <c r="A341">
        <v>2</v>
      </c>
      <c r="B341">
        <v>2</v>
      </c>
      <c r="C341">
        <f t="shared" ca="1" si="110"/>
        <v>5</v>
      </c>
      <c r="D341">
        <f t="shared" ca="1" si="111"/>
        <v>4</v>
      </c>
      <c r="E341">
        <f t="shared" ca="1" si="112"/>
        <v>2</v>
      </c>
      <c r="F341" s="110">
        <f t="shared" ca="1" si="113"/>
        <v>0</v>
      </c>
      <c r="G341">
        <v>1</v>
      </c>
      <c r="H341">
        <v>1</v>
      </c>
      <c r="I341">
        <v>4</v>
      </c>
      <c r="J341" s="1">
        <f t="shared" ca="1" si="114"/>
        <v>0</v>
      </c>
      <c r="K341" s="1">
        <f t="shared" ca="1" si="115"/>
        <v>0</v>
      </c>
      <c r="L341" s="13">
        <f t="shared" ca="1" si="116"/>
        <v>538</v>
      </c>
      <c r="M341" s="7">
        <f t="shared" ca="1" si="117"/>
        <v>962</v>
      </c>
      <c r="N341" s="26">
        <f t="shared" ca="1" si="118"/>
        <v>4</v>
      </c>
      <c r="O341" s="44">
        <f t="shared" ca="1" si="119"/>
        <v>2.8886114468927948</v>
      </c>
      <c r="P341" s="44">
        <f t="shared" ca="1" si="120"/>
        <v>28.886114468927953</v>
      </c>
      <c r="Q341" s="44">
        <f t="shared" ca="1" si="121"/>
        <v>28.886114468927953</v>
      </c>
      <c r="R341" s="44">
        <f t="shared" ca="1" si="122"/>
        <v>2.8886114468927953</v>
      </c>
      <c r="S341" s="44">
        <f t="shared" ca="1" si="123"/>
        <v>2.8886114468927948</v>
      </c>
      <c r="T341" s="4">
        <f t="shared" ca="1" si="124"/>
        <v>0</v>
      </c>
      <c r="U341" s="120">
        <f t="shared" ca="1" si="125"/>
        <v>2026.7564194948757</v>
      </c>
      <c r="V341" s="4">
        <f t="shared" ca="1" si="126"/>
        <v>0</v>
      </c>
      <c r="W341" s="13">
        <f t="shared" ca="1" si="127"/>
        <v>40709.016000000003</v>
      </c>
      <c r="X341" s="4">
        <f t="shared" ca="1" si="128"/>
        <v>0</v>
      </c>
      <c r="Y341" s="4">
        <f t="shared" si="129"/>
        <v>0</v>
      </c>
      <c r="Z341" s="13">
        <f t="shared" ca="1" si="130"/>
        <v>40709.016000000003</v>
      </c>
      <c r="AA341" s="4">
        <f t="shared" ca="1" si="131"/>
        <v>0</v>
      </c>
      <c r="AE341" s="4"/>
    </row>
    <row r="342" spans="1:31">
      <c r="A342">
        <v>2</v>
      </c>
      <c r="B342">
        <v>2</v>
      </c>
      <c r="C342">
        <f t="shared" ca="1" si="110"/>
        <v>5</v>
      </c>
      <c r="D342">
        <f t="shared" ca="1" si="111"/>
        <v>4</v>
      </c>
      <c r="E342">
        <f t="shared" ca="1" si="112"/>
        <v>2</v>
      </c>
      <c r="F342" s="110">
        <f t="shared" ca="1" si="113"/>
        <v>0</v>
      </c>
      <c r="G342">
        <v>1</v>
      </c>
      <c r="H342">
        <v>1</v>
      </c>
      <c r="I342">
        <v>3</v>
      </c>
      <c r="J342" s="1">
        <f t="shared" ca="1" si="114"/>
        <v>0</v>
      </c>
      <c r="K342" s="1">
        <f t="shared" ca="1" si="115"/>
        <v>0</v>
      </c>
      <c r="L342" s="13">
        <f t="shared" ca="1" si="116"/>
        <v>519</v>
      </c>
      <c r="M342" s="7">
        <f t="shared" ca="1" si="117"/>
        <v>981</v>
      </c>
      <c r="N342" s="26">
        <f t="shared" ca="1" si="118"/>
        <v>4</v>
      </c>
      <c r="O342" s="44">
        <f t="shared" ca="1" si="119"/>
        <v>2.8886114468927948</v>
      </c>
      <c r="P342" s="44">
        <f t="shared" ca="1" si="120"/>
        <v>28.886114468927953</v>
      </c>
      <c r="Q342" s="44">
        <f t="shared" ca="1" si="121"/>
        <v>28.886114468927953</v>
      </c>
      <c r="R342" s="44">
        <f t="shared" ca="1" si="122"/>
        <v>2.8886114468927953</v>
      </c>
      <c r="S342" s="44">
        <f t="shared" ca="1" si="123"/>
        <v>2.8886114468927948</v>
      </c>
      <c r="T342" s="4">
        <f t="shared" ca="1" si="124"/>
        <v>0</v>
      </c>
      <c r="U342" s="120">
        <f t="shared" ca="1" si="125"/>
        <v>2007.7564194948757</v>
      </c>
      <c r="V342" s="4">
        <f t="shared" ca="1" si="126"/>
        <v>0</v>
      </c>
      <c r="W342" s="13">
        <f t="shared" ca="1" si="127"/>
        <v>38280.141000000003</v>
      </c>
      <c r="X342" s="4">
        <f t="shared" ca="1" si="128"/>
        <v>0</v>
      </c>
      <c r="Y342" s="4">
        <f t="shared" si="129"/>
        <v>0</v>
      </c>
      <c r="Z342" s="13">
        <f t="shared" ca="1" si="130"/>
        <v>38280.141000000003</v>
      </c>
      <c r="AA342" s="4">
        <f t="shared" ca="1" si="131"/>
        <v>0</v>
      </c>
      <c r="AE342" s="4"/>
    </row>
    <row r="343" spans="1:31">
      <c r="A343">
        <v>2</v>
      </c>
      <c r="B343">
        <v>2</v>
      </c>
      <c r="C343">
        <f t="shared" ca="1" si="110"/>
        <v>5</v>
      </c>
      <c r="D343">
        <f t="shared" ca="1" si="111"/>
        <v>4</v>
      </c>
      <c r="E343">
        <f t="shared" ca="1" si="112"/>
        <v>2</v>
      </c>
      <c r="F343" s="110">
        <f t="shared" ca="1" si="113"/>
        <v>0</v>
      </c>
      <c r="G343">
        <v>1</v>
      </c>
      <c r="H343">
        <v>1</v>
      </c>
      <c r="I343">
        <v>2</v>
      </c>
      <c r="J343" s="1">
        <f t="shared" ca="1" si="114"/>
        <v>0</v>
      </c>
      <c r="K343" s="1">
        <f t="shared" ca="1" si="115"/>
        <v>0</v>
      </c>
      <c r="L343" s="13">
        <f t="shared" ca="1" si="116"/>
        <v>500</v>
      </c>
      <c r="M343" s="7">
        <f t="shared" ca="1" si="117"/>
        <v>1000</v>
      </c>
      <c r="N343" s="26">
        <f t="shared" ca="1" si="118"/>
        <v>4</v>
      </c>
      <c r="O343" s="44">
        <f t="shared" ca="1" si="119"/>
        <v>2.8886114468927948</v>
      </c>
      <c r="P343" s="44">
        <f t="shared" ca="1" si="120"/>
        <v>28.886114468927953</v>
      </c>
      <c r="Q343" s="44">
        <f t="shared" ca="1" si="121"/>
        <v>28.886114468927953</v>
      </c>
      <c r="R343" s="44">
        <f t="shared" ca="1" si="122"/>
        <v>2.8886114468927953</v>
      </c>
      <c r="S343" s="44">
        <f t="shared" ca="1" si="123"/>
        <v>2.8886114468927948</v>
      </c>
      <c r="T343" s="4">
        <f t="shared" ca="1" si="124"/>
        <v>0</v>
      </c>
      <c r="U343" s="120">
        <f t="shared" ca="1" si="125"/>
        <v>1988.7564194948757</v>
      </c>
      <c r="V343" s="4">
        <f t="shared" ca="1" si="126"/>
        <v>0</v>
      </c>
      <c r="W343" s="13">
        <f t="shared" ca="1" si="127"/>
        <v>35851.266000000003</v>
      </c>
      <c r="X343" s="4">
        <f t="shared" ca="1" si="128"/>
        <v>0</v>
      </c>
      <c r="Y343" s="4">
        <f t="shared" si="129"/>
        <v>0</v>
      </c>
      <c r="Z343" s="13">
        <f t="shared" ca="1" si="130"/>
        <v>35851.266000000003</v>
      </c>
      <c r="AA343" s="4">
        <f t="shared" ca="1" si="131"/>
        <v>0</v>
      </c>
      <c r="AE343" s="4"/>
    </row>
    <row r="344" spans="1:31">
      <c r="A344">
        <v>2</v>
      </c>
      <c r="B344">
        <v>2</v>
      </c>
      <c r="C344">
        <f t="shared" ca="1" si="110"/>
        <v>5</v>
      </c>
      <c r="D344">
        <f t="shared" ca="1" si="111"/>
        <v>4</v>
      </c>
      <c r="E344">
        <f t="shared" ca="1" si="112"/>
        <v>2</v>
      </c>
      <c r="F344" s="110">
        <f t="shared" ca="1" si="113"/>
        <v>0</v>
      </c>
      <c r="G344">
        <v>1</v>
      </c>
      <c r="H344">
        <v>1</v>
      </c>
      <c r="I344">
        <v>1</v>
      </c>
      <c r="J344" s="1">
        <f t="shared" ca="1" si="114"/>
        <v>0</v>
      </c>
      <c r="K344" s="1">
        <f t="shared" ca="1" si="115"/>
        <v>0</v>
      </c>
      <c r="L344" s="13">
        <f t="shared" ca="1" si="116"/>
        <v>481</v>
      </c>
      <c r="M344" s="7">
        <f t="shared" ca="1" si="117"/>
        <v>1019</v>
      </c>
      <c r="N344" s="26">
        <f t="shared" ca="1" si="118"/>
        <v>4</v>
      </c>
      <c r="O344" s="44">
        <f t="shared" ca="1" si="119"/>
        <v>2.8886114468927948</v>
      </c>
      <c r="P344" s="44">
        <f t="shared" ca="1" si="120"/>
        <v>28.886114468927953</v>
      </c>
      <c r="Q344" s="44">
        <f t="shared" ca="1" si="121"/>
        <v>28.886114468927953</v>
      </c>
      <c r="R344" s="44">
        <f t="shared" ca="1" si="122"/>
        <v>2.8886114468927953</v>
      </c>
      <c r="S344" s="44">
        <f t="shared" ca="1" si="123"/>
        <v>2.8886114468927948</v>
      </c>
      <c r="T344" s="4">
        <f t="shared" ca="1" si="124"/>
        <v>0</v>
      </c>
      <c r="U344" s="120">
        <f t="shared" ca="1" si="125"/>
        <v>1969.7564194948757</v>
      </c>
      <c r="V344" s="4">
        <f t="shared" ca="1" si="126"/>
        <v>0</v>
      </c>
      <c r="W344" s="13">
        <f t="shared" ca="1" si="127"/>
        <v>33422.391000000003</v>
      </c>
      <c r="X344" s="4">
        <f t="shared" ca="1" si="128"/>
        <v>0</v>
      </c>
      <c r="Y344" s="4">
        <f t="shared" si="129"/>
        <v>0</v>
      </c>
      <c r="Z344" s="13">
        <f t="shared" ca="1" si="130"/>
        <v>33422.391000000003</v>
      </c>
      <c r="AA344" s="4">
        <f t="shared" ca="1" si="131"/>
        <v>0</v>
      </c>
      <c r="AE344" s="4"/>
    </row>
    <row r="345" spans="1:31">
      <c r="A345">
        <v>2</v>
      </c>
      <c r="B345">
        <v>2</v>
      </c>
      <c r="C345">
        <f t="shared" ca="1" si="110"/>
        <v>5</v>
      </c>
      <c r="D345">
        <f t="shared" ca="1" si="111"/>
        <v>4</v>
      </c>
      <c r="E345">
        <f t="shared" ca="1" si="112"/>
        <v>2</v>
      </c>
      <c r="F345" s="110">
        <f t="shared" ca="1" si="113"/>
        <v>0</v>
      </c>
      <c r="G345">
        <v>1</v>
      </c>
      <c r="H345">
        <v>1</v>
      </c>
      <c r="I345">
        <v>0</v>
      </c>
      <c r="J345" s="1">
        <f t="shared" ca="1" si="114"/>
        <v>0</v>
      </c>
      <c r="K345" s="1">
        <f t="shared" ca="1" si="115"/>
        <v>0</v>
      </c>
      <c r="L345" s="13">
        <f t="shared" ca="1" si="116"/>
        <v>462</v>
      </c>
      <c r="M345" s="7">
        <f t="shared" ca="1" si="117"/>
        <v>1038</v>
      </c>
      <c r="N345" s="26">
        <f t="shared" ca="1" si="118"/>
        <v>4</v>
      </c>
      <c r="O345" s="44">
        <f t="shared" ca="1" si="119"/>
        <v>2.8886114468927948</v>
      </c>
      <c r="P345" s="44">
        <f t="shared" ca="1" si="120"/>
        <v>28.886114468927953</v>
      </c>
      <c r="Q345" s="44">
        <f t="shared" ca="1" si="121"/>
        <v>28.886114468927953</v>
      </c>
      <c r="R345" s="44">
        <f t="shared" ca="1" si="122"/>
        <v>2.8886114468927953</v>
      </c>
      <c r="S345" s="44">
        <f t="shared" ca="1" si="123"/>
        <v>2.8886114468927948</v>
      </c>
      <c r="T345" s="4">
        <f t="shared" ca="1" si="124"/>
        <v>0</v>
      </c>
      <c r="U345" s="120">
        <f t="shared" ca="1" si="125"/>
        <v>1950.7564194948757</v>
      </c>
      <c r="V345" s="4">
        <f t="shared" ca="1" si="126"/>
        <v>0</v>
      </c>
      <c r="W345" s="13">
        <f t="shared" ca="1" si="127"/>
        <v>30993.516000000003</v>
      </c>
      <c r="X345" s="4">
        <f t="shared" ca="1" si="128"/>
        <v>0</v>
      </c>
      <c r="Y345" s="4">
        <f t="shared" si="129"/>
        <v>0</v>
      </c>
      <c r="Z345" s="13">
        <f t="shared" ca="1" si="130"/>
        <v>30993.516000000003</v>
      </c>
      <c r="AA345" s="4">
        <f t="shared" ca="1" si="131"/>
        <v>0</v>
      </c>
      <c r="AE345" s="4"/>
    </row>
    <row r="346" spans="1:31">
      <c r="A346">
        <v>2</v>
      </c>
      <c r="B346">
        <v>2</v>
      </c>
      <c r="C346">
        <f t="shared" ca="1" si="110"/>
        <v>5</v>
      </c>
      <c r="D346">
        <f t="shared" ca="1" si="111"/>
        <v>4</v>
      </c>
      <c r="E346">
        <f t="shared" ca="1" si="112"/>
        <v>2</v>
      </c>
      <c r="F346" s="110">
        <f t="shared" ca="1" si="113"/>
        <v>0</v>
      </c>
      <c r="G346">
        <v>1</v>
      </c>
      <c r="H346">
        <v>0</v>
      </c>
      <c r="I346">
        <v>7</v>
      </c>
      <c r="J346" s="1">
        <f t="shared" ca="1" si="114"/>
        <v>0</v>
      </c>
      <c r="K346" s="1">
        <f t="shared" ca="1" si="115"/>
        <v>0</v>
      </c>
      <c r="L346" s="13">
        <f t="shared" ca="1" si="116"/>
        <v>364</v>
      </c>
      <c r="M346" s="7">
        <f t="shared" ca="1" si="117"/>
        <v>1136</v>
      </c>
      <c r="N346" s="26">
        <f t="shared" ca="1" si="118"/>
        <v>5</v>
      </c>
      <c r="O346" s="44">
        <f t="shared" ca="1" si="119"/>
        <v>3.5346387789404914</v>
      </c>
      <c r="P346" s="44">
        <f t="shared" ca="1" si="120"/>
        <v>35.346387789404908</v>
      </c>
      <c r="Q346" s="44">
        <f t="shared" ca="1" si="121"/>
        <v>34.700360457357213</v>
      </c>
      <c r="R346" s="44">
        <f t="shared" ca="1" si="122"/>
        <v>3.5023374123381061</v>
      </c>
      <c r="S346" s="44">
        <f t="shared" ca="1" si="123"/>
        <v>3.532377683278324</v>
      </c>
      <c r="T346" s="4">
        <f t="shared" ca="1" si="124"/>
        <v>0</v>
      </c>
      <c r="U346" s="120">
        <f t="shared" ca="1" si="125"/>
        <v>2135.4497774977995</v>
      </c>
      <c r="V346" s="4">
        <f t="shared" ca="1" si="126"/>
        <v>0</v>
      </c>
      <c r="W346" s="13">
        <f t="shared" ca="1" si="127"/>
        <v>47995.641000000003</v>
      </c>
      <c r="X346" s="4">
        <f t="shared" ca="1" si="128"/>
        <v>0</v>
      </c>
      <c r="Y346" s="4">
        <f t="shared" si="129"/>
        <v>0</v>
      </c>
      <c r="Z346" s="13">
        <f t="shared" ca="1" si="130"/>
        <v>47995.641000000003</v>
      </c>
      <c r="AA346" s="4">
        <f t="shared" ca="1" si="131"/>
        <v>0</v>
      </c>
      <c r="AE346" s="4"/>
    </row>
    <row r="347" spans="1:31">
      <c r="A347">
        <v>2</v>
      </c>
      <c r="B347">
        <v>2</v>
      </c>
      <c r="C347">
        <f t="shared" ca="1" si="110"/>
        <v>5</v>
      </c>
      <c r="D347">
        <f t="shared" ca="1" si="111"/>
        <v>4</v>
      </c>
      <c r="E347">
        <f t="shared" ca="1" si="112"/>
        <v>2</v>
      </c>
      <c r="F347" s="110">
        <f t="shared" ca="1" si="113"/>
        <v>0</v>
      </c>
      <c r="G347">
        <v>1</v>
      </c>
      <c r="H347">
        <v>0</v>
      </c>
      <c r="I347">
        <v>6</v>
      </c>
      <c r="J347" s="1">
        <f t="shared" ca="1" si="114"/>
        <v>0</v>
      </c>
      <c r="K347" s="1">
        <f t="shared" ca="1" si="115"/>
        <v>0</v>
      </c>
      <c r="L347" s="13">
        <f t="shared" ca="1" si="116"/>
        <v>345</v>
      </c>
      <c r="M347" s="7">
        <f t="shared" ca="1" si="117"/>
        <v>1155</v>
      </c>
      <c r="N347" s="26">
        <f t="shared" ca="1" si="118"/>
        <v>5</v>
      </c>
      <c r="O347" s="44">
        <f t="shared" ca="1" si="119"/>
        <v>3.5346387789404914</v>
      </c>
      <c r="P347" s="44">
        <f t="shared" ca="1" si="120"/>
        <v>35.346387789404908</v>
      </c>
      <c r="Q347" s="44">
        <f t="shared" ca="1" si="121"/>
        <v>35.346387789404908</v>
      </c>
      <c r="R347" s="44">
        <f t="shared" ca="1" si="122"/>
        <v>3.5346387789404909</v>
      </c>
      <c r="S347" s="44">
        <f t="shared" ca="1" si="123"/>
        <v>3.5346387789404914</v>
      </c>
      <c r="T347" s="4">
        <f t="shared" ca="1" si="124"/>
        <v>0</v>
      </c>
      <c r="U347" s="120">
        <f t="shared" ca="1" si="125"/>
        <v>2117.4426794074939</v>
      </c>
      <c r="V347" s="4">
        <f t="shared" ca="1" si="126"/>
        <v>0</v>
      </c>
      <c r="W347" s="13">
        <f t="shared" ca="1" si="127"/>
        <v>45566.766000000003</v>
      </c>
      <c r="X347" s="4">
        <f t="shared" ca="1" si="128"/>
        <v>0</v>
      </c>
      <c r="Y347" s="4">
        <f t="shared" si="129"/>
        <v>0</v>
      </c>
      <c r="Z347" s="13">
        <f t="shared" ca="1" si="130"/>
        <v>45566.766000000003</v>
      </c>
      <c r="AA347" s="4">
        <f t="shared" ca="1" si="131"/>
        <v>0</v>
      </c>
      <c r="AE347" s="4"/>
    </row>
    <row r="348" spans="1:31">
      <c r="A348">
        <v>2</v>
      </c>
      <c r="B348">
        <v>2</v>
      </c>
      <c r="C348">
        <f t="shared" ca="1" si="110"/>
        <v>5</v>
      </c>
      <c r="D348">
        <f t="shared" ca="1" si="111"/>
        <v>4</v>
      </c>
      <c r="E348">
        <f t="shared" ca="1" si="112"/>
        <v>2</v>
      </c>
      <c r="F348" s="110">
        <f t="shared" ca="1" si="113"/>
        <v>0</v>
      </c>
      <c r="G348">
        <v>1</v>
      </c>
      <c r="H348">
        <v>0</v>
      </c>
      <c r="I348">
        <v>5</v>
      </c>
      <c r="J348" s="1">
        <f t="shared" ca="1" si="114"/>
        <v>0</v>
      </c>
      <c r="K348" s="1">
        <f t="shared" ca="1" si="115"/>
        <v>0</v>
      </c>
      <c r="L348" s="13">
        <f t="shared" ca="1" si="116"/>
        <v>326</v>
      </c>
      <c r="M348" s="7">
        <f t="shared" ca="1" si="117"/>
        <v>1174</v>
      </c>
      <c r="N348" s="26">
        <f t="shared" ca="1" si="118"/>
        <v>5</v>
      </c>
      <c r="O348" s="44">
        <f t="shared" ca="1" si="119"/>
        <v>3.5346387789404914</v>
      </c>
      <c r="P348" s="44">
        <f t="shared" ca="1" si="120"/>
        <v>35.346387789404908</v>
      </c>
      <c r="Q348" s="44">
        <f t="shared" ca="1" si="121"/>
        <v>35.346387789404908</v>
      </c>
      <c r="R348" s="44">
        <f t="shared" ca="1" si="122"/>
        <v>3.5346387789404909</v>
      </c>
      <c r="S348" s="44">
        <f t="shared" ca="1" si="123"/>
        <v>3.5346387789404914</v>
      </c>
      <c r="T348" s="4">
        <f t="shared" ca="1" si="124"/>
        <v>0</v>
      </c>
      <c r="U348" s="120">
        <f t="shared" ca="1" si="125"/>
        <v>2098.4426794074939</v>
      </c>
      <c r="V348" s="4">
        <f t="shared" ca="1" si="126"/>
        <v>0</v>
      </c>
      <c r="W348" s="13">
        <f t="shared" ca="1" si="127"/>
        <v>43137.891000000003</v>
      </c>
      <c r="X348" s="4">
        <f t="shared" ca="1" si="128"/>
        <v>0</v>
      </c>
      <c r="Y348" s="4">
        <f t="shared" si="129"/>
        <v>0</v>
      </c>
      <c r="Z348" s="13">
        <f t="shared" ca="1" si="130"/>
        <v>43137.891000000003</v>
      </c>
      <c r="AA348" s="4">
        <f t="shared" ca="1" si="131"/>
        <v>0</v>
      </c>
      <c r="AE348" s="4"/>
    </row>
    <row r="349" spans="1:31">
      <c r="A349">
        <v>2</v>
      </c>
      <c r="B349">
        <v>2</v>
      </c>
      <c r="C349">
        <f t="shared" ca="1" si="110"/>
        <v>5</v>
      </c>
      <c r="D349">
        <f t="shared" ca="1" si="111"/>
        <v>4</v>
      </c>
      <c r="E349">
        <f t="shared" ca="1" si="112"/>
        <v>2</v>
      </c>
      <c r="F349" s="110">
        <f t="shared" ca="1" si="113"/>
        <v>0</v>
      </c>
      <c r="G349">
        <v>1</v>
      </c>
      <c r="H349">
        <v>0</v>
      </c>
      <c r="I349">
        <v>4</v>
      </c>
      <c r="J349" s="1">
        <f t="shared" ca="1" si="114"/>
        <v>0.77378093749999999</v>
      </c>
      <c r="K349" s="1">
        <f t="shared" ca="1" si="115"/>
        <v>0</v>
      </c>
      <c r="L349" s="13">
        <f t="shared" ca="1" si="116"/>
        <v>307</v>
      </c>
      <c r="M349" s="7">
        <f t="shared" ca="1" si="117"/>
        <v>1193</v>
      </c>
      <c r="N349" s="26">
        <f t="shared" ca="1" si="118"/>
        <v>5</v>
      </c>
      <c r="O349" s="44">
        <f t="shared" ca="1" si="119"/>
        <v>3.5346387789404914</v>
      </c>
      <c r="P349" s="44">
        <f t="shared" ca="1" si="120"/>
        <v>35.346387789404908</v>
      </c>
      <c r="Q349" s="44">
        <f t="shared" ca="1" si="121"/>
        <v>35.346387789404908</v>
      </c>
      <c r="R349" s="44">
        <f t="shared" ca="1" si="122"/>
        <v>3.5346387789404909</v>
      </c>
      <c r="S349" s="44">
        <f t="shared" ca="1" si="123"/>
        <v>3.5346387789404914</v>
      </c>
      <c r="T349" s="4">
        <f t="shared" ca="1" si="124"/>
        <v>0</v>
      </c>
      <c r="U349" s="120">
        <f t="shared" ca="1" si="125"/>
        <v>2079.4426794074939</v>
      </c>
      <c r="V349" s="4">
        <f t="shared" ca="1" si="126"/>
        <v>0</v>
      </c>
      <c r="W349" s="13">
        <f t="shared" ca="1" si="127"/>
        <v>40709.016000000003</v>
      </c>
      <c r="X349" s="4">
        <f t="shared" ca="1" si="128"/>
        <v>0</v>
      </c>
      <c r="Y349" s="4">
        <f t="shared" si="129"/>
        <v>0</v>
      </c>
      <c r="Z349" s="13">
        <f t="shared" ca="1" si="130"/>
        <v>40709.016000000003</v>
      </c>
      <c r="AA349" s="4">
        <f t="shared" ca="1" si="131"/>
        <v>0</v>
      </c>
      <c r="AE349" s="4"/>
    </row>
    <row r="350" spans="1:31">
      <c r="A350">
        <v>2</v>
      </c>
      <c r="B350">
        <v>2</v>
      </c>
      <c r="C350">
        <f t="shared" ca="1" si="110"/>
        <v>5</v>
      </c>
      <c r="D350">
        <f t="shared" ca="1" si="111"/>
        <v>4</v>
      </c>
      <c r="E350">
        <f t="shared" ca="1" si="112"/>
        <v>2</v>
      </c>
      <c r="F350" s="110">
        <f t="shared" ca="1" si="113"/>
        <v>0</v>
      </c>
      <c r="G350">
        <v>1</v>
      </c>
      <c r="H350">
        <v>0</v>
      </c>
      <c r="I350">
        <v>3</v>
      </c>
      <c r="J350" s="1">
        <f t="shared" ca="1" si="114"/>
        <v>0.16290125000000011</v>
      </c>
      <c r="K350" s="1">
        <f t="shared" ca="1" si="115"/>
        <v>0</v>
      </c>
      <c r="L350" s="13">
        <f t="shared" ca="1" si="116"/>
        <v>288</v>
      </c>
      <c r="M350" s="7">
        <f t="shared" ca="1" si="117"/>
        <v>1212</v>
      </c>
      <c r="N350" s="26">
        <f t="shared" ca="1" si="118"/>
        <v>5</v>
      </c>
      <c r="O350" s="44">
        <f t="shared" ca="1" si="119"/>
        <v>3.5346387789404914</v>
      </c>
      <c r="P350" s="44">
        <f t="shared" ca="1" si="120"/>
        <v>35.346387789404908</v>
      </c>
      <c r="Q350" s="44">
        <f t="shared" ca="1" si="121"/>
        <v>35.346387789404908</v>
      </c>
      <c r="R350" s="44">
        <f t="shared" ca="1" si="122"/>
        <v>3.5346387789404909</v>
      </c>
      <c r="S350" s="44">
        <f t="shared" ca="1" si="123"/>
        <v>3.5346387789404914</v>
      </c>
      <c r="T350" s="4">
        <f t="shared" ca="1" si="124"/>
        <v>0</v>
      </c>
      <c r="U350" s="120">
        <f t="shared" ca="1" si="125"/>
        <v>2060.4426794074939</v>
      </c>
      <c r="V350" s="4">
        <f t="shared" ca="1" si="126"/>
        <v>0</v>
      </c>
      <c r="W350" s="13">
        <f t="shared" ca="1" si="127"/>
        <v>38280.141000000003</v>
      </c>
      <c r="X350" s="4">
        <f t="shared" ca="1" si="128"/>
        <v>0</v>
      </c>
      <c r="Y350" s="4">
        <f t="shared" si="129"/>
        <v>0</v>
      </c>
      <c r="Z350" s="13">
        <f t="shared" ca="1" si="130"/>
        <v>38280.141000000003</v>
      </c>
      <c r="AA350" s="4">
        <f t="shared" ca="1" si="131"/>
        <v>0</v>
      </c>
      <c r="AE350" s="4"/>
    </row>
    <row r="351" spans="1:31">
      <c r="A351">
        <v>2</v>
      </c>
      <c r="B351">
        <v>2</v>
      </c>
      <c r="C351">
        <f t="shared" ca="1" si="110"/>
        <v>5</v>
      </c>
      <c r="D351">
        <f t="shared" ca="1" si="111"/>
        <v>4</v>
      </c>
      <c r="E351">
        <f t="shared" ca="1" si="112"/>
        <v>2</v>
      </c>
      <c r="F351" s="110">
        <f t="shared" ca="1" si="113"/>
        <v>0</v>
      </c>
      <c r="G351">
        <v>1</v>
      </c>
      <c r="H351">
        <v>0</v>
      </c>
      <c r="I351">
        <v>2</v>
      </c>
      <c r="J351" s="1">
        <f t="shared" ca="1" si="114"/>
        <v>1.2860625000000021E-2</v>
      </c>
      <c r="K351" s="1">
        <f t="shared" ca="1" si="115"/>
        <v>0</v>
      </c>
      <c r="L351" s="13">
        <f t="shared" ca="1" si="116"/>
        <v>269</v>
      </c>
      <c r="M351" s="7">
        <f t="shared" ca="1" si="117"/>
        <v>1231</v>
      </c>
      <c r="N351" s="26">
        <f t="shared" ca="1" si="118"/>
        <v>5</v>
      </c>
      <c r="O351" s="44">
        <f t="shared" ca="1" si="119"/>
        <v>3.5346387789404914</v>
      </c>
      <c r="P351" s="44">
        <f t="shared" ca="1" si="120"/>
        <v>35.346387789404908</v>
      </c>
      <c r="Q351" s="44">
        <f t="shared" ca="1" si="121"/>
        <v>35.346387789404908</v>
      </c>
      <c r="R351" s="44">
        <f t="shared" ca="1" si="122"/>
        <v>3.5346387789404909</v>
      </c>
      <c r="S351" s="44">
        <f t="shared" ca="1" si="123"/>
        <v>3.5346387789404914</v>
      </c>
      <c r="T351" s="4">
        <f t="shared" ca="1" si="124"/>
        <v>0</v>
      </c>
      <c r="U351" s="120">
        <f t="shared" ca="1" si="125"/>
        <v>2041.4426794074936</v>
      </c>
      <c r="V351" s="4">
        <f t="shared" ca="1" si="126"/>
        <v>0</v>
      </c>
      <c r="W351" s="13">
        <f t="shared" ca="1" si="127"/>
        <v>35851.266000000003</v>
      </c>
      <c r="X351" s="4">
        <f t="shared" ca="1" si="128"/>
        <v>0</v>
      </c>
      <c r="Y351" s="4">
        <f t="shared" si="129"/>
        <v>0</v>
      </c>
      <c r="Z351" s="13">
        <f t="shared" ca="1" si="130"/>
        <v>35851.266000000003</v>
      </c>
      <c r="AA351" s="4">
        <f t="shared" ca="1" si="131"/>
        <v>0</v>
      </c>
      <c r="AE351" s="4"/>
    </row>
    <row r="352" spans="1:31">
      <c r="A352">
        <v>2</v>
      </c>
      <c r="B352">
        <v>2</v>
      </c>
      <c r="C352">
        <f t="shared" ca="1" si="110"/>
        <v>5</v>
      </c>
      <c r="D352">
        <f t="shared" ca="1" si="111"/>
        <v>4</v>
      </c>
      <c r="E352">
        <f t="shared" ca="1" si="112"/>
        <v>2</v>
      </c>
      <c r="F352" s="110">
        <f t="shared" ca="1" si="113"/>
        <v>0</v>
      </c>
      <c r="G352">
        <v>1</v>
      </c>
      <c r="H352">
        <v>0</v>
      </c>
      <c r="I352">
        <v>1</v>
      </c>
      <c r="J352" s="1">
        <f t="shared" ca="1" si="114"/>
        <v>4.5125000000000118E-4</v>
      </c>
      <c r="K352" s="1">
        <f t="shared" ca="1" si="115"/>
        <v>0</v>
      </c>
      <c r="L352" s="13">
        <f t="shared" ca="1" si="116"/>
        <v>250</v>
      </c>
      <c r="M352" s="7">
        <f t="shared" ca="1" si="117"/>
        <v>1250</v>
      </c>
      <c r="N352" s="26">
        <f t="shared" ca="1" si="118"/>
        <v>5</v>
      </c>
      <c r="O352" s="44">
        <f t="shared" ca="1" si="119"/>
        <v>3.5346387789404914</v>
      </c>
      <c r="P352" s="44">
        <f t="shared" ca="1" si="120"/>
        <v>35.346387789404908</v>
      </c>
      <c r="Q352" s="44">
        <f t="shared" ca="1" si="121"/>
        <v>35.346387789404908</v>
      </c>
      <c r="R352" s="44">
        <f t="shared" ca="1" si="122"/>
        <v>3.5346387789404909</v>
      </c>
      <c r="S352" s="44">
        <f t="shared" ca="1" si="123"/>
        <v>3.5346387789404914</v>
      </c>
      <c r="T352" s="4">
        <f t="shared" ca="1" si="124"/>
        <v>0</v>
      </c>
      <c r="U352" s="120">
        <f t="shared" ca="1" si="125"/>
        <v>2022.4426794074936</v>
      </c>
      <c r="V352" s="4">
        <f t="shared" ca="1" si="126"/>
        <v>0</v>
      </c>
      <c r="W352" s="13">
        <f t="shared" ca="1" si="127"/>
        <v>33422.391000000003</v>
      </c>
      <c r="X352" s="4">
        <f t="shared" ca="1" si="128"/>
        <v>0</v>
      </c>
      <c r="Y352" s="4">
        <f t="shared" si="129"/>
        <v>0</v>
      </c>
      <c r="Z352" s="13">
        <f t="shared" ca="1" si="130"/>
        <v>33422.391000000003</v>
      </c>
      <c r="AA352" s="4">
        <f t="shared" ca="1" si="131"/>
        <v>0</v>
      </c>
      <c r="AE352" s="4"/>
    </row>
    <row r="353" spans="1:31">
      <c r="A353">
        <v>2</v>
      </c>
      <c r="B353">
        <v>2</v>
      </c>
      <c r="C353">
        <f t="shared" ca="1" si="110"/>
        <v>5</v>
      </c>
      <c r="D353">
        <f t="shared" ca="1" si="111"/>
        <v>4</v>
      </c>
      <c r="E353">
        <f t="shared" ca="1" si="112"/>
        <v>2</v>
      </c>
      <c r="F353" s="110">
        <f t="shared" ca="1" si="113"/>
        <v>0</v>
      </c>
      <c r="G353">
        <v>1</v>
      </c>
      <c r="H353">
        <v>0</v>
      </c>
      <c r="I353">
        <v>0</v>
      </c>
      <c r="J353" s="1">
        <f t="shared" ca="1" si="114"/>
        <v>5.9375000000000207E-6</v>
      </c>
      <c r="K353" s="1">
        <f t="shared" ca="1" si="115"/>
        <v>0</v>
      </c>
      <c r="L353" s="13">
        <f t="shared" ca="1" si="116"/>
        <v>231</v>
      </c>
      <c r="M353" s="7">
        <f t="shared" ca="1" si="117"/>
        <v>1269</v>
      </c>
      <c r="N353" s="26">
        <f t="shared" ca="1" si="118"/>
        <v>5</v>
      </c>
      <c r="O353" s="44">
        <f t="shared" ca="1" si="119"/>
        <v>3.5346387789404914</v>
      </c>
      <c r="P353" s="44">
        <f t="shared" ca="1" si="120"/>
        <v>35.346387789404908</v>
      </c>
      <c r="Q353" s="44">
        <f t="shared" ca="1" si="121"/>
        <v>35.346387789404908</v>
      </c>
      <c r="R353" s="44">
        <f t="shared" ca="1" si="122"/>
        <v>3.5346387789404909</v>
      </c>
      <c r="S353" s="44">
        <f t="shared" ca="1" si="123"/>
        <v>3.5346387789404914</v>
      </c>
      <c r="T353" s="4">
        <f t="shared" ca="1" si="124"/>
        <v>0</v>
      </c>
      <c r="U353" s="120">
        <f t="shared" ca="1" si="125"/>
        <v>2003.4426794074936</v>
      </c>
      <c r="V353" s="4">
        <f t="shared" ca="1" si="126"/>
        <v>0</v>
      </c>
      <c r="W353" s="13">
        <f t="shared" ca="1" si="127"/>
        <v>30993.516000000003</v>
      </c>
      <c r="X353" s="4">
        <f t="shared" ca="1" si="128"/>
        <v>0</v>
      </c>
      <c r="Y353" s="4">
        <f t="shared" si="129"/>
        <v>0</v>
      </c>
      <c r="Z353" s="13">
        <f t="shared" ca="1" si="130"/>
        <v>30993.516000000003</v>
      </c>
      <c r="AA353" s="4">
        <f t="shared" ca="1" si="131"/>
        <v>0</v>
      </c>
      <c r="AE353" s="4"/>
    </row>
    <row r="354" spans="1:31">
      <c r="A354">
        <v>2</v>
      </c>
      <c r="B354">
        <v>2</v>
      </c>
      <c r="C354">
        <f t="shared" ca="1" si="110"/>
        <v>5</v>
      </c>
      <c r="D354">
        <f t="shared" ca="1" si="111"/>
        <v>4</v>
      </c>
      <c r="E354">
        <f t="shared" ca="1" si="112"/>
        <v>2</v>
      </c>
      <c r="F354" s="110">
        <f t="shared" ca="1" si="113"/>
        <v>0</v>
      </c>
      <c r="G354">
        <v>0</v>
      </c>
      <c r="H354">
        <v>1</v>
      </c>
      <c r="I354">
        <v>7</v>
      </c>
      <c r="J354" s="1">
        <f t="shared" ca="1" si="114"/>
        <v>0</v>
      </c>
      <c r="K354" s="1">
        <f t="shared" ca="1" si="115"/>
        <v>0</v>
      </c>
      <c r="L354" s="13">
        <f t="shared" ca="1" si="116"/>
        <v>364</v>
      </c>
      <c r="M354" s="7">
        <f t="shared" ca="1" si="117"/>
        <v>1136</v>
      </c>
      <c r="N354" s="26">
        <f t="shared" ca="1" si="118"/>
        <v>5</v>
      </c>
      <c r="O354" s="44">
        <f t="shared" ca="1" si="119"/>
        <v>3.5346387789404914</v>
      </c>
      <c r="P354" s="44">
        <f t="shared" ca="1" si="120"/>
        <v>35.346387789404908</v>
      </c>
      <c r="Q354" s="44">
        <f t="shared" ca="1" si="121"/>
        <v>34.700360457357213</v>
      </c>
      <c r="R354" s="44">
        <f t="shared" ca="1" si="122"/>
        <v>3.5023374123381061</v>
      </c>
      <c r="S354" s="44">
        <f t="shared" ca="1" si="123"/>
        <v>3.532377683278324</v>
      </c>
      <c r="T354" s="4">
        <f t="shared" ca="1" si="124"/>
        <v>0</v>
      </c>
      <c r="U354" s="120">
        <f t="shared" ca="1" si="125"/>
        <v>2135.4497774977995</v>
      </c>
      <c r="V354" s="4">
        <f t="shared" ca="1" si="126"/>
        <v>0</v>
      </c>
      <c r="W354" s="13">
        <f t="shared" ca="1" si="127"/>
        <v>17002.125</v>
      </c>
      <c r="X354" s="4">
        <f t="shared" ca="1" si="128"/>
        <v>0</v>
      </c>
      <c r="Y354" s="4">
        <f t="shared" si="129"/>
        <v>0</v>
      </c>
      <c r="Z354" s="13">
        <f t="shared" ca="1" si="130"/>
        <v>17002.125</v>
      </c>
      <c r="AA354" s="4">
        <f t="shared" ca="1" si="131"/>
        <v>0</v>
      </c>
      <c r="AE354" s="4"/>
    </row>
    <row r="355" spans="1:31">
      <c r="A355">
        <v>2</v>
      </c>
      <c r="B355">
        <v>2</v>
      </c>
      <c r="C355">
        <f t="shared" ca="1" si="110"/>
        <v>5</v>
      </c>
      <c r="D355">
        <f t="shared" ca="1" si="111"/>
        <v>4</v>
      </c>
      <c r="E355">
        <f t="shared" ca="1" si="112"/>
        <v>2</v>
      </c>
      <c r="F355" s="110">
        <f t="shared" ca="1" si="113"/>
        <v>0</v>
      </c>
      <c r="G355">
        <v>0</v>
      </c>
      <c r="H355">
        <v>1</v>
      </c>
      <c r="I355">
        <v>6</v>
      </c>
      <c r="J355" s="1">
        <f t="shared" ca="1" si="114"/>
        <v>0</v>
      </c>
      <c r="K355" s="1">
        <f t="shared" ca="1" si="115"/>
        <v>0</v>
      </c>
      <c r="L355" s="13">
        <f t="shared" ca="1" si="116"/>
        <v>345</v>
      </c>
      <c r="M355" s="7">
        <f t="shared" ca="1" si="117"/>
        <v>1155</v>
      </c>
      <c r="N355" s="26">
        <f t="shared" ca="1" si="118"/>
        <v>5</v>
      </c>
      <c r="O355" s="44">
        <f t="shared" ca="1" si="119"/>
        <v>3.5346387789404914</v>
      </c>
      <c r="P355" s="44">
        <f t="shared" ca="1" si="120"/>
        <v>35.346387789404908</v>
      </c>
      <c r="Q355" s="44">
        <f t="shared" ca="1" si="121"/>
        <v>35.346387789404908</v>
      </c>
      <c r="R355" s="44">
        <f t="shared" ca="1" si="122"/>
        <v>3.5346387789404909</v>
      </c>
      <c r="S355" s="44">
        <f t="shared" ca="1" si="123"/>
        <v>3.5346387789404914</v>
      </c>
      <c r="T355" s="4">
        <f t="shared" ca="1" si="124"/>
        <v>0</v>
      </c>
      <c r="U355" s="120">
        <f t="shared" ca="1" si="125"/>
        <v>2117.4426794074939</v>
      </c>
      <c r="V355" s="4">
        <f t="shared" ca="1" si="126"/>
        <v>0</v>
      </c>
      <c r="W355" s="13">
        <f t="shared" ca="1" si="127"/>
        <v>14573.25</v>
      </c>
      <c r="X355" s="4">
        <f t="shared" ca="1" si="128"/>
        <v>0</v>
      </c>
      <c r="Y355" s="4">
        <f t="shared" si="129"/>
        <v>0</v>
      </c>
      <c r="Z355" s="13">
        <f t="shared" ca="1" si="130"/>
        <v>14573.25</v>
      </c>
      <c r="AA355" s="4">
        <f t="shared" ca="1" si="131"/>
        <v>0</v>
      </c>
      <c r="AE355" s="4"/>
    </row>
    <row r="356" spans="1:31">
      <c r="A356">
        <v>2</v>
      </c>
      <c r="B356">
        <v>2</v>
      </c>
      <c r="C356">
        <f t="shared" ca="1" si="110"/>
        <v>5</v>
      </c>
      <c r="D356">
        <f t="shared" ca="1" si="111"/>
        <v>4</v>
      </c>
      <c r="E356">
        <f t="shared" ca="1" si="112"/>
        <v>2</v>
      </c>
      <c r="F356" s="110">
        <f t="shared" ca="1" si="113"/>
        <v>0</v>
      </c>
      <c r="G356">
        <v>0</v>
      </c>
      <c r="H356">
        <v>1</v>
      </c>
      <c r="I356">
        <v>5</v>
      </c>
      <c r="J356" s="1">
        <f t="shared" ca="1" si="114"/>
        <v>0</v>
      </c>
      <c r="K356" s="1">
        <f t="shared" ca="1" si="115"/>
        <v>0</v>
      </c>
      <c r="L356" s="13">
        <f t="shared" ca="1" si="116"/>
        <v>326</v>
      </c>
      <c r="M356" s="7">
        <f t="shared" ca="1" si="117"/>
        <v>1174</v>
      </c>
      <c r="N356" s="26">
        <f t="shared" ca="1" si="118"/>
        <v>5</v>
      </c>
      <c r="O356" s="44">
        <f t="shared" ca="1" si="119"/>
        <v>3.5346387789404914</v>
      </c>
      <c r="P356" s="44">
        <f t="shared" ca="1" si="120"/>
        <v>35.346387789404908</v>
      </c>
      <c r="Q356" s="44">
        <f t="shared" ca="1" si="121"/>
        <v>35.346387789404908</v>
      </c>
      <c r="R356" s="44">
        <f t="shared" ca="1" si="122"/>
        <v>3.5346387789404909</v>
      </c>
      <c r="S356" s="44">
        <f t="shared" ca="1" si="123"/>
        <v>3.5346387789404914</v>
      </c>
      <c r="T356" s="4">
        <f t="shared" ca="1" si="124"/>
        <v>0</v>
      </c>
      <c r="U356" s="120">
        <f t="shared" ca="1" si="125"/>
        <v>2098.4426794074939</v>
      </c>
      <c r="V356" s="4">
        <f t="shared" ca="1" si="126"/>
        <v>0</v>
      </c>
      <c r="W356" s="13">
        <f t="shared" ca="1" si="127"/>
        <v>12144.375</v>
      </c>
      <c r="X356" s="4">
        <f t="shared" ca="1" si="128"/>
        <v>0</v>
      </c>
      <c r="Y356" s="4">
        <f t="shared" si="129"/>
        <v>0</v>
      </c>
      <c r="Z356" s="13">
        <f t="shared" ca="1" si="130"/>
        <v>12144.375</v>
      </c>
      <c r="AA356" s="4">
        <f t="shared" ca="1" si="131"/>
        <v>0</v>
      </c>
      <c r="AE356" s="4"/>
    </row>
    <row r="357" spans="1:31">
      <c r="A357">
        <v>2</v>
      </c>
      <c r="B357">
        <v>2</v>
      </c>
      <c r="C357">
        <f t="shared" ca="1" si="110"/>
        <v>5</v>
      </c>
      <c r="D357">
        <f t="shared" ca="1" si="111"/>
        <v>4</v>
      </c>
      <c r="E357">
        <f t="shared" ca="1" si="112"/>
        <v>2</v>
      </c>
      <c r="F357" s="110">
        <f t="shared" ca="1" si="113"/>
        <v>0</v>
      </c>
      <c r="G357">
        <v>0</v>
      </c>
      <c r="H357">
        <v>1</v>
      </c>
      <c r="I357">
        <v>4</v>
      </c>
      <c r="J357" s="1">
        <f t="shared" ca="1" si="114"/>
        <v>0</v>
      </c>
      <c r="K357" s="1">
        <f t="shared" ca="1" si="115"/>
        <v>0</v>
      </c>
      <c r="L357" s="13">
        <f t="shared" ca="1" si="116"/>
        <v>307</v>
      </c>
      <c r="M357" s="7">
        <f t="shared" ca="1" si="117"/>
        <v>1193</v>
      </c>
      <c r="N357" s="26">
        <f t="shared" ca="1" si="118"/>
        <v>5</v>
      </c>
      <c r="O357" s="44">
        <f t="shared" ca="1" si="119"/>
        <v>3.5346387789404914</v>
      </c>
      <c r="P357" s="44">
        <f t="shared" ca="1" si="120"/>
        <v>35.346387789404908</v>
      </c>
      <c r="Q357" s="44">
        <f t="shared" ca="1" si="121"/>
        <v>35.346387789404908</v>
      </c>
      <c r="R357" s="44">
        <f t="shared" ca="1" si="122"/>
        <v>3.5346387789404909</v>
      </c>
      <c r="S357" s="44">
        <f t="shared" ca="1" si="123"/>
        <v>3.5346387789404914</v>
      </c>
      <c r="T357" s="4">
        <f t="shared" ca="1" si="124"/>
        <v>0</v>
      </c>
      <c r="U357" s="120">
        <f t="shared" ca="1" si="125"/>
        <v>2079.4426794074939</v>
      </c>
      <c r="V357" s="4">
        <f t="shared" ca="1" si="126"/>
        <v>0</v>
      </c>
      <c r="W357" s="13">
        <f t="shared" ca="1" si="127"/>
        <v>9715.5</v>
      </c>
      <c r="X357" s="4">
        <f t="shared" ca="1" si="128"/>
        <v>0</v>
      </c>
      <c r="Y357" s="4">
        <f t="shared" si="129"/>
        <v>0</v>
      </c>
      <c r="Z357" s="13">
        <f t="shared" ca="1" si="130"/>
        <v>9715.5</v>
      </c>
      <c r="AA357" s="4">
        <f t="shared" ca="1" si="131"/>
        <v>0</v>
      </c>
      <c r="AE357" s="4"/>
    </row>
    <row r="358" spans="1:31">
      <c r="A358">
        <v>2</v>
      </c>
      <c r="B358">
        <v>2</v>
      </c>
      <c r="C358">
        <f t="shared" ca="1" si="110"/>
        <v>5</v>
      </c>
      <c r="D358">
        <f t="shared" ca="1" si="111"/>
        <v>4</v>
      </c>
      <c r="E358">
        <f t="shared" ca="1" si="112"/>
        <v>2</v>
      </c>
      <c r="F358" s="110">
        <f t="shared" ca="1" si="113"/>
        <v>0</v>
      </c>
      <c r="G358">
        <v>0</v>
      </c>
      <c r="H358">
        <v>1</v>
      </c>
      <c r="I358">
        <v>3</v>
      </c>
      <c r="J358" s="1">
        <f t="shared" ca="1" si="114"/>
        <v>0</v>
      </c>
      <c r="K358" s="1">
        <f t="shared" ca="1" si="115"/>
        <v>0</v>
      </c>
      <c r="L358" s="13">
        <f t="shared" ca="1" si="116"/>
        <v>288</v>
      </c>
      <c r="M358" s="7">
        <f t="shared" ca="1" si="117"/>
        <v>1212</v>
      </c>
      <c r="N358" s="26">
        <f t="shared" ca="1" si="118"/>
        <v>5</v>
      </c>
      <c r="O358" s="44">
        <f t="shared" ca="1" si="119"/>
        <v>3.5346387789404914</v>
      </c>
      <c r="P358" s="44">
        <f t="shared" ca="1" si="120"/>
        <v>35.346387789404908</v>
      </c>
      <c r="Q358" s="44">
        <f t="shared" ca="1" si="121"/>
        <v>35.346387789404908</v>
      </c>
      <c r="R358" s="44">
        <f t="shared" ca="1" si="122"/>
        <v>3.5346387789404909</v>
      </c>
      <c r="S358" s="44">
        <f t="shared" ca="1" si="123"/>
        <v>3.5346387789404914</v>
      </c>
      <c r="T358" s="4">
        <f t="shared" ca="1" si="124"/>
        <v>0</v>
      </c>
      <c r="U358" s="120">
        <f t="shared" ca="1" si="125"/>
        <v>2060.4426794074939</v>
      </c>
      <c r="V358" s="4">
        <f t="shared" ca="1" si="126"/>
        <v>0</v>
      </c>
      <c r="W358" s="13">
        <f t="shared" ca="1" si="127"/>
        <v>7286.625</v>
      </c>
      <c r="X358" s="4">
        <f t="shared" ca="1" si="128"/>
        <v>0</v>
      </c>
      <c r="Y358" s="4">
        <f t="shared" si="129"/>
        <v>0</v>
      </c>
      <c r="Z358" s="13">
        <f t="shared" ca="1" si="130"/>
        <v>7286.625</v>
      </c>
      <c r="AA358" s="4">
        <f t="shared" ca="1" si="131"/>
        <v>0</v>
      </c>
      <c r="AE358" s="4"/>
    </row>
    <row r="359" spans="1:31">
      <c r="A359">
        <v>2</v>
      </c>
      <c r="B359">
        <v>2</v>
      </c>
      <c r="C359">
        <f t="shared" ca="1" si="110"/>
        <v>5</v>
      </c>
      <c r="D359">
        <f t="shared" ca="1" si="111"/>
        <v>4</v>
      </c>
      <c r="E359">
        <f t="shared" ca="1" si="112"/>
        <v>2</v>
      </c>
      <c r="F359" s="110">
        <f t="shared" ca="1" si="113"/>
        <v>0</v>
      </c>
      <c r="G359">
        <v>0</v>
      </c>
      <c r="H359">
        <v>1</v>
      </c>
      <c r="I359">
        <v>2</v>
      </c>
      <c r="J359" s="1">
        <f t="shared" ca="1" si="114"/>
        <v>0</v>
      </c>
      <c r="K359" s="1">
        <f t="shared" ca="1" si="115"/>
        <v>0</v>
      </c>
      <c r="L359" s="13">
        <f t="shared" ca="1" si="116"/>
        <v>269</v>
      </c>
      <c r="M359" s="7">
        <f t="shared" ca="1" si="117"/>
        <v>1231</v>
      </c>
      <c r="N359" s="26">
        <f t="shared" ca="1" si="118"/>
        <v>5</v>
      </c>
      <c r="O359" s="44">
        <f t="shared" ca="1" si="119"/>
        <v>3.5346387789404914</v>
      </c>
      <c r="P359" s="44">
        <f t="shared" ca="1" si="120"/>
        <v>35.346387789404908</v>
      </c>
      <c r="Q359" s="44">
        <f t="shared" ca="1" si="121"/>
        <v>35.346387789404908</v>
      </c>
      <c r="R359" s="44">
        <f t="shared" ca="1" si="122"/>
        <v>3.5346387789404909</v>
      </c>
      <c r="S359" s="44">
        <f t="shared" ca="1" si="123"/>
        <v>3.5346387789404914</v>
      </c>
      <c r="T359" s="4">
        <f t="shared" ca="1" si="124"/>
        <v>0</v>
      </c>
      <c r="U359" s="120">
        <f t="shared" ca="1" si="125"/>
        <v>2041.4426794074936</v>
      </c>
      <c r="V359" s="4">
        <f t="shared" ca="1" si="126"/>
        <v>0</v>
      </c>
      <c r="W359" s="13">
        <f t="shared" ca="1" si="127"/>
        <v>4857.75</v>
      </c>
      <c r="X359" s="4">
        <f t="shared" ca="1" si="128"/>
        <v>0</v>
      </c>
      <c r="Y359" s="4">
        <f t="shared" si="129"/>
        <v>0</v>
      </c>
      <c r="Z359" s="13">
        <f t="shared" ca="1" si="130"/>
        <v>4857.75</v>
      </c>
      <c r="AA359" s="4">
        <f t="shared" ca="1" si="131"/>
        <v>0</v>
      </c>
      <c r="AE359" s="4"/>
    </row>
    <row r="360" spans="1:31">
      <c r="A360">
        <v>2</v>
      </c>
      <c r="B360">
        <v>2</v>
      </c>
      <c r="C360">
        <f t="shared" ca="1" si="110"/>
        <v>5</v>
      </c>
      <c r="D360">
        <f t="shared" ca="1" si="111"/>
        <v>4</v>
      </c>
      <c r="E360">
        <f t="shared" ca="1" si="112"/>
        <v>2</v>
      </c>
      <c r="F360" s="110">
        <f t="shared" ca="1" si="113"/>
        <v>0</v>
      </c>
      <c r="G360">
        <v>0</v>
      </c>
      <c r="H360">
        <v>1</v>
      </c>
      <c r="I360">
        <v>1</v>
      </c>
      <c r="J360" s="1">
        <f t="shared" ca="1" si="114"/>
        <v>0</v>
      </c>
      <c r="K360" s="1">
        <f t="shared" ca="1" si="115"/>
        <v>0</v>
      </c>
      <c r="L360" s="13">
        <f t="shared" ca="1" si="116"/>
        <v>250</v>
      </c>
      <c r="M360" s="7">
        <f t="shared" ca="1" si="117"/>
        <v>1250</v>
      </c>
      <c r="N360" s="26">
        <f t="shared" ca="1" si="118"/>
        <v>5</v>
      </c>
      <c r="O360" s="44">
        <f t="shared" ca="1" si="119"/>
        <v>3.5346387789404914</v>
      </c>
      <c r="P360" s="44">
        <f t="shared" ca="1" si="120"/>
        <v>35.346387789404908</v>
      </c>
      <c r="Q360" s="44">
        <f t="shared" ca="1" si="121"/>
        <v>35.346387789404908</v>
      </c>
      <c r="R360" s="44">
        <f t="shared" ca="1" si="122"/>
        <v>3.5346387789404909</v>
      </c>
      <c r="S360" s="44">
        <f t="shared" ca="1" si="123"/>
        <v>3.5346387789404914</v>
      </c>
      <c r="T360" s="4">
        <f t="shared" ca="1" si="124"/>
        <v>0</v>
      </c>
      <c r="U360" s="120">
        <f t="shared" ca="1" si="125"/>
        <v>2022.4426794074936</v>
      </c>
      <c r="V360" s="4">
        <f t="shared" ca="1" si="126"/>
        <v>0</v>
      </c>
      <c r="W360" s="13">
        <f t="shared" ca="1" si="127"/>
        <v>2428.875</v>
      </c>
      <c r="X360" s="4">
        <f t="shared" ca="1" si="128"/>
        <v>0</v>
      </c>
      <c r="Y360" s="4">
        <f t="shared" si="129"/>
        <v>0</v>
      </c>
      <c r="Z360" s="13">
        <f t="shared" ca="1" si="130"/>
        <v>2428.875</v>
      </c>
      <c r="AA360" s="4">
        <f t="shared" ca="1" si="131"/>
        <v>0</v>
      </c>
      <c r="AE360" s="4"/>
    </row>
    <row r="361" spans="1:31">
      <c r="A361">
        <v>2</v>
      </c>
      <c r="B361">
        <v>2</v>
      </c>
      <c r="C361">
        <f t="shared" ca="1" si="110"/>
        <v>5</v>
      </c>
      <c r="D361">
        <f t="shared" ca="1" si="111"/>
        <v>4</v>
      </c>
      <c r="E361">
        <f t="shared" ca="1" si="112"/>
        <v>2</v>
      </c>
      <c r="F361" s="110">
        <f t="shared" ca="1" si="113"/>
        <v>0</v>
      </c>
      <c r="G361">
        <v>0</v>
      </c>
      <c r="H361">
        <v>1</v>
      </c>
      <c r="I361">
        <v>0</v>
      </c>
      <c r="J361" s="1">
        <f t="shared" ca="1" si="114"/>
        <v>0</v>
      </c>
      <c r="K361" s="1">
        <f t="shared" ca="1" si="115"/>
        <v>0</v>
      </c>
      <c r="L361" s="13">
        <f t="shared" ca="1" si="116"/>
        <v>231</v>
      </c>
      <c r="M361" s="7">
        <f t="shared" ca="1" si="117"/>
        <v>1269</v>
      </c>
      <c r="N361" s="26">
        <f t="shared" ca="1" si="118"/>
        <v>5</v>
      </c>
      <c r="O361" s="44">
        <f t="shared" ca="1" si="119"/>
        <v>3.5346387789404914</v>
      </c>
      <c r="P361" s="44">
        <f t="shared" ca="1" si="120"/>
        <v>35.346387789404908</v>
      </c>
      <c r="Q361" s="44">
        <f t="shared" ca="1" si="121"/>
        <v>35.346387789404908</v>
      </c>
      <c r="R361" s="44">
        <f t="shared" ca="1" si="122"/>
        <v>3.5346387789404909</v>
      </c>
      <c r="S361" s="44">
        <f t="shared" ca="1" si="123"/>
        <v>3.5346387789404914</v>
      </c>
      <c r="T361" s="4">
        <f t="shared" ca="1" si="124"/>
        <v>0</v>
      </c>
      <c r="U361" s="120">
        <f t="shared" ca="1" si="125"/>
        <v>2003.4426794074936</v>
      </c>
      <c r="V361" s="4">
        <f t="shared" ca="1" si="126"/>
        <v>0</v>
      </c>
      <c r="W361" s="13">
        <f t="shared" ca="1" si="127"/>
        <v>0</v>
      </c>
      <c r="X361" s="4">
        <f t="shared" ca="1" si="128"/>
        <v>0</v>
      </c>
      <c r="Y361" s="4">
        <f t="shared" si="129"/>
        <v>0</v>
      </c>
      <c r="Z361" s="13">
        <f t="shared" ca="1" si="130"/>
        <v>0</v>
      </c>
      <c r="AA361" s="4">
        <f t="shared" ca="1" si="131"/>
        <v>0</v>
      </c>
      <c r="AE361" s="4"/>
    </row>
    <row r="362" spans="1:31">
      <c r="A362">
        <v>2</v>
      </c>
      <c r="B362">
        <v>2</v>
      </c>
      <c r="C362">
        <f t="shared" ca="1" si="110"/>
        <v>5</v>
      </c>
      <c r="D362">
        <f t="shared" ca="1" si="111"/>
        <v>4</v>
      </c>
      <c r="E362">
        <f t="shared" ca="1" si="112"/>
        <v>2</v>
      </c>
      <c r="F362" s="110">
        <f t="shared" ca="1" si="113"/>
        <v>0</v>
      </c>
      <c r="G362">
        <v>0</v>
      </c>
      <c r="H362">
        <v>0</v>
      </c>
      <c r="I362">
        <v>7</v>
      </c>
      <c r="J362" s="1">
        <f t="shared" ca="1" si="114"/>
        <v>0</v>
      </c>
      <c r="K362" s="1">
        <f t="shared" ca="1" si="115"/>
        <v>0</v>
      </c>
      <c r="L362" s="13">
        <f t="shared" ca="1" si="116"/>
        <v>133</v>
      </c>
      <c r="M362" s="7">
        <f t="shared" ca="1" si="117"/>
        <v>1367</v>
      </c>
      <c r="N362" s="26">
        <f t="shared" ca="1" si="118"/>
        <v>5</v>
      </c>
      <c r="O362" s="44">
        <f t="shared" ca="1" si="119"/>
        <v>3.5346387789404914</v>
      </c>
      <c r="P362" s="44">
        <f t="shared" ca="1" si="120"/>
        <v>35.346387789404908</v>
      </c>
      <c r="Q362" s="44">
        <f t="shared" ca="1" si="121"/>
        <v>35.346387789404908</v>
      </c>
      <c r="R362" s="44">
        <f t="shared" ca="1" si="122"/>
        <v>3.5346387789404909</v>
      </c>
      <c r="S362" s="44">
        <f t="shared" ca="1" si="123"/>
        <v>3.5346387789404914</v>
      </c>
      <c r="T362" s="4">
        <f t="shared" ca="1" si="124"/>
        <v>0</v>
      </c>
      <c r="U362" s="120">
        <f t="shared" ca="1" si="125"/>
        <v>1905.4426794074936</v>
      </c>
      <c r="V362" s="4">
        <f t="shared" ca="1" si="126"/>
        <v>0</v>
      </c>
      <c r="W362" s="13">
        <f t="shared" ca="1" si="127"/>
        <v>17002.125</v>
      </c>
      <c r="X362" s="4">
        <f t="shared" ca="1" si="128"/>
        <v>0</v>
      </c>
      <c r="Y362" s="4">
        <f t="shared" si="129"/>
        <v>0</v>
      </c>
      <c r="Z362" s="13">
        <f t="shared" ca="1" si="130"/>
        <v>17002.125</v>
      </c>
      <c r="AA362" s="4">
        <f t="shared" ca="1" si="131"/>
        <v>0</v>
      </c>
      <c r="AE362" s="4"/>
    </row>
    <row r="363" spans="1:31">
      <c r="A363">
        <v>2</v>
      </c>
      <c r="B363">
        <v>2</v>
      </c>
      <c r="C363">
        <f t="shared" ca="1" si="110"/>
        <v>5</v>
      </c>
      <c r="D363">
        <f t="shared" ca="1" si="111"/>
        <v>4</v>
      </c>
      <c r="E363">
        <f t="shared" ca="1" si="112"/>
        <v>2</v>
      </c>
      <c r="F363" s="110">
        <f t="shared" ca="1" si="113"/>
        <v>0</v>
      </c>
      <c r="G363">
        <v>0</v>
      </c>
      <c r="H363">
        <v>0</v>
      </c>
      <c r="I363">
        <v>6</v>
      </c>
      <c r="J363" s="1">
        <f t="shared" ca="1" si="114"/>
        <v>0</v>
      </c>
      <c r="K363" s="1">
        <f t="shared" ca="1" si="115"/>
        <v>0</v>
      </c>
      <c r="L363" s="13">
        <f t="shared" ca="1" si="116"/>
        <v>114</v>
      </c>
      <c r="M363" s="7">
        <f t="shared" ca="1" si="117"/>
        <v>1386</v>
      </c>
      <c r="N363" s="26">
        <f t="shared" ca="1" si="118"/>
        <v>5</v>
      </c>
      <c r="O363" s="44">
        <f t="shared" ca="1" si="119"/>
        <v>3.5346387789404914</v>
      </c>
      <c r="P363" s="44">
        <f t="shared" ca="1" si="120"/>
        <v>35.346387789404908</v>
      </c>
      <c r="Q363" s="44">
        <f t="shared" ca="1" si="121"/>
        <v>35.346387789404908</v>
      </c>
      <c r="R363" s="44">
        <f t="shared" ca="1" si="122"/>
        <v>3.5346387789404909</v>
      </c>
      <c r="S363" s="44">
        <f t="shared" ca="1" si="123"/>
        <v>3.5346387789404914</v>
      </c>
      <c r="T363" s="4">
        <f t="shared" ca="1" si="124"/>
        <v>0</v>
      </c>
      <c r="U363" s="120">
        <f t="shared" ca="1" si="125"/>
        <v>1886.4426794074936</v>
      </c>
      <c r="V363" s="4">
        <f t="shared" ca="1" si="126"/>
        <v>0</v>
      </c>
      <c r="W363" s="13">
        <f t="shared" ca="1" si="127"/>
        <v>14573.25</v>
      </c>
      <c r="X363" s="4">
        <f t="shared" ca="1" si="128"/>
        <v>0</v>
      </c>
      <c r="Y363" s="4">
        <f t="shared" si="129"/>
        <v>0</v>
      </c>
      <c r="Z363" s="13">
        <f t="shared" ca="1" si="130"/>
        <v>14573.25</v>
      </c>
      <c r="AA363" s="4">
        <f t="shared" ca="1" si="131"/>
        <v>0</v>
      </c>
      <c r="AE363" s="4"/>
    </row>
    <row r="364" spans="1:31">
      <c r="A364">
        <v>2</v>
      </c>
      <c r="B364">
        <v>2</v>
      </c>
      <c r="C364">
        <f t="shared" ca="1" si="110"/>
        <v>5</v>
      </c>
      <c r="D364">
        <f t="shared" ca="1" si="111"/>
        <v>4</v>
      </c>
      <c r="E364">
        <f t="shared" ca="1" si="112"/>
        <v>2</v>
      </c>
      <c r="F364" s="110">
        <f t="shared" ca="1" si="113"/>
        <v>0</v>
      </c>
      <c r="G364">
        <v>0</v>
      </c>
      <c r="H364">
        <v>0</v>
      </c>
      <c r="I364">
        <v>5</v>
      </c>
      <c r="J364" s="1">
        <f t="shared" ca="1" si="114"/>
        <v>0</v>
      </c>
      <c r="K364" s="1">
        <f t="shared" ca="1" si="115"/>
        <v>0</v>
      </c>
      <c r="L364" s="13">
        <f t="shared" ca="1" si="116"/>
        <v>95</v>
      </c>
      <c r="M364" s="7">
        <f t="shared" ca="1" si="117"/>
        <v>1405</v>
      </c>
      <c r="N364" s="26">
        <f t="shared" ca="1" si="118"/>
        <v>6</v>
      </c>
      <c r="O364" s="44">
        <f t="shared" ca="1" si="119"/>
        <v>4.1694581524927896</v>
      </c>
      <c r="P364" s="44">
        <f t="shared" ca="1" si="120"/>
        <v>41.059762151375594</v>
      </c>
      <c r="Q364" s="44">
        <f t="shared" ca="1" si="121"/>
        <v>35.346387789404908</v>
      </c>
      <c r="R364" s="44">
        <f t="shared" ca="1" si="122"/>
        <v>3.8203074970390247</v>
      </c>
      <c r="S364" s="44">
        <f t="shared" ca="1" si="123"/>
        <v>4.1450176066110256</v>
      </c>
      <c r="T364" s="4">
        <f t="shared" ca="1" si="124"/>
        <v>0</v>
      </c>
      <c r="U364" s="120">
        <f t="shared" ca="1" si="125"/>
        <v>2135.4748169996506</v>
      </c>
      <c r="V364" s="4">
        <f t="shared" ca="1" si="126"/>
        <v>0</v>
      </c>
      <c r="W364" s="13">
        <f t="shared" ca="1" si="127"/>
        <v>12144.375</v>
      </c>
      <c r="X364" s="4">
        <f t="shared" ca="1" si="128"/>
        <v>0</v>
      </c>
      <c r="Y364" s="4">
        <f t="shared" si="129"/>
        <v>0</v>
      </c>
      <c r="Z364" s="13">
        <f t="shared" ca="1" si="130"/>
        <v>12144.375</v>
      </c>
      <c r="AA364" s="4">
        <f t="shared" ca="1" si="131"/>
        <v>0</v>
      </c>
      <c r="AE364" s="4"/>
    </row>
    <row r="365" spans="1:31">
      <c r="A365">
        <v>2</v>
      </c>
      <c r="B365">
        <v>2</v>
      </c>
      <c r="C365">
        <f t="shared" ca="1" si="110"/>
        <v>5</v>
      </c>
      <c r="D365">
        <f t="shared" ca="1" si="111"/>
        <v>4</v>
      </c>
      <c r="E365">
        <f t="shared" ca="1" si="112"/>
        <v>2</v>
      </c>
      <c r="F365" s="110">
        <f t="shared" ca="1" si="113"/>
        <v>0</v>
      </c>
      <c r="G365">
        <v>0</v>
      </c>
      <c r="H365">
        <v>0</v>
      </c>
      <c r="I365">
        <v>4</v>
      </c>
      <c r="J365" s="1">
        <f t="shared" ca="1" si="114"/>
        <v>4.0725312499999999E-2</v>
      </c>
      <c r="K365" s="1">
        <f t="shared" ca="1" si="115"/>
        <v>0</v>
      </c>
      <c r="L365" s="13">
        <f t="shared" ca="1" si="116"/>
        <v>76</v>
      </c>
      <c r="M365" s="7">
        <f t="shared" ca="1" si="117"/>
        <v>1424</v>
      </c>
      <c r="N365" s="26">
        <f t="shared" ca="1" si="118"/>
        <v>6</v>
      </c>
      <c r="O365" s="44">
        <f t="shared" ca="1" si="119"/>
        <v>4.1694581524927896</v>
      </c>
      <c r="P365" s="44">
        <f t="shared" ca="1" si="120"/>
        <v>41.694581524927891</v>
      </c>
      <c r="Q365" s="44">
        <f t="shared" ca="1" si="121"/>
        <v>41.694581524927891</v>
      </c>
      <c r="R365" s="44">
        <f t="shared" ca="1" si="122"/>
        <v>4.1694581524927887</v>
      </c>
      <c r="S365" s="44">
        <f t="shared" ca="1" si="123"/>
        <v>4.1694581524927896</v>
      </c>
      <c r="T365" s="4">
        <f t="shared" ca="1" si="124"/>
        <v>0</v>
      </c>
      <c r="U365" s="120">
        <f t="shared" ca="1" si="125"/>
        <v>2127.2072530862838</v>
      </c>
      <c r="V365" s="4">
        <f t="shared" ca="1" si="126"/>
        <v>0</v>
      </c>
      <c r="W365" s="13">
        <f t="shared" ca="1" si="127"/>
        <v>9715.5</v>
      </c>
      <c r="X365" s="4">
        <f t="shared" ca="1" si="128"/>
        <v>0</v>
      </c>
      <c r="Y365" s="4">
        <f t="shared" si="129"/>
        <v>0</v>
      </c>
      <c r="Z365" s="13">
        <f t="shared" ca="1" si="130"/>
        <v>9715.5</v>
      </c>
      <c r="AA365" s="4">
        <f t="shared" ca="1" si="131"/>
        <v>0</v>
      </c>
      <c r="AE365" s="4"/>
    </row>
    <row r="366" spans="1:31">
      <c r="A366">
        <v>2</v>
      </c>
      <c r="B366">
        <v>2</v>
      </c>
      <c r="C366">
        <f t="shared" ca="1" si="110"/>
        <v>5</v>
      </c>
      <c r="D366">
        <f t="shared" ca="1" si="111"/>
        <v>4</v>
      </c>
      <c r="E366">
        <f t="shared" ca="1" si="112"/>
        <v>2</v>
      </c>
      <c r="F366" s="110">
        <f t="shared" ca="1" si="113"/>
        <v>0</v>
      </c>
      <c r="G366">
        <v>0</v>
      </c>
      <c r="H366">
        <v>0</v>
      </c>
      <c r="I366">
        <v>3</v>
      </c>
      <c r="J366" s="1">
        <f t="shared" ca="1" si="114"/>
        <v>8.5737500000000067E-3</v>
      </c>
      <c r="K366" s="1">
        <f t="shared" ca="1" si="115"/>
        <v>0</v>
      </c>
      <c r="L366" s="13">
        <f t="shared" ca="1" si="116"/>
        <v>57</v>
      </c>
      <c r="M366" s="7">
        <f t="shared" ca="1" si="117"/>
        <v>1443</v>
      </c>
      <c r="N366" s="26">
        <f t="shared" ca="1" si="118"/>
        <v>6</v>
      </c>
      <c r="O366" s="44">
        <f t="shared" ca="1" si="119"/>
        <v>4.1694581524927896</v>
      </c>
      <c r="P366" s="44">
        <f t="shared" ca="1" si="120"/>
        <v>41.694581524927891</v>
      </c>
      <c r="Q366" s="44">
        <f t="shared" ca="1" si="121"/>
        <v>41.694581524927891</v>
      </c>
      <c r="R366" s="44">
        <f t="shared" ca="1" si="122"/>
        <v>4.1694581524927887</v>
      </c>
      <c r="S366" s="44">
        <f t="shared" ca="1" si="123"/>
        <v>4.1694581524927896</v>
      </c>
      <c r="T366" s="4">
        <f t="shared" ca="1" si="124"/>
        <v>0</v>
      </c>
      <c r="U366" s="120">
        <f t="shared" ca="1" si="125"/>
        <v>2108.2072530862838</v>
      </c>
      <c r="V366" s="4">
        <f t="shared" ca="1" si="126"/>
        <v>0</v>
      </c>
      <c r="W366" s="13">
        <f t="shared" ca="1" si="127"/>
        <v>7286.625</v>
      </c>
      <c r="X366" s="4">
        <f t="shared" ca="1" si="128"/>
        <v>0</v>
      </c>
      <c r="Y366" s="4">
        <f t="shared" si="129"/>
        <v>0</v>
      </c>
      <c r="Z366" s="13">
        <f t="shared" ca="1" si="130"/>
        <v>7286.625</v>
      </c>
      <c r="AA366" s="4">
        <f t="shared" ca="1" si="131"/>
        <v>0</v>
      </c>
      <c r="AE366" s="4"/>
    </row>
    <row r="367" spans="1:31">
      <c r="A367">
        <v>2</v>
      </c>
      <c r="B367">
        <v>2</v>
      </c>
      <c r="C367">
        <f t="shared" ca="1" si="110"/>
        <v>5</v>
      </c>
      <c r="D367">
        <f t="shared" ca="1" si="111"/>
        <v>4</v>
      </c>
      <c r="E367">
        <f t="shared" ca="1" si="112"/>
        <v>2</v>
      </c>
      <c r="F367" s="110">
        <f t="shared" ca="1" si="113"/>
        <v>0</v>
      </c>
      <c r="G367">
        <v>0</v>
      </c>
      <c r="H367">
        <v>0</v>
      </c>
      <c r="I367">
        <v>2</v>
      </c>
      <c r="J367" s="1">
        <f t="shared" ca="1" si="114"/>
        <v>6.7687500000000126E-4</v>
      </c>
      <c r="K367" s="1">
        <f t="shared" ca="1" si="115"/>
        <v>0</v>
      </c>
      <c r="L367" s="13">
        <f t="shared" ca="1" si="116"/>
        <v>38</v>
      </c>
      <c r="M367" s="7">
        <f t="shared" ca="1" si="117"/>
        <v>1462</v>
      </c>
      <c r="N367" s="26">
        <f t="shared" ca="1" si="118"/>
        <v>6</v>
      </c>
      <c r="O367" s="44">
        <f t="shared" ca="1" si="119"/>
        <v>4.1694581524927896</v>
      </c>
      <c r="P367" s="44">
        <f t="shared" ca="1" si="120"/>
        <v>41.694581524927891</v>
      </c>
      <c r="Q367" s="44">
        <f t="shared" ca="1" si="121"/>
        <v>41.694581524927891</v>
      </c>
      <c r="R367" s="44">
        <f t="shared" ca="1" si="122"/>
        <v>4.1694581524927887</v>
      </c>
      <c r="S367" s="44">
        <f t="shared" ca="1" si="123"/>
        <v>4.1694581524927896</v>
      </c>
      <c r="T367" s="4">
        <f t="shared" ca="1" si="124"/>
        <v>0</v>
      </c>
      <c r="U367" s="120">
        <f t="shared" ca="1" si="125"/>
        <v>2089.2072530862838</v>
      </c>
      <c r="V367" s="4">
        <f t="shared" ca="1" si="126"/>
        <v>0</v>
      </c>
      <c r="W367" s="13">
        <f t="shared" ca="1" si="127"/>
        <v>4857.75</v>
      </c>
      <c r="X367" s="4">
        <f t="shared" ca="1" si="128"/>
        <v>0</v>
      </c>
      <c r="Y367" s="4">
        <f t="shared" si="129"/>
        <v>0</v>
      </c>
      <c r="Z367" s="13">
        <f t="shared" ca="1" si="130"/>
        <v>4857.75</v>
      </c>
      <c r="AA367" s="4">
        <f t="shared" ca="1" si="131"/>
        <v>0</v>
      </c>
      <c r="AE367" s="4"/>
    </row>
    <row r="368" spans="1:31">
      <c r="A368">
        <v>2</v>
      </c>
      <c r="B368">
        <v>2</v>
      </c>
      <c r="C368">
        <f t="shared" ca="1" si="110"/>
        <v>5</v>
      </c>
      <c r="D368">
        <f t="shared" ca="1" si="111"/>
        <v>4</v>
      </c>
      <c r="E368">
        <f t="shared" ca="1" si="112"/>
        <v>2</v>
      </c>
      <c r="F368" s="110">
        <f t="shared" ca="1" si="113"/>
        <v>0</v>
      </c>
      <c r="G368">
        <v>0</v>
      </c>
      <c r="H368">
        <v>0</v>
      </c>
      <c r="I368">
        <v>1</v>
      </c>
      <c r="J368" s="1">
        <f t="shared" ca="1" si="114"/>
        <v>2.3750000000000062E-5</v>
      </c>
      <c r="K368" s="1">
        <f t="shared" ca="1" si="115"/>
        <v>0</v>
      </c>
      <c r="L368" s="13">
        <f t="shared" ca="1" si="116"/>
        <v>19</v>
      </c>
      <c r="M368" s="7">
        <f t="shared" ca="1" si="117"/>
        <v>1481</v>
      </c>
      <c r="N368" s="26">
        <f t="shared" ca="1" si="118"/>
        <v>6</v>
      </c>
      <c r="O368" s="44">
        <f t="shared" ca="1" si="119"/>
        <v>4.1694581524927896</v>
      </c>
      <c r="P368" s="44">
        <f t="shared" ca="1" si="120"/>
        <v>41.694581524927891</v>
      </c>
      <c r="Q368" s="44">
        <f t="shared" ca="1" si="121"/>
        <v>41.694581524927891</v>
      </c>
      <c r="R368" s="44">
        <f t="shared" ca="1" si="122"/>
        <v>4.1694581524927887</v>
      </c>
      <c r="S368" s="44">
        <f t="shared" ca="1" si="123"/>
        <v>4.1694581524927896</v>
      </c>
      <c r="T368" s="4">
        <f t="shared" ca="1" si="124"/>
        <v>0</v>
      </c>
      <c r="U368" s="120">
        <f t="shared" ca="1" si="125"/>
        <v>2070.2072530862838</v>
      </c>
      <c r="V368" s="4">
        <f t="shared" ca="1" si="126"/>
        <v>0</v>
      </c>
      <c r="W368" s="13">
        <f t="shared" ca="1" si="127"/>
        <v>2428.875</v>
      </c>
      <c r="X368" s="4">
        <f t="shared" ca="1" si="128"/>
        <v>0</v>
      </c>
      <c r="Y368" s="4">
        <f t="shared" si="129"/>
        <v>0</v>
      </c>
      <c r="Z368" s="13">
        <f t="shared" ca="1" si="130"/>
        <v>2428.875</v>
      </c>
      <c r="AA368" s="4">
        <f t="shared" ca="1" si="131"/>
        <v>0</v>
      </c>
      <c r="AE368" s="4"/>
    </row>
    <row r="369" spans="1:31">
      <c r="A369">
        <v>2</v>
      </c>
      <c r="B369">
        <v>2</v>
      </c>
      <c r="C369">
        <f t="shared" ca="1" si="110"/>
        <v>5</v>
      </c>
      <c r="D369">
        <f t="shared" ca="1" si="111"/>
        <v>4</v>
      </c>
      <c r="E369">
        <f t="shared" ca="1" si="112"/>
        <v>2</v>
      </c>
      <c r="F369" s="110">
        <f t="shared" ca="1" si="113"/>
        <v>0</v>
      </c>
      <c r="G369">
        <v>0</v>
      </c>
      <c r="H369">
        <v>0</v>
      </c>
      <c r="I369">
        <v>0</v>
      </c>
      <c r="J369" s="1">
        <f t="shared" ca="1" si="114"/>
        <v>3.1250000000000114E-7</v>
      </c>
      <c r="K369" s="1">
        <f t="shared" ca="1" si="115"/>
        <v>0</v>
      </c>
      <c r="L369" s="13">
        <f t="shared" ca="1" si="116"/>
        <v>0</v>
      </c>
      <c r="M369" s="7">
        <f t="shared" ca="1" si="117"/>
        <v>1500</v>
      </c>
      <c r="N369" s="26">
        <f t="shared" ca="1" si="118"/>
        <v>6</v>
      </c>
      <c r="O369" s="44">
        <f t="shared" ca="1" si="119"/>
        <v>4.1694581524927896</v>
      </c>
      <c r="P369" s="44">
        <f t="shared" ca="1" si="120"/>
        <v>41.694581524927891</v>
      </c>
      <c r="Q369" s="44">
        <f t="shared" ca="1" si="121"/>
        <v>41.694581524927891</v>
      </c>
      <c r="R369" s="44">
        <f t="shared" ca="1" si="122"/>
        <v>4.1694581524927887</v>
      </c>
      <c r="S369" s="44">
        <f t="shared" ca="1" si="123"/>
        <v>4.1694581524927896</v>
      </c>
      <c r="T369" s="4">
        <f t="shared" ca="1" si="124"/>
        <v>0</v>
      </c>
      <c r="U369" s="120">
        <f t="shared" ca="1" si="125"/>
        <v>2051.2072530862838</v>
      </c>
      <c r="V369" s="4">
        <f t="shared" ca="1" si="126"/>
        <v>0</v>
      </c>
      <c r="W369" s="13">
        <f t="shared" ca="1" si="127"/>
        <v>0</v>
      </c>
      <c r="X369" s="4">
        <f t="shared" ca="1" si="128"/>
        <v>0</v>
      </c>
      <c r="Y369" s="4">
        <f t="shared" si="129"/>
        <v>0</v>
      </c>
      <c r="Z369" s="13">
        <f t="shared" ca="1" si="130"/>
        <v>0</v>
      </c>
      <c r="AA369" s="4">
        <f t="shared" ca="1" si="131"/>
        <v>0</v>
      </c>
      <c r="AE369" s="4"/>
    </row>
    <row r="370" spans="1:31">
      <c r="A370">
        <v>2</v>
      </c>
      <c r="B370">
        <v>3</v>
      </c>
      <c r="C370">
        <f t="shared" ca="1" si="110"/>
        <v>6</v>
      </c>
      <c r="D370">
        <f t="shared" ca="1" si="111"/>
        <v>5</v>
      </c>
      <c r="E370">
        <f t="shared" ca="1" si="112"/>
        <v>2</v>
      </c>
      <c r="F370" s="110">
        <f t="shared" ca="1" si="113"/>
        <v>0</v>
      </c>
      <c r="G370">
        <v>1</v>
      </c>
      <c r="H370">
        <v>1</v>
      </c>
      <c r="I370">
        <v>7</v>
      </c>
      <c r="J370" s="1">
        <f t="shared" ca="1" si="114"/>
        <v>0</v>
      </c>
      <c r="K370" s="1">
        <f t="shared" ca="1" si="115"/>
        <v>0</v>
      </c>
      <c r="L370" s="13">
        <f t="shared" ca="1" si="116"/>
        <v>595</v>
      </c>
      <c r="M370" s="7">
        <f t="shared" ca="1" si="117"/>
        <v>905</v>
      </c>
      <c r="N370" s="26">
        <f t="shared" ca="1" si="118"/>
        <v>4</v>
      </c>
      <c r="O370" s="44">
        <f t="shared" ca="1" si="119"/>
        <v>2.8886114468927948</v>
      </c>
      <c r="P370" s="44">
        <f t="shared" ca="1" si="120"/>
        <v>28.886114468927953</v>
      </c>
      <c r="Q370" s="44">
        <f t="shared" ca="1" si="121"/>
        <v>28.886114468927953</v>
      </c>
      <c r="R370" s="44">
        <f t="shared" ca="1" si="122"/>
        <v>2.8886114468927953</v>
      </c>
      <c r="S370" s="44">
        <f t="shared" ca="1" si="123"/>
        <v>2.8886114468927948</v>
      </c>
      <c r="T370" s="4">
        <f t="shared" ca="1" si="124"/>
        <v>0</v>
      </c>
      <c r="U370" s="120">
        <f t="shared" ca="1" si="125"/>
        <v>2083.7564194948759</v>
      </c>
      <c r="V370" s="4">
        <f t="shared" ca="1" si="126"/>
        <v>0</v>
      </c>
      <c r="W370" s="13">
        <f t="shared" ca="1" si="127"/>
        <v>47995.641000000003</v>
      </c>
      <c r="X370" s="4">
        <f t="shared" ca="1" si="128"/>
        <v>0</v>
      </c>
      <c r="Y370" s="4">
        <f t="shared" si="129"/>
        <v>0</v>
      </c>
      <c r="Z370" s="13">
        <f t="shared" ca="1" si="130"/>
        <v>47995.641000000003</v>
      </c>
      <c r="AA370" s="4">
        <f t="shared" ca="1" si="131"/>
        <v>0</v>
      </c>
      <c r="AE370" s="4"/>
    </row>
    <row r="371" spans="1:31">
      <c r="A371">
        <v>2</v>
      </c>
      <c r="B371">
        <v>3</v>
      </c>
      <c r="C371">
        <f t="shared" ca="1" si="110"/>
        <v>6</v>
      </c>
      <c r="D371">
        <f t="shared" ca="1" si="111"/>
        <v>5</v>
      </c>
      <c r="E371">
        <f t="shared" ca="1" si="112"/>
        <v>2</v>
      </c>
      <c r="F371" s="110">
        <f t="shared" ca="1" si="113"/>
        <v>0</v>
      </c>
      <c r="G371">
        <v>1</v>
      </c>
      <c r="H371">
        <v>1</v>
      </c>
      <c r="I371">
        <v>6</v>
      </c>
      <c r="J371" s="1">
        <f t="shared" ca="1" si="114"/>
        <v>0</v>
      </c>
      <c r="K371" s="1">
        <f t="shared" ca="1" si="115"/>
        <v>0</v>
      </c>
      <c r="L371" s="13">
        <f t="shared" ca="1" si="116"/>
        <v>576</v>
      </c>
      <c r="M371" s="7">
        <f t="shared" ca="1" si="117"/>
        <v>924</v>
      </c>
      <c r="N371" s="26">
        <f t="shared" ca="1" si="118"/>
        <v>4</v>
      </c>
      <c r="O371" s="44">
        <f t="shared" ca="1" si="119"/>
        <v>2.8886114468927948</v>
      </c>
      <c r="P371" s="44">
        <f t="shared" ca="1" si="120"/>
        <v>28.886114468927953</v>
      </c>
      <c r="Q371" s="44">
        <f t="shared" ca="1" si="121"/>
        <v>28.886114468927953</v>
      </c>
      <c r="R371" s="44">
        <f t="shared" ca="1" si="122"/>
        <v>2.8886114468927953</v>
      </c>
      <c r="S371" s="44">
        <f t="shared" ca="1" si="123"/>
        <v>2.8886114468927948</v>
      </c>
      <c r="T371" s="4">
        <f t="shared" ca="1" si="124"/>
        <v>0</v>
      </c>
      <c r="U371" s="120">
        <f t="shared" ca="1" si="125"/>
        <v>2064.7564194948759</v>
      </c>
      <c r="V371" s="4">
        <f t="shared" ca="1" si="126"/>
        <v>0</v>
      </c>
      <c r="W371" s="13">
        <f t="shared" ca="1" si="127"/>
        <v>45566.766000000003</v>
      </c>
      <c r="X371" s="4">
        <f t="shared" ca="1" si="128"/>
        <v>0</v>
      </c>
      <c r="Y371" s="4">
        <f t="shared" si="129"/>
        <v>0</v>
      </c>
      <c r="Z371" s="13">
        <f t="shared" ca="1" si="130"/>
        <v>45566.766000000003</v>
      </c>
      <c r="AA371" s="4">
        <f t="shared" ca="1" si="131"/>
        <v>0</v>
      </c>
      <c r="AE371" s="4"/>
    </row>
    <row r="372" spans="1:31">
      <c r="A372">
        <v>2</v>
      </c>
      <c r="B372">
        <v>3</v>
      </c>
      <c r="C372">
        <f t="shared" ca="1" si="110"/>
        <v>6</v>
      </c>
      <c r="D372">
        <f t="shared" ca="1" si="111"/>
        <v>5</v>
      </c>
      <c r="E372">
        <f t="shared" ca="1" si="112"/>
        <v>2</v>
      </c>
      <c r="F372" s="110">
        <f t="shared" ca="1" si="113"/>
        <v>0</v>
      </c>
      <c r="G372">
        <v>1</v>
      </c>
      <c r="H372">
        <v>1</v>
      </c>
      <c r="I372">
        <v>5</v>
      </c>
      <c r="J372" s="1">
        <f t="shared" ca="1" si="114"/>
        <v>0</v>
      </c>
      <c r="K372" s="1">
        <f t="shared" ca="1" si="115"/>
        <v>0</v>
      </c>
      <c r="L372" s="13">
        <f t="shared" ca="1" si="116"/>
        <v>557</v>
      </c>
      <c r="M372" s="7">
        <f t="shared" ca="1" si="117"/>
        <v>943</v>
      </c>
      <c r="N372" s="26">
        <f t="shared" ca="1" si="118"/>
        <v>4</v>
      </c>
      <c r="O372" s="44">
        <f t="shared" ca="1" si="119"/>
        <v>2.8886114468927948</v>
      </c>
      <c r="P372" s="44">
        <f t="shared" ca="1" si="120"/>
        <v>28.886114468927953</v>
      </c>
      <c r="Q372" s="44">
        <f t="shared" ca="1" si="121"/>
        <v>28.886114468927953</v>
      </c>
      <c r="R372" s="44">
        <f t="shared" ca="1" si="122"/>
        <v>2.8886114468927953</v>
      </c>
      <c r="S372" s="44">
        <f t="shared" ca="1" si="123"/>
        <v>2.8886114468927948</v>
      </c>
      <c r="T372" s="4">
        <f t="shared" ca="1" si="124"/>
        <v>0</v>
      </c>
      <c r="U372" s="120">
        <f t="shared" ca="1" si="125"/>
        <v>2045.7564194948757</v>
      </c>
      <c r="V372" s="4">
        <f t="shared" ca="1" si="126"/>
        <v>0</v>
      </c>
      <c r="W372" s="13">
        <f t="shared" ca="1" si="127"/>
        <v>43137.891000000003</v>
      </c>
      <c r="X372" s="4">
        <f t="shared" ca="1" si="128"/>
        <v>0</v>
      </c>
      <c r="Y372" s="4">
        <f t="shared" si="129"/>
        <v>0</v>
      </c>
      <c r="Z372" s="13">
        <f t="shared" ca="1" si="130"/>
        <v>43137.891000000003</v>
      </c>
      <c r="AA372" s="4">
        <f t="shared" ca="1" si="131"/>
        <v>0</v>
      </c>
      <c r="AE372" s="4"/>
    </row>
    <row r="373" spans="1:31">
      <c r="A373">
        <v>2</v>
      </c>
      <c r="B373">
        <v>3</v>
      </c>
      <c r="C373">
        <f t="shared" ca="1" si="110"/>
        <v>6</v>
      </c>
      <c r="D373">
        <f t="shared" ca="1" si="111"/>
        <v>5</v>
      </c>
      <c r="E373">
        <f t="shared" ca="1" si="112"/>
        <v>2</v>
      </c>
      <c r="F373" s="110">
        <f t="shared" ca="1" si="113"/>
        <v>0</v>
      </c>
      <c r="G373">
        <v>1</v>
      </c>
      <c r="H373">
        <v>1</v>
      </c>
      <c r="I373">
        <v>4</v>
      </c>
      <c r="J373" s="1">
        <f t="shared" ca="1" si="114"/>
        <v>0</v>
      </c>
      <c r="K373" s="1">
        <f t="shared" ca="1" si="115"/>
        <v>0</v>
      </c>
      <c r="L373" s="13">
        <f t="shared" ca="1" si="116"/>
        <v>538</v>
      </c>
      <c r="M373" s="7">
        <f t="shared" ca="1" si="117"/>
        <v>962</v>
      </c>
      <c r="N373" s="26">
        <f t="shared" ca="1" si="118"/>
        <v>4</v>
      </c>
      <c r="O373" s="44">
        <f t="shared" ca="1" si="119"/>
        <v>2.8886114468927948</v>
      </c>
      <c r="P373" s="44">
        <f t="shared" ca="1" si="120"/>
        <v>28.886114468927953</v>
      </c>
      <c r="Q373" s="44">
        <f t="shared" ca="1" si="121"/>
        <v>28.886114468927953</v>
      </c>
      <c r="R373" s="44">
        <f t="shared" ca="1" si="122"/>
        <v>2.8886114468927953</v>
      </c>
      <c r="S373" s="44">
        <f t="shared" ca="1" si="123"/>
        <v>2.8886114468927948</v>
      </c>
      <c r="T373" s="4">
        <f t="shared" ca="1" si="124"/>
        <v>0</v>
      </c>
      <c r="U373" s="120">
        <f t="shared" ca="1" si="125"/>
        <v>2026.7564194948757</v>
      </c>
      <c r="V373" s="4">
        <f t="shared" ca="1" si="126"/>
        <v>0</v>
      </c>
      <c r="W373" s="13">
        <f t="shared" ca="1" si="127"/>
        <v>40709.016000000003</v>
      </c>
      <c r="X373" s="4">
        <f t="shared" ca="1" si="128"/>
        <v>0</v>
      </c>
      <c r="Y373" s="4">
        <f t="shared" si="129"/>
        <v>0</v>
      </c>
      <c r="Z373" s="13">
        <f t="shared" ca="1" si="130"/>
        <v>40709.016000000003</v>
      </c>
      <c r="AA373" s="4">
        <f t="shared" ca="1" si="131"/>
        <v>0</v>
      </c>
      <c r="AE373" s="4"/>
    </row>
    <row r="374" spans="1:31">
      <c r="A374">
        <v>2</v>
      </c>
      <c r="B374">
        <v>3</v>
      </c>
      <c r="C374">
        <f t="shared" ca="1" si="110"/>
        <v>6</v>
      </c>
      <c r="D374">
        <f t="shared" ca="1" si="111"/>
        <v>5</v>
      </c>
      <c r="E374">
        <f t="shared" ca="1" si="112"/>
        <v>2</v>
      </c>
      <c r="F374" s="110">
        <f t="shared" ca="1" si="113"/>
        <v>0</v>
      </c>
      <c r="G374">
        <v>1</v>
      </c>
      <c r="H374">
        <v>1</v>
      </c>
      <c r="I374">
        <v>3</v>
      </c>
      <c r="J374" s="1">
        <f t="shared" ca="1" si="114"/>
        <v>0</v>
      </c>
      <c r="K374" s="1">
        <f t="shared" ca="1" si="115"/>
        <v>0</v>
      </c>
      <c r="L374" s="13">
        <f t="shared" ca="1" si="116"/>
        <v>519</v>
      </c>
      <c r="M374" s="7">
        <f t="shared" ca="1" si="117"/>
        <v>981</v>
      </c>
      <c r="N374" s="26">
        <f t="shared" ca="1" si="118"/>
        <v>4</v>
      </c>
      <c r="O374" s="44">
        <f t="shared" ca="1" si="119"/>
        <v>2.8886114468927948</v>
      </c>
      <c r="P374" s="44">
        <f t="shared" ca="1" si="120"/>
        <v>28.886114468927953</v>
      </c>
      <c r="Q374" s="44">
        <f t="shared" ca="1" si="121"/>
        <v>28.886114468927953</v>
      </c>
      <c r="R374" s="44">
        <f t="shared" ca="1" si="122"/>
        <v>2.8886114468927953</v>
      </c>
      <c r="S374" s="44">
        <f t="shared" ca="1" si="123"/>
        <v>2.8886114468927948</v>
      </c>
      <c r="T374" s="4">
        <f t="shared" ca="1" si="124"/>
        <v>0</v>
      </c>
      <c r="U374" s="120">
        <f t="shared" ca="1" si="125"/>
        <v>2007.7564194948757</v>
      </c>
      <c r="V374" s="4">
        <f t="shared" ca="1" si="126"/>
        <v>0</v>
      </c>
      <c r="W374" s="13">
        <f t="shared" ca="1" si="127"/>
        <v>38280.141000000003</v>
      </c>
      <c r="X374" s="4">
        <f t="shared" ca="1" si="128"/>
        <v>0</v>
      </c>
      <c r="Y374" s="4">
        <f t="shared" si="129"/>
        <v>0</v>
      </c>
      <c r="Z374" s="13">
        <f t="shared" ca="1" si="130"/>
        <v>38280.141000000003</v>
      </c>
      <c r="AA374" s="4">
        <f t="shared" ca="1" si="131"/>
        <v>0</v>
      </c>
      <c r="AE374" s="4"/>
    </row>
    <row r="375" spans="1:31">
      <c r="A375">
        <v>2</v>
      </c>
      <c r="B375">
        <v>3</v>
      </c>
      <c r="C375">
        <f t="shared" ca="1" si="110"/>
        <v>6</v>
      </c>
      <c r="D375">
        <f t="shared" ca="1" si="111"/>
        <v>5</v>
      </c>
      <c r="E375">
        <f t="shared" ca="1" si="112"/>
        <v>2</v>
      </c>
      <c r="F375" s="110">
        <f t="shared" ca="1" si="113"/>
        <v>0</v>
      </c>
      <c r="G375">
        <v>1</v>
      </c>
      <c r="H375">
        <v>1</v>
      </c>
      <c r="I375">
        <v>2</v>
      </c>
      <c r="J375" s="1">
        <f t="shared" ca="1" si="114"/>
        <v>0</v>
      </c>
      <c r="K375" s="1">
        <f t="shared" ca="1" si="115"/>
        <v>0</v>
      </c>
      <c r="L375" s="13">
        <f t="shared" ca="1" si="116"/>
        <v>500</v>
      </c>
      <c r="M375" s="7">
        <f t="shared" ca="1" si="117"/>
        <v>1000</v>
      </c>
      <c r="N375" s="26">
        <f t="shared" ca="1" si="118"/>
        <v>4</v>
      </c>
      <c r="O375" s="44">
        <f t="shared" ca="1" si="119"/>
        <v>2.8886114468927948</v>
      </c>
      <c r="P375" s="44">
        <f t="shared" ca="1" si="120"/>
        <v>28.886114468927953</v>
      </c>
      <c r="Q375" s="44">
        <f t="shared" ca="1" si="121"/>
        <v>28.886114468927953</v>
      </c>
      <c r="R375" s="44">
        <f t="shared" ca="1" si="122"/>
        <v>2.8886114468927953</v>
      </c>
      <c r="S375" s="44">
        <f t="shared" ca="1" si="123"/>
        <v>2.8886114468927948</v>
      </c>
      <c r="T375" s="4">
        <f t="shared" ca="1" si="124"/>
        <v>0</v>
      </c>
      <c r="U375" s="120">
        <f t="shared" ca="1" si="125"/>
        <v>1988.7564194948757</v>
      </c>
      <c r="V375" s="4">
        <f t="shared" ca="1" si="126"/>
        <v>0</v>
      </c>
      <c r="W375" s="13">
        <f t="shared" ca="1" si="127"/>
        <v>35851.266000000003</v>
      </c>
      <c r="X375" s="4">
        <f t="shared" ca="1" si="128"/>
        <v>0</v>
      </c>
      <c r="Y375" s="4">
        <f t="shared" si="129"/>
        <v>0</v>
      </c>
      <c r="Z375" s="13">
        <f t="shared" ca="1" si="130"/>
        <v>35851.266000000003</v>
      </c>
      <c r="AA375" s="4">
        <f t="shared" ca="1" si="131"/>
        <v>0</v>
      </c>
      <c r="AE375" s="4"/>
    </row>
    <row r="376" spans="1:31">
      <c r="A376">
        <v>2</v>
      </c>
      <c r="B376">
        <v>3</v>
      </c>
      <c r="C376">
        <f t="shared" ca="1" si="110"/>
        <v>6</v>
      </c>
      <c r="D376">
        <f t="shared" ca="1" si="111"/>
        <v>5</v>
      </c>
      <c r="E376">
        <f t="shared" ca="1" si="112"/>
        <v>2</v>
      </c>
      <c r="F376" s="110">
        <f t="shared" ca="1" si="113"/>
        <v>0</v>
      </c>
      <c r="G376">
        <v>1</v>
      </c>
      <c r="H376">
        <v>1</v>
      </c>
      <c r="I376">
        <v>1</v>
      </c>
      <c r="J376" s="1">
        <f t="shared" ca="1" si="114"/>
        <v>0</v>
      </c>
      <c r="K376" s="1">
        <f t="shared" ca="1" si="115"/>
        <v>0</v>
      </c>
      <c r="L376" s="13">
        <f t="shared" ca="1" si="116"/>
        <v>481</v>
      </c>
      <c r="M376" s="7">
        <f t="shared" ca="1" si="117"/>
        <v>1019</v>
      </c>
      <c r="N376" s="26">
        <f t="shared" ca="1" si="118"/>
        <v>4</v>
      </c>
      <c r="O376" s="44">
        <f t="shared" ca="1" si="119"/>
        <v>2.8886114468927948</v>
      </c>
      <c r="P376" s="44">
        <f t="shared" ca="1" si="120"/>
        <v>28.886114468927953</v>
      </c>
      <c r="Q376" s="44">
        <f t="shared" ca="1" si="121"/>
        <v>28.886114468927953</v>
      </c>
      <c r="R376" s="44">
        <f t="shared" ca="1" si="122"/>
        <v>2.8886114468927953</v>
      </c>
      <c r="S376" s="44">
        <f t="shared" ca="1" si="123"/>
        <v>2.8886114468927948</v>
      </c>
      <c r="T376" s="4">
        <f t="shared" ca="1" si="124"/>
        <v>0</v>
      </c>
      <c r="U376" s="120">
        <f t="shared" ca="1" si="125"/>
        <v>1969.7564194948757</v>
      </c>
      <c r="V376" s="4">
        <f t="shared" ca="1" si="126"/>
        <v>0</v>
      </c>
      <c r="W376" s="13">
        <f t="shared" ca="1" si="127"/>
        <v>33422.391000000003</v>
      </c>
      <c r="X376" s="4">
        <f t="shared" ca="1" si="128"/>
        <v>0</v>
      </c>
      <c r="Y376" s="4">
        <f t="shared" si="129"/>
        <v>0</v>
      </c>
      <c r="Z376" s="13">
        <f t="shared" ca="1" si="130"/>
        <v>33422.391000000003</v>
      </c>
      <c r="AA376" s="4">
        <f t="shared" ca="1" si="131"/>
        <v>0</v>
      </c>
      <c r="AE376" s="4"/>
    </row>
    <row r="377" spans="1:31">
      <c r="A377">
        <v>2</v>
      </c>
      <c r="B377">
        <v>3</v>
      </c>
      <c r="C377">
        <f t="shared" ca="1" si="110"/>
        <v>6</v>
      </c>
      <c r="D377">
        <f t="shared" ca="1" si="111"/>
        <v>5</v>
      </c>
      <c r="E377">
        <f t="shared" ca="1" si="112"/>
        <v>2</v>
      </c>
      <c r="F377" s="110">
        <f t="shared" ca="1" si="113"/>
        <v>0</v>
      </c>
      <c r="G377">
        <v>1</v>
      </c>
      <c r="H377">
        <v>1</v>
      </c>
      <c r="I377">
        <v>0</v>
      </c>
      <c r="J377" s="1">
        <f t="shared" ca="1" si="114"/>
        <v>0</v>
      </c>
      <c r="K377" s="1">
        <f t="shared" ca="1" si="115"/>
        <v>0</v>
      </c>
      <c r="L377" s="13">
        <f t="shared" ca="1" si="116"/>
        <v>462</v>
      </c>
      <c r="M377" s="7">
        <f t="shared" ca="1" si="117"/>
        <v>1038</v>
      </c>
      <c r="N377" s="26">
        <f t="shared" ca="1" si="118"/>
        <v>4</v>
      </c>
      <c r="O377" s="44">
        <f t="shared" ca="1" si="119"/>
        <v>2.8886114468927948</v>
      </c>
      <c r="P377" s="44">
        <f t="shared" ca="1" si="120"/>
        <v>28.886114468927953</v>
      </c>
      <c r="Q377" s="44">
        <f t="shared" ca="1" si="121"/>
        <v>28.886114468927953</v>
      </c>
      <c r="R377" s="44">
        <f t="shared" ca="1" si="122"/>
        <v>2.8886114468927953</v>
      </c>
      <c r="S377" s="44">
        <f t="shared" ca="1" si="123"/>
        <v>2.8886114468927948</v>
      </c>
      <c r="T377" s="4">
        <f t="shared" ca="1" si="124"/>
        <v>0</v>
      </c>
      <c r="U377" s="120">
        <f t="shared" ca="1" si="125"/>
        <v>1950.7564194948757</v>
      </c>
      <c r="V377" s="4">
        <f t="shared" ca="1" si="126"/>
        <v>0</v>
      </c>
      <c r="W377" s="13">
        <f t="shared" ca="1" si="127"/>
        <v>30993.516000000003</v>
      </c>
      <c r="X377" s="4">
        <f t="shared" ca="1" si="128"/>
        <v>0</v>
      </c>
      <c r="Y377" s="4">
        <f t="shared" si="129"/>
        <v>0</v>
      </c>
      <c r="Z377" s="13">
        <f t="shared" ca="1" si="130"/>
        <v>30993.516000000003</v>
      </c>
      <c r="AA377" s="4">
        <f t="shared" ca="1" si="131"/>
        <v>0</v>
      </c>
      <c r="AE377" s="4"/>
    </row>
    <row r="378" spans="1:31">
      <c r="A378">
        <v>2</v>
      </c>
      <c r="B378">
        <v>3</v>
      </c>
      <c r="C378">
        <f t="shared" ca="1" si="110"/>
        <v>6</v>
      </c>
      <c r="D378">
        <f t="shared" ca="1" si="111"/>
        <v>5</v>
      </c>
      <c r="E378">
        <f t="shared" ca="1" si="112"/>
        <v>2</v>
      </c>
      <c r="F378" s="110">
        <f t="shared" ca="1" si="113"/>
        <v>0</v>
      </c>
      <c r="G378">
        <v>1</v>
      </c>
      <c r="H378">
        <v>0</v>
      </c>
      <c r="I378">
        <v>7</v>
      </c>
      <c r="J378" s="1">
        <f t="shared" ca="1" si="114"/>
        <v>0</v>
      </c>
      <c r="K378" s="1">
        <f t="shared" ca="1" si="115"/>
        <v>0</v>
      </c>
      <c r="L378" s="13">
        <f t="shared" ca="1" si="116"/>
        <v>364</v>
      </c>
      <c r="M378" s="7">
        <f t="shared" ca="1" si="117"/>
        <v>1136</v>
      </c>
      <c r="N378" s="26">
        <f t="shared" ca="1" si="118"/>
        <v>5</v>
      </c>
      <c r="O378" s="44">
        <f t="shared" ca="1" si="119"/>
        <v>3.5346387789404914</v>
      </c>
      <c r="P378" s="44">
        <f t="shared" ca="1" si="120"/>
        <v>35.346387789404908</v>
      </c>
      <c r="Q378" s="44">
        <f t="shared" ca="1" si="121"/>
        <v>34.700360457357213</v>
      </c>
      <c r="R378" s="44">
        <f t="shared" ca="1" si="122"/>
        <v>3.5023374123381061</v>
      </c>
      <c r="S378" s="44">
        <f t="shared" ca="1" si="123"/>
        <v>3.532377683278324</v>
      </c>
      <c r="T378" s="4">
        <f t="shared" ca="1" si="124"/>
        <v>0</v>
      </c>
      <c r="U378" s="120">
        <f t="shared" ca="1" si="125"/>
        <v>2135.4497774977995</v>
      </c>
      <c r="V378" s="4">
        <f t="shared" ca="1" si="126"/>
        <v>0</v>
      </c>
      <c r="W378" s="13">
        <f t="shared" ca="1" si="127"/>
        <v>47995.641000000003</v>
      </c>
      <c r="X378" s="4">
        <f t="shared" ca="1" si="128"/>
        <v>0</v>
      </c>
      <c r="Y378" s="4">
        <f t="shared" si="129"/>
        <v>0</v>
      </c>
      <c r="Z378" s="13">
        <f t="shared" ca="1" si="130"/>
        <v>47995.641000000003</v>
      </c>
      <c r="AA378" s="4">
        <f t="shared" ca="1" si="131"/>
        <v>0</v>
      </c>
      <c r="AE378" s="4"/>
    </row>
    <row r="379" spans="1:31">
      <c r="A379">
        <v>2</v>
      </c>
      <c r="B379">
        <v>3</v>
      </c>
      <c r="C379">
        <f t="shared" ca="1" si="110"/>
        <v>6</v>
      </c>
      <c r="D379">
        <f t="shared" ca="1" si="111"/>
        <v>5</v>
      </c>
      <c r="E379">
        <f t="shared" ca="1" si="112"/>
        <v>2</v>
      </c>
      <c r="F379" s="110">
        <f t="shared" ca="1" si="113"/>
        <v>0</v>
      </c>
      <c r="G379">
        <v>1</v>
      </c>
      <c r="H379">
        <v>0</v>
      </c>
      <c r="I379">
        <v>6</v>
      </c>
      <c r="J379" s="1">
        <f t="shared" ca="1" si="114"/>
        <v>0</v>
      </c>
      <c r="K379" s="1">
        <f t="shared" ca="1" si="115"/>
        <v>0</v>
      </c>
      <c r="L379" s="13">
        <f t="shared" ca="1" si="116"/>
        <v>345</v>
      </c>
      <c r="M379" s="7">
        <f t="shared" ca="1" si="117"/>
        <v>1155</v>
      </c>
      <c r="N379" s="26">
        <f t="shared" ca="1" si="118"/>
        <v>5</v>
      </c>
      <c r="O379" s="44">
        <f t="shared" ca="1" si="119"/>
        <v>3.5346387789404914</v>
      </c>
      <c r="P379" s="44">
        <f t="shared" ca="1" si="120"/>
        <v>35.346387789404908</v>
      </c>
      <c r="Q379" s="44">
        <f t="shared" ca="1" si="121"/>
        <v>35.346387789404908</v>
      </c>
      <c r="R379" s="44">
        <f t="shared" ca="1" si="122"/>
        <v>3.5346387789404909</v>
      </c>
      <c r="S379" s="44">
        <f t="shared" ca="1" si="123"/>
        <v>3.5346387789404914</v>
      </c>
      <c r="T379" s="4">
        <f t="shared" ca="1" si="124"/>
        <v>0</v>
      </c>
      <c r="U379" s="120">
        <f t="shared" ca="1" si="125"/>
        <v>2117.4426794074939</v>
      </c>
      <c r="V379" s="4">
        <f t="shared" ca="1" si="126"/>
        <v>0</v>
      </c>
      <c r="W379" s="13">
        <f t="shared" ca="1" si="127"/>
        <v>45566.766000000003</v>
      </c>
      <c r="X379" s="4">
        <f t="shared" ca="1" si="128"/>
        <v>0</v>
      </c>
      <c r="Y379" s="4">
        <f t="shared" si="129"/>
        <v>0</v>
      </c>
      <c r="Z379" s="13">
        <f t="shared" ca="1" si="130"/>
        <v>45566.766000000003</v>
      </c>
      <c r="AA379" s="4">
        <f t="shared" ca="1" si="131"/>
        <v>0</v>
      </c>
      <c r="AE379" s="4"/>
    </row>
    <row r="380" spans="1:31">
      <c r="A380">
        <v>2</v>
      </c>
      <c r="B380">
        <v>3</v>
      </c>
      <c r="C380">
        <f t="shared" ca="1" si="110"/>
        <v>6</v>
      </c>
      <c r="D380">
        <f t="shared" ca="1" si="111"/>
        <v>5</v>
      </c>
      <c r="E380">
        <f t="shared" ca="1" si="112"/>
        <v>2</v>
      </c>
      <c r="F380" s="110">
        <f t="shared" ca="1" si="113"/>
        <v>0</v>
      </c>
      <c r="G380">
        <v>1</v>
      </c>
      <c r="H380">
        <v>0</v>
      </c>
      <c r="I380">
        <v>5</v>
      </c>
      <c r="J380" s="1">
        <f t="shared" ca="1" si="114"/>
        <v>0.73509189062499991</v>
      </c>
      <c r="K380" s="1">
        <f t="shared" ca="1" si="115"/>
        <v>0</v>
      </c>
      <c r="L380" s="13">
        <f t="shared" ca="1" si="116"/>
        <v>326</v>
      </c>
      <c r="M380" s="7">
        <f t="shared" ca="1" si="117"/>
        <v>1174</v>
      </c>
      <c r="N380" s="26">
        <f t="shared" ca="1" si="118"/>
        <v>5</v>
      </c>
      <c r="O380" s="44">
        <f t="shared" ca="1" si="119"/>
        <v>3.5346387789404914</v>
      </c>
      <c r="P380" s="44">
        <f t="shared" ca="1" si="120"/>
        <v>35.346387789404908</v>
      </c>
      <c r="Q380" s="44">
        <f t="shared" ca="1" si="121"/>
        <v>35.346387789404908</v>
      </c>
      <c r="R380" s="44">
        <f t="shared" ca="1" si="122"/>
        <v>3.5346387789404909</v>
      </c>
      <c r="S380" s="44">
        <f t="shared" ca="1" si="123"/>
        <v>3.5346387789404914</v>
      </c>
      <c r="T380" s="4">
        <f t="shared" ca="1" si="124"/>
        <v>0</v>
      </c>
      <c r="U380" s="120">
        <f t="shared" ca="1" si="125"/>
        <v>2098.4426794074939</v>
      </c>
      <c r="V380" s="4">
        <f t="shared" ca="1" si="126"/>
        <v>0</v>
      </c>
      <c r="W380" s="13">
        <f t="shared" ca="1" si="127"/>
        <v>43137.891000000003</v>
      </c>
      <c r="X380" s="4">
        <f t="shared" ca="1" si="128"/>
        <v>0</v>
      </c>
      <c r="Y380" s="4">
        <f t="shared" si="129"/>
        <v>0</v>
      </c>
      <c r="Z380" s="13">
        <f t="shared" ca="1" si="130"/>
        <v>43137.891000000003</v>
      </c>
      <c r="AA380" s="4">
        <f t="shared" ca="1" si="131"/>
        <v>0</v>
      </c>
      <c r="AE380" s="4"/>
    </row>
    <row r="381" spans="1:31">
      <c r="A381">
        <v>2</v>
      </c>
      <c r="B381">
        <v>3</v>
      </c>
      <c r="C381">
        <f t="shared" ca="1" si="110"/>
        <v>6</v>
      </c>
      <c r="D381">
        <f t="shared" ca="1" si="111"/>
        <v>5</v>
      </c>
      <c r="E381">
        <f t="shared" ca="1" si="112"/>
        <v>2</v>
      </c>
      <c r="F381" s="110">
        <f t="shared" ca="1" si="113"/>
        <v>0</v>
      </c>
      <c r="G381">
        <v>1</v>
      </c>
      <c r="H381">
        <v>0</v>
      </c>
      <c r="I381">
        <v>4</v>
      </c>
      <c r="J381" s="1">
        <f t="shared" ca="1" si="114"/>
        <v>0.19344523437500014</v>
      </c>
      <c r="K381" s="1">
        <f t="shared" ca="1" si="115"/>
        <v>0</v>
      </c>
      <c r="L381" s="13">
        <f t="shared" ca="1" si="116"/>
        <v>307</v>
      </c>
      <c r="M381" s="7">
        <f t="shared" ca="1" si="117"/>
        <v>1193</v>
      </c>
      <c r="N381" s="26">
        <f t="shared" ca="1" si="118"/>
        <v>5</v>
      </c>
      <c r="O381" s="44">
        <f t="shared" ca="1" si="119"/>
        <v>3.5346387789404914</v>
      </c>
      <c r="P381" s="44">
        <f t="shared" ca="1" si="120"/>
        <v>35.346387789404908</v>
      </c>
      <c r="Q381" s="44">
        <f t="shared" ca="1" si="121"/>
        <v>35.346387789404908</v>
      </c>
      <c r="R381" s="44">
        <f t="shared" ca="1" si="122"/>
        <v>3.5346387789404909</v>
      </c>
      <c r="S381" s="44">
        <f t="shared" ca="1" si="123"/>
        <v>3.5346387789404914</v>
      </c>
      <c r="T381" s="4">
        <f t="shared" ca="1" si="124"/>
        <v>0</v>
      </c>
      <c r="U381" s="120">
        <f t="shared" ca="1" si="125"/>
        <v>2079.4426794074939</v>
      </c>
      <c r="V381" s="4">
        <f t="shared" ca="1" si="126"/>
        <v>0</v>
      </c>
      <c r="W381" s="13">
        <f t="shared" ca="1" si="127"/>
        <v>40709.016000000003</v>
      </c>
      <c r="X381" s="4">
        <f t="shared" ca="1" si="128"/>
        <v>0</v>
      </c>
      <c r="Y381" s="4">
        <f t="shared" si="129"/>
        <v>0</v>
      </c>
      <c r="Z381" s="13">
        <f t="shared" ca="1" si="130"/>
        <v>40709.016000000003</v>
      </c>
      <c r="AA381" s="4">
        <f t="shared" ca="1" si="131"/>
        <v>0</v>
      </c>
      <c r="AE381" s="4"/>
    </row>
    <row r="382" spans="1:31">
      <c r="A382">
        <v>2</v>
      </c>
      <c r="B382">
        <v>3</v>
      </c>
      <c r="C382">
        <f t="shared" ca="1" si="110"/>
        <v>6</v>
      </c>
      <c r="D382">
        <f t="shared" ca="1" si="111"/>
        <v>5</v>
      </c>
      <c r="E382">
        <f t="shared" ca="1" si="112"/>
        <v>2</v>
      </c>
      <c r="F382" s="110">
        <f t="shared" ca="1" si="113"/>
        <v>0</v>
      </c>
      <c r="G382">
        <v>1</v>
      </c>
      <c r="H382">
        <v>0</v>
      </c>
      <c r="I382">
        <v>3</v>
      </c>
      <c r="J382" s="1">
        <f t="shared" ca="1" si="114"/>
        <v>2.0362656250000031E-2</v>
      </c>
      <c r="K382" s="1">
        <f t="shared" ca="1" si="115"/>
        <v>0</v>
      </c>
      <c r="L382" s="13">
        <f t="shared" ca="1" si="116"/>
        <v>288</v>
      </c>
      <c r="M382" s="7">
        <f t="shared" ca="1" si="117"/>
        <v>1212</v>
      </c>
      <c r="N382" s="26">
        <f t="shared" ca="1" si="118"/>
        <v>5</v>
      </c>
      <c r="O382" s="44">
        <f t="shared" ca="1" si="119"/>
        <v>3.5346387789404914</v>
      </c>
      <c r="P382" s="44">
        <f t="shared" ca="1" si="120"/>
        <v>35.346387789404908</v>
      </c>
      <c r="Q382" s="44">
        <f t="shared" ca="1" si="121"/>
        <v>35.346387789404908</v>
      </c>
      <c r="R382" s="44">
        <f t="shared" ca="1" si="122"/>
        <v>3.5346387789404909</v>
      </c>
      <c r="S382" s="44">
        <f t="shared" ca="1" si="123"/>
        <v>3.5346387789404914</v>
      </c>
      <c r="T382" s="4">
        <f t="shared" ca="1" si="124"/>
        <v>0</v>
      </c>
      <c r="U382" s="120">
        <f t="shared" ca="1" si="125"/>
        <v>2060.4426794074939</v>
      </c>
      <c r="V382" s="4">
        <f t="shared" ca="1" si="126"/>
        <v>0</v>
      </c>
      <c r="W382" s="13">
        <f t="shared" ca="1" si="127"/>
        <v>38280.141000000003</v>
      </c>
      <c r="X382" s="4">
        <f t="shared" ca="1" si="128"/>
        <v>0</v>
      </c>
      <c r="Y382" s="4">
        <f t="shared" si="129"/>
        <v>0</v>
      </c>
      <c r="Z382" s="13">
        <f t="shared" ca="1" si="130"/>
        <v>38280.141000000003</v>
      </c>
      <c r="AA382" s="4">
        <f t="shared" ca="1" si="131"/>
        <v>0</v>
      </c>
      <c r="AE382" s="4"/>
    </row>
    <row r="383" spans="1:31">
      <c r="A383">
        <v>2</v>
      </c>
      <c r="B383">
        <v>3</v>
      </c>
      <c r="C383">
        <f t="shared" ca="1" si="110"/>
        <v>6</v>
      </c>
      <c r="D383">
        <f t="shared" ca="1" si="111"/>
        <v>5</v>
      </c>
      <c r="E383">
        <f t="shared" ca="1" si="112"/>
        <v>2</v>
      </c>
      <c r="F383" s="110">
        <f t="shared" ca="1" si="113"/>
        <v>0</v>
      </c>
      <c r="G383">
        <v>1</v>
      </c>
      <c r="H383">
        <v>0</v>
      </c>
      <c r="I383">
        <v>2</v>
      </c>
      <c r="J383" s="1">
        <f t="shared" ca="1" si="114"/>
        <v>1.0717187500000028E-3</v>
      </c>
      <c r="K383" s="1">
        <f t="shared" ca="1" si="115"/>
        <v>0</v>
      </c>
      <c r="L383" s="13">
        <f t="shared" ca="1" si="116"/>
        <v>269</v>
      </c>
      <c r="M383" s="7">
        <f t="shared" ca="1" si="117"/>
        <v>1231</v>
      </c>
      <c r="N383" s="26">
        <f t="shared" ca="1" si="118"/>
        <v>5</v>
      </c>
      <c r="O383" s="44">
        <f t="shared" ca="1" si="119"/>
        <v>3.5346387789404914</v>
      </c>
      <c r="P383" s="44">
        <f t="shared" ca="1" si="120"/>
        <v>35.346387789404908</v>
      </c>
      <c r="Q383" s="44">
        <f t="shared" ca="1" si="121"/>
        <v>35.346387789404908</v>
      </c>
      <c r="R383" s="44">
        <f t="shared" ca="1" si="122"/>
        <v>3.5346387789404909</v>
      </c>
      <c r="S383" s="44">
        <f t="shared" ca="1" si="123"/>
        <v>3.5346387789404914</v>
      </c>
      <c r="T383" s="4">
        <f t="shared" ca="1" si="124"/>
        <v>0</v>
      </c>
      <c r="U383" s="120">
        <f t="shared" ca="1" si="125"/>
        <v>2041.4426794074936</v>
      </c>
      <c r="V383" s="4">
        <f t="shared" ca="1" si="126"/>
        <v>0</v>
      </c>
      <c r="W383" s="13">
        <f t="shared" ca="1" si="127"/>
        <v>35851.266000000003</v>
      </c>
      <c r="X383" s="4">
        <f t="shared" ca="1" si="128"/>
        <v>0</v>
      </c>
      <c r="Y383" s="4">
        <f t="shared" si="129"/>
        <v>0</v>
      </c>
      <c r="Z383" s="13">
        <f t="shared" ca="1" si="130"/>
        <v>35851.266000000003</v>
      </c>
      <c r="AA383" s="4">
        <f t="shared" ca="1" si="131"/>
        <v>0</v>
      </c>
      <c r="AE383" s="4"/>
    </row>
    <row r="384" spans="1:31">
      <c r="A384">
        <v>2</v>
      </c>
      <c r="B384">
        <v>3</v>
      </c>
      <c r="C384">
        <f t="shared" ca="1" si="110"/>
        <v>6</v>
      </c>
      <c r="D384">
        <f t="shared" ca="1" si="111"/>
        <v>5</v>
      </c>
      <c r="E384">
        <f t="shared" ca="1" si="112"/>
        <v>2</v>
      </c>
      <c r="F384" s="110">
        <f t="shared" ca="1" si="113"/>
        <v>0</v>
      </c>
      <c r="G384">
        <v>1</v>
      </c>
      <c r="H384">
        <v>0</v>
      </c>
      <c r="I384">
        <v>1</v>
      </c>
      <c r="J384" s="1">
        <f t="shared" ca="1" si="114"/>
        <v>2.8203125000000098E-5</v>
      </c>
      <c r="K384" s="1">
        <f t="shared" ca="1" si="115"/>
        <v>0</v>
      </c>
      <c r="L384" s="13">
        <f t="shared" ca="1" si="116"/>
        <v>250</v>
      </c>
      <c r="M384" s="7">
        <f t="shared" ca="1" si="117"/>
        <v>1250</v>
      </c>
      <c r="N384" s="26">
        <f t="shared" ca="1" si="118"/>
        <v>5</v>
      </c>
      <c r="O384" s="44">
        <f t="shared" ca="1" si="119"/>
        <v>3.5346387789404914</v>
      </c>
      <c r="P384" s="44">
        <f t="shared" ca="1" si="120"/>
        <v>35.346387789404908</v>
      </c>
      <c r="Q384" s="44">
        <f t="shared" ca="1" si="121"/>
        <v>35.346387789404908</v>
      </c>
      <c r="R384" s="44">
        <f t="shared" ca="1" si="122"/>
        <v>3.5346387789404909</v>
      </c>
      <c r="S384" s="44">
        <f t="shared" ca="1" si="123"/>
        <v>3.5346387789404914</v>
      </c>
      <c r="T384" s="4">
        <f t="shared" ca="1" si="124"/>
        <v>0</v>
      </c>
      <c r="U384" s="120">
        <f t="shared" ca="1" si="125"/>
        <v>2022.4426794074936</v>
      </c>
      <c r="V384" s="4">
        <f t="shared" ca="1" si="126"/>
        <v>0</v>
      </c>
      <c r="W384" s="13">
        <f t="shared" ca="1" si="127"/>
        <v>33422.391000000003</v>
      </c>
      <c r="X384" s="4">
        <f t="shared" ca="1" si="128"/>
        <v>0</v>
      </c>
      <c r="Y384" s="4">
        <f t="shared" si="129"/>
        <v>0</v>
      </c>
      <c r="Z384" s="13">
        <f t="shared" ca="1" si="130"/>
        <v>33422.391000000003</v>
      </c>
      <c r="AA384" s="4">
        <f t="shared" ca="1" si="131"/>
        <v>0</v>
      </c>
      <c r="AE384" s="4"/>
    </row>
    <row r="385" spans="1:31">
      <c r="A385">
        <v>2</v>
      </c>
      <c r="B385">
        <v>3</v>
      </c>
      <c r="C385">
        <f t="shared" ca="1" si="110"/>
        <v>6</v>
      </c>
      <c r="D385">
        <f t="shared" ca="1" si="111"/>
        <v>5</v>
      </c>
      <c r="E385">
        <f t="shared" ca="1" si="112"/>
        <v>2</v>
      </c>
      <c r="F385" s="110">
        <f t="shared" ca="1" si="113"/>
        <v>0</v>
      </c>
      <c r="G385">
        <v>1</v>
      </c>
      <c r="H385">
        <v>0</v>
      </c>
      <c r="I385">
        <v>0</v>
      </c>
      <c r="J385" s="1">
        <f t="shared" ca="1" si="114"/>
        <v>2.9687500000000134E-7</v>
      </c>
      <c r="K385" s="1">
        <f t="shared" ca="1" si="115"/>
        <v>0</v>
      </c>
      <c r="L385" s="13">
        <f t="shared" ca="1" si="116"/>
        <v>231</v>
      </c>
      <c r="M385" s="7">
        <f t="shared" ca="1" si="117"/>
        <v>1269</v>
      </c>
      <c r="N385" s="26">
        <f t="shared" ca="1" si="118"/>
        <v>5</v>
      </c>
      <c r="O385" s="44">
        <f t="shared" ca="1" si="119"/>
        <v>3.5346387789404914</v>
      </c>
      <c r="P385" s="44">
        <f t="shared" ca="1" si="120"/>
        <v>35.346387789404908</v>
      </c>
      <c r="Q385" s="44">
        <f t="shared" ca="1" si="121"/>
        <v>35.346387789404908</v>
      </c>
      <c r="R385" s="44">
        <f t="shared" ca="1" si="122"/>
        <v>3.5346387789404909</v>
      </c>
      <c r="S385" s="44">
        <f t="shared" ca="1" si="123"/>
        <v>3.5346387789404914</v>
      </c>
      <c r="T385" s="4">
        <f t="shared" ca="1" si="124"/>
        <v>0</v>
      </c>
      <c r="U385" s="120">
        <f t="shared" ca="1" si="125"/>
        <v>2003.4426794074936</v>
      </c>
      <c r="V385" s="4">
        <f t="shared" ca="1" si="126"/>
        <v>0</v>
      </c>
      <c r="W385" s="13">
        <f t="shared" ca="1" si="127"/>
        <v>30993.516000000003</v>
      </c>
      <c r="X385" s="4">
        <f t="shared" ca="1" si="128"/>
        <v>0</v>
      </c>
      <c r="Y385" s="4">
        <f t="shared" si="129"/>
        <v>0</v>
      </c>
      <c r="Z385" s="13">
        <f t="shared" ca="1" si="130"/>
        <v>30993.516000000003</v>
      </c>
      <c r="AA385" s="4">
        <f t="shared" ca="1" si="131"/>
        <v>0</v>
      </c>
      <c r="AE385" s="4"/>
    </row>
    <row r="386" spans="1:31">
      <c r="A386">
        <v>2</v>
      </c>
      <c r="B386">
        <v>3</v>
      </c>
      <c r="C386">
        <f t="shared" ca="1" si="110"/>
        <v>6</v>
      </c>
      <c r="D386">
        <f t="shared" ca="1" si="111"/>
        <v>5</v>
      </c>
      <c r="E386">
        <f t="shared" ca="1" si="112"/>
        <v>2</v>
      </c>
      <c r="F386" s="110">
        <f t="shared" ca="1" si="113"/>
        <v>0</v>
      </c>
      <c r="G386">
        <v>0</v>
      </c>
      <c r="H386">
        <v>1</v>
      </c>
      <c r="I386">
        <v>7</v>
      </c>
      <c r="J386" s="1">
        <f t="shared" ca="1" si="114"/>
        <v>0</v>
      </c>
      <c r="K386" s="1">
        <f t="shared" ca="1" si="115"/>
        <v>0</v>
      </c>
      <c r="L386" s="13">
        <f t="shared" ca="1" si="116"/>
        <v>364</v>
      </c>
      <c r="M386" s="7">
        <f t="shared" ca="1" si="117"/>
        <v>1136</v>
      </c>
      <c r="N386" s="26">
        <f t="shared" ca="1" si="118"/>
        <v>5</v>
      </c>
      <c r="O386" s="44">
        <f t="shared" ca="1" si="119"/>
        <v>3.5346387789404914</v>
      </c>
      <c r="P386" s="44">
        <f t="shared" ca="1" si="120"/>
        <v>35.346387789404908</v>
      </c>
      <c r="Q386" s="44">
        <f t="shared" ca="1" si="121"/>
        <v>34.700360457357213</v>
      </c>
      <c r="R386" s="44">
        <f t="shared" ca="1" si="122"/>
        <v>3.5023374123381061</v>
      </c>
      <c r="S386" s="44">
        <f t="shared" ca="1" si="123"/>
        <v>3.532377683278324</v>
      </c>
      <c r="T386" s="4">
        <f t="shared" ca="1" si="124"/>
        <v>0</v>
      </c>
      <c r="U386" s="120">
        <f t="shared" ca="1" si="125"/>
        <v>2135.4497774977995</v>
      </c>
      <c r="V386" s="4">
        <f t="shared" ca="1" si="126"/>
        <v>0</v>
      </c>
      <c r="W386" s="13">
        <f t="shared" ca="1" si="127"/>
        <v>17002.125</v>
      </c>
      <c r="X386" s="4">
        <f t="shared" ca="1" si="128"/>
        <v>0</v>
      </c>
      <c r="Y386" s="4">
        <f t="shared" si="129"/>
        <v>0</v>
      </c>
      <c r="Z386" s="13">
        <f t="shared" ca="1" si="130"/>
        <v>17002.125</v>
      </c>
      <c r="AA386" s="4">
        <f t="shared" ca="1" si="131"/>
        <v>0</v>
      </c>
      <c r="AE386" s="4"/>
    </row>
    <row r="387" spans="1:31">
      <c r="A387">
        <v>2</v>
      </c>
      <c r="B387">
        <v>3</v>
      </c>
      <c r="C387">
        <f t="shared" ca="1" si="110"/>
        <v>6</v>
      </c>
      <c r="D387">
        <f t="shared" ca="1" si="111"/>
        <v>5</v>
      </c>
      <c r="E387">
        <f t="shared" ca="1" si="112"/>
        <v>2</v>
      </c>
      <c r="F387" s="110">
        <f t="shared" ca="1" si="113"/>
        <v>0</v>
      </c>
      <c r="G387">
        <v>0</v>
      </c>
      <c r="H387">
        <v>1</v>
      </c>
      <c r="I387">
        <v>6</v>
      </c>
      <c r="J387" s="1">
        <f t="shared" ca="1" si="114"/>
        <v>0</v>
      </c>
      <c r="K387" s="1">
        <f t="shared" ca="1" si="115"/>
        <v>0</v>
      </c>
      <c r="L387" s="13">
        <f t="shared" ca="1" si="116"/>
        <v>345</v>
      </c>
      <c r="M387" s="7">
        <f t="shared" ca="1" si="117"/>
        <v>1155</v>
      </c>
      <c r="N387" s="26">
        <f t="shared" ca="1" si="118"/>
        <v>5</v>
      </c>
      <c r="O387" s="44">
        <f t="shared" ca="1" si="119"/>
        <v>3.5346387789404914</v>
      </c>
      <c r="P387" s="44">
        <f t="shared" ca="1" si="120"/>
        <v>35.346387789404908</v>
      </c>
      <c r="Q387" s="44">
        <f t="shared" ca="1" si="121"/>
        <v>35.346387789404908</v>
      </c>
      <c r="R387" s="44">
        <f t="shared" ca="1" si="122"/>
        <v>3.5346387789404909</v>
      </c>
      <c r="S387" s="44">
        <f t="shared" ca="1" si="123"/>
        <v>3.5346387789404914</v>
      </c>
      <c r="T387" s="4">
        <f t="shared" ca="1" si="124"/>
        <v>0</v>
      </c>
      <c r="U387" s="120">
        <f t="shared" ca="1" si="125"/>
        <v>2117.4426794074939</v>
      </c>
      <c r="V387" s="4">
        <f t="shared" ca="1" si="126"/>
        <v>0</v>
      </c>
      <c r="W387" s="13">
        <f t="shared" ca="1" si="127"/>
        <v>14573.25</v>
      </c>
      <c r="X387" s="4">
        <f t="shared" ca="1" si="128"/>
        <v>0</v>
      </c>
      <c r="Y387" s="4">
        <f t="shared" si="129"/>
        <v>0</v>
      </c>
      <c r="Z387" s="13">
        <f t="shared" ca="1" si="130"/>
        <v>14573.25</v>
      </c>
      <c r="AA387" s="4">
        <f t="shared" ca="1" si="131"/>
        <v>0</v>
      </c>
      <c r="AE387" s="4"/>
    </row>
    <row r="388" spans="1:31">
      <c r="A388">
        <v>2</v>
      </c>
      <c r="B388">
        <v>3</v>
      </c>
      <c r="C388">
        <f t="shared" ca="1" si="110"/>
        <v>6</v>
      </c>
      <c r="D388">
        <f t="shared" ca="1" si="111"/>
        <v>5</v>
      </c>
      <c r="E388">
        <f t="shared" ca="1" si="112"/>
        <v>2</v>
      </c>
      <c r="F388" s="110">
        <f t="shared" ca="1" si="113"/>
        <v>0</v>
      </c>
      <c r="G388">
        <v>0</v>
      </c>
      <c r="H388">
        <v>1</v>
      </c>
      <c r="I388">
        <v>5</v>
      </c>
      <c r="J388" s="1">
        <f t="shared" ca="1" si="114"/>
        <v>0</v>
      </c>
      <c r="K388" s="1">
        <f t="shared" ca="1" si="115"/>
        <v>0</v>
      </c>
      <c r="L388" s="13">
        <f t="shared" ca="1" si="116"/>
        <v>326</v>
      </c>
      <c r="M388" s="7">
        <f t="shared" ca="1" si="117"/>
        <v>1174</v>
      </c>
      <c r="N388" s="26">
        <f t="shared" ca="1" si="118"/>
        <v>5</v>
      </c>
      <c r="O388" s="44">
        <f t="shared" ca="1" si="119"/>
        <v>3.5346387789404914</v>
      </c>
      <c r="P388" s="44">
        <f t="shared" ca="1" si="120"/>
        <v>35.346387789404908</v>
      </c>
      <c r="Q388" s="44">
        <f t="shared" ca="1" si="121"/>
        <v>35.346387789404908</v>
      </c>
      <c r="R388" s="44">
        <f t="shared" ca="1" si="122"/>
        <v>3.5346387789404909</v>
      </c>
      <c r="S388" s="44">
        <f t="shared" ca="1" si="123"/>
        <v>3.5346387789404914</v>
      </c>
      <c r="T388" s="4">
        <f t="shared" ca="1" si="124"/>
        <v>0</v>
      </c>
      <c r="U388" s="120">
        <f t="shared" ca="1" si="125"/>
        <v>2098.4426794074939</v>
      </c>
      <c r="V388" s="4">
        <f t="shared" ca="1" si="126"/>
        <v>0</v>
      </c>
      <c r="W388" s="13">
        <f t="shared" ca="1" si="127"/>
        <v>12144.375</v>
      </c>
      <c r="X388" s="4">
        <f t="shared" ca="1" si="128"/>
        <v>0</v>
      </c>
      <c r="Y388" s="4">
        <f t="shared" si="129"/>
        <v>0</v>
      </c>
      <c r="Z388" s="13">
        <f t="shared" ca="1" si="130"/>
        <v>12144.375</v>
      </c>
      <c r="AA388" s="4">
        <f t="shared" ca="1" si="131"/>
        <v>0</v>
      </c>
      <c r="AE388" s="4"/>
    </row>
    <row r="389" spans="1:31">
      <c r="A389">
        <v>2</v>
      </c>
      <c r="B389">
        <v>3</v>
      </c>
      <c r="C389">
        <f t="shared" ca="1" si="110"/>
        <v>6</v>
      </c>
      <c r="D389">
        <f t="shared" ca="1" si="111"/>
        <v>5</v>
      </c>
      <c r="E389">
        <f t="shared" ca="1" si="112"/>
        <v>2</v>
      </c>
      <c r="F389" s="110">
        <f t="shared" ca="1" si="113"/>
        <v>0</v>
      </c>
      <c r="G389">
        <v>0</v>
      </c>
      <c r="H389">
        <v>1</v>
      </c>
      <c r="I389">
        <v>4</v>
      </c>
      <c r="J389" s="1">
        <f t="shared" ca="1" si="114"/>
        <v>0</v>
      </c>
      <c r="K389" s="1">
        <f t="shared" ca="1" si="115"/>
        <v>0</v>
      </c>
      <c r="L389" s="13">
        <f t="shared" ca="1" si="116"/>
        <v>307</v>
      </c>
      <c r="M389" s="7">
        <f t="shared" ca="1" si="117"/>
        <v>1193</v>
      </c>
      <c r="N389" s="26">
        <f t="shared" ca="1" si="118"/>
        <v>5</v>
      </c>
      <c r="O389" s="44">
        <f t="shared" ca="1" si="119"/>
        <v>3.5346387789404914</v>
      </c>
      <c r="P389" s="44">
        <f t="shared" ca="1" si="120"/>
        <v>35.346387789404908</v>
      </c>
      <c r="Q389" s="44">
        <f t="shared" ca="1" si="121"/>
        <v>35.346387789404908</v>
      </c>
      <c r="R389" s="44">
        <f t="shared" ca="1" si="122"/>
        <v>3.5346387789404909</v>
      </c>
      <c r="S389" s="44">
        <f t="shared" ca="1" si="123"/>
        <v>3.5346387789404914</v>
      </c>
      <c r="T389" s="4">
        <f t="shared" ca="1" si="124"/>
        <v>0</v>
      </c>
      <c r="U389" s="120">
        <f t="shared" ca="1" si="125"/>
        <v>2079.4426794074939</v>
      </c>
      <c r="V389" s="4">
        <f t="shared" ca="1" si="126"/>
        <v>0</v>
      </c>
      <c r="W389" s="13">
        <f t="shared" ca="1" si="127"/>
        <v>9715.5</v>
      </c>
      <c r="X389" s="4">
        <f t="shared" ca="1" si="128"/>
        <v>0</v>
      </c>
      <c r="Y389" s="4">
        <f t="shared" si="129"/>
        <v>0</v>
      </c>
      <c r="Z389" s="13">
        <f t="shared" ca="1" si="130"/>
        <v>9715.5</v>
      </c>
      <c r="AA389" s="4">
        <f t="shared" ca="1" si="131"/>
        <v>0</v>
      </c>
      <c r="AE389" s="4"/>
    </row>
    <row r="390" spans="1:31">
      <c r="A390">
        <v>2</v>
      </c>
      <c r="B390">
        <v>3</v>
      </c>
      <c r="C390">
        <f t="shared" ca="1" si="110"/>
        <v>6</v>
      </c>
      <c r="D390">
        <f t="shared" ca="1" si="111"/>
        <v>5</v>
      </c>
      <c r="E390">
        <f t="shared" ca="1" si="112"/>
        <v>2</v>
      </c>
      <c r="F390" s="110">
        <f t="shared" ca="1" si="113"/>
        <v>0</v>
      </c>
      <c r="G390">
        <v>0</v>
      </c>
      <c r="H390">
        <v>1</v>
      </c>
      <c r="I390">
        <v>3</v>
      </c>
      <c r="J390" s="1">
        <f t="shared" ca="1" si="114"/>
        <v>0</v>
      </c>
      <c r="K390" s="1">
        <f t="shared" ca="1" si="115"/>
        <v>0</v>
      </c>
      <c r="L390" s="13">
        <f t="shared" ca="1" si="116"/>
        <v>288</v>
      </c>
      <c r="M390" s="7">
        <f t="shared" ca="1" si="117"/>
        <v>1212</v>
      </c>
      <c r="N390" s="26">
        <f t="shared" ca="1" si="118"/>
        <v>5</v>
      </c>
      <c r="O390" s="44">
        <f t="shared" ca="1" si="119"/>
        <v>3.5346387789404914</v>
      </c>
      <c r="P390" s="44">
        <f t="shared" ca="1" si="120"/>
        <v>35.346387789404908</v>
      </c>
      <c r="Q390" s="44">
        <f t="shared" ca="1" si="121"/>
        <v>35.346387789404908</v>
      </c>
      <c r="R390" s="44">
        <f t="shared" ca="1" si="122"/>
        <v>3.5346387789404909</v>
      </c>
      <c r="S390" s="44">
        <f t="shared" ca="1" si="123"/>
        <v>3.5346387789404914</v>
      </c>
      <c r="T390" s="4">
        <f t="shared" ca="1" si="124"/>
        <v>0</v>
      </c>
      <c r="U390" s="120">
        <f t="shared" ca="1" si="125"/>
        <v>2060.4426794074939</v>
      </c>
      <c r="V390" s="4">
        <f t="shared" ca="1" si="126"/>
        <v>0</v>
      </c>
      <c r="W390" s="13">
        <f t="shared" ca="1" si="127"/>
        <v>7286.625</v>
      </c>
      <c r="X390" s="4">
        <f t="shared" ca="1" si="128"/>
        <v>0</v>
      </c>
      <c r="Y390" s="4">
        <f t="shared" si="129"/>
        <v>0</v>
      </c>
      <c r="Z390" s="13">
        <f t="shared" ca="1" si="130"/>
        <v>7286.625</v>
      </c>
      <c r="AA390" s="4">
        <f t="shared" ca="1" si="131"/>
        <v>0</v>
      </c>
      <c r="AE390" s="4"/>
    </row>
    <row r="391" spans="1:31">
      <c r="A391">
        <v>2</v>
      </c>
      <c r="B391">
        <v>3</v>
      </c>
      <c r="C391">
        <f t="shared" ca="1" si="110"/>
        <v>6</v>
      </c>
      <c r="D391">
        <f t="shared" ca="1" si="111"/>
        <v>5</v>
      </c>
      <c r="E391">
        <f t="shared" ca="1" si="112"/>
        <v>2</v>
      </c>
      <c r="F391" s="110">
        <f t="shared" ca="1" si="113"/>
        <v>0</v>
      </c>
      <c r="G391">
        <v>0</v>
      </c>
      <c r="H391">
        <v>1</v>
      </c>
      <c r="I391">
        <v>2</v>
      </c>
      <c r="J391" s="1">
        <f t="shared" ca="1" si="114"/>
        <v>0</v>
      </c>
      <c r="K391" s="1">
        <f t="shared" ca="1" si="115"/>
        <v>0</v>
      </c>
      <c r="L391" s="13">
        <f t="shared" ca="1" si="116"/>
        <v>269</v>
      </c>
      <c r="M391" s="7">
        <f t="shared" ca="1" si="117"/>
        <v>1231</v>
      </c>
      <c r="N391" s="26">
        <f t="shared" ca="1" si="118"/>
        <v>5</v>
      </c>
      <c r="O391" s="44">
        <f t="shared" ca="1" si="119"/>
        <v>3.5346387789404914</v>
      </c>
      <c r="P391" s="44">
        <f t="shared" ca="1" si="120"/>
        <v>35.346387789404908</v>
      </c>
      <c r="Q391" s="44">
        <f t="shared" ca="1" si="121"/>
        <v>35.346387789404908</v>
      </c>
      <c r="R391" s="44">
        <f t="shared" ca="1" si="122"/>
        <v>3.5346387789404909</v>
      </c>
      <c r="S391" s="44">
        <f t="shared" ca="1" si="123"/>
        <v>3.5346387789404914</v>
      </c>
      <c r="T391" s="4">
        <f t="shared" ca="1" si="124"/>
        <v>0</v>
      </c>
      <c r="U391" s="120">
        <f t="shared" ca="1" si="125"/>
        <v>2041.4426794074936</v>
      </c>
      <c r="V391" s="4">
        <f t="shared" ca="1" si="126"/>
        <v>0</v>
      </c>
      <c r="W391" s="13">
        <f t="shared" ca="1" si="127"/>
        <v>4857.75</v>
      </c>
      <c r="X391" s="4">
        <f t="shared" ca="1" si="128"/>
        <v>0</v>
      </c>
      <c r="Y391" s="4">
        <f t="shared" si="129"/>
        <v>0</v>
      </c>
      <c r="Z391" s="13">
        <f t="shared" ca="1" si="130"/>
        <v>4857.75</v>
      </c>
      <c r="AA391" s="4">
        <f t="shared" ca="1" si="131"/>
        <v>0</v>
      </c>
      <c r="AE391" s="4"/>
    </row>
    <row r="392" spans="1:31">
      <c r="A392">
        <v>2</v>
      </c>
      <c r="B392">
        <v>3</v>
      </c>
      <c r="C392">
        <f t="shared" ca="1" si="110"/>
        <v>6</v>
      </c>
      <c r="D392">
        <f t="shared" ca="1" si="111"/>
        <v>5</v>
      </c>
      <c r="E392">
        <f t="shared" ca="1" si="112"/>
        <v>2</v>
      </c>
      <c r="F392" s="110">
        <f t="shared" ca="1" si="113"/>
        <v>0</v>
      </c>
      <c r="G392">
        <v>0</v>
      </c>
      <c r="H392">
        <v>1</v>
      </c>
      <c r="I392">
        <v>1</v>
      </c>
      <c r="J392" s="1">
        <f t="shared" ca="1" si="114"/>
        <v>0</v>
      </c>
      <c r="K392" s="1">
        <f t="shared" ca="1" si="115"/>
        <v>0</v>
      </c>
      <c r="L392" s="13">
        <f t="shared" ca="1" si="116"/>
        <v>250</v>
      </c>
      <c r="M392" s="7">
        <f t="shared" ca="1" si="117"/>
        <v>1250</v>
      </c>
      <c r="N392" s="26">
        <f t="shared" ca="1" si="118"/>
        <v>5</v>
      </c>
      <c r="O392" s="44">
        <f t="shared" ca="1" si="119"/>
        <v>3.5346387789404914</v>
      </c>
      <c r="P392" s="44">
        <f t="shared" ca="1" si="120"/>
        <v>35.346387789404908</v>
      </c>
      <c r="Q392" s="44">
        <f t="shared" ca="1" si="121"/>
        <v>35.346387789404908</v>
      </c>
      <c r="R392" s="44">
        <f t="shared" ca="1" si="122"/>
        <v>3.5346387789404909</v>
      </c>
      <c r="S392" s="44">
        <f t="shared" ca="1" si="123"/>
        <v>3.5346387789404914</v>
      </c>
      <c r="T392" s="4">
        <f t="shared" ca="1" si="124"/>
        <v>0</v>
      </c>
      <c r="U392" s="120">
        <f t="shared" ca="1" si="125"/>
        <v>2022.4426794074936</v>
      </c>
      <c r="V392" s="4">
        <f t="shared" ca="1" si="126"/>
        <v>0</v>
      </c>
      <c r="W392" s="13">
        <f t="shared" ca="1" si="127"/>
        <v>2428.875</v>
      </c>
      <c r="X392" s="4">
        <f t="shared" ca="1" si="128"/>
        <v>0</v>
      </c>
      <c r="Y392" s="4">
        <f t="shared" si="129"/>
        <v>0</v>
      </c>
      <c r="Z392" s="13">
        <f t="shared" ca="1" si="130"/>
        <v>2428.875</v>
      </c>
      <c r="AA392" s="4">
        <f t="shared" ca="1" si="131"/>
        <v>0</v>
      </c>
      <c r="AE392" s="4"/>
    </row>
    <row r="393" spans="1:31">
      <c r="A393">
        <v>2</v>
      </c>
      <c r="B393">
        <v>3</v>
      </c>
      <c r="C393">
        <f t="shared" ca="1" si="110"/>
        <v>6</v>
      </c>
      <c r="D393">
        <f t="shared" ca="1" si="111"/>
        <v>5</v>
      </c>
      <c r="E393">
        <f t="shared" ca="1" si="112"/>
        <v>2</v>
      </c>
      <c r="F393" s="110">
        <f t="shared" ca="1" si="113"/>
        <v>0</v>
      </c>
      <c r="G393">
        <v>0</v>
      </c>
      <c r="H393">
        <v>1</v>
      </c>
      <c r="I393">
        <v>0</v>
      </c>
      <c r="J393" s="1">
        <f t="shared" ca="1" si="114"/>
        <v>0</v>
      </c>
      <c r="K393" s="1">
        <f t="shared" ca="1" si="115"/>
        <v>0</v>
      </c>
      <c r="L393" s="13">
        <f t="shared" ca="1" si="116"/>
        <v>231</v>
      </c>
      <c r="M393" s="7">
        <f t="shared" ca="1" si="117"/>
        <v>1269</v>
      </c>
      <c r="N393" s="26">
        <f t="shared" ca="1" si="118"/>
        <v>5</v>
      </c>
      <c r="O393" s="44">
        <f t="shared" ca="1" si="119"/>
        <v>3.5346387789404914</v>
      </c>
      <c r="P393" s="44">
        <f t="shared" ca="1" si="120"/>
        <v>35.346387789404908</v>
      </c>
      <c r="Q393" s="44">
        <f t="shared" ca="1" si="121"/>
        <v>35.346387789404908</v>
      </c>
      <c r="R393" s="44">
        <f t="shared" ca="1" si="122"/>
        <v>3.5346387789404909</v>
      </c>
      <c r="S393" s="44">
        <f t="shared" ca="1" si="123"/>
        <v>3.5346387789404914</v>
      </c>
      <c r="T393" s="4">
        <f t="shared" ca="1" si="124"/>
        <v>0</v>
      </c>
      <c r="U393" s="120">
        <f t="shared" ca="1" si="125"/>
        <v>2003.4426794074936</v>
      </c>
      <c r="V393" s="4">
        <f t="shared" ca="1" si="126"/>
        <v>0</v>
      </c>
      <c r="W393" s="13">
        <f t="shared" ca="1" si="127"/>
        <v>0</v>
      </c>
      <c r="X393" s="4">
        <f t="shared" ca="1" si="128"/>
        <v>0</v>
      </c>
      <c r="Y393" s="4">
        <f t="shared" si="129"/>
        <v>0</v>
      </c>
      <c r="Z393" s="13">
        <f t="shared" ca="1" si="130"/>
        <v>0</v>
      </c>
      <c r="AA393" s="4">
        <f t="shared" ca="1" si="131"/>
        <v>0</v>
      </c>
      <c r="AE393" s="4"/>
    </row>
    <row r="394" spans="1:31">
      <c r="A394">
        <v>2</v>
      </c>
      <c r="B394">
        <v>3</v>
      </c>
      <c r="C394">
        <f t="shared" ca="1" si="110"/>
        <v>6</v>
      </c>
      <c r="D394">
        <f t="shared" ca="1" si="111"/>
        <v>5</v>
      </c>
      <c r="E394">
        <f t="shared" ca="1" si="112"/>
        <v>2</v>
      </c>
      <c r="F394" s="110">
        <f t="shared" ca="1" si="113"/>
        <v>0</v>
      </c>
      <c r="G394">
        <v>0</v>
      </c>
      <c r="H394">
        <v>0</v>
      </c>
      <c r="I394">
        <v>7</v>
      </c>
      <c r="J394" s="1">
        <f t="shared" ca="1" si="114"/>
        <v>0</v>
      </c>
      <c r="K394" s="1">
        <f t="shared" ca="1" si="115"/>
        <v>0</v>
      </c>
      <c r="L394" s="13">
        <f t="shared" ca="1" si="116"/>
        <v>133</v>
      </c>
      <c r="M394" s="7">
        <f t="shared" ca="1" si="117"/>
        <v>1367</v>
      </c>
      <c r="N394" s="26">
        <f t="shared" ca="1" si="118"/>
        <v>5</v>
      </c>
      <c r="O394" s="44">
        <f t="shared" ca="1" si="119"/>
        <v>3.5346387789404914</v>
      </c>
      <c r="P394" s="44">
        <f t="shared" ca="1" si="120"/>
        <v>35.346387789404908</v>
      </c>
      <c r="Q394" s="44">
        <f t="shared" ca="1" si="121"/>
        <v>35.346387789404908</v>
      </c>
      <c r="R394" s="44">
        <f t="shared" ca="1" si="122"/>
        <v>3.5346387789404909</v>
      </c>
      <c r="S394" s="44">
        <f t="shared" ca="1" si="123"/>
        <v>3.5346387789404914</v>
      </c>
      <c r="T394" s="4">
        <f t="shared" ca="1" si="124"/>
        <v>0</v>
      </c>
      <c r="U394" s="120">
        <f t="shared" ca="1" si="125"/>
        <v>1905.4426794074936</v>
      </c>
      <c r="V394" s="4">
        <f t="shared" ca="1" si="126"/>
        <v>0</v>
      </c>
      <c r="W394" s="13">
        <f t="shared" ca="1" si="127"/>
        <v>17002.125</v>
      </c>
      <c r="X394" s="4">
        <f t="shared" ca="1" si="128"/>
        <v>0</v>
      </c>
      <c r="Y394" s="4">
        <f t="shared" si="129"/>
        <v>0</v>
      </c>
      <c r="Z394" s="13">
        <f t="shared" ca="1" si="130"/>
        <v>17002.125</v>
      </c>
      <c r="AA394" s="4">
        <f t="shared" ca="1" si="131"/>
        <v>0</v>
      </c>
      <c r="AE394" s="4"/>
    </row>
    <row r="395" spans="1:31">
      <c r="A395">
        <v>2</v>
      </c>
      <c r="B395">
        <v>3</v>
      </c>
      <c r="C395">
        <f t="shared" ca="1" si="110"/>
        <v>6</v>
      </c>
      <c r="D395">
        <f t="shared" ca="1" si="111"/>
        <v>5</v>
      </c>
      <c r="E395">
        <f t="shared" ca="1" si="112"/>
        <v>2</v>
      </c>
      <c r="F395" s="110">
        <f t="shared" ca="1" si="113"/>
        <v>0</v>
      </c>
      <c r="G395">
        <v>0</v>
      </c>
      <c r="H395">
        <v>0</v>
      </c>
      <c r="I395">
        <v>6</v>
      </c>
      <c r="J395" s="1">
        <f t="shared" ca="1" si="114"/>
        <v>0</v>
      </c>
      <c r="K395" s="1">
        <f t="shared" ca="1" si="115"/>
        <v>0</v>
      </c>
      <c r="L395" s="13">
        <f t="shared" ca="1" si="116"/>
        <v>114</v>
      </c>
      <c r="M395" s="7">
        <f t="shared" ca="1" si="117"/>
        <v>1386</v>
      </c>
      <c r="N395" s="26">
        <f t="shared" ca="1" si="118"/>
        <v>5</v>
      </c>
      <c r="O395" s="44">
        <f t="shared" ca="1" si="119"/>
        <v>3.5346387789404914</v>
      </c>
      <c r="P395" s="44">
        <f t="shared" ca="1" si="120"/>
        <v>35.346387789404908</v>
      </c>
      <c r="Q395" s="44">
        <f t="shared" ca="1" si="121"/>
        <v>35.346387789404908</v>
      </c>
      <c r="R395" s="44">
        <f t="shared" ca="1" si="122"/>
        <v>3.5346387789404909</v>
      </c>
      <c r="S395" s="44">
        <f t="shared" ca="1" si="123"/>
        <v>3.5346387789404914</v>
      </c>
      <c r="T395" s="4">
        <f t="shared" ca="1" si="124"/>
        <v>0</v>
      </c>
      <c r="U395" s="120">
        <f t="shared" ca="1" si="125"/>
        <v>1886.4426794074936</v>
      </c>
      <c r="V395" s="4">
        <f t="shared" ca="1" si="126"/>
        <v>0</v>
      </c>
      <c r="W395" s="13">
        <f t="shared" ca="1" si="127"/>
        <v>14573.25</v>
      </c>
      <c r="X395" s="4">
        <f t="shared" ca="1" si="128"/>
        <v>0</v>
      </c>
      <c r="Y395" s="4">
        <f t="shared" si="129"/>
        <v>0</v>
      </c>
      <c r="Z395" s="13">
        <f t="shared" ca="1" si="130"/>
        <v>14573.25</v>
      </c>
      <c r="AA395" s="4">
        <f t="shared" ca="1" si="131"/>
        <v>0</v>
      </c>
      <c r="AE395" s="4"/>
    </row>
    <row r="396" spans="1:31">
      <c r="A396">
        <v>2</v>
      </c>
      <c r="B396">
        <v>3</v>
      </c>
      <c r="C396">
        <f t="shared" ca="1" si="110"/>
        <v>6</v>
      </c>
      <c r="D396">
        <f t="shared" ca="1" si="111"/>
        <v>5</v>
      </c>
      <c r="E396">
        <f t="shared" ca="1" si="112"/>
        <v>2</v>
      </c>
      <c r="F396" s="110">
        <f t="shared" ca="1" si="113"/>
        <v>0</v>
      </c>
      <c r="G396">
        <v>0</v>
      </c>
      <c r="H396">
        <v>0</v>
      </c>
      <c r="I396">
        <v>5</v>
      </c>
      <c r="J396" s="1">
        <f t="shared" ca="1" si="114"/>
        <v>3.8689046875000001E-2</v>
      </c>
      <c r="K396" s="1">
        <f t="shared" ca="1" si="115"/>
        <v>0</v>
      </c>
      <c r="L396" s="13">
        <f t="shared" ca="1" si="116"/>
        <v>95</v>
      </c>
      <c r="M396" s="7">
        <f t="shared" ca="1" si="117"/>
        <v>1405</v>
      </c>
      <c r="N396" s="26">
        <f t="shared" ca="1" si="118"/>
        <v>6</v>
      </c>
      <c r="O396" s="44">
        <f t="shared" ca="1" si="119"/>
        <v>4.1694581524927896</v>
      </c>
      <c r="P396" s="44">
        <f t="shared" ca="1" si="120"/>
        <v>41.059762151375594</v>
      </c>
      <c r="Q396" s="44">
        <f t="shared" ca="1" si="121"/>
        <v>35.346387789404908</v>
      </c>
      <c r="R396" s="44">
        <f t="shared" ca="1" si="122"/>
        <v>3.8203074970390247</v>
      </c>
      <c r="S396" s="44">
        <f t="shared" ca="1" si="123"/>
        <v>4.1450176066110256</v>
      </c>
      <c r="T396" s="4">
        <f t="shared" ca="1" si="124"/>
        <v>0</v>
      </c>
      <c r="U396" s="120">
        <f t="shared" ca="1" si="125"/>
        <v>2135.4748169996506</v>
      </c>
      <c r="V396" s="4">
        <f t="shared" ca="1" si="126"/>
        <v>0</v>
      </c>
      <c r="W396" s="13">
        <f t="shared" ca="1" si="127"/>
        <v>12144.375</v>
      </c>
      <c r="X396" s="4">
        <f t="shared" ca="1" si="128"/>
        <v>0</v>
      </c>
      <c r="Y396" s="4">
        <f t="shared" si="129"/>
        <v>0</v>
      </c>
      <c r="Z396" s="13">
        <f t="shared" ca="1" si="130"/>
        <v>12144.375</v>
      </c>
      <c r="AA396" s="4">
        <f t="shared" ca="1" si="131"/>
        <v>0</v>
      </c>
      <c r="AE396" s="4"/>
    </row>
    <row r="397" spans="1:31">
      <c r="A397">
        <v>2</v>
      </c>
      <c r="B397">
        <v>3</v>
      </c>
      <c r="C397">
        <f t="shared" ca="1" si="110"/>
        <v>6</v>
      </c>
      <c r="D397">
        <f t="shared" ca="1" si="111"/>
        <v>5</v>
      </c>
      <c r="E397">
        <f t="shared" ca="1" si="112"/>
        <v>2</v>
      </c>
      <c r="F397" s="110">
        <f t="shared" ca="1" si="113"/>
        <v>0</v>
      </c>
      <c r="G397">
        <v>0</v>
      </c>
      <c r="H397">
        <v>0</v>
      </c>
      <c r="I397">
        <v>4</v>
      </c>
      <c r="J397" s="1">
        <f t="shared" ca="1" si="114"/>
        <v>1.0181328125000009E-2</v>
      </c>
      <c r="K397" s="1">
        <f t="shared" ca="1" si="115"/>
        <v>0</v>
      </c>
      <c r="L397" s="13">
        <f t="shared" ca="1" si="116"/>
        <v>76</v>
      </c>
      <c r="M397" s="7">
        <f t="shared" ca="1" si="117"/>
        <v>1424</v>
      </c>
      <c r="N397" s="26">
        <f t="shared" ca="1" si="118"/>
        <v>6</v>
      </c>
      <c r="O397" s="44">
        <f t="shared" ca="1" si="119"/>
        <v>4.1694581524927896</v>
      </c>
      <c r="P397" s="44">
        <f t="shared" ca="1" si="120"/>
        <v>41.694581524927891</v>
      </c>
      <c r="Q397" s="44">
        <f t="shared" ca="1" si="121"/>
        <v>41.694581524927891</v>
      </c>
      <c r="R397" s="44">
        <f t="shared" ca="1" si="122"/>
        <v>4.1694581524927887</v>
      </c>
      <c r="S397" s="44">
        <f t="shared" ca="1" si="123"/>
        <v>4.1694581524927896</v>
      </c>
      <c r="T397" s="4">
        <f t="shared" ca="1" si="124"/>
        <v>0</v>
      </c>
      <c r="U397" s="120">
        <f t="shared" ca="1" si="125"/>
        <v>2127.2072530862838</v>
      </c>
      <c r="V397" s="4">
        <f t="shared" ca="1" si="126"/>
        <v>0</v>
      </c>
      <c r="W397" s="13">
        <f t="shared" ca="1" si="127"/>
        <v>9715.5</v>
      </c>
      <c r="X397" s="4">
        <f t="shared" ca="1" si="128"/>
        <v>0</v>
      </c>
      <c r="Y397" s="4">
        <f t="shared" si="129"/>
        <v>0</v>
      </c>
      <c r="Z397" s="13">
        <f t="shared" ca="1" si="130"/>
        <v>9715.5</v>
      </c>
      <c r="AA397" s="4">
        <f t="shared" ca="1" si="131"/>
        <v>0</v>
      </c>
      <c r="AE397" s="4"/>
    </row>
    <row r="398" spans="1:31">
      <c r="A398">
        <v>2</v>
      </c>
      <c r="B398">
        <v>3</v>
      </c>
      <c r="C398">
        <f t="shared" ca="1" si="110"/>
        <v>6</v>
      </c>
      <c r="D398">
        <f t="shared" ca="1" si="111"/>
        <v>5</v>
      </c>
      <c r="E398">
        <f t="shared" ca="1" si="112"/>
        <v>2</v>
      </c>
      <c r="F398" s="110">
        <f t="shared" ca="1" si="113"/>
        <v>0</v>
      </c>
      <c r="G398">
        <v>0</v>
      </c>
      <c r="H398">
        <v>0</v>
      </c>
      <c r="I398">
        <v>3</v>
      </c>
      <c r="J398" s="1">
        <f t="shared" ca="1" si="114"/>
        <v>1.0717187500000017E-3</v>
      </c>
      <c r="K398" s="1">
        <f t="shared" ca="1" si="115"/>
        <v>0</v>
      </c>
      <c r="L398" s="13">
        <f t="shared" ca="1" si="116"/>
        <v>57</v>
      </c>
      <c r="M398" s="7">
        <f t="shared" ca="1" si="117"/>
        <v>1443</v>
      </c>
      <c r="N398" s="26">
        <f t="shared" ca="1" si="118"/>
        <v>6</v>
      </c>
      <c r="O398" s="44">
        <f t="shared" ca="1" si="119"/>
        <v>4.1694581524927896</v>
      </c>
      <c r="P398" s="44">
        <f t="shared" ca="1" si="120"/>
        <v>41.694581524927891</v>
      </c>
      <c r="Q398" s="44">
        <f t="shared" ca="1" si="121"/>
        <v>41.694581524927891</v>
      </c>
      <c r="R398" s="44">
        <f t="shared" ca="1" si="122"/>
        <v>4.1694581524927887</v>
      </c>
      <c r="S398" s="44">
        <f t="shared" ca="1" si="123"/>
        <v>4.1694581524927896</v>
      </c>
      <c r="T398" s="4">
        <f t="shared" ca="1" si="124"/>
        <v>0</v>
      </c>
      <c r="U398" s="120">
        <f t="shared" ca="1" si="125"/>
        <v>2108.2072530862838</v>
      </c>
      <c r="V398" s="4">
        <f t="shared" ca="1" si="126"/>
        <v>0</v>
      </c>
      <c r="W398" s="13">
        <f t="shared" ca="1" si="127"/>
        <v>7286.625</v>
      </c>
      <c r="X398" s="4">
        <f t="shared" ca="1" si="128"/>
        <v>0</v>
      </c>
      <c r="Y398" s="4">
        <f t="shared" si="129"/>
        <v>0</v>
      </c>
      <c r="Z398" s="13">
        <f t="shared" ca="1" si="130"/>
        <v>7286.625</v>
      </c>
      <c r="AA398" s="4">
        <f t="shared" ca="1" si="131"/>
        <v>0</v>
      </c>
      <c r="AE398" s="4"/>
    </row>
    <row r="399" spans="1:31">
      <c r="A399">
        <v>2</v>
      </c>
      <c r="B399">
        <v>3</v>
      </c>
      <c r="C399">
        <f t="shared" ca="1" si="110"/>
        <v>6</v>
      </c>
      <c r="D399">
        <f t="shared" ca="1" si="111"/>
        <v>5</v>
      </c>
      <c r="E399">
        <f t="shared" ca="1" si="112"/>
        <v>2</v>
      </c>
      <c r="F399" s="110">
        <f t="shared" ca="1" si="113"/>
        <v>0</v>
      </c>
      <c r="G399">
        <v>0</v>
      </c>
      <c r="H399">
        <v>0</v>
      </c>
      <c r="I399">
        <v>2</v>
      </c>
      <c r="J399" s="1">
        <f t="shared" ca="1" si="114"/>
        <v>5.6406250000000155E-5</v>
      </c>
      <c r="K399" s="1">
        <f t="shared" ca="1" si="115"/>
        <v>0</v>
      </c>
      <c r="L399" s="13">
        <f t="shared" ca="1" si="116"/>
        <v>38</v>
      </c>
      <c r="M399" s="7">
        <f t="shared" ca="1" si="117"/>
        <v>1462</v>
      </c>
      <c r="N399" s="26">
        <f t="shared" ca="1" si="118"/>
        <v>6</v>
      </c>
      <c r="O399" s="44">
        <f t="shared" ca="1" si="119"/>
        <v>4.1694581524927896</v>
      </c>
      <c r="P399" s="44">
        <f t="shared" ca="1" si="120"/>
        <v>41.694581524927891</v>
      </c>
      <c r="Q399" s="44">
        <f t="shared" ca="1" si="121"/>
        <v>41.694581524927891</v>
      </c>
      <c r="R399" s="44">
        <f t="shared" ca="1" si="122"/>
        <v>4.1694581524927887</v>
      </c>
      <c r="S399" s="44">
        <f t="shared" ca="1" si="123"/>
        <v>4.1694581524927896</v>
      </c>
      <c r="T399" s="4">
        <f t="shared" ca="1" si="124"/>
        <v>0</v>
      </c>
      <c r="U399" s="120">
        <f t="shared" ca="1" si="125"/>
        <v>2089.2072530862838</v>
      </c>
      <c r="V399" s="4">
        <f t="shared" ca="1" si="126"/>
        <v>0</v>
      </c>
      <c r="W399" s="13">
        <f t="shared" ca="1" si="127"/>
        <v>4857.75</v>
      </c>
      <c r="X399" s="4">
        <f t="shared" ca="1" si="128"/>
        <v>0</v>
      </c>
      <c r="Y399" s="4">
        <f t="shared" si="129"/>
        <v>0</v>
      </c>
      <c r="Z399" s="13">
        <f t="shared" ca="1" si="130"/>
        <v>4857.75</v>
      </c>
      <c r="AA399" s="4">
        <f t="shared" ca="1" si="131"/>
        <v>0</v>
      </c>
      <c r="AE399" s="4"/>
    </row>
    <row r="400" spans="1:31">
      <c r="A400">
        <v>2</v>
      </c>
      <c r="B400">
        <v>3</v>
      </c>
      <c r="C400">
        <f t="shared" ca="1" si="110"/>
        <v>6</v>
      </c>
      <c r="D400">
        <f t="shared" ca="1" si="111"/>
        <v>5</v>
      </c>
      <c r="E400">
        <f t="shared" ca="1" si="112"/>
        <v>2</v>
      </c>
      <c r="F400" s="110">
        <f t="shared" ca="1" si="113"/>
        <v>0</v>
      </c>
      <c r="G400">
        <v>0</v>
      </c>
      <c r="H400">
        <v>0</v>
      </c>
      <c r="I400">
        <v>1</v>
      </c>
      <c r="J400" s="1">
        <f t="shared" ca="1" si="114"/>
        <v>1.4843750000000054E-6</v>
      </c>
      <c r="K400" s="1">
        <f t="shared" ca="1" si="115"/>
        <v>0</v>
      </c>
      <c r="L400" s="13">
        <f t="shared" ca="1" si="116"/>
        <v>19</v>
      </c>
      <c r="M400" s="7">
        <f t="shared" ca="1" si="117"/>
        <v>1481</v>
      </c>
      <c r="N400" s="26">
        <f t="shared" ca="1" si="118"/>
        <v>6</v>
      </c>
      <c r="O400" s="44">
        <f t="shared" ca="1" si="119"/>
        <v>4.1694581524927896</v>
      </c>
      <c r="P400" s="44">
        <f t="shared" ca="1" si="120"/>
        <v>41.694581524927891</v>
      </c>
      <c r="Q400" s="44">
        <f t="shared" ca="1" si="121"/>
        <v>41.694581524927891</v>
      </c>
      <c r="R400" s="44">
        <f t="shared" ca="1" si="122"/>
        <v>4.1694581524927887</v>
      </c>
      <c r="S400" s="44">
        <f t="shared" ca="1" si="123"/>
        <v>4.1694581524927896</v>
      </c>
      <c r="T400" s="4">
        <f t="shared" ca="1" si="124"/>
        <v>0</v>
      </c>
      <c r="U400" s="120">
        <f t="shared" ca="1" si="125"/>
        <v>2070.2072530862838</v>
      </c>
      <c r="V400" s="4">
        <f t="shared" ca="1" si="126"/>
        <v>0</v>
      </c>
      <c r="W400" s="13">
        <f t="shared" ca="1" si="127"/>
        <v>2428.875</v>
      </c>
      <c r="X400" s="4">
        <f t="shared" ca="1" si="128"/>
        <v>0</v>
      </c>
      <c r="Y400" s="4">
        <f t="shared" si="129"/>
        <v>0</v>
      </c>
      <c r="Z400" s="13">
        <f t="shared" ca="1" si="130"/>
        <v>2428.875</v>
      </c>
      <c r="AA400" s="4">
        <f t="shared" ca="1" si="131"/>
        <v>0</v>
      </c>
      <c r="AE400" s="4"/>
    </row>
    <row r="401" spans="1:31">
      <c r="A401">
        <v>2</v>
      </c>
      <c r="B401">
        <v>3</v>
      </c>
      <c r="C401">
        <f t="shared" ca="1" si="110"/>
        <v>6</v>
      </c>
      <c r="D401">
        <f t="shared" ca="1" si="111"/>
        <v>5</v>
      </c>
      <c r="E401">
        <f t="shared" ca="1" si="112"/>
        <v>2</v>
      </c>
      <c r="F401" s="110">
        <f t="shared" ca="1" si="113"/>
        <v>0</v>
      </c>
      <c r="G401">
        <v>0</v>
      </c>
      <c r="H401">
        <v>0</v>
      </c>
      <c r="I401">
        <v>0</v>
      </c>
      <c r="J401" s="1">
        <f t="shared" ca="1" si="114"/>
        <v>1.5625000000000072E-8</v>
      </c>
      <c r="K401" s="1">
        <f t="shared" ca="1" si="115"/>
        <v>0</v>
      </c>
      <c r="L401" s="13">
        <f t="shared" ca="1" si="116"/>
        <v>0</v>
      </c>
      <c r="M401" s="7">
        <f t="shared" ca="1" si="117"/>
        <v>1500</v>
      </c>
      <c r="N401" s="26">
        <f t="shared" ca="1" si="118"/>
        <v>6</v>
      </c>
      <c r="O401" s="44">
        <f t="shared" ca="1" si="119"/>
        <v>4.1694581524927896</v>
      </c>
      <c r="P401" s="44">
        <f t="shared" ca="1" si="120"/>
        <v>41.694581524927891</v>
      </c>
      <c r="Q401" s="44">
        <f t="shared" ca="1" si="121"/>
        <v>41.694581524927891</v>
      </c>
      <c r="R401" s="44">
        <f t="shared" ca="1" si="122"/>
        <v>4.1694581524927887</v>
      </c>
      <c r="S401" s="44">
        <f t="shared" ca="1" si="123"/>
        <v>4.1694581524927896</v>
      </c>
      <c r="T401" s="4">
        <f t="shared" ca="1" si="124"/>
        <v>0</v>
      </c>
      <c r="U401" s="120">
        <f t="shared" ca="1" si="125"/>
        <v>2051.2072530862838</v>
      </c>
      <c r="V401" s="4">
        <f t="shared" ca="1" si="126"/>
        <v>0</v>
      </c>
      <c r="W401" s="13">
        <f t="shared" ca="1" si="127"/>
        <v>0</v>
      </c>
      <c r="X401" s="4">
        <f t="shared" ca="1" si="128"/>
        <v>0</v>
      </c>
      <c r="Y401" s="4">
        <f t="shared" si="129"/>
        <v>0</v>
      </c>
      <c r="Z401" s="13">
        <f t="shared" ca="1" si="130"/>
        <v>0</v>
      </c>
      <c r="AA401" s="4">
        <f t="shared" ca="1" si="131"/>
        <v>0</v>
      </c>
      <c r="AE401" s="4"/>
    </row>
    <row r="402" spans="1:31">
      <c r="A402">
        <v>3</v>
      </c>
      <c r="B402">
        <v>0</v>
      </c>
      <c r="C402">
        <f t="shared" ref="C402:C465" ca="1" si="132">MIN(8, 1+$B$10+$B$9+A402+B402)</f>
        <v>4</v>
      </c>
      <c r="D402">
        <f t="shared" ref="D402:D465" ca="1" si="133">C402-(1+$B$10)</f>
        <v>3</v>
      </c>
      <c r="E402">
        <f t="shared" ref="E402:E465" ca="1" si="134">MIN(A402, C402-(1+$B$10+$B$9))</f>
        <v>3</v>
      </c>
      <c r="F402" s="110">
        <f t="shared" ref="F402:F465" ca="1" si="135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0.03</v>
      </c>
      <c r="G402">
        <v>1</v>
      </c>
      <c r="H402">
        <v>1</v>
      </c>
      <c r="I402">
        <v>7</v>
      </c>
      <c r="J402" s="1">
        <f t="shared" ref="J402:J465" ca="1" si="136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37">F402*J402</f>
        <v>0</v>
      </c>
      <c r="L402" s="13">
        <f t="shared" ref="L402:L465" ca="1" si="138">MAX((G402+H402)*Set1WSTP + I402*$B$6, Set1SaveTP)</f>
        <v>595</v>
      </c>
      <c r="M402" s="7">
        <f t="shared" ref="M402:M465" ca="1" si="139">MAX(Set1MinTP-(L402+Set1Regain), 0)</f>
        <v>905</v>
      </c>
      <c r="N402" s="26">
        <f t="shared" ref="N402:N465" ca="1" si="140">CEILING(M402/Set1MeleeTP, 1)</f>
        <v>4</v>
      </c>
      <c r="O402" s="44">
        <f t="shared" ref="O402:O465" ca="1" si="141">VLOOKUP(N402,AvgRoundsSet1,2)</f>
        <v>2.8886114468927948</v>
      </c>
      <c r="P402" s="44">
        <f t="shared" ref="P402:P465" ca="1" si="142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28.886114468927953</v>
      </c>
      <c r="Q402" s="44">
        <f t="shared" ref="Q402:Q465" ca="1" si="143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28.886114468927953</v>
      </c>
      <c r="R402" s="44">
        <f t="shared" ref="R402:R465" ca="1" si="144">(P402+Q402)/20</f>
        <v>2.8886114468927953</v>
      </c>
      <c r="S402" s="44">
        <f t="shared" ref="S402:S465" ca="1" si="145">R402*Set1ConserveTP + O402*(1-Set1ConserveTP)</f>
        <v>2.8886114468927948</v>
      </c>
      <c r="T402" s="4">
        <f t="shared" ref="T402:T465" ca="1" si="146">K402*S402</f>
        <v>0</v>
      </c>
      <c r="U402" s="120">
        <f t="shared" ref="U402:U465" ca="1" si="147">MIN(L402+(S402+Set1OverTP)*AvgHitsPerRound1*Set1MeleeTP + Set1Regain + 10.5*Set1ConserveTP, 3000)</f>
        <v>2083.7564194948759</v>
      </c>
      <c r="V402" s="4">
        <f t="shared" ref="V402:V465" ca="1" si="148">U402*K402</f>
        <v>0</v>
      </c>
      <c r="W402" s="13">
        <f t="shared" ref="W402:W465" ca="1" si="149">G402*$K$10*((1-$L$10)*$L$14 + $L$10*$M$14*$M$10)*Set1WSDmg + H402*$K$13*((1-$L$13)*$L$15 + $L$13*$M$15*$M$11) + I402*$K$11*((1-$L$11)*$L$14 + $L$11*$M$14*$M$11) + E402*$K$12*$L$12*$M$10</f>
        <v>47995.641000000003</v>
      </c>
      <c r="X402" s="4">
        <f t="shared" ref="X402:X465" ca="1" si="150">K402*W402</f>
        <v>0</v>
      </c>
      <c r="Y402" s="4">
        <f t="shared" ref="Y402:Y465" si="151">IF($B$12=1, (VLOOKUP(C402, IF($B$13=10%,Souleater10,Souleater12), 6, FALSE) * $B$14), 0)</f>
        <v>0</v>
      </c>
      <c r="Z402" s="13">
        <f t="shared" ca="1" si="130"/>
        <v>47995.641000000003</v>
      </c>
      <c r="AA402" s="4">
        <f t="shared" ca="1" si="131"/>
        <v>0</v>
      </c>
      <c r="AE402" s="4"/>
    </row>
    <row r="403" spans="1:31">
      <c r="A403">
        <v>3</v>
      </c>
      <c r="B403">
        <v>0</v>
      </c>
      <c r="C403">
        <f t="shared" ca="1" si="132"/>
        <v>4</v>
      </c>
      <c r="D403">
        <f t="shared" ca="1" si="133"/>
        <v>3</v>
      </c>
      <c r="E403">
        <f t="shared" ca="1" si="134"/>
        <v>3</v>
      </c>
      <c r="F403" s="110">
        <f t="shared" ca="1" si="135"/>
        <v>0.03</v>
      </c>
      <c r="G403">
        <v>1</v>
      </c>
      <c r="H403">
        <v>1</v>
      </c>
      <c r="I403">
        <v>6</v>
      </c>
      <c r="J403" s="1">
        <f t="shared" ca="1" si="136"/>
        <v>0</v>
      </c>
      <c r="K403" s="1">
        <f t="shared" ca="1" si="137"/>
        <v>0</v>
      </c>
      <c r="L403" s="13">
        <f t="shared" ca="1" si="138"/>
        <v>576</v>
      </c>
      <c r="M403" s="7">
        <f t="shared" ca="1" si="139"/>
        <v>924</v>
      </c>
      <c r="N403" s="26">
        <f t="shared" ca="1" si="140"/>
        <v>4</v>
      </c>
      <c r="O403" s="44">
        <f t="shared" ca="1" si="141"/>
        <v>2.8886114468927948</v>
      </c>
      <c r="P403" s="44">
        <f t="shared" ca="1" si="142"/>
        <v>28.886114468927953</v>
      </c>
      <c r="Q403" s="44">
        <f t="shared" ca="1" si="143"/>
        <v>28.886114468927953</v>
      </c>
      <c r="R403" s="44">
        <f t="shared" ca="1" si="144"/>
        <v>2.8886114468927953</v>
      </c>
      <c r="S403" s="44">
        <f t="shared" ca="1" si="145"/>
        <v>2.8886114468927948</v>
      </c>
      <c r="T403" s="4">
        <f t="shared" ca="1" si="146"/>
        <v>0</v>
      </c>
      <c r="U403" s="120">
        <f t="shared" ca="1" si="147"/>
        <v>2064.7564194948759</v>
      </c>
      <c r="V403" s="4">
        <f t="shared" ca="1" si="148"/>
        <v>0</v>
      </c>
      <c r="W403" s="13">
        <f t="shared" ca="1" si="149"/>
        <v>45566.766000000003</v>
      </c>
      <c r="X403" s="4">
        <f t="shared" ca="1" si="150"/>
        <v>0</v>
      </c>
      <c r="Y403" s="4">
        <f t="shared" si="151"/>
        <v>0</v>
      </c>
      <c r="Z403" s="13">
        <f t="shared" ref="Z403:Z466" ca="1" si="152">Y403+W403</f>
        <v>45566.766000000003</v>
      </c>
      <c r="AA403" s="4">
        <f t="shared" ref="AA403:AA466" ca="1" si="153">Z403*K403</f>
        <v>0</v>
      </c>
      <c r="AE403" s="4"/>
    </row>
    <row r="404" spans="1:31">
      <c r="A404">
        <v>3</v>
      </c>
      <c r="B404">
        <v>0</v>
      </c>
      <c r="C404">
        <f t="shared" ca="1" si="132"/>
        <v>4</v>
      </c>
      <c r="D404">
        <f t="shared" ca="1" si="133"/>
        <v>3</v>
      </c>
      <c r="E404">
        <f t="shared" ca="1" si="134"/>
        <v>3</v>
      </c>
      <c r="F404" s="110">
        <f t="shared" ca="1" si="135"/>
        <v>0.03</v>
      </c>
      <c r="G404">
        <v>1</v>
      </c>
      <c r="H404">
        <v>1</v>
      </c>
      <c r="I404">
        <v>5</v>
      </c>
      <c r="J404" s="1">
        <f t="shared" ca="1" si="136"/>
        <v>0</v>
      </c>
      <c r="K404" s="1">
        <f t="shared" ca="1" si="137"/>
        <v>0</v>
      </c>
      <c r="L404" s="13">
        <f t="shared" ca="1" si="138"/>
        <v>557</v>
      </c>
      <c r="M404" s="7">
        <f t="shared" ca="1" si="139"/>
        <v>943</v>
      </c>
      <c r="N404" s="26">
        <f t="shared" ca="1" si="140"/>
        <v>4</v>
      </c>
      <c r="O404" s="44">
        <f t="shared" ca="1" si="141"/>
        <v>2.8886114468927948</v>
      </c>
      <c r="P404" s="44">
        <f t="shared" ca="1" si="142"/>
        <v>28.886114468927953</v>
      </c>
      <c r="Q404" s="44">
        <f t="shared" ca="1" si="143"/>
        <v>28.886114468927953</v>
      </c>
      <c r="R404" s="44">
        <f t="shared" ca="1" si="144"/>
        <v>2.8886114468927953</v>
      </c>
      <c r="S404" s="44">
        <f t="shared" ca="1" si="145"/>
        <v>2.8886114468927948</v>
      </c>
      <c r="T404" s="4">
        <f t="shared" ca="1" si="146"/>
        <v>0</v>
      </c>
      <c r="U404" s="120">
        <f t="shared" ca="1" si="147"/>
        <v>2045.7564194948757</v>
      </c>
      <c r="V404" s="4">
        <f t="shared" ca="1" si="148"/>
        <v>0</v>
      </c>
      <c r="W404" s="13">
        <f t="shared" ca="1" si="149"/>
        <v>43137.891000000003</v>
      </c>
      <c r="X404" s="4">
        <f t="shared" ca="1" si="150"/>
        <v>0</v>
      </c>
      <c r="Y404" s="4">
        <f t="shared" si="151"/>
        <v>0</v>
      </c>
      <c r="Z404" s="13">
        <f t="shared" ca="1" si="152"/>
        <v>43137.891000000003</v>
      </c>
      <c r="AA404" s="4">
        <f t="shared" ca="1" si="153"/>
        <v>0</v>
      </c>
      <c r="AE404" s="4"/>
    </row>
    <row r="405" spans="1:31">
      <c r="A405">
        <v>3</v>
      </c>
      <c r="B405">
        <v>0</v>
      </c>
      <c r="C405">
        <f t="shared" ca="1" si="132"/>
        <v>4</v>
      </c>
      <c r="D405">
        <f t="shared" ca="1" si="133"/>
        <v>3</v>
      </c>
      <c r="E405">
        <f t="shared" ca="1" si="134"/>
        <v>3</v>
      </c>
      <c r="F405" s="110">
        <f t="shared" ca="1" si="135"/>
        <v>0.03</v>
      </c>
      <c r="G405">
        <v>1</v>
      </c>
      <c r="H405">
        <v>1</v>
      </c>
      <c r="I405">
        <v>4</v>
      </c>
      <c r="J405" s="1">
        <f t="shared" ca="1" si="136"/>
        <v>0</v>
      </c>
      <c r="K405" s="1">
        <f t="shared" ca="1" si="137"/>
        <v>0</v>
      </c>
      <c r="L405" s="13">
        <f t="shared" ca="1" si="138"/>
        <v>538</v>
      </c>
      <c r="M405" s="7">
        <f t="shared" ca="1" si="139"/>
        <v>962</v>
      </c>
      <c r="N405" s="26">
        <f t="shared" ca="1" si="140"/>
        <v>4</v>
      </c>
      <c r="O405" s="44">
        <f t="shared" ca="1" si="141"/>
        <v>2.8886114468927948</v>
      </c>
      <c r="P405" s="44">
        <f t="shared" ca="1" si="142"/>
        <v>28.886114468927953</v>
      </c>
      <c r="Q405" s="44">
        <f t="shared" ca="1" si="143"/>
        <v>28.886114468927953</v>
      </c>
      <c r="R405" s="44">
        <f t="shared" ca="1" si="144"/>
        <v>2.8886114468927953</v>
      </c>
      <c r="S405" s="44">
        <f t="shared" ca="1" si="145"/>
        <v>2.8886114468927948</v>
      </c>
      <c r="T405" s="4">
        <f t="shared" ca="1" si="146"/>
        <v>0</v>
      </c>
      <c r="U405" s="120">
        <f t="shared" ca="1" si="147"/>
        <v>2026.7564194948757</v>
      </c>
      <c r="V405" s="4">
        <f t="shared" ca="1" si="148"/>
        <v>0</v>
      </c>
      <c r="W405" s="13">
        <f t="shared" ca="1" si="149"/>
        <v>40709.016000000003</v>
      </c>
      <c r="X405" s="4">
        <f t="shared" ca="1" si="150"/>
        <v>0</v>
      </c>
      <c r="Y405" s="4">
        <f t="shared" si="151"/>
        <v>0</v>
      </c>
      <c r="Z405" s="13">
        <f t="shared" ca="1" si="152"/>
        <v>40709.016000000003</v>
      </c>
      <c r="AA405" s="4">
        <f t="shared" ca="1" si="153"/>
        <v>0</v>
      </c>
      <c r="AE405" s="4"/>
    </row>
    <row r="406" spans="1:31">
      <c r="A406">
        <v>3</v>
      </c>
      <c r="B406">
        <v>0</v>
      </c>
      <c r="C406">
        <f t="shared" ca="1" si="132"/>
        <v>4</v>
      </c>
      <c r="D406">
        <f t="shared" ca="1" si="133"/>
        <v>3</v>
      </c>
      <c r="E406">
        <f t="shared" ca="1" si="134"/>
        <v>3</v>
      </c>
      <c r="F406" s="110">
        <f t="shared" ca="1" si="135"/>
        <v>0.03</v>
      </c>
      <c r="G406">
        <v>1</v>
      </c>
      <c r="H406">
        <v>1</v>
      </c>
      <c r="I406">
        <v>3</v>
      </c>
      <c r="J406" s="1">
        <f t="shared" ca="1" si="136"/>
        <v>0</v>
      </c>
      <c r="K406" s="1">
        <f t="shared" ca="1" si="137"/>
        <v>0</v>
      </c>
      <c r="L406" s="13">
        <f t="shared" ca="1" si="138"/>
        <v>519</v>
      </c>
      <c r="M406" s="7">
        <f t="shared" ca="1" si="139"/>
        <v>981</v>
      </c>
      <c r="N406" s="26">
        <f t="shared" ca="1" si="140"/>
        <v>4</v>
      </c>
      <c r="O406" s="44">
        <f t="shared" ca="1" si="141"/>
        <v>2.8886114468927948</v>
      </c>
      <c r="P406" s="44">
        <f t="shared" ca="1" si="142"/>
        <v>28.886114468927953</v>
      </c>
      <c r="Q406" s="44">
        <f t="shared" ca="1" si="143"/>
        <v>28.886114468927953</v>
      </c>
      <c r="R406" s="44">
        <f t="shared" ca="1" si="144"/>
        <v>2.8886114468927953</v>
      </c>
      <c r="S406" s="44">
        <f t="shared" ca="1" si="145"/>
        <v>2.8886114468927948</v>
      </c>
      <c r="T406" s="4">
        <f t="shared" ca="1" si="146"/>
        <v>0</v>
      </c>
      <c r="U406" s="120">
        <f t="shared" ca="1" si="147"/>
        <v>2007.7564194948757</v>
      </c>
      <c r="V406" s="4">
        <f t="shared" ca="1" si="148"/>
        <v>0</v>
      </c>
      <c r="W406" s="13">
        <f t="shared" ca="1" si="149"/>
        <v>38280.141000000003</v>
      </c>
      <c r="X406" s="4">
        <f t="shared" ca="1" si="150"/>
        <v>0</v>
      </c>
      <c r="Y406" s="4">
        <f t="shared" si="151"/>
        <v>0</v>
      </c>
      <c r="Z406" s="13">
        <f t="shared" ca="1" si="152"/>
        <v>38280.141000000003</v>
      </c>
      <c r="AA406" s="4">
        <f t="shared" ca="1" si="153"/>
        <v>0</v>
      </c>
      <c r="AE406" s="4"/>
    </row>
    <row r="407" spans="1:31">
      <c r="A407">
        <v>3</v>
      </c>
      <c r="B407">
        <v>0</v>
      </c>
      <c r="C407">
        <f t="shared" ca="1" si="132"/>
        <v>4</v>
      </c>
      <c r="D407">
        <f t="shared" ca="1" si="133"/>
        <v>3</v>
      </c>
      <c r="E407">
        <f t="shared" ca="1" si="134"/>
        <v>3</v>
      </c>
      <c r="F407" s="110">
        <f t="shared" ca="1" si="135"/>
        <v>0.03</v>
      </c>
      <c r="G407">
        <v>1</v>
      </c>
      <c r="H407">
        <v>1</v>
      </c>
      <c r="I407">
        <v>2</v>
      </c>
      <c r="J407" s="1">
        <f t="shared" ca="1" si="136"/>
        <v>0</v>
      </c>
      <c r="K407" s="1">
        <f t="shared" ca="1" si="137"/>
        <v>0</v>
      </c>
      <c r="L407" s="13">
        <f t="shared" ca="1" si="138"/>
        <v>500</v>
      </c>
      <c r="M407" s="7">
        <f t="shared" ca="1" si="139"/>
        <v>1000</v>
      </c>
      <c r="N407" s="26">
        <f t="shared" ca="1" si="140"/>
        <v>4</v>
      </c>
      <c r="O407" s="44">
        <f t="shared" ca="1" si="141"/>
        <v>2.8886114468927948</v>
      </c>
      <c r="P407" s="44">
        <f t="shared" ca="1" si="142"/>
        <v>28.886114468927953</v>
      </c>
      <c r="Q407" s="44">
        <f t="shared" ca="1" si="143"/>
        <v>28.886114468927953</v>
      </c>
      <c r="R407" s="44">
        <f t="shared" ca="1" si="144"/>
        <v>2.8886114468927953</v>
      </c>
      <c r="S407" s="44">
        <f t="shared" ca="1" si="145"/>
        <v>2.8886114468927948</v>
      </c>
      <c r="T407" s="4">
        <f t="shared" ca="1" si="146"/>
        <v>0</v>
      </c>
      <c r="U407" s="120">
        <f t="shared" ca="1" si="147"/>
        <v>1988.7564194948757</v>
      </c>
      <c r="V407" s="4">
        <f t="shared" ca="1" si="148"/>
        <v>0</v>
      </c>
      <c r="W407" s="13">
        <f t="shared" ca="1" si="149"/>
        <v>35851.266000000003</v>
      </c>
      <c r="X407" s="4">
        <f t="shared" ca="1" si="150"/>
        <v>0</v>
      </c>
      <c r="Y407" s="4">
        <f t="shared" si="151"/>
        <v>0</v>
      </c>
      <c r="Z407" s="13">
        <f t="shared" ca="1" si="152"/>
        <v>35851.266000000003</v>
      </c>
      <c r="AA407" s="4">
        <f t="shared" ca="1" si="153"/>
        <v>0</v>
      </c>
      <c r="AE407" s="4"/>
    </row>
    <row r="408" spans="1:31">
      <c r="A408">
        <v>3</v>
      </c>
      <c r="B408">
        <v>0</v>
      </c>
      <c r="C408">
        <f t="shared" ca="1" si="132"/>
        <v>4</v>
      </c>
      <c r="D408">
        <f t="shared" ca="1" si="133"/>
        <v>3</v>
      </c>
      <c r="E408">
        <f t="shared" ca="1" si="134"/>
        <v>3</v>
      </c>
      <c r="F408" s="110">
        <f t="shared" ca="1" si="135"/>
        <v>0.03</v>
      </c>
      <c r="G408">
        <v>1</v>
      </c>
      <c r="H408">
        <v>1</v>
      </c>
      <c r="I408">
        <v>1</v>
      </c>
      <c r="J408" s="1">
        <f t="shared" ca="1" si="136"/>
        <v>0</v>
      </c>
      <c r="K408" s="1">
        <f t="shared" ca="1" si="137"/>
        <v>0</v>
      </c>
      <c r="L408" s="13">
        <f t="shared" ca="1" si="138"/>
        <v>481</v>
      </c>
      <c r="M408" s="7">
        <f t="shared" ca="1" si="139"/>
        <v>1019</v>
      </c>
      <c r="N408" s="26">
        <f t="shared" ca="1" si="140"/>
        <v>4</v>
      </c>
      <c r="O408" s="44">
        <f t="shared" ca="1" si="141"/>
        <v>2.8886114468927948</v>
      </c>
      <c r="P408" s="44">
        <f t="shared" ca="1" si="142"/>
        <v>28.886114468927953</v>
      </c>
      <c r="Q408" s="44">
        <f t="shared" ca="1" si="143"/>
        <v>28.886114468927953</v>
      </c>
      <c r="R408" s="44">
        <f t="shared" ca="1" si="144"/>
        <v>2.8886114468927953</v>
      </c>
      <c r="S408" s="44">
        <f t="shared" ca="1" si="145"/>
        <v>2.8886114468927948</v>
      </c>
      <c r="T408" s="4">
        <f t="shared" ca="1" si="146"/>
        <v>0</v>
      </c>
      <c r="U408" s="120">
        <f t="shared" ca="1" si="147"/>
        <v>1969.7564194948757</v>
      </c>
      <c r="V408" s="4">
        <f t="shared" ca="1" si="148"/>
        <v>0</v>
      </c>
      <c r="W408" s="13">
        <f t="shared" ca="1" si="149"/>
        <v>33422.391000000003</v>
      </c>
      <c r="X408" s="4">
        <f t="shared" ca="1" si="150"/>
        <v>0</v>
      </c>
      <c r="Y408" s="4">
        <f t="shared" si="151"/>
        <v>0</v>
      </c>
      <c r="Z408" s="13">
        <f t="shared" ca="1" si="152"/>
        <v>33422.391000000003</v>
      </c>
      <c r="AA408" s="4">
        <f t="shared" ca="1" si="153"/>
        <v>0</v>
      </c>
      <c r="AE408" s="4"/>
    </row>
    <row r="409" spans="1:31">
      <c r="A409">
        <v>3</v>
      </c>
      <c r="B409">
        <v>0</v>
      </c>
      <c r="C409">
        <f t="shared" ca="1" si="132"/>
        <v>4</v>
      </c>
      <c r="D409">
        <f t="shared" ca="1" si="133"/>
        <v>3</v>
      </c>
      <c r="E409">
        <f t="shared" ca="1" si="134"/>
        <v>3</v>
      </c>
      <c r="F409" s="110">
        <f t="shared" ca="1" si="135"/>
        <v>0.03</v>
      </c>
      <c r="G409">
        <v>1</v>
      </c>
      <c r="H409">
        <v>1</v>
      </c>
      <c r="I409">
        <v>0</v>
      </c>
      <c r="J409" s="1">
        <f t="shared" ca="1" si="136"/>
        <v>0</v>
      </c>
      <c r="K409" s="1">
        <f t="shared" ca="1" si="137"/>
        <v>0</v>
      </c>
      <c r="L409" s="13">
        <f t="shared" ca="1" si="138"/>
        <v>462</v>
      </c>
      <c r="M409" s="7">
        <f t="shared" ca="1" si="139"/>
        <v>1038</v>
      </c>
      <c r="N409" s="26">
        <f t="shared" ca="1" si="140"/>
        <v>4</v>
      </c>
      <c r="O409" s="44">
        <f t="shared" ca="1" si="141"/>
        <v>2.8886114468927948</v>
      </c>
      <c r="P409" s="44">
        <f t="shared" ca="1" si="142"/>
        <v>28.886114468927953</v>
      </c>
      <c r="Q409" s="44">
        <f t="shared" ca="1" si="143"/>
        <v>28.886114468927953</v>
      </c>
      <c r="R409" s="44">
        <f t="shared" ca="1" si="144"/>
        <v>2.8886114468927953</v>
      </c>
      <c r="S409" s="44">
        <f t="shared" ca="1" si="145"/>
        <v>2.8886114468927948</v>
      </c>
      <c r="T409" s="4">
        <f t="shared" ca="1" si="146"/>
        <v>0</v>
      </c>
      <c r="U409" s="120">
        <f t="shared" ca="1" si="147"/>
        <v>1950.7564194948757</v>
      </c>
      <c r="V409" s="4">
        <f t="shared" ca="1" si="148"/>
        <v>0</v>
      </c>
      <c r="W409" s="13">
        <f t="shared" ca="1" si="149"/>
        <v>30993.516000000003</v>
      </c>
      <c r="X409" s="4">
        <f t="shared" ca="1" si="150"/>
        <v>0</v>
      </c>
      <c r="Y409" s="4">
        <f t="shared" si="151"/>
        <v>0</v>
      </c>
      <c r="Z409" s="13">
        <f t="shared" ca="1" si="152"/>
        <v>30993.516000000003</v>
      </c>
      <c r="AA409" s="4">
        <f t="shared" ca="1" si="153"/>
        <v>0</v>
      </c>
      <c r="AE409" s="4"/>
    </row>
    <row r="410" spans="1:31">
      <c r="A410">
        <v>3</v>
      </c>
      <c r="B410">
        <v>0</v>
      </c>
      <c r="C410">
        <f t="shared" ca="1" si="132"/>
        <v>4</v>
      </c>
      <c r="D410">
        <f t="shared" ca="1" si="133"/>
        <v>3</v>
      </c>
      <c r="E410">
        <f t="shared" ca="1" si="134"/>
        <v>3</v>
      </c>
      <c r="F410" s="110">
        <f t="shared" ca="1" si="135"/>
        <v>0.03</v>
      </c>
      <c r="G410">
        <v>1</v>
      </c>
      <c r="H410">
        <v>0</v>
      </c>
      <c r="I410">
        <v>7</v>
      </c>
      <c r="J410" s="1">
        <f t="shared" ca="1" si="136"/>
        <v>0</v>
      </c>
      <c r="K410" s="1">
        <f t="shared" ca="1" si="137"/>
        <v>0</v>
      </c>
      <c r="L410" s="13">
        <f t="shared" ca="1" si="138"/>
        <v>364</v>
      </c>
      <c r="M410" s="7">
        <f t="shared" ca="1" si="139"/>
        <v>1136</v>
      </c>
      <c r="N410" s="26">
        <f t="shared" ca="1" si="140"/>
        <v>5</v>
      </c>
      <c r="O410" s="44">
        <f t="shared" ca="1" si="141"/>
        <v>3.5346387789404914</v>
      </c>
      <c r="P410" s="44">
        <f t="shared" ca="1" si="142"/>
        <v>35.346387789404908</v>
      </c>
      <c r="Q410" s="44">
        <f t="shared" ca="1" si="143"/>
        <v>34.700360457357213</v>
      </c>
      <c r="R410" s="44">
        <f t="shared" ca="1" si="144"/>
        <v>3.5023374123381061</v>
      </c>
      <c r="S410" s="44">
        <f t="shared" ca="1" si="145"/>
        <v>3.532377683278324</v>
      </c>
      <c r="T410" s="4">
        <f t="shared" ca="1" si="146"/>
        <v>0</v>
      </c>
      <c r="U410" s="120">
        <f t="shared" ca="1" si="147"/>
        <v>2135.4497774977995</v>
      </c>
      <c r="V410" s="4">
        <f t="shared" ca="1" si="148"/>
        <v>0</v>
      </c>
      <c r="W410" s="13">
        <f t="shared" ca="1" si="149"/>
        <v>47995.641000000003</v>
      </c>
      <c r="X410" s="4">
        <f t="shared" ca="1" si="150"/>
        <v>0</v>
      </c>
      <c r="Y410" s="4">
        <f t="shared" si="151"/>
        <v>0</v>
      </c>
      <c r="Z410" s="13">
        <f t="shared" ca="1" si="152"/>
        <v>47995.641000000003</v>
      </c>
      <c r="AA410" s="4">
        <f t="shared" ca="1" si="153"/>
        <v>0</v>
      </c>
      <c r="AE410" s="4"/>
    </row>
    <row r="411" spans="1:31">
      <c r="A411">
        <v>3</v>
      </c>
      <c r="B411">
        <v>0</v>
      </c>
      <c r="C411">
        <f t="shared" ca="1" si="132"/>
        <v>4</v>
      </c>
      <c r="D411">
        <f t="shared" ca="1" si="133"/>
        <v>3</v>
      </c>
      <c r="E411">
        <f t="shared" ca="1" si="134"/>
        <v>3</v>
      </c>
      <c r="F411" s="110">
        <f t="shared" ca="1" si="135"/>
        <v>0.03</v>
      </c>
      <c r="G411">
        <v>1</v>
      </c>
      <c r="H411">
        <v>0</v>
      </c>
      <c r="I411">
        <v>6</v>
      </c>
      <c r="J411" s="1">
        <f t="shared" ca="1" si="136"/>
        <v>0</v>
      </c>
      <c r="K411" s="1">
        <f t="shared" ca="1" si="137"/>
        <v>0</v>
      </c>
      <c r="L411" s="13">
        <f t="shared" ca="1" si="138"/>
        <v>345</v>
      </c>
      <c r="M411" s="7">
        <f t="shared" ca="1" si="139"/>
        <v>1155</v>
      </c>
      <c r="N411" s="26">
        <f t="shared" ca="1" si="140"/>
        <v>5</v>
      </c>
      <c r="O411" s="44">
        <f t="shared" ca="1" si="141"/>
        <v>3.5346387789404914</v>
      </c>
      <c r="P411" s="44">
        <f t="shared" ca="1" si="142"/>
        <v>35.346387789404908</v>
      </c>
      <c r="Q411" s="44">
        <f t="shared" ca="1" si="143"/>
        <v>35.346387789404908</v>
      </c>
      <c r="R411" s="44">
        <f t="shared" ca="1" si="144"/>
        <v>3.5346387789404909</v>
      </c>
      <c r="S411" s="44">
        <f t="shared" ca="1" si="145"/>
        <v>3.5346387789404914</v>
      </c>
      <c r="T411" s="4">
        <f t="shared" ca="1" si="146"/>
        <v>0</v>
      </c>
      <c r="U411" s="120">
        <f t="shared" ca="1" si="147"/>
        <v>2117.4426794074939</v>
      </c>
      <c r="V411" s="4">
        <f t="shared" ca="1" si="148"/>
        <v>0</v>
      </c>
      <c r="W411" s="13">
        <f t="shared" ca="1" si="149"/>
        <v>45566.766000000003</v>
      </c>
      <c r="X411" s="4">
        <f t="shared" ca="1" si="150"/>
        <v>0</v>
      </c>
      <c r="Y411" s="4">
        <f t="shared" si="151"/>
        <v>0</v>
      </c>
      <c r="Z411" s="13">
        <f t="shared" ca="1" si="152"/>
        <v>45566.766000000003</v>
      </c>
      <c r="AA411" s="4">
        <f t="shared" ca="1" si="153"/>
        <v>0</v>
      </c>
      <c r="AE411" s="4"/>
    </row>
    <row r="412" spans="1:31">
      <c r="A412">
        <v>3</v>
      </c>
      <c r="B412">
        <v>0</v>
      </c>
      <c r="C412">
        <f t="shared" ca="1" si="132"/>
        <v>4</v>
      </c>
      <c r="D412">
        <f t="shared" ca="1" si="133"/>
        <v>3</v>
      </c>
      <c r="E412">
        <f t="shared" ca="1" si="134"/>
        <v>3</v>
      </c>
      <c r="F412" s="110">
        <f t="shared" ca="1" si="135"/>
        <v>0.03</v>
      </c>
      <c r="G412">
        <v>1</v>
      </c>
      <c r="H412">
        <v>0</v>
      </c>
      <c r="I412">
        <v>5</v>
      </c>
      <c r="J412" s="1">
        <f t="shared" ca="1" si="136"/>
        <v>0</v>
      </c>
      <c r="K412" s="1">
        <f t="shared" ca="1" si="137"/>
        <v>0</v>
      </c>
      <c r="L412" s="13">
        <f t="shared" ca="1" si="138"/>
        <v>326</v>
      </c>
      <c r="M412" s="7">
        <f t="shared" ca="1" si="139"/>
        <v>1174</v>
      </c>
      <c r="N412" s="26">
        <f t="shared" ca="1" si="140"/>
        <v>5</v>
      </c>
      <c r="O412" s="44">
        <f t="shared" ca="1" si="141"/>
        <v>3.5346387789404914</v>
      </c>
      <c r="P412" s="44">
        <f t="shared" ca="1" si="142"/>
        <v>35.346387789404908</v>
      </c>
      <c r="Q412" s="44">
        <f t="shared" ca="1" si="143"/>
        <v>35.346387789404908</v>
      </c>
      <c r="R412" s="44">
        <f t="shared" ca="1" si="144"/>
        <v>3.5346387789404909</v>
      </c>
      <c r="S412" s="44">
        <f t="shared" ca="1" si="145"/>
        <v>3.5346387789404914</v>
      </c>
      <c r="T412" s="4">
        <f t="shared" ca="1" si="146"/>
        <v>0</v>
      </c>
      <c r="U412" s="120">
        <f t="shared" ca="1" si="147"/>
        <v>2098.4426794074939</v>
      </c>
      <c r="V412" s="4">
        <f t="shared" ca="1" si="148"/>
        <v>0</v>
      </c>
      <c r="W412" s="13">
        <f t="shared" ca="1" si="149"/>
        <v>43137.891000000003</v>
      </c>
      <c r="X412" s="4">
        <f t="shared" ca="1" si="150"/>
        <v>0</v>
      </c>
      <c r="Y412" s="4">
        <f t="shared" si="151"/>
        <v>0</v>
      </c>
      <c r="Z412" s="13">
        <f t="shared" ca="1" si="152"/>
        <v>43137.891000000003</v>
      </c>
      <c r="AA412" s="4">
        <f t="shared" ca="1" si="153"/>
        <v>0</v>
      </c>
      <c r="AE412" s="4"/>
    </row>
    <row r="413" spans="1:31">
      <c r="A413">
        <v>3</v>
      </c>
      <c r="B413">
        <v>0</v>
      </c>
      <c r="C413">
        <f t="shared" ca="1" si="132"/>
        <v>4</v>
      </c>
      <c r="D413">
        <f t="shared" ca="1" si="133"/>
        <v>3</v>
      </c>
      <c r="E413">
        <f t="shared" ca="1" si="134"/>
        <v>3</v>
      </c>
      <c r="F413" s="110">
        <f t="shared" ca="1" si="135"/>
        <v>0.03</v>
      </c>
      <c r="G413">
        <v>1</v>
      </c>
      <c r="H413">
        <v>0</v>
      </c>
      <c r="I413">
        <v>4</v>
      </c>
      <c r="J413" s="1">
        <f t="shared" ca="1" si="136"/>
        <v>0</v>
      </c>
      <c r="K413" s="1">
        <f t="shared" ca="1" si="137"/>
        <v>0</v>
      </c>
      <c r="L413" s="13">
        <f t="shared" ca="1" si="138"/>
        <v>307</v>
      </c>
      <c r="M413" s="7">
        <f t="shared" ca="1" si="139"/>
        <v>1193</v>
      </c>
      <c r="N413" s="26">
        <f t="shared" ca="1" si="140"/>
        <v>5</v>
      </c>
      <c r="O413" s="44">
        <f t="shared" ca="1" si="141"/>
        <v>3.5346387789404914</v>
      </c>
      <c r="P413" s="44">
        <f t="shared" ca="1" si="142"/>
        <v>35.346387789404908</v>
      </c>
      <c r="Q413" s="44">
        <f t="shared" ca="1" si="143"/>
        <v>35.346387789404908</v>
      </c>
      <c r="R413" s="44">
        <f t="shared" ca="1" si="144"/>
        <v>3.5346387789404909</v>
      </c>
      <c r="S413" s="44">
        <f t="shared" ca="1" si="145"/>
        <v>3.5346387789404914</v>
      </c>
      <c r="T413" s="4">
        <f t="shared" ca="1" si="146"/>
        <v>0</v>
      </c>
      <c r="U413" s="120">
        <f t="shared" ca="1" si="147"/>
        <v>2079.4426794074939</v>
      </c>
      <c r="V413" s="4">
        <f t="shared" ca="1" si="148"/>
        <v>0</v>
      </c>
      <c r="W413" s="13">
        <f t="shared" ca="1" si="149"/>
        <v>40709.016000000003</v>
      </c>
      <c r="X413" s="4">
        <f t="shared" ca="1" si="150"/>
        <v>0</v>
      </c>
      <c r="Y413" s="4">
        <f t="shared" si="151"/>
        <v>0</v>
      </c>
      <c r="Z413" s="13">
        <f t="shared" ca="1" si="152"/>
        <v>40709.016000000003</v>
      </c>
      <c r="AA413" s="4">
        <f t="shared" ca="1" si="153"/>
        <v>0</v>
      </c>
      <c r="AE413" s="4"/>
    </row>
    <row r="414" spans="1:31">
      <c r="A414">
        <v>3</v>
      </c>
      <c r="B414">
        <v>0</v>
      </c>
      <c r="C414">
        <f t="shared" ca="1" si="132"/>
        <v>4</v>
      </c>
      <c r="D414">
        <f t="shared" ca="1" si="133"/>
        <v>3</v>
      </c>
      <c r="E414">
        <f t="shared" ca="1" si="134"/>
        <v>3</v>
      </c>
      <c r="F414" s="110">
        <f t="shared" ca="1" si="135"/>
        <v>0.03</v>
      </c>
      <c r="G414">
        <v>1</v>
      </c>
      <c r="H414">
        <v>0</v>
      </c>
      <c r="I414">
        <v>3</v>
      </c>
      <c r="J414" s="1">
        <f t="shared" ca="1" si="136"/>
        <v>0.81450624999999988</v>
      </c>
      <c r="K414" s="1">
        <f t="shared" ca="1" si="137"/>
        <v>2.4435187499999997E-2</v>
      </c>
      <c r="L414" s="13">
        <f t="shared" ca="1" si="138"/>
        <v>288</v>
      </c>
      <c r="M414" s="7">
        <f t="shared" ca="1" si="139"/>
        <v>1212</v>
      </c>
      <c r="N414" s="26">
        <f t="shared" ca="1" si="140"/>
        <v>5</v>
      </c>
      <c r="O414" s="44">
        <f t="shared" ca="1" si="141"/>
        <v>3.5346387789404914</v>
      </c>
      <c r="P414" s="44">
        <f t="shared" ca="1" si="142"/>
        <v>35.346387789404908</v>
      </c>
      <c r="Q414" s="44">
        <f t="shared" ca="1" si="143"/>
        <v>35.346387789404908</v>
      </c>
      <c r="R414" s="44">
        <f t="shared" ca="1" si="144"/>
        <v>3.5346387789404909</v>
      </c>
      <c r="S414" s="44">
        <f t="shared" ca="1" si="145"/>
        <v>3.5346387789404914</v>
      </c>
      <c r="T414" s="4">
        <f t="shared" ca="1" si="146"/>
        <v>8.636956130818195E-2</v>
      </c>
      <c r="U414" s="120">
        <f t="shared" ca="1" si="147"/>
        <v>2060.4426794074939</v>
      </c>
      <c r="V414" s="4">
        <f t="shared" ca="1" si="148"/>
        <v>50.347303204324497</v>
      </c>
      <c r="W414" s="13">
        <f t="shared" ca="1" si="149"/>
        <v>38280.141000000003</v>
      </c>
      <c r="X414" s="4">
        <f t="shared" ca="1" si="150"/>
        <v>935.38242286143748</v>
      </c>
      <c r="Y414" s="4">
        <f t="shared" si="151"/>
        <v>0</v>
      </c>
      <c r="Z414" s="13">
        <f t="shared" ca="1" si="152"/>
        <v>38280.141000000003</v>
      </c>
      <c r="AA414" s="4">
        <f t="shared" ca="1" si="153"/>
        <v>935.38242286143748</v>
      </c>
      <c r="AE414" s="4"/>
    </row>
    <row r="415" spans="1:31">
      <c r="A415">
        <v>3</v>
      </c>
      <c r="B415">
        <v>0</v>
      </c>
      <c r="C415">
        <f t="shared" ca="1" si="132"/>
        <v>4</v>
      </c>
      <c r="D415">
        <f t="shared" ca="1" si="133"/>
        <v>3</v>
      </c>
      <c r="E415">
        <f t="shared" ca="1" si="134"/>
        <v>3</v>
      </c>
      <c r="F415" s="110">
        <f t="shared" ca="1" si="135"/>
        <v>0.03</v>
      </c>
      <c r="G415">
        <v>1</v>
      </c>
      <c r="H415">
        <v>0</v>
      </c>
      <c r="I415">
        <v>2</v>
      </c>
      <c r="J415" s="1">
        <f t="shared" ca="1" si="136"/>
        <v>0.12860625000000012</v>
      </c>
      <c r="K415" s="1">
        <f t="shared" ca="1" si="137"/>
        <v>3.8581875000000035E-3</v>
      </c>
      <c r="L415" s="13">
        <f t="shared" ca="1" si="138"/>
        <v>269</v>
      </c>
      <c r="M415" s="7">
        <f t="shared" ca="1" si="139"/>
        <v>1231</v>
      </c>
      <c r="N415" s="26">
        <f t="shared" ca="1" si="140"/>
        <v>5</v>
      </c>
      <c r="O415" s="44">
        <f t="shared" ca="1" si="141"/>
        <v>3.5346387789404914</v>
      </c>
      <c r="P415" s="44">
        <f t="shared" ca="1" si="142"/>
        <v>35.346387789404908</v>
      </c>
      <c r="Q415" s="44">
        <f t="shared" ca="1" si="143"/>
        <v>35.346387789404908</v>
      </c>
      <c r="R415" s="44">
        <f t="shared" ca="1" si="144"/>
        <v>3.5346387789404909</v>
      </c>
      <c r="S415" s="44">
        <f t="shared" ca="1" si="145"/>
        <v>3.5346387789404914</v>
      </c>
      <c r="T415" s="4">
        <f t="shared" ca="1" si="146"/>
        <v>1.363729915392348E-2</v>
      </c>
      <c r="U415" s="120">
        <f t="shared" ca="1" si="147"/>
        <v>2041.4426794074936</v>
      </c>
      <c r="V415" s="4">
        <f t="shared" ca="1" si="148"/>
        <v>7.8762686276565068</v>
      </c>
      <c r="W415" s="13">
        <f t="shared" ca="1" si="149"/>
        <v>35851.266000000003</v>
      </c>
      <c r="X415" s="4">
        <f t="shared" ca="1" si="150"/>
        <v>138.32090634037513</v>
      </c>
      <c r="Y415" s="4">
        <f t="shared" si="151"/>
        <v>0</v>
      </c>
      <c r="Z415" s="13">
        <f t="shared" ca="1" si="152"/>
        <v>35851.266000000003</v>
      </c>
      <c r="AA415" s="4">
        <f t="shared" ca="1" si="153"/>
        <v>138.32090634037513</v>
      </c>
      <c r="AE415" s="4"/>
    </row>
    <row r="416" spans="1:31">
      <c r="A416">
        <v>3</v>
      </c>
      <c r="B416">
        <v>0</v>
      </c>
      <c r="C416">
        <f t="shared" ca="1" si="132"/>
        <v>4</v>
      </c>
      <c r="D416">
        <f t="shared" ca="1" si="133"/>
        <v>3</v>
      </c>
      <c r="E416">
        <f t="shared" ca="1" si="134"/>
        <v>3</v>
      </c>
      <c r="F416" s="110">
        <f t="shared" ca="1" si="135"/>
        <v>0.03</v>
      </c>
      <c r="G416">
        <v>1</v>
      </c>
      <c r="H416">
        <v>0</v>
      </c>
      <c r="I416">
        <v>1</v>
      </c>
      <c r="J416" s="1">
        <f t="shared" ca="1" si="136"/>
        <v>6.7687500000000109E-3</v>
      </c>
      <c r="K416" s="1">
        <f t="shared" ca="1" si="137"/>
        <v>2.0306250000000031E-4</v>
      </c>
      <c r="L416" s="13">
        <f t="shared" ca="1" si="138"/>
        <v>250</v>
      </c>
      <c r="M416" s="7">
        <f t="shared" ca="1" si="139"/>
        <v>1250</v>
      </c>
      <c r="N416" s="26">
        <f t="shared" ca="1" si="140"/>
        <v>5</v>
      </c>
      <c r="O416" s="44">
        <f t="shared" ca="1" si="141"/>
        <v>3.5346387789404914</v>
      </c>
      <c r="P416" s="44">
        <f t="shared" ca="1" si="142"/>
        <v>35.346387789404908</v>
      </c>
      <c r="Q416" s="44">
        <f t="shared" ca="1" si="143"/>
        <v>35.346387789404908</v>
      </c>
      <c r="R416" s="44">
        <f t="shared" ca="1" si="144"/>
        <v>3.5346387789404909</v>
      </c>
      <c r="S416" s="44">
        <f t="shared" ca="1" si="145"/>
        <v>3.5346387789404914</v>
      </c>
      <c r="T416" s="4">
        <f t="shared" ca="1" si="146"/>
        <v>7.177525870486046E-4</v>
      </c>
      <c r="U416" s="120">
        <f t="shared" ca="1" si="147"/>
        <v>2022.4426794074936</v>
      </c>
      <c r="V416" s="4">
        <f t="shared" ca="1" si="148"/>
        <v>0.41068226658718482</v>
      </c>
      <c r="W416" s="13">
        <f t="shared" ca="1" si="149"/>
        <v>33422.391000000003</v>
      </c>
      <c r="X416" s="4">
        <f t="shared" ca="1" si="150"/>
        <v>6.7868342724375106</v>
      </c>
      <c r="Y416" s="4">
        <f t="shared" si="151"/>
        <v>0</v>
      </c>
      <c r="Z416" s="13">
        <f t="shared" ca="1" si="152"/>
        <v>33422.391000000003</v>
      </c>
      <c r="AA416" s="4">
        <f t="shared" ca="1" si="153"/>
        <v>6.7868342724375106</v>
      </c>
      <c r="AE416" s="4"/>
    </row>
    <row r="417" spans="1:31">
      <c r="A417">
        <v>3</v>
      </c>
      <c r="B417">
        <v>0</v>
      </c>
      <c r="C417">
        <f t="shared" ca="1" si="132"/>
        <v>4</v>
      </c>
      <c r="D417">
        <f t="shared" ca="1" si="133"/>
        <v>3</v>
      </c>
      <c r="E417">
        <f t="shared" ca="1" si="134"/>
        <v>3</v>
      </c>
      <c r="F417" s="110">
        <f t="shared" ca="1" si="135"/>
        <v>0.03</v>
      </c>
      <c r="G417">
        <v>1</v>
      </c>
      <c r="H417">
        <v>0</v>
      </c>
      <c r="I417">
        <v>0</v>
      </c>
      <c r="J417" s="1">
        <f t="shared" ca="1" si="136"/>
        <v>1.1875000000000031E-4</v>
      </c>
      <c r="K417" s="1">
        <f t="shared" ca="1" si="137"/>
        <v>3.5625000000000091E-6</v>
      </c>
      <c r="L417" s="13">
        <f t="shared" ca="1" si="138"/>
        <v>231</v>
      </c>
      <c r="M417" s="7">
        <f t="shared" ca="1" si="139"/>
        <v>1269</v>
      </c>
      <c r="N417" s="26">
        <f t="shared" ca="1" si="140"/>
        <v>5</v>
      </c>
      <c r="O417" s="44">
        <f t="shared" ca="1" si="141"/>
        <v>3.5346387789404914</v>
      </c>
      <c r="P417" s="44">
        <f t="shared" ca="1" si="142"/>
        <v>35.346387789404908</v>
      </c>
      <c r="Q417" s="44">
        <f t="shared" ca="1" si="143"/>
        <v>35.346387789404908</v>
      </c>
      <c r="R417" s="44">
        <f t="shared" ca="1" si="144"/>
        <v>3.5346387789404909</v>
      </c>
      <c r="S417" s="44">
        <f t="shared" ca="1" si="145"/>
        <v>3.5346387789404914</v>
      </c>
      <c r="T417" s="4">
        <f t="shared" ca="1" si="146"/>
        <v>1.2592150649975532E-5</v>
      </c>
      <c r="U417" s="120">
        <f t="shared" ca="1" si="147"/>
        <v>2003.4426794074936</v>
      </c>
      <c r="V417" s="4">
        <f t="shared" ca="1" si="148"/>
        <v>7.1372645453892146E-3</v>
      </c>
      <c r="W417" s="13">
        <f t="shared" ca="1" si="149"/>
        <v>30993.516000000003</v>
      </c>
      <c r="X417" s="4">
        <f t="shared" ca="1" si="150"/>
        <v>0.11041440075000029</v>
      </c>
      <c r="Y417" s="4">
        <f t="shared" si="151"/>
        <v>0</v>
      </c>
      <c r="Z417" s="13">
        <f t="shared" ca="1" si="152"/>
        <v>30993.516000000003</v>
      </c>
      <c r="AA417" s="4">
        <f t="shared" ca="1" si="153"/>
        <v>0.11041440075000029</v>
      </c>
      <c r="AE417" s="4"/>
    </row>
    <row r="418" spans="1:31">
      <c r="A418">
        <v>3</v>
      </c>
      <c r="B418">
        <v>0</v>
      </c>
      <c r="C418">
        <f t="shared" ca="1" si="132"/>
        <v>4</v>
      </c>
      <c r="D418">
        <f t="shared" ca="1" si="133"/>
        <v>3</v>
      </c>
      <c r="E418">
        <f t="shared" ca="1" si="134"/>
        <v>3</v>
      </c>
      <c r="F418" s="110">
        <f t="shared" ca="1" si="135"/>
        <v>0.03</v>
      </c>
      <c r="G418">
        <v>0</v>
      </c>
      <c r="H418">
        <v>1</v>
      </c>
      <c r="I418">
        <v>7</v>
      </c>
      <c r="J418" s="1">
        <f t="shared" ca="1" si="136"/>
        <v>0</v>
      </c>
      <c r="K418" s="1">
        <f t="shared" ca="1" si="137"/>
        <v>0</v>
      </c>
      <c r="L418" s="13">
        <f t="shared" ca="1" si="138"/>
        <v>364</v>
      </c>
      <c r="M418" s="7">
        <f t="shared" ca="1" si="139"/>
        <v>1136</v>
      </c>
      <c r="N418" s="26">
        <f t="shared" ca="1" si="140"/>
        <v>5</v>
      </c>
      <c r="O418" s="44">
        <f t="shared" ca="1" si="141"/>
        <v>3.5346387789404914</v>
      </c>
      <c r="P418" s="44">
        <f t="shared" ca="1" si="142"/>
        <v>35.346387789404908</v>
      </c>
      <c r="Q418" s="44">
        <f t="shared" ca="1" si="143"/>
        <v>34.700360457357213</v>
      </c>
      <c r="R418" s="44">
        <f t="shared" ca="1" si="144"/>
        <v>3.5023374123381061</v>
      </c>
      <c r="S418" s="44">
        <f t="shared" ca="1" si="145"/>
        <v>3.532377683278324</v>
      </c>
      <c r="T418" s="4">
        <f t="shared" ca="1" si="146"/>
        <v>0</v>
      </c>
      <c r="U418" s="120">
        <f t="shared" ca="1" si="147"/>
        <v>2135.4497774977995</v>
      </c>
      <c r="V418" s="4">
        <f t="shared" ca="1" si="148"/>
        <v>0</v>
      </c>
      <c r="W418" s="13">
        <f t="shared" ca="1" si="149"/>
        <v>17002.125</v>
      </c>
      <c r="X418" s="4">
        <f t="shared" ca="1" si="150"/>
        <v>0</v>
      </c>
      <c r="Y418" s="4">
        <f t="shared" si="151"/>
        <v>0</v>
      </c>
      <c r="Z418" s="13">
        <f t="shared" ca="1" si="152"/>
        <v>17002.125</v>
      </c>
      <c r="AA418" s="4">
        <f t="shared" ca="1" si="153"/>
        <v>0</v>
      </c>
      <c r="AE418" s="4"/>
    </row>
    <row r="419" spans="1:31">
      <c r="A419">
        <v>3</v>
      </c>
      <c r="B419">
        <v>0</v>
      </c>
      <c r="C419">
        <f t="shared" ca="1" si="132"/>
        <v>4</v>
      </c>
      <c r="D419">
        <f t="shared" ca="1" si="133"/>
        <v>3</v>
      </c>
      <c r="E419">
        <f t="shared" ca="1" si="134"/>
        <v>3</v>
      </c>
      <c r="F419" s="110">
        <f t="shared" ca="1" si="135"/>
        <v>0.03</v>
      </c>
      <c r="G419">
        <v>0</v>
      </c>
      <c r="H419">
        <v>1</v>
      </c>
      <c r="I419">
        <v>6</v>
      </c>
      <c r="J419" s="1">
        <f t="shared" ca="1" si="136"/>
        <v>0</v>
      </c>
      <c r="K419" s="1">
        <f t="shared" ca="1" si="137"/>
        <v>0</v>
      </c>
      <c r="L419" s="13">
        <f t="shared" ca="1" si="138"/>
        <v>345</v>
      </c>
      <c r="M419" s="7">
        <f t="shared" ca="1" si="139"/>
        <v>1155</v>
      </c>
      <c r="N419" s="26">
        <f t="shared" ca="1" si="140"/>
        <v>5</v>
      </c>
      <c r="O419" s="44">
        <f t="shared" ca="1" si="141"/>
        <v>3.5346387789404914</v>
      </c>
      <c r="P419" s="44">
        <f t="shared" ca="1" si="142"/>
        <v>35.346387789404908</v>
      </c>
      <c r="Q419" s="44">
        <f t="shared" ca="1" si="143"/>
        <v>35.346387789404908</v>
      </c>
      <c r="R419" s="44">
        <f t="shared" ca="1" si="144"/>
        <v>3.5346387789404909</v>
      </c>
      <c r="S419" s="44">
        <f t="shared" ca="1" si="145"/>
        <v>3.5346387789404914</v>
      </c>
      <c r="T419" s="4">
        <f t="shared" ca="1" si="146"/>
        <v>0</v>
      </c>
      <c r="U419" s="120">
        <f t="shared" ca="1" si="147"/>
        <v>2117.4426794074939</v>
      </c>
      <c r="V419" s="4">
        <f t="shared" ca="1" si="148"/>
        <v>0</v>
      </c>
      <c r="W419" s="13">
        <f t="shared" ca="1" si="149"/>
        <v>14573.25</v>
      </c>
      <c r="X419" s="4">
        <f t="shared" ca="1" si="150"/>
        <v>0</v>
      </c>
      <c r="Y419" s="4">
        <f t="shared" si="151"/>
        <v>0</v>
      </c>
      <c r="Z419" s="13">
        <f t="shared" ca="1" si="152"/>
        <v>14573.25</v>
      </c>
      <c r="AA419" s="4">
        <f t="shared" ca="1" si="153"/>
        <v>0</v>
      </c>
      <c r="AE419" s="4"/>
    </row>
    <row r="420" spans="1:31">
      <c r="A420">
        <v>3</v>
      </c>
      <c r="B420">
        <v>0</v>
      </c>
      <c r="C420">
        <f t="shared" ca="1" si="132"/>
        <v>4</v>
      </c>
      <c r="D420">
        <f t="shared" ca="1" si="133"/>
        <v>3</v>
      </c>
      <c r="E420">
        <f t="shared" ca="1" si="134"/>
        <v>3</v>
      </c>
      <c r="F420" s="110">
        <f t="shared" ca="1" si="135"/>
        <v>0.03</v>
      </c>
      <c r="G420">
        <v>0</v>
      </c>
      <c r="H420">
        <v>1</v>
      </c>
      <c r="I420">
        <v>5</v>
      </c>
      <c r="J420" s="1">
        <f t="shared" ca="1" si="136"/>
        <v>0</v>
      </c>
      <c r="K420" s="1">
        <f t="shared" ca="1" si="137"/>
        <v>0</v>
      </c>
      <c r="L420" s="13">
        <f t="shared" ca="1" si="138"/>
        <v>326</v>
      </c>
      <c r="M420" s="7">
        <f t="shared" ca="1" si="139"/>
        <v>1174</v>
      </c>
      <c r="N420" s="26">
        <f t="shared" ca="1" si="140"/>
        <v>5</v>
      </c>
      <c r="O420" s="44">
        <f t="shared" ca="1" si="141"/>
        <v>3.5346387789404914</v>
      </c>
      <c r="P420" s="44">
        <f t="shared" ca="1" si="142"/>
        <v>35.346387789404908</v>
      </c>
      <c r="Q420" s="44">
        <f t="shared" ca="1" si="143"/>
        <v>35.346387789404908</v>
      </c>
      <c r="R420" s="44">
        <f t="shared" ca="1" si="144"/>
        <v>3.5346387789404909</v>
      </c>
      <c r="S420" s="44">
        <f t="shared" ca="1" si="145"/>
        <v>3.5346387789404914</v>
      </c>
      <c r="T420" s="4">
        <f t="shared" ca="1" si="146"/>
        <v>0</v>
      </c>
      <c r="U420" s="120">
        <f t="shared" ca="1" si="147"/>
        <v>2098.4426794074939</v>
      </c>
      <c r="V420" s="4">
        <f t="shared" ca="1" si="148"/>
        <v>0</v>
      </c>
      <c r="W420" s="13">
        <f t="shared" ca="1" si="149"/>
        <v>12144.375</v>
      </c>
      <c r="X420" s="4">
        <f t="shared" ca="1" si="150"/>
        <v>0</v>
      </c>
      <c r="Y420" s="4">
        <f t="shared" si="151"/>
        <v>0</v>
      </c>
      <c r="Z420" s="13">
        <f t="shared" ca="1" si="152"/>
        <v>12144.375</v>
      </c>
      <c r="AA420" s="4">
        <f t="shared" ca="1" si="153"/>
        <v>0</v>
      </c>
      <c r="AE420" s="4"/>
    </row>
    <row r="421" spans="1:31">
      <c r="A421">
        <v>3</v>
      </c>
      <c r="B421">
        <v>0</v>
      </c>
      <c r="C421">
        <f t="shared" ca="1" si="132"/>
        <v>4</v>
      </c>
      <c r="D421">
        <f t="shared" ca="1" si="133"/>
        <v>3</v>
      </c>
      <c r="E421">
        <f t="shared" ca="1" si="134"/>
        <v>3</v>
      </c>
      <c r="F421" s="110">
        <f t="shared" ca="1" si="135"/>
        <v>0.03</v>
      </c>
      <c r="G421">
        <v>0</v>
      </c>
      <c r="H421">
        <v>1</v>
      </c>
      <c r="I421">
        <v>4</v>
      </c>
      <c r="J421" s="1">
        <f t="shared" ca="1" si="136"/>
        <v>0</v>
      </c>
      <c r="K421" s="1">
        <f t="shared" ca="1" si="137"/>
        <v>0</v>
      </c>
      <c r="L421" s="13">
        <f t="shared" ca="1" si="138"/>
        <v>307</v>
      </c>
      <c r="M421" s="7">
        <f t="shared" ca="1" si="139"/>
        <v>1193</v>
      </c>
      <c r="N421" s="26">
        <f t="shared" ca="1" si="140"/>
        <v>5</v>
      </c>
      <c r="O421" s="44">
        <f t="shared" ca="1" si="141"/>
        <v>3.5346387789404914</v>
      </c>
      <c r="P421" s="44">
        <f t="shared" ca="1" si="142"/>
        <v>35.346387789404908</v>
      </c>
      <c r="Q421" s="44">
        <f t="shared" ca="1" si="143"/>
        <v>35.346387789404908</v>
      </c>
      <c r="R421" s="44">
        <f t="shared" ca="1" si="144"/>
        <v>3.5346387789404909</v>
      </c>
      <c r="S421" s="44">
        <f t="shared" ca="1" si="145"/>
        <v>3.5346387789404914</v>
      </c>
      <c r="T421" s="4">
        <f t="shared" ca="1" si="146"/>
        <v>0</v>
      </c>
      <c r="U421" s="120">
        <f t="shared" ca="1" si="147"/>
        <v>2079.4426794074939</v>
      </c>
      <c r="V421" s="4">
        <f t="shared" ca="1" si="148"/>
        <v>0</v>
      </c>
      <c r="W421" s="13">
        <f t="shared" ca="1" si="149"/>
        <v>9715.5</v>
      </c>
      <c r="X421" s="4">
        <f t="shared" ca="1" si="150"/>
        <v>0</v>
      </c>
      <c r="Y421" s="4">
        <f t="shared" si="151"/>
        <v>0</v>
      </c>
      <c r="Z421" s="13">
        <f t="shared" ca="1" si="152"/>
        <v>9715.5</v>
      </c>
      <c r="AA421" s="4">
        <f t="shared" ca="1" si="153"/>
        <v>0</v>
      </c>
      <c r="AE421" s="4"/>
    </row>
    <row r="422" spans="1:31">
      <c r="A422">
        <v>3</v>
      </c>
      <c r="B422">
        <v>0</v>
      </c>
      <c r="C422">
        <f t="shared" ca="1" si="132"/>
        <v>4</v>
      </c>
      <c r="D422">
        <f t="shared" ca="1" si="133"/>
        <v>3</v>
      </c>
      <c r="E422">
        <f t="shared" ca="1" si="134"/>
        <v>3</v>
      </c>
      <c r="F422" s="110">
        <f t="shared" ca="1" si="135"/>
        <v>0.03</v>
      </c>
      <c r="G422">
        <v>0</v>
      </c>
      <c r="H422">
        <v>1</v>
      </c>
      <c r="I422">
        <v>3</v>
      </c>
      <c r="J422" s="1">
        <f t="shared" ca="1" si="136"/>
        <v>0</v>
      </c>
      <c r="K422" s="1">
        <f t="shared" ca="1" si="137"/>
        <v>0</v>
      </c>
      <c r="L422" s="13">
        <f t="shared" ca="1" si="138"/>
        <v>288</v>
      </c>
      <c r="M422" s="7">
        <f t="shared" ca="1" si="139"/>
        <v>1212</v>
      </c>
      <c r="N422" s="26">
        <f t="shared" ca="1" si="140"/>
        <v>5</v>
      </c>
      <c r="O422" s="44">
        <f t="shared" ca="1" si="141"/>
        <v>3.5346387789404914</v>
      </c>
      <c r="P422" s="44">
        <f t="shared" ca="1" si="142"/>
        <v>35.346387789404908</v>
      </c>
      <c r="Q422" s="44">
        <f t="shared" ca="1" si="143"/>
        <v>35.346387789404908</v>
      </c>
      <c r="R422" s="44">
        <f t="shared" ca="1" si="144"/>
        <v>3.5346387789404909</v>
      </c>
      <c r="S422" s="44">
        <f t="shared" ca="1" si="145"/>
        <v>3.5346387789404914</v>
      </c>
      <c r="T422" s="4">
        <f t="shared" ca="1" si="146"/>
        <v>0</v>
      </c>
      <c r="U422" s="120">
        <f t="shared" ca="1" si="147"/>
        <v>2060.4426794074939</v>
      </c>
      <c r="V422" s="4">
        <f t="shared" ca="1" si="148"/>
        <v>0</v>
      </c>
      <c r="W422" s="13">
        <f t="shared" ca="1" si="149"/>
        <v>7286.625</v>
      </c>
      <c r="X422" s="4">
        <f t="shared" ca="1" si="150"/>
        <v>0</v>
      </c>
      <c r="Y422" s="4">
        <f t="shared" si="151"/>
        <v>0</v>
      </c>
      <c r="Z422" s="13">
        <f t="shared" ca="1" si="152"/>
        <v>7286.625</v>
      </c>
      <c r="AA422" s="4">
        <f t="shared" ca="1" si="153"/>
        <v>0</v>
      </c>
      <c r="AE422" s="4"/>
    </row>
    <row r="423" spans="1:31">
      <c r="A423">
        <v>3</v>
      </c>
      <c r="B423">
        <v>0</v>
      </c>
      <c r="C423">
        <f t="shared" ca="1" si="132"/>
        <v>4</v>
      </c>
      <c r="D423">
        <f t="shared" ca="1" si="133"/>
        <v>3</v>
      </c>
      <c r="E423">
        <f t="shared" ca="1" si="134"/>
        <v>3</v>
      </c>
      <c r="F423" s="110">
        <f t="shared" ca="1" si="135"/>
        <v>0.03</v>
      </c>
      <c r="G423">
        <v>0</v>
      </c>
      <c r="H423">
        <v>1</v>
      </c>
      <c r="I423">
        <v>2</v>
      </c>
      <c r="J423" s="1">
        <f t="shared" ca="1" si="136"/>
        <v>0</v>
      </c>
      <c r="K423" s="1">
        <f t="shared" ca="1" si="137"/>
        <v>0</v>
      </c>
      <c r="L423" s="13">
        <f t="shared" ca="1" si="138"/>
        <v>269</v>
      </c>
      <c r="M423" s="7">
        <f t="shared" ca="1" si="139"/>
        <v>1231</v>
      </c>
      <c r="N423" s="26">
        <f t="shared" ca="1" si="140"/>
        <v>5</v>
      </c>
      <c r="O423" s="44">
        <f t="shared" ca="1" si="141"/>
        <v>3.5346387789404914</v>
      </c>
      <c r="P423" s="44">
        <f t="shared" ca="1" si="142"/>
        <v>35.346387789404908</v>
      </c>
      <c r="Q423" s="44">
        <f t="shared" ca="1" si="143"/>
        <v>35.346387789404908</v>
      </c>
      <c r="R423" s="44">
        <f t="shared" ca="1" si="144"/>
        <v>3.5346387789404909</v>
      </c>
      <c r="S423" s="44">
        <f t="shared" ca="1" si="145"/>
        <v>3.5346387789404914</v>
      </c>
      <c r="T423" s="4">
        <f t="shared" ca="1" si="146"/>
        <v>0</v>
      </c>
      <c r="U423" s="120">
        <f t="shared" ca="1" si="147"/>
        <v>2041.4426794074936</v>
      </c>
      <c r="V423" s="4">
        <f t="shared" ca="1" si="148"/>
        <v>0</v>
      </c>
      <c r="W423" s="13">
        <f t="shared" ca="1" si="149"/>
        <v>4857.75</v>
      </c>
      <c r="X423" s="4">
        <f t="shared" ca="1" si="150"/>
        <v>0</v>
      </c>
      <c r="Y423" s="4">
        <f t="shared" si="151"/>
        <v>0</v>
      </c>
      <c r="Z423" s="13">
        <f t="shared" ca="1" si="152"/>
        <v>4857.75</v>
      </c>
      <c r="AA423" s="4">
        <f t="shared" ca="1" si="153"/>
        <v>0</v>
      </c>
      <c r="AE423" s="4"/>
    </row>
    <row r="424" spans="1:31">
      <c r="A424">
        <v>3</v>
      </c>
      <c r="B424">
        <v>0</v>
      </c>
      <c r="C424">
        <f t="shared" ca="1" si="132"/>
        <v>4</v>
      </c>
      <c r="D424">
        <f t="shared" ca="1" si="133"/>
        <v>3</v>
      </c>
      <c r="E424">
        <f t="shared" ca="1" si="134"/>
        <v>3</v>
      </c>
      <c r="F424" s="110">
        <f t="shared" ca="1" si="135"/>
        <v>0.03</v>
      </c>
      <c r="G424">
        <v>0</v>
      </c>
      <c r="H424">
        <v>1</v>
      </c>
      <c r="I424">
        <v>1</v>
      </c>
      <c r="J424" s="1">
        <f t="shared" ca="1" si="136"/>
        <v>0</v>
      </c>
      <c r="K424" s="1">
        <f t="shared" ca="1" si="137"/>
        <v>0</v>
      </c>
      <c r="L424" s="13">
        <f t="shared" ca="1" si="138"/>
        <v>250</v>
      </c>
      <c r="M424" s="7">
        <f t="shared" ca="1" si="139"/>
        <v>1250</v>
      </c>
      <c r="N424" s="26">
        <f t="shared" ca="1" si="140"/>
        <v>5</v>
      </c>
      <c r="O424" s="44">
        <f t="shared" ca="1" si="141"/>
        <v>3.5346387789404914</v>
      </c>
      <c r="P424" s="44">
        <f t="shared" ca="1" si="142"/>
        <v>35.346387789404908</v>
      </c>
      <c r="Q424" s="44">
        <f t="shared" ca="1" si="143"/>
        <v>35.346387789404908</v>
      </c>
      <c r="R424" s="44">
        <f t="shared" ca="1" si="144"/>
        <v>3.5346387789404909</v>
      </c>
      <c r="S424" s="44">
        <f t="shared" ca="1" si="145"/>
        <v>3.5346387789404914</v>
      </c>
      <c r="T424" s="4">
        <f t="shared" ca="1" si="146"/>
        <v>0</v>
      </c>
      <c r="U424" s="120">
        <f t="shared" ca="1" si="147"/>
        <v>2022.4426794074936</v>
      </c>
      <c r="V424" s="4">
        <f t="shared" ca="1" si="148"/>
        <v>0</v>
      </c>
      <c r="W424" s="13">
        <f t="shared" ca="1" si="149"/>
        <v>2428.875</v>
      </c>
      <c r="X424" s="4">
        <f t="shared" ca="1" si="150"/>
        <v>0</v>
      </c>
      <c r="Y424" s="4">
        <f t="shared" si="151"/>
        <v>0</v>
      </c>
      <c r="Z424" s="13">
        <f t="shared" ca="1" si="152"/>
        <v>2428.875</v>
      </c>
      <c r="AA424" s="4">
        <f t="shared" ca="1" si="153"/>
        <v>0</v>
      </c>
      <c r="AE424" s="4"/>
    </row>
    <row r="425" spans="1:31">
      <c r="A425">
        <v>3</v>
      </c>
      <c r="B425">
        <v>0</v>
      </c>
      <c r="C425">
        <f t="shared" ca="1" si="132"/>
        <v>4</v>
      </c>
      <c r="D425">
        <f t="shared" ca="1" si="133"/>
        <v>3</v>
      </c>
      <c r="E425">
        <f t="shared" ca="1" si="134"/>
        <v>3</v>
      </c>
      <c r="F425" s="110">
        <f t="shared" ca="1" si="135"/>
        <v>0.03</v>
      </c>
      <c r="G425">
        <v>0</v>
      </c>
      <c r="H425">
        <v>1</v>
      </c>
      <c r="I425">
        <v>0</v>
      </c>
      <c r="J425" s="1">
        <f t="shared" ca="1" si="136"/>
        <v>0</v>
      </c>
      <c r="K425" s="1">
        <f t="shared" ca="1" si="137"/>
        <v>0</v>
      </c>
      <c r="L425" s="13">
        <f t="shared" ca="1" si="138"/>
        <v>231</v>
      </c>
      <c r="M425" s="7">
        <f t="shared" ca="1" si="139"/>
        <v>1269</v>
      </c>
      <c r="N425" s="26">
        <f t="shared" ca="1" si="140"/>
        <v>5</v>
      </c>
      <c r="O425" s="44">
        <f t="shared" ca="1" si="141"/>
        <v>3.5346387789404914</v>
      </c>
      <c r="P425" s="44">
        <f t="shared" ca="1" si="142"/>
        <v>35.346387789404908</v>
      </c>
      <c r="Q425" s="44">
        <f t="shared" ca="1" si="143"/>
        <v>35.346387789404908</v>
      </c>
      <c r="R425" s="44">
        <f t="shared" ca="1" si="144"/>
        <v>3.5346387789404909</v>
      </c>
      <c r="S425" s="44">
        <f t="shared" ca="1" si="145"/>
        <v>3.5346387789404914</v>
      </c>
      <c r="T425" s="4">
        <f t="shared" ca="1" si="146"/>
        <v>0</v>
      </c>
      <c r="U425" s="120">
        <f t="shared" ca="1" si="147"/>
        <v>2003.4426794074936</v>
      </c>
      <c r="V425" s="4">
        <f t="shared" ca="1" si="148"/>
        <v>0</v>
      </c>
      <c r="W425" s="13">
        <f t="shared" ca="1" si="149"/>
        <v>0</v>
      </c>
      <c r="X425" s="4">
        <f t="shared" ca="1" si="150"/>
        <v>0</v>
      </c>
      <c r="Y425" s="4">
        <f t="shared" si="151"/>
        <v>0</v>
      </c>
      <c r="Z425" s="13">
        <f t="shared" ca="1" si="152"/>
        <v>0</v>
      </c>
      <c r="AA425" s="4">
        <f t="shared" ca="1" si="153"/>
        <v>0</v>
      </c>
      <c r="AE425" s="4"/>
    </row>
    <row r="426" spans="1:31">
      <c r="A426">
        <v>3</v>
      </c>
      <c r="B426">
        <v>0</v>
      </c>
      <c r="C426">
        <f t="shared" ca="1" si="132"/>
        <v>4</v>
      </c>
      <c r="D426">
        <f t="shared" ca="1" si="133"/>
        <v>3</v>
      </c>
      <c r="E426">
        <f t="shared" ca="1" si="134"/>
        <v>3</v>
      </c>
      <c r="F426" s="110">
        <f t="shared" ca="1" si="135"/>
        <v>0.03</v>
      </c>
      <c r="G426">
        <v>0</v>
      </c>
      <c r="H426">
        <v>0</v>
      </c>
      <c r="I426">
        <v>7</v>
      </c>
      <c r="J426" s="1">
        <f t="shared" ca="1" si="136"/>
        <v>0</v>
      </c>
      <c r="K426" s="1">
        <f t="shared" ca="1" si="137"/>
        <v>0</v>
      </c>
      <c r="L426" s="13">
        <f t="shared" ca="1" si="138"/>
        <v>133</v>
      </c>
      <c r="M426" s="7">
        <f t="shared" ca="1" si="139"/>
        <v>1367</v>
      </c>
      <c r="N426" s="26">
        <f t="shared" ca="1" si="140"/>
        <v>5</v>
      </c>
      <c r="O426" s="44">
        <f t="shared" ca="1" si="141"/>
        <v>3.5346387789404914</v>
      </c>
      <c r="P426" s="44">
        <f t="shared" ca="1" si="142"/>
        <v>35.346387789404908</v>
      </c>
      <c r="Q426" s="44">
        <f t="shared" ca="1" si="143"/>
        <v>35.346387789404908</v>
      </c>
      <c r="R426" s="44">
        <f t="shared" ca="1" si="144"/>
        <v>3.5346387789404909</v>
      </c>
      <c r="S426" s="44">
        <f t="shared" ca="1" si="145"/>
        <v>3.5346387789404914</v>
      </c>
      <c r="T426" s="4">
        <f t="shared" ca="1" si="146"/>
        <v>0</v>
      </c>
      <c r="U426" s="120">
        <f t="shared" ca="1" si="147"/>
        <v>1905.4426794074936</v>
      </c>
      <c r="V426" s="4">
        <f t="shared" ca="1" si="148"/>
        <v>0</v>
      </c>
      <c r="W426" s="13">
        <f t="shared" ca="1" si="149"/>
        <v>17002.125</v>
      </c>
      <c r="X426" s="4">
        <f t="shared" ca="1" si="150"/>
        <v>0</v>
      </c>
      <c r="Y426" s="4">
        <f t="shared" si="151"/>
        <v>0</v>
      </c>
      <c r="Z426" s="13">
        <f t="shared" ca="1" si="152"/>
        <v>17002.125</v>
      </c>
      <c r="AA426" s="4">
        <f t="shared" ca="1" si="153"/>
        <v>0</v>
      </c>
      <c r="AE426" s="4"/>
    </row>
    <row r="427" spans="1:31">
      <c r="A427">
        <v>3</v>
      </c>
      <c r="B427">
        <v>0</v>
      </c>
      <c r="C427">
        <f t="shared" ca="1" si="132"/>
        <v>4</v>
      </c>
      <c r="D427">
        <f t="shared" ca="1" si="133"/>
        <v>3</v>
      </c>
      <c r="E427">
        <f t="shared" ca="1" si="134"/>
        <v>3</v>
      </c>
      <c r="F427" s="110">
        <f t="shared" ca="1" si="135"/>
        <v>0.03</v>
      </c>
      <c r="G427">
        <v>0</v>
      </c>
      <c r="H427">
        <v>0</v>
      </c>
      <c r="I427">
        <v>6</v>
      </c>
      <c r="J427" s="1">
        <f t="shared" ca="1" si="136"/>
        <v>0</v>
      </c>
      <c r="K427" s="1">
        <f t="shared" ca="1" si="137"/>
        <v>0</v>
      </c>
      <c r="L427" s="13">
        <f t="shared" ca="1" si="138"/>
        <v>114</v>
      </c>
      <c r="M427" s="7">
        <f t="shared" ca="1" si="139"/>
        <v>1386</v>
      </c>
      <c r="N427" s="26">
        <f t="shared" ca="1" si="140"/>
        <v>5</v>
      </c>
      <c r="O427" s="44">
        <f t="shared" ca="1" si="141"/>
        <v>3.5346387789404914</v>
      </c>
      <c r="P427" s="44">
        <f t="shared" ca="1" si="142"/>
        <v>35.346387789404908</v>
      </c>
      <c r="Q427" s="44">
        <f t="shared" ca="1" si="143"/>
        <v>35.346387789404908</v>
      </c>
      <c r="R427" s="44">
        <f t="shared" ca="1" si="144"/>
        <v>3.5346387789404909</v>
      </c>
      <c r="S427" s="44">
        <f t="shared" ca="1" si="145"/>
        <v>3.5346387789404914</v>
      </c>
      <c r="T427" s="4">
        <f t="shared" ca="1" si="146"/>
        <v>0</v>
      </c>
      <c r="U427" s="120">
        <f t="shared" ca="1" si="147"/>
        <v>1886.4426794074936</v>
      </c>
      <c r="V427" s="4">
        <f t="shared" ca="1" si="148"/>
        <v>0</v>
      </c>
      <c r="W427" s="13">
        <f t="shared" ca="1" si="149"/>
        <v>14573.25</v>
      </c>
      <c r="X427" s="4">
        <f t="shared" ca="1" si="150"/>
        <v>0</v>
      </c>
      <c r="Y427" s="4">
        <f t="shared" si="151"/>
        <v>0</v>
      </c>
      <c r="Z427" s="13">
        <f t="shared" ca="1" si="152"/>
        <v>14573.25</v>
      </c>
      <c r="AA427" s="4">
        <f t="shared" ca="1" si="153"/>
        <v>0</v>
      </c>
      <c r="AE427" s="4"/>
    </row>
    <row r="428" spans="1:31">
      <c r="A428">
        <v>3</v>
      </c>
      <c r="B428">
        <v>0</v>
      </c>
      <c r="C428">
        <f t="shared" ca="1" si="132"/>
        <v>4</v>
      </c>
      <c r="D428">
        <f t="shared" ca="1" si="133"/>
        <v>3</v>
      </c>
      <c r="E428">
        <f t="shared" ca="1" si="134"/>
        <v>3</v>
      </c>
      <c r="F428" s="110">
        <f t="shared" ca="1" si="135"/>
        <v>0.03</v>
      </c>
      <c r="G428">
        <v>0</v>
      </c>
      <c r="H428">
        <v>0</v>
      </c>
      <c r="I428">
        <v>5</v>
      </c>
      <c r="J428" s="1">
        <f t="shared" ca="1" si="136"/>
        <v>0</v>
      </c>
      <c r="K428" s="1">
        <f t="shared" ca="1" si="137"/>
        <v>0</v>
      </c>
      <c r="L428" s="13">
        <f t="shared" ca="1" si="138"/>
        <v>95</v>
      </c>
      <c r="M428" s="7">
        <f t="shared" ca="1" si="139"/>
        <v>1405</v>
      </c>
      <c r="N428" s="26">
        <f t="shared" ca="1" si="140"/>
        <v>6</v>
      </c>
      <c r="O428" s="44">
        <f t="shared" ca="1" si="141"/>
        <v>4.1694581524927896</v>
      </c>
      <c r="P428" s="44">
        <f t="shared" ca="1" si="142"/>
        <v>41.059762151375594</v>
      </c>
      <c r="Q428" s="44">
        <f t="shared" ca="1" si="143"/>
        <v>35.346387789404908</v>
      </c>
      <c r="R428" s="44">
        <f t="shared" ca="1" si="144"/>
        <v>3.8203074970390247</v>
      </c>
      <c r="S428" s="44">
        <f t="shared" ca="1" si="145"/>
        <v>4.1450176066110256</v>
      </c>
      <c r="T428" s="4">
        <f t="shared" ca="1" si="146"/>
        <v>0</v>
      </c>
      <c r="U428" s="120">
        <f t="shared" ca="1" si="147"/>
        <v>2135.4748169996506</v>
      </c>
      <c r="V428" s="4">
        <f t="shared" ca="1" si="148"/>
        <v>0</v>
      </c>
      <c r="W428" s="13">
        <f t="shared" ca="1" si="149"/>
        <v>12144.375</v>
      </c>
      <c r="X428" s="4">
        <f t="shared" ca="1" si="150"/>
        <v>0</v>
      </c>
      <c r="Y428" s="4">
        <f t="shared" si="151"/>
        <v>0</v>
      </c>
      <c r="Z428" s="13">
        <f t="shared" ca="1" si="152"/>
        <v>12144.375</v>
      </c>
      <c r="AA428" s="4">
        <f t="shared" ca="1" si="153"/>
        <v>0</v>
      </c>
      <c r="AE428" s="4"/>
    </row>
    <row r="429" spans="1:31">
      <c r="A429">
        <v>3</v>
      </c>
      <c r="B429">
        <v>0</v>
      </c>
      <c r="C429">
        <f t="shared" ca="1" si="132"/>
        <v>4</v>
      </c>
      <c r="D429">
        <f t="shared" ca="1" si="133"/>
        <v>3</v>
      </c>
      <c r="E429">
        <f t="shared" ca="1" si="134"/>
        <v>3</v>
      </c>
      <c r="F429" s="110">
        <f t="shared" ca="1" si="135"/>
        <v>0.03</v>
      </c>
      <c r="G429">
        <v>0</v>
      </c>
      <c r="H429">
        <v>0</v>
      </c>
      <c r="I429">
        <v>4</v>
      </c>
      <c r="J429" s="1">
        <f t="shared" ca="1" si="136"/>
        <v>0</v>
      </c>
      <c r="K429" s="1">
        <f t="shared" ca="1" si="137"/>
        <v>0</v>
      </c>
      <c r="L429" s="13">
        <f t="shared" ca="1" si="138"/>
        <v>76</v>
      </c>
      <c r="M429" s="7">
        <f t="shared" ca="1" si="139"/>
        <v>1424</v>
      </c>
      <c r="N429" s="26">
        <f t="shared" ca="1" si="140"/>
        <v>6</v>
      </c>
      <c r="O429" s="44">
        <f t="shared" ca="1" si="141"/>
        <v>4.1694581524927896</v>
      </c>
      <c r="P429" s="44">
        <f t="shared" ca="1" si="142"/>
        <v>41.694581524927891</v>
      </c>
      <c r="Q429" s="44">
        <f t="shared" ca="1" si="143"/>
        <v>41.694581524927891</v>
      </c>
      <c r="R429" s="44">
        <f t="shared" ca="1" si="144"/>
        <v>4.1694581524927887</v>
      </c>
      <c r="S429" s="44">
        <f t="shared" ca="1" si="145"/>
        <v>4.1694581524927896</v>
      </c>
      <c r="T429" s="4">
        <f t="shared" ca="1" si="146"/>
        <v>0</v>
      </c>
      <c r="U429" s="120">
        <f t="shared" ca="1" si="147"/>
        <v>2127.2072530862838</v>
      </c>
      <c r="V429" s="4">
        <f t="shared" ca="1" si="148"/>
        <v>0</v>
      </c>
      <c r="W429" s="13">
        <f t="shared" ca="1" si="149"/>
        <v>9715.5</v>
      </c>
      <c r="X429" s="4">
        <f t="shared" ca="1" si="150"/>
        <v>0</v>
      </c>
      <c r="Y429" s="4">
        <f t="shared" si="151"/>
        <v>0</v>
      </c>
      <c r="Z429" s="13">
        <f t="shared" ca="1" si="152"/>
        <v>9715.5</v>
      </c>
      <c r="AA429" s="4">
        <f t="shared" ca="1" si="153"/>
        <v>0</v>
      </c>
      <c r="AE429" s="4"/>
    </row>
    <row r="430" spans="1:31">
      <c r="A430">
        <v>3</v>
      </c>
      <c r="B430">
        <v>0</v>
      </c>
      <c r="C430">
        <f t="shared" ca="1" si="132"/>
        <v>4</v>
      </c>
      <c r="D430">
        <f t="shared" ca="1" si="133"/>
        <v>3</v>
      </c>
      <c r="E430">
        <f t="shared" ca="1" si="134"/>
        <v>3</v>
      </c>
      <c r="F430" s="110">
        <f t="shared" ca="1" si="135"/>
        <v>0.03</v>
      </c>
      <c r="G430">
        <v>0</v>
      </c>
      <c r="H430">
        <v>0</v>
      </c>
      <c r="I430">
        <v>3</v>
      </c>
      <c r="J430" s="1">
        <f t="shared" ca="1" si="136"/>
        <v>4.2868749999999997E-2</v>
      </c>
      <c r="K430" s="1">
        <f t="shared" ca="1" si="137"/>
        <v>1.2860624999999999E-3</v>
      </c>
      <c r="L430" s="13">
        <f t="shared" ca="1" si="138"/>
        <v>57</v>
      </c>
      <c r="M430" s="7">
        <f t="shared" ca="1" si="139"/>
        <v>1443</v>
      </c>
      <c r="N430" s="26">
        <f t="shared" ca="1" si="140"/>
        <v>6</v>
      </c>
      <c r="O430" s="44">
        <f t="shared" ca="1" si="141"/>
        <v>4.1694581524927896</v>
      </c>
      <c r="P430" s="44">
        <f t="shared" ca="1" si="142"/>
        <v>41.694581524927891</v>
      </c>
      <c r="Q430" s="44">
        <f t="shared" ca="1" si="143"/>
        <v>41.694581524927891</v>
      </c>
      <c r="R430" s="44">
        <f t="shared" ca="1" si="144"/>
        <v>4.1694581524927887</v>
      </c>
      <c r="S430" s="44">
        <f t="shared" ca="1" si="145"/>
        <v>4.1694581524927896</v>
      </c>
      <c r="T430" s="4">
        <f t="shared" ca="1" si="146"/>
        <v>5.3621837752402578E-3</v>
      </c>
      <c r="U430" s="120">
        <f t="shared" ca="1" si="147"/>
        <v>2108.2072530862838</v>
      </c>
      <c r="V430" s="4">
        <f t="shared" ca="1" si="148"/>
        <v>2.7112862904222785</v>
      </c>
      <c r="W430" s="13">
        <f t="shared" ca="1" si="149"/>
        <v>7286.625</v>
      </c>
      <c r="X430" s="4">
        <f t="shared" ca="1" si="150"/>
        <v>9.3710551640624988</v>
      </c>
      <c r="Y430" s="4">
        <f t="shared" si="151"/>
        <v>0</v>
      </c>
      <c r="Z430" s="13">
        <f t="shared" ca="1" si="152"/>
        <v>7286.625</v>
      </c>
      <c r="AA430" s="4">
        <f t="shared" ca="1" si="153"/>
        <v>9.3710551640624988</v>
      </c>
      <c r="AE430" s="4"/>
    </row>
    <row r="431" spans="1:31">
      <c r="A431">
        <v>3</v>
      </c>
      <c r="B431">
        <v>0</v>
      </c>
      <c r="C431">
        <f t="shared" ca="1" si="132"/>
        <v>4</v>
      </c>
      <c r="D431">
        <f t="shared" ca="1" si="133"/>
        <v>3</v>
      </c>
      <c r="E431">
        <f t="shared" ca="1" si="134"/>
        <v>3</v>
      </c>
      <c r="F431" s="110">
        <f t="shared" ca="1" si="135"/>
        <v>0.03</v>
      </c>
      <c r="G431">
        <v>0</v>
      </c>
      <c r="H431">
        <v>0</v>
      </c>
      <c r="I431">
        <v>2</v>
      </c>
      <c r="J431" s="1">
        <f t="shared" ca="1" si="136"/>
        <v>6.7687500000000074E-3</v>
      </c>
      <c r="K431" s="1">
        <f t="shared" ca="1" si="137"/>
        <v>2.0306250000000023E-4</v>
      </c>
      <c r="L431" s="13">
        <f t="shared" ca="1" si="138"/>
        <v>38</v>
      </c>
      <c r="M431" s="7">
        <f t="shared" ca="1" si="139"/>
        <v>1462</v>
      </c>
      <c r="N431" s="26">
        <f t="shared" ca="1" si="140"/>
        <v>6</v>
      </c>
      <c r="O431" s="44">
        <f t="shared" ca="1" si="141"/>
        <v>4.1694581524927896</v>
      </c>
      <c r="P431" s="44">
        <f t="shared" ca="1" si="142"/>
        <v>41.694581524927891</v>
      </c>
      <c r="Q431" s="44">
        <f t="shared" ca="1" si="143"/>
        <v>41.694581524927891</v>
      </c>
      <c r="R431" s="44">
        <f t="shared" ca="1" si="144"/>
        <v>4.1694581524927887</v>
      </c>
      <c r="S431" s="44">
        <f t="shared" ca="1" si="145"/>
        <v>4.1694581524927896</v>
      </c>
      <c r="T431" s="4">
        <f t="shared" ca="1" si="146"/>
        <v>8.4666059609056802E-4</v>
      </c>
      <c r="U431" s="120">
        <f t="shared" ca="1" si="147"/>
        <v>2089.2072530862838</v>
      </c>
      <c r="V431" s="4">
        <f t="shared" ca="1" si="148"/>
        <v>0.42423964782983398</v>
      </c>
      <c r="W431" s="13">
        <f t="shared" ca="1" si="149"/>
        <v>4857.75</v>
      </c>
      <c r="X431" s="4">
        <f t="shared" ca="1" si="150"/>
        <v>0.98642685937500107</v>
      </c>
      <c r="Y431" s="4">
        <f t="shared" si="151"/>
        <v>0</v>
      </c>
      <c r="Z431" s="13">
        <f t="shared" ca="1" si="152"/>
        <v>4857.75</v>
      </c>
      <c r="AA431" s="4">
        <f t="shared" ca="1" si="153"/>
        <v>0.98642685937500107</v>
      </c>
      <c r="AE431" s="4"/>
    </row>
    <row r="432" spans="1:31">
      <c r="A432">
        <v>3</v>
      </c>
      <c r="B432">
        <v>0</v>
      </c>
      <c r="C432">
        <f t="shared" ca="1" si="132"/>
        <v>4</v>
      </c>
      <c r="D432">
        <f t="shared" ca="1" si="133"/>
        <v>3</v>
      </c>
      <c r="E432">
        <f t="shared" ca="1" si="134"/>
        <v>3</v>
      </c>
      <c r="F432" s="110">
        <f t="shared" ca="1" si="135"/>
        <v>0.03</v>
      </c>
      <c r="G432">
        <v>0</v>
      </c>
      <c r="H432">
        <v>0</v>
      </c>
      <c r="I432">
        <v>1</v>
      </c>
      <c r="J432" s="1">
        <f t="shared" ca="1" si="136"/>
        <v>3.5625000000000061E-4</v>
      </c>
      <c r="K432" s="1">
        <f t="shared" ca="1" si="137"/>
        <v>1.0687500000000018E-5</v>
      </c>
      <c r="L432" s="13">
        <f t="shared" ca="1" si="138"/>
        <v>19</v>
      </c>
      <c r="M432" s="7">
        <f t="shared" ca="1" si="139"/>
        <v>1481</v>
      </c>
      <c r="N432" s="26">
        <f t="shared" ca="1" si="140"/>
        <v>6</v>
      </c>
      <c r="O432" s="44">
        <f t="shared" ca="1" si="141"/>
        <v>4.1694581524927896</v>
      </c>
      <c r="P432" s="44">
        <f t="shared" ca="1" si="142"/>
        <v>41.694581524927891</v>
      </c>
      <c r="Q432" s="44">
        <f t="shared" ca="1" si="143"/>
        <v>41.694581524927891</v>
      </c>
      <c r="R432" s="44">
        <f t="shared" ca="1" si="144"/>
        <v>4.1694581524927887</v>
      </c>
      <c r="S432" s="44">
        <f t="shared" ca="1" si="145"/>
        <v>4.1694581524927896</v>
      </c>
      <c r="T432" s="4">
        <f t="shared" ca="1" si="146"/>
        <v>4.4561084004766761E-5</v>
      </c>
      <c r="U432" s="120">
        <f t="shared" ca="1" si="147"/>
        <v>2070.2072530862838</v>
      </c>
      <c r="V432" s="4">
        <f t="shared" ca="1" si="148"/>
        <v>2.2125340017359694E-2</v>
      </c>
      <c r="W432" s="13">
        <f t="shared" ca="1" si="149"/>
        <v>2428.875</v>
      </c>
      <c r="X432" s="4">
        <f t="shared" ca="1" si="150"/>
        <v>2.5958601562500041E-2</v>
      </c>
      <c r="Y432" s="4">
        <f t="shared" si="151"/>
        <v>0</v>
      </c>
      <c r="Z432" s="13">
        <f t="shared" ca="1" si="152"/>
        <v>2428.875</v>
      </c>
      <c r="AA432" s="4">
        <f t="shared" ca="1" si="153"/>
        <v>2.5958601562500041E-2</v>
      </c>
      <c r="AE432" s="4"/>
    </row>
    <row r="433" spans="1:31">
      <c r="A433">
        <v>3</v>
      </c>
      <c r="B433">
        <v>0</v>
      </c>
      <c r="C433">
        <f t="shared" ca="1" si="132"/>
        <v>4</v>
      </c>
      <c r="D433">
        <f t="shared" ca="1" si="133"/>
        <v>3</v>
      </c>
      <c r="E433">
        <f t="shared" ca="1" si="134"/>
        <v>3</v>
      </c>
      <c r="F433" s="110">
        <f t="shared" ca="1" si="135"/>
        <v>0.03</v>
      </c>
      <c r="G433">
        <v>0</v>
      </c>
      <c r="H433">
        <v>0</v>
      </c>
      <c r="I433">
        <v>0</v>
      </c>
      <c r="J433" s="1">
        <f t="shared" ca="1" si="136"/>
        <v>6.2500000000000164E-6</v>
      </c>
      <c r="K433" s="1">
        <f t="shared" ca="1" si="137"/>
        <v>1.8750000000000048E-7</v>
      </c>
      <c r="L433" s="13">
        <f t="shared" ca="1" si="138"/>
        <v>0</v>
      </c>
      <c r="M433" s="7">
        <f t="shared" ca="1" si="139"/>
        <v>1500</v>
      </c>
      <c r="N433" s="26">
        <f t="shared" ca="1" si="140"/>
        <v>6</v>
      </c>
      <c r="O433" s="44">
        <f t="shared" ca="1" si="141"/>
        <v>4.1694581524927896</v>
      </c>
      <c r="P433" s="44">
        <f t="shared" ca="1" si="142"/>
        <v>41.694581524927891</v>
      </c>
      <c r="Q433" s="44">
        <f t="shared" ca="1" si="143"/>
        <v>41.694581524927891</v>
      </c>
      <c r="R433" s="44">
        <f t="shared" ca="1" si="144"/>
        <v>4.1694581524927887</v>
      </c>
      <c r="S433" s="44">
        <f t="shared" ca="1" si="145"/>
        <v>4.1694581524927896</v>
      </c>
      <c r="T433" s="4">
        <f t="shared" ca="1" si="146"/>
        <v>7.8177340359240007E-7</v>
      </c>
      <c r="U433" s="120">
        <f t="shared" ca="1" si="147"/>
        <v>2051.2072530862838</v>
      </c>
      <c r="V433" s="4">
        <f t="shared" ca="1" si="148"/>
        <v>3.8460135995367921E-4</v>
      </c>
      <c r="W433" s="13">
        <f t="shared" ca="1" si="149"/>
        <v>0</v>
      </c>
      <c r="X433" s="4">
        <f t="shared" ca="1" si="150"/>
        <v>0</v>
      </c>
      <c r="Y433" s="4">
        <f t="shared" si="151"/>
        <v>0</v>
      </c>
      <c r="Z433" s="13">
        <f t="shared" ca="1" si="152"/>
        <v>0</v>
      </c>
      <c r="AA433" s="4">
        <f t="shared" ca="1" si="153"/>
        <v>0</v>
      </c>
      <c r="AE433" s="4"/>
    </row>
    <row r="434" spans="1:31">
      <c r="A434">
        <v>3</v>
      </c>
      <c r="B434">
        <v>1</v>
      </c>
      <c r="C434">
        <f t="shared" ca="1" si="132"/>
        <v>5</v>
      </c>
      <c r="D434">
        <f t="shared" ca="1" si="133"/>
        <v>4</v>
      </c>
      <c r="E434">
        <f t="shared" ca="1" si="134"/>
        <v>3</v>
      </c>
      <c r="F434" s="110">
        <f t="shared" ca="1" si="135"/>
        <v>0</v>
      </c>
      <c r="G434">
        <v>1</v>
      </c>
      <c r="H434">
        <v>1</v>
      </c>
      <c r="I434">
        <v>7</v>
      </c>
      <c r="J434" s="1">
        <f t="shared" ca="1" si="136"/>
        <v>0</v>
      </c>
      <c r="K434" s="1">
        <f t="shared" ca="1" si="137"/>
        <v>0</v>
      </c>
      <c r="L434" s="13">
        <f t="shared" ca="1" si="138"/>
        <v>595</v>
      </c>
      <c r="M434" s="7">
        <f t="shared" ca="1" si="139"/>
        <v>905</v>
      </c>
      <c r="N434" s="26">
        <f t="shared" ca="1" si="140"/>
        <v>4</v>
      </c>
      <c r="O434" s="44">
        <f t="shared" ca="1" si="141"/>
        <v>2.8886114468927948</v>
      </c>
      <c r="P434" s="44">
        <f t="shared" ca="1" si="142"/>
        <v>28.886114468927953</v>
      </c>
      <c r="Q434" s="44">
        <f t="shared" ca="1" si="143"/>
        <v>28.886114468927953</v>
      </c>
      <c r="R434" s="44">
        <f t="shared" ca="1" si="144"/>
        <v>2.8886114468927953</v>
      </c>
      <c r="S434" s="44">
        <f t="shared" ca="1" si="145"/>
        <v>2.8886114468927948</v>
      </c>
      <c r="T434" s="4">
        <f t="shared" ca="1" si="146"/>
        <v>0</v>
      </c>
      <c r="U434" s="120">
        <f t="shared" ca="1" si="147"/>
        <v>2083.7564194948759</v>
      </c>
      <c r="V434" s="4">
        <f t="shared" ca="1" si="148"/>
        <v>0</v>
      </c>
      <c r="W434" s="13">
        <f t="shared" ca="1" si="149"/>
        <v>47995.641000000003</v>
      </c>
      <c r="X434" s="4">
        <f t="shared" ca="1" si="150"/>
        <v>0</v>
      </c>
      <c r="Y434" s="4">
        <f t="shared" si="151"/>
        <v>0</v>
      </c>
      <c r="Z434" s="13">
        <f t="shared" ca="1" si="152"/>
        <v>47995.641000000003</v>
      </c>
      <c r="AA434" s="4">
        <f t="shared" ca="1" si="153"/>
        <v>0</v>
      </c>
      <c r="AE434" s="4"/>
    </row>
    <row r="435" spans="1:31">
      <c r="A435">
        <v>3</v>
      </c>
      <c r="B435">
        <v>1</v>
      </c>
      <c r="C435">
        <f t="shared" ca="1" si="132"/>
        <v>5</v>
      </c>
      <c r="D435">
        <f t="shared" ca="1" si="133"/>
        <v>4</v>
      </c>
      <c r="E435">
        <f t="shared" ca="1" si="134"/>
        <v>3</v>
      </c>
      <c r="F435" s="110">
        <f t="shared" ca="1" si="135"/>
        <v>0</v>
      </c>
      <c r="G435">
        <v>1</v>
      </c>
      <c r="H435">
        <v>1</v>
      </c>
      <c r="I435">
        <v>6</v>
      </c>
      <c r="J435" s="1">
        <f t="shared" ca="1" si="136"/>
        <v>0</v>
      </c>
      <c r="K435" s="1">
        <f t="shared" ca="1" si="137"/>
        <v>0</v>
      </c>
      <c r="L435" s="13">
        <f t="shared" ca="1" si="138"/>
        <v>576</v>
      </c>
      <c r="M435" s="7">
        <f t="shared" ca="1" si="139"/>
        <v>924</v>
      </c>
      <c r="N435" s="26">
        <f t="shared" ca="1" si="140"/>
        <v>4</v>
      </c>
      <c r="O435" s="44">
        <f t="shared" ca="1" si="141"/>
        <v>2.8886114468927948</v>
      </c>
      <c r="P435" s="44">
        <f t="shared" ca="1" si="142"/>
        <v>28.886114468927953</v>
      </c>
      <c r="Q435" s="44">
        <f t="shared" ca="1" si="143"/>
        <v>28.886114468927953</v>
      </c>
      <c r="R435" s="44">
        <f t="shared" ca="1" si="144"/>
        <v>2.8886114468927953</v>
      </c>
      <c r="S435" s="44">
        <f t="shared" ca="1" si="145"/>
        <v>2.8886114468927948</v>
      </c>
      <c r="T435" s="4">
        <f t="shared" ca="1" si="146"/>
        <v>0</v>
      </c>
      <c r="U435" s="120">
        <f t="shared" ca="1" si="147"/>
        <v>2064.7564194948759</v>
      </c>
      <c r="V435" s="4">
        <f t="shared" ca="1" si="148"/>
        <v>0</v>
      </c>
      <c r="W435" s="13">
        <f t="shared" ca="1" si="149"/>
        <v>45566.766000000003</v>
      </c>
      <c r="X435" s="4">
        <f t="shared" ca="1" si="150"/>
        <v>0</v>
      </c>
      <c r="Y435" s="4">
        <f t="shared" si="151"/>
        <v>0</v>
      </c>
      <c r="Z435" s="13">
        <f t="shared" ca="1" si="152"/>
        <v>45566.766000000003</v>
      </c>
      <c r="AA435" s="4">
        <f t="shared" ca="1" si="153"/>
        <v>0</v>
      </c>
      <c r="AE435" s="4"/>
    </row>
    <row r="436" spans="1:31">
      <c r="A436">
        <v>3</v>
      </c>
      <c r="B436">
        <v>1</v>
      </c>
      <c r="C436">
        <f t="shared" ca="1" si="132"/>
        <v>5</v>
      </c>
      <c r="D436">
        <f t="shared" ca="1" si="133"/>
        <v>4</v>
      </c>
      <c r="E436">
        <f t="shared" ca="1" si="134"/>
        <v>3</v>
      </c>
      <c r="F436" s="110">
        <f t="shared" ca="1" si="135"/>
        <v>0</v>
      </c>
      <c r="G436">
        <v>1</v>
      </c>
      <c r="H436">
        <v>1</v>
      </c>
      <c r="I436">
        <v>5</v>
      </c>
      <c r="J436" s="1">
        <f t="shared" ca="1" si="136"/>
        <v>0</v>
      </c>
      <c r="K436" s="1">
        <f t="shared" ca="1" si="137"/>
        <v>0</v>
      </c>
      <c r="L436" s="13">
        <f t="shared" ca="1" si="138"/>
        <v>557</v>
      </c>
      <c r="M436" s="7">
        <f t="shared" ca="1" si="139"/>
        <v>943</v>
      </c>
      <c r="N436" s="26">
        <f t="shared" ca="1" si="140"/>
        <v>4</v>
      </c>
      <c r="O436" s="44">
        <f t="shared" ca="1" si="141"/>
        <v>2.8886114468927948</v>
      </c>
      <c r="P436" s="44">
        <f t="shared" ca="1" si="142"/>
        <v>28.886114468927953</v>
      </c>
      <c r="Q436" s="44">
        <f t="shared" ca="1" si="143"/>
        <v>28.886114468927953</v>
      </c>
      <c r="R436" s="44">
        <f t="shared" ca="1" si="144"/>
        <v>2.8886114468927953</v>
      </c>
      <c r="S436" s="44">
        <f t="shared" ca="1" si="145"/>
        <v>2.8886114468927948</v>
      </c>
      <c r="T436" s="4">
        <f t="shared" ca="1" si="146"/>
        <v>0</v>
      </c>
      <c r="U436" s="120">
        <f t="shared" ca="1" si="147"/>
        <v>2045.7564194948757</v>
      </c>
      <c r="V436" s="4">
        <f t="shared" ca="1" si="148"/>
        <v>0</v>
      </c>
      <c r="W436" s="13">
        <f t="shared" ca="1" si="149"/>
        <v>43137.891000000003</v>
      </c>
      <c r="X436" s="4">
        <f t="shared" ca="1" si="150"/>
        <v>0</v>
      </c>
      <c r="Y436" s="4">
        <f t="shared" si="151"/>
        <v>0</v>
      </c>
      <c r="Z436" s="13">
        <f t="shared" ca="1" si="152"/>
        <v>43137.891000000003</v>
      </c>
      <c r="AA436" s="4">
        <f t="shared" ca="1" si="153"/>
        <v>0</v>
      </c>
      <c r="AE436" s="4"/>
    </row>
    <row r="437" spans="1:31">
      <c r="A437">
        <v>3</v>
      </c>
      <c r="B437">
        <v>1</v>
      </c>
      <c r="C437">
        <f t="shared" ca="1" si="132"/>
        <v>5</v>
      </c>
      <c r="D437">
        <f t="shared" ca="1" si="133"/>
        <v>4</v>
      </c>
      <c r="E437">
        <f t="shared" ca="1" si="134"/>
        <v>3</v>
      </c>
      <c r="F437" s="110">
        <f t="shared" ca="1" si="135"/>
        <v>0</v>
      </c>
      <c r="G437">
        <v>1</v>
      </c>
      <c r="H437">
        <v>1</v>
      </c>
      <c r="I437">
        <v>4</v>
      </c>
      <c r="J437" s="1">
        <f t="shared" ca="1" si="136"/>
        <v>0</v>
      </c>
      <c r="K437" s="1">
        <f t="shared" ca="1" si="137"/>
        <v>0</v>
      </c>
      <c r="L437" s="13">
        <f t="shared" ca="1" si="138"/>
        <v>538</v>
      </c>
      <c r="M437" s="7">
        <f t="shared" ca="1" si="139"/>
        <v>962</v>
      </c>
      <c r="N437" s="26">
        <f t="shared" ca="1" si="140"/>
        <v>4</v>
      </c>
      <c r="O437" s="44">
        <f t="shared" ca="1" si="141"/>
        <v>2.8886114468927948</v>
      </c>
      <c r="P437" s="44">
        <f t="shared" ca="1" si="142"/>
        <v>28.886114468927953</v>
      </c>
      <c r="Q437" s="44">
        <f t="shared" ca="1" si="143"/>
        <v>28.886114468927953</v>
      </c>
      <c r="R437" s="44">
        <f t="shared" ca="1" si="144"/>
        <v>2.8886114468927953</v>
      </c>
      <c r="S437" s="44">
        <f t="shared" ca="1" si="145"/>
        <v>2.8886114468927948</v>
      </c>
      <c r="T437" s="4">
        <f t="shared" ca="1" si="146"/>
        <v>0</v>
      </c>
      <c r="U437" s="120">
        <f t="shared" ca="1" si="147"/>
        <v>2026.7564194948757</v>
      </c>
      <c r="V437" s="4">
        <f t="shared" ca="1" si="148"/>
        <v>0</v>
      </c>
      <c r="W437" s="13">
        <f t="shared" ca="1" si="149"/>
        <v>40709.016000000003</v>
      </c>
      <c r="X437" s="4">
        <f t="shared" ca="1" si="150"/>
        <v>0</v>
      </c>
      <c r="Y437" s="4">
        <f t="shared" si="151"/>
        <v>0</v>
      </c>
      <c r="Z437" s="13">
        <f t="shared" ca="1" si="152"/>
        <v>40709.016000000003</v>
      </c>
      <c r="AA437" s="4">
        <f t="shared" ca="1" si="153"/>
        <v>0</v>
      </c>
      <c r="AE437" s="4"/>
    </row>
    <row r="438" spans="1:31">
      <c r="A438">
        <v>3</v>
      </c>
      <c r="B438">
        <v>1</v>
      </c>
      <c r="C438">
        <f t="shared" ca="1" si="132"/>
        <v>5</v>
      </c>
      <c r="D438">
        <f t="shared" ca="1" si="133"/>
        <v>4</v>
      </c>
      <c r="E438">
        <f t="shared" ca="1" si="134"/>
        <v>3</v>
      </c>
      <c r="F438" s="110">
        <f t="shared" ca="1" si="135"/>
        <v>0</v>
      </c>
      <c r="G438">
        <v>1</v>
      </c>
      <c r="H438">
        <v>1</v>
      </c>
      <c r="I438">
        <v>3</v>
      </c>
      <c r="J438" s="1">
        <f t="shared" ca="1" si="136"/>
        <v>0</v>
      </c>
      <c r="K438" s="1">
        <f t="shared" ca="1" si="137"/>
        <v>0</v>
      </c>
      <c r="L438" s="13">
        <f t="shared" ca="1" si="138"/>
        <v>519</v>
      </c>
      <c r="M438" s="7">
        <f t="shared" ca="1" si="139"/>
        <v>981</v>
      </c>
      <c r="N438" s="26">
        <f t="shared" ca="1" si="140"/>
        <v>4</v>
      </c>
      <c r="O438" s="44">
        <f t="shared" ca="1" si="141"/>
        <v>2.8886114468927948</v>
      </c>
      <c r="P438" s="44">
        <f t="shared" ca="1" si="142"/>
        <v>28.886114468927953</v>
      </c>
      <c r="Q438" s="44">
        <f t="shared" ca="1" si="143"/>
        <v>28.886114468927953</v>
      </c>
      <c r="R438" s="44">
        <f t="shared" ca="1" si="144"/>
        <v>2.8886114468927953</v>
      </c>
      <c r="S438" s="44">
        <f t="shared" ca="1" si="145"/>
        <v>2.8886114468927948</v>
      </c>
      <c r="T438" s="4">
        <f t="shared" ca="1" si="146"/>
        <v>0</v>
      </c>
      <c r="U438" s="120">
        <f t="shared" ca="1" si="147"/>
        <v>2007.7564194948757</v>
      </c>
      <c r="V438" s="4">
        <f t="shared" ca="1" si="148"/>
        <v>0</v>
      </c>
      <c r="W438" s="13">
        <f t="shared" ca="1" si="149"/>
        <v>38280.141000000003</v>
      </c>
      <c r="X438" s="4">
        <f t="shared" ca="1" si="150"/>
        <v>0</v>
      </c>
      <c r="Y438" s="4">
        <f t="shared" si="151"/>
        <v>0</v>
      </c>
      <c r="Z438" s="13">
        <f t="shared" ca="1" si="152"/>
        <v>38280.141000000003</v>
      </c>
      <c r="AA438" s="4">
        <f t="shared" ca="1" si="153"/>
        <v>0</v>
      </c>
      <c r="AE438" s="4"/>
    </row>
    <row r="439" spans="1:31">
      <c r="A439">
        <v>3</v>
      </c>
      <c r="B439">
        <v>1</v>
      </c>
      <c r="C439">
        <f t="shared" ca="1" si="132"/>
        <v>5</v>
      </c>
      <c r="D439">
        <f t="shared" ca="1" si="133"/>
        <v>4</v>
      </c>
      <c r="E439">
        <f t="shared" ca="1" si="134"/>
        <v>3</v>
      </c>
      <c r="F439" s="110">
        <f t="shared" ca="1" si="135"/>
        <v>0</v>
      </c>
      <c r="G439">
        <v>1</v>
      </c>
      <c r="H439">
        <v>1</v>
      </c>
      <c r="I439">
        <v>2</v>
      </c>
      <c r="J439" s="1">
        <f t="shared" ca="1" si="136"/>
        <v>0</v>
      </c>
      <c r="K439" s="1">
        <f t="shared" ca="1" si="137"/>
        <v>0</v>
      </c>
      <c r="L439" s="13">
        <f t="shared" ca="1" si="138"/>
        <v>500</v>
      </c>
      <c r="M439" s="7">
        <f t="shared" ca="1" si="139"/>
        <v>1000</v>
      </c>
      <c r="N439" s="26">
        <f t="shared" ca="1" si="140"/>
        <v>4</v>
      </c>
      <c r="O439" s="44">
        <f t="shared" ca="1" si="141"/>
        <v>2.8886114468927948</v>
      </c>
      <c r="P439" s="44">
        <f t="shared" ca="1" si="142"/>
        <v>28.886114468927953</v>
      </c>
      <c r="Q439" s="44">
        <f t="shared" ca="1" si="143"/>
        <v>28.886114468927953</v>
      </c>
      <c r="R439" s="44">
        <f t="shared" ca="1" si="144"/>
        <v>2.8886114468927953</v>
      </c>
      <c r="S439" s="44">
        <f t="shared" ca="1" si="145"/>
        <v>2.8886114468927948</v>
      </c>
      <c r="T439" s="4">
        <f t="shared" ca="1" si="146"/>
        <v>0</v>
      </c>
      <c r="U439" s="120">
        <f t="shared" ca="1" si="147"/>
        <v>1988.7564194948757</v>
      </c>
      <c r="V439" s="4">
        <f t="shared" ca="1" si="148"/>
        <v>0</v>
      </c>
      <c r="W439" s="13">
        <f t="shared" ca="1" si="149"/>
        <v>35851.266000000003</v>
      </c>
      <c r="X439" s="4">
        <f t="shared" ca="1" si="150"/>
        <v>0</v>
      </c>
      <c r="Y439" s="4">
        <f t="shared" si="151"/>
        <v>0</v>
      </c>
      <c r="Z439" s="13">
        <f t="shared" ca="1" si="152"/>
        <v>35851.266000000003</v>
      </c>
      <c r="AA439" s="4">
        <f t="shared" ca="1" si="153"/>
        <v>0</v>
      </c>
      <c r="AE439" s="4"/>
    </row>
    <row r="440" spans="1:31">
      <c r="A440">
        <v>3</v>
      </c>
      <c r="B440">
        <v>1</v>
      </c>
      <c r="C440">
        <f t="shared" ca="1" si="132"/>
        <v>5</v>
      </c>
      <c r="D440">
        <f t="shared" ca="1" si="133"/>
        <v>4</v>
      </c>
      <c r="E440">
        <f t="shared" ca="1" si="134"/>
        <v>3</v>
      </c>
      <c r="F440" s="110">
        <f t="shared" ca="1" si="135"/>
        <v>0</v>
      </c>
      <c r="G440">
        <v>1</v>
      </c>
      <c r="H440">
        <v>1</v>
      </c>
      <c r="I440">
        <v>1</v>
      </c>
      <c r="J440" s="1">
        <f t="shared" ca="1" si="136"/>
        <v>0</v>
      </c>
      <c r="K440" s="1">
        <f t="shared" ca="1" si="137"/>
        <v>0</v>
      </c>
      <c r="L440" s="13">
        <f t="shared" ca="1" si="138"/>
        <v>481</v>
      </c>
      <c r="M440" s="7">
        <f t="shared" ca="1" si="139"/>
        <v>1019</v>
      </c>
      <c r="N440" s="26">
        <f t="shared" ca="1" si="140"/>
        <v>4</v>
      </c>
      <c r="O440" s="44">
        <f t="shared" ca="1" si="141"/>
        <v>2.8886114468927948</v>
      </c>
      <c r="P440" s="44">
        <f t="shared" ca="1" si="142"/>
        <v>28.886114468927953</v>
      </c>
      <c r="Q440" s="44">
        <f t="shared" ca="1" si="143"/>
        <v>28.886114468927953</v>
      </c>
      <c r="R440" s="44">
        <f t="shared" ca="1" si="144"/>
        <v>2.8886114468927953</v>
      </c>
      <c r="S440" s="44">
        <f t="shared" ca="1" si="145"/>
        <v>2.8886114468927948</v>
      </c>
      <c r="T440" s="4">
        <f t="shared" ca="1" si="146"/>
        <v>0</v>
      </c>
      <c r="U440" s="120">
        <f t="shared" ca="1" si="147"/>
        <v>1969.7564194948757</v>
      </c>
      <c r="V440" s="4">
        <f t="shared" ca="1" si="148"/>
        <v>0</v>
      </c>
      <c r="W440" s="13">
        <f t="shared" ca="1" si="149"/>
        <v>33422.391000000003</v>
      </c>
      <c r="X440" s="4">
        <f t="shared" ca="1" si="150"/>
        <v>0</v>
      </c>
      <c r="Y440" s="4">
        <f t="shared" si="151"/>
        <v>0</v>
      </c>
      <c r="Z440" s="13">
        <f t="shared" ca="1" si="152"/>
        <v>33422.391000000003</v>
      </c>
      <c r="AA440" s="4">
        <f t="shared" ca="1" si="153"/>
        <v>0</v>
      </c>
      <c r="AE440" s="4"/>
    </row>
    <row r="441" spans="1:31">
      <c r="A441">
        <v>3</v>
      </c>
      <c r="B441">
        <v>1</v>
      </c>
      <c r="C441">
        <f t="shared" ca="1" si="132"/>
        <v>5</v>
      </c>
      <c r="D441">
        <f t="shared" ca="1" si="133"/>
        <v>4</v>
      </c>
      <c r="E441">
        <f t="shared" ca="1" si="134"/>
        <v>3</v>
      </c>
      <c r="F441" s="110">
        <f t="shared" ca="1" si="135"/>
        <v>0</v>
      </c>
      <c r="G441">
        <v>1</v>
      </c>
      <c r="H441">
        <v>1</v>
      </c>
      <c r="I441">
        <v>0</v>
      </c>
      <c r="J441" s="1">
        <f t="shared" ca="1" si="136"/>
        <v>0</v>
      </c>
      <c r="K441" s="1">
        <f t="shared" ca="1" si="137"/>
        <v>0</v>
      </c>
      <c r="L441" s="13">
        <f t="shared" ca="1" si="138"/>
        <v>462</v>
      </c>
      <c r="M441" s="7">
        <f t="shared" ca="1" si="139"/>
        <v>1038</v>
      </c>
      <c r="N441" s="26">
        <f t="shared" ca="1" si="140"/>
        <v>4</v>
      </c>
      <c r="O441" s="44">
        <f t="shared" ca="1" si="141"/>
        <v>2.8886114468927948</v>
      </c>
      <c r="P441" s="44">
        <f t="shared" ca="1" si="142"/>
        <v>28.886114468927953</v>
      </c>
      <c r="Q441" s="44">
        <f t="shared" ca="1" si="143"/>
        <v>28.886114468927953</v>
      </c>
      <c r="R441" s="44">
        <f t="shared" ca="1" si="144"/>
        <v>2.8886114468927953</v>
      </c>
      <c r="S441" s="44">
        <f t="shared" ca="1" si="145"/>
        <v>2.8886114468927948</v>
      </c>
      <c r="T441" s="4">
        <f t="shared" ca="1" si="146"/>
        <v>0</v>
      </c>
      <c r="U441" s="120">
        <f t="shared" ca="1" si="147"/>
        <v>1950.7564194948757</v>
      </c>
      <c r="V441" s="4">
        <f t="shared" ca="1" si="148"/>
        <v>0</v>
      </c>
      <c r="W441" s="13">
        <f t="shared" ca="1" si="149"/>
        <v>30993.516000000003</v>
      </c>
      <c r="X441" s="4">
        <f t="shared" ca="1" si="150"/>
        <v>0</v>
      </c>
      <c r="Y441" s="4">
        <f t="shared" si="151"/>
        <v>0</v>
      </c>
      <c r="Z441" s="13">
        <f t="shared" ca="1" si="152"/>
        <v>30993.516000000003</v>
      </c>
      <c r="AA441" s="4">
        <f t="shared" ca="1" si="153"/>
        <v>0</v>
      </c>
      <c r="AE441" s="4"/>
    </row>
    <row r="442" spans="1:31">
      <c r="A442">
        <v>3</v>
      </c>
      <c r="B442">
        <v>1</v>
      </c>
      <c r="C442">
        <f t="shared" ca="1" si="132"/>
        <v>5</v>
      </c>
      <c r="D442">
        <f t="shared" ca="1" si="133"/>
        <v>4</v>
      </c>
      <c r="E442">
        <f t="shared" ca="1" si="134"/>
        <v>3</v>
      </c>
      <c r="F442" s="110">
        <f t="shared" ca="1" si="135"/>
        <v>0</v>
      </c>
      <c r="G442">
        <v>1</v>
      </c>
      <c r="H442">
        <v>0</v>
      </c>
      <c r="I442">
        <v>7</v>
      </c>
      <c r="J442" s="1">
        <f t="shared" ca="1" si="136"/>
        <v>0</v>
      </c>
      <c r="K442" s="1">
        <f t="shared" ca="1" si="137"/>
        <v>0</v>
      </c>
      <c r="L442" s="13">
        <f t="shared" ca="1" si="138"/>
        <v>364</v>
      </c>
      <c r="M442" s="7">
        <f t="shared" ca="1" si="139"/>
        <v>1136</v>
      </c>
      <c r="N442" s="26">
        <f t="shared" ca="1" si="140"/>
        <v>5</v>
      </c>
      <c r="O442" s="44">
        <f t="shared" ca="1" si="141"/>
        <v>3.5346387789404914</v>
      </c>
      <c r="P442" s="44">
        <f t="shared" ca="1" si="142"/>
        <v>35.346387789404908</v>
      </c>
      <c r="Q442" s="44">
        <f t="shared" ca="1" si="143"/>
        <v>34.700360457357213</v>
      </c>
      <c r="R442" s="44">
        <f t="shared" ca="1" si="144"/>
        <v>3.5023374123381061</v>
      </c>
      <c r="S442" s="44">
        <f t="shared" ca="1" si="145"/>
        <v>3.532377683278324</v>
      </c>
      <c r="T442" s="4">
        <f t="shared" ca="1" si="146"/>
        <v>0</v>
      </c>
      <c r="U442" s="120">
        <f t="shared" ca="1" si="147"/>
        <v>2135.4497774977995</v>
      </c>
      <c r="V442" s="4">
        <f t="shared" ca="1" si="148"/>
        <v>0</v>
      </c>
      <c r="W442" s="13">
        <f t="shared" ca="1" si="149"/>
        <v>47995.641000000003</v>
      </c>
      <c r="X442" s="4">
        <f t="shared" ca="1" si="150"/>
        <v>0</v>
      </c>
      <c r="Y442" s="4">
        <f t="shared" si="151"/>
        <v>0</v>
      </c>
      <c r="Z442" s="13">
        <f t="shared" ca="1" si="152"/>
        <v>47995.641000000003</v>
      </c>
      <c r="AA442" s="4">
        <f t="shared" ca="1" si="153"/>
        <v>0</v>
      </c>
      <c r="AE442" s="4"/>
    </row>
    <row r="443" spans="1:31">
      <c r="A443">
        <v>3</v>
      </c>
      <c r="B443">
        <v>1</v>
      </c>
      <c r="C443">
        <f t="shared" ca="1" si="132"/>
        <v>5</v>
      </c>
      <c r="D443">
        <f t="shared" ca="1" si="133"/>
        <v>4</v>
      </c>
      <c r="E443">
        <f t="shared" ca="1" si="134"/>
        <v>3</v>
      </c>
      <c r="F443" s="110">
        <f t="shared" ca="1" si="135"/>
        <v>0</v>
      </c>
      <c r="G443">
        <v>1</v>
      </c>
      <c r="H443">
        <v>0</v>
      </c>
      <c r="I443">
        <v>6</v>
      </c>
      <c r="J443" s="1">
        <f t="shared" ca="1" si="136"/>
        <v>0</v>
      </c>
      <c r="K443" s="1">
        <f t="shared" ca="1" si="137"/>
        <v>0</v>
      </c>
      <c r="L443" s="13">
        <f t="shared" ca="1" si="138"/>
        <v>345</v>
      </c>
      <c r="M443" s="7">
        <f t="shared" ca="1" si="139"/>
        <v>1155</v>
      </c>
      <c r="N443" s="26">
        <f t="shared" ca="1" si="140"/>
        <v>5</v>
      </c>
      <c r="O443" s="44">
        <f t="shared" ca="1" si="141"/>
        <v>3.5346387789404914</v>
      </c>
      <c r="P443" s="44">
        <f t="shared" ca="1" si="142"/>
        <v>35.346387789404908</v>
      </c>
      <c r="Q443" s="44">
        <f t="shared" ca="1" si="143"/>
        <v>35.346387789404908</v>
      </c>
      <c r="R443" s="44">
        <f t="shared" ca="1" si="144"/>
        <v>3.5346387789404909</v>
      </c>
      <c r="S443" s="44">
        <f t="shared" ca="1" si="145"/>
        <v>3.5346387789404914</v>
      </c>
      <c r="T443" s="4">
        <f t="shared" ca="1" si="146"/>
        <v>0</v>
      </c>
      <c r="U443" s="120">
        <f t="shared" ca="1" si="147"/>
        <v>2117.4426794074939</v>
      </c>
      <c r="V443" s="4">
        <f t="shared" ca="1" si="148"/>
        <v>0</v>
      </c>
      <c r="W443" s="13">
        <f t="shared" ca="1" si="149"/>
        <v>45566.766000000003</v>
      </c>
      <c r="X443" s="4">
        <f t="shared" ca="1" si="150"/>
        <v>0</v>
      </c>
      <c r="Y443" s="4">
        <f t="shared" si="151"/>
        <v>0</v>
      </c>
      <c r="Z443" s="13">
        <f t="shared" ca="1" si="152"/>
        <v>45566.766000000003</v>
      </c>
      <c r="AA443" s="4">
        <f t="shared" ca="1" si="153"/>
        <v>0</v>
      </c>
      <c r="AE443" s="4"/>
    </row>
    <row r="444" spans="1:31">
      <c r="A444">
        <v>3</v>
      </c>
      <c r="B444">
        <v>1</v>
      </c>
      <c r="C444">
        <f t="shared" ca="1" si="132"/>
        <v>5</v>
      </c>
      <c r="D444">
        <f t="shared" ca="1" si="133"/>
        <v>4</v>
      </c>
      <c r="E444">
        <f t="shared" ca="1" si="134"/>
        <v>3</v>
      </c>
      <c r="F444" s="110">
        <f t="shared" ca="1" si="135"/>
        <v>0</v>
      </c>
      <c r="G444">
        <v>1</v>
      </c>
      <c r="H444">
        <v>0</v>
      </c>
      <c r="I444">
        <v>5</v>
      </c>
      <c r="J444" s="1">
        <f t="shared" ca="1" si="136"/>
        <v>0</v>
      </c>
      <c r="K444" s="1">
        <f t="shared" ca="1" si="137"/>
        <v>0</v>
      </c>
      <c r="L444" s="13">
        <f t="shared" ca="1" si="138"/>
        <v>326</v>
      </c>
      <c r="M444" s="7">
        <f t="shared" ca="1" si="139"/>
        <v>1174</v>
      </c>
      <c r="N444" s="26">
        <f t="shared" ca="1" si="140"/>
        <v>5</v>
      </c>
      <c r="O444" s="44">
        <f t="shared" ca="1" si="141"/>
        <v>3.5346387789404914</v>
      </c>
      <c r="P444" s="44">
        <f t="shared" ca="1" si="142"/>
        <v>35.346387789404908</v>
      </c>
      <c r="Q444" s="44">
        <f t="shared" ca="1" si="143"/>
        <v>35.346387789404908</v>
      </c>
      <c r="R444" s="44">
        <f t="shared" ca="1" si="144"/>
        <v>3.5346387789404909</v>
      </c>
      <c r="S444" s="44">
        <f t="shared" ca="1" si="145"/>
        <v>3.5346387789404914</v>
      </c>
      <c r="T444" s="4">
        <f t="shared" ca="1" si="146"/>
        <v>0</v>
      </c>
      <c r="U444" s="120">
        <f t="shared" ca="1" si="147"/>
        <v>2098.4426794074939</v>
      </c>
      <c r="V444" s="4">
        <f t="shared" ca="1" si="148"/>
        <v>0</v>
      </c>
      <c r="W444" s="13">
        <f t="shared" ca="1" si="149"/>
        <v>43137.891000000003</v>
      </c>
      <c r="X444" s="4">
        <f t="shared" ca="1" si="150"/>
        <v>0</v>
      </c>
      <c r="Y444" s="4">
        <f t="shared" si="151"/>
        <v>0</v>
      </c>
      <c r="Z444" s="13">
        <f t="shared" ca="1" si="152"/>
        <v>43137.891000000003</v>
      </c>
      <c r="AA444" s="4">
        <f t="shared" ca="1" si="153"/>
        <v>0</v>
      </c>
      <c r="AE444" s="4"/>
    </row>
    <row r="445" spans="1:31">
      <c r="A445">
        <v>3</v>
      </c>
      <c r="B445">
        <v>1</v>
      </c>
      <c r="C445">
        <f t="shared" ca="1" si="132"/>
        <v>5</v>
      </c>
      <c r="D445">
        <f t="shared" ca="1" si="133"/>
        <v>4</v>
      </c>
      <c r="E445">
        <f t="shared" ca="1" si="134"/>
        <v>3</v>
      </c>
      <c r="F445" s="110">
        <f t="shared" ca="1" si="135"/>
        <v>0</v>
      </c>
      <c r="G445">
        <v>1</v>
      </c>
      <c r="H445">
        <v>0</v>
      </c>
      <c r="I445">
        <v>4</v>
      </c>
      <c r="J445" s="1">
        <f t="shared" ca="1" si="136"/>
        <v>0.77378093749999999</v>
      </c>
      <c r="K445" s="1">
        <f t="shared" ca="1" si="137"/>
        <v>0</v>
      </c>
      <c r="L445" s="13">
        <f t="shared" ca="1" si="138"/>
        <v>307</v>
      </c>
      <c r="M445" s="7">
        <f t="shared" ca="1" si="139"/>
        <v>1193</v>
      </c>
      <c r="N445" s="26">
        <f t="shared" ca="1" si="140"/>
        <v>5</v>
      </c>
      <c r="O445" s="44">
        <f t="shared" ca="1" si="141"/>
        <v>3.5346387789404914</v>
      </c>
      <c r="P445" s="44">
        <f t="shared" ca="1" si="142"/>
        <v>35.346387789404908</v>
      </c>
      <c r="Q445" s="44">
        <f t="shared" ca="1" si="143"/>
        <v>35.346387789404908</v>
      </c>
      <c r="R445" s="44">
        <f t="shared" ca="1" si="144"/>
        <v>3.5346387789404909</v>
      </c>
      <c r="S445" s="44">
        <f t="shared" ca="1" si="145"/>
        <v>3.5346387789404914</v>
      </c>
      <c r="T445" s="4">
        <f t="shared" ca="1" si="146"/>
        <v>0</v>
      </c>
      <c r="U445" s="120">
        <f t="shared" ca="1" si="147"/>
        <v>2079.4426794074939</v>
      </c>
      <c r="V445" s="4">
        <f t="shared" ca="1" si="148"/>
        <v>0</v>
      </c>
      <c r="W445" s="13">
        <f t="shared" ca="1" si="149"/>
        <v>40709.016000000003</v>
      </c>
      <c r="X445" s="4">
        <f t="shared" ca="1" si="150"/>
        <v>0</v>
      </c>
      <c r="Y445" s="4">
        <f t="shared" si="151"/>
        <v>0</v>
      </c>
      <c r="Z445" s="13">
        <f t="shared" ca="1" si="152"/>
        <v>40709.016000000003</v>
      </c>
      <c r="AA445" s="4">
        <f t="shared" ca="1" si="153"/>
        <v>0</v>
      </c>
      <c r="AE445" s="4"/>
    </row>
    <row r="446" spans="1:31">
      <c r="A446">
        <v>3</v>
      </c>
      <c r="B446">
        <v>1</v>
      </c>
      <c r="C446">
        <f t="shared" ca="1" si="132"/>
        <v>5</v>
      </c>
      <c r="D446">
        <f t="shared" ca="1" si="133"/>
        <v>4</v>
      </c>
      <c r="E446">
        <f t="shared" ca="1" si="134"/>
        <v>3</v>
      </c>
      <c r="F446" s="110">
        <f t="shared" ca="1" si="135"/>
        <v>0</v>
      </c>
      <c r="G446">
        <v>1</v>
      </c>
      <c r="H446">
        <v>0</v>
      </c>
      <c r="I446">
        <v>3</v>
      </c>
      <c r="J446" s="1">
        <f t="shared" ca="1" si="136"/>
        <v>0.16290125000000011</v>
      </c>
      <c r="K446" s="1">
        <f t="shared" ca="1" si="137"/>
        <v>0</v>
      </c>
      <c r="L446" s="13">
        <f t="shared" ca="1" si="138"/>
        <v>288</v>
      </c>
      <c r="M446" s="7">
        <f t="shared" ca="1" si="139"/>
        <v>1212</v>
      </c>
      <c r="N446" s="26">
        <f t="shared" ca="1" si="140"/>
        <v>5</v>
      </c>
      <c r="O446" s="44">
        <f t="shared" ca="1" si="141"/>
        <v>3.5346387789404914</v>
      </c>
      <c r="P446" s="44">
        <f t="shared" ca="1" si="142"/>
        <v>35.346387789404908</v>
      </c>
      <c r="Q446" s="44">
        <f t="shared" ca="1" si="143"/>
        <v>35.346387789404908</v>
      </c>
      <c r="R446" s="44">
        <f t="shared" ca="1" si="144"/>
        <v>3.5346387789404909</v>
      </c>
      <c r="S446" s="44">
        <f t="shared" ca="1" si="145"/>
        <v>3.5346387789404914</v>
      </c>
      <c r="T446" s="4">
        <f t="shared" ca="1" si="146"/>
        <v>0</v>
      </c>
      <c r="U446" s="120">
        <f t="shared" ca="1" si="147"/>
        <v>2060.4426794074939</v>
      </c>
      <c r="V446" s="4">
        <f t="shared" ca="1" si="148"/>
        <v>0</v>
      </c>
      <c r="W446" s="13">
        <f t="shared" ca="1" si="149"/>
        <v>38280.141000000003</v>
      </c>
      <c r="X446" s="4">
        <f t="shared" ca="1" si="150"/>
        <v>0</v>
      </c>
      <c r="Y446" s="4">
        <f t="shared" si="151"/>
        <v>0</v>
      </c>
      <c r="Z446" s="13">
        <f t="shared" ca="1" si="152"/>
        <v>38280.141000000003</v>
      </c>
      <c r="AA446" s="4">
        <f t="shared" ca="1" si="153"/>
        <v>0</v>
      </c>
      <c r="AE446" s="4"/>
    </row>
    <row r="447" spans="1:31">
      <c r="A447">
        <v>3</v>
      </c>
      <c r="B447">
        <v>1</v>
      </c>
      <c r="C447">
        <f t="shared" ca="1" si="132"/>
        <v>5</v>
      </c>
      <c r="D447">
        <f t="shared" ca="1" si="133"/>
        <v>4</v>
      </c>
      <c r="E447">
        <f t="shared" ca="1" si="134"/>
        <v>3</v>
      </c>
      <c r="F447" s="110">
        <f t="shared" ca="1" si="135"/>
        <v>0</v>
      </c>
      <c r="G447">
        <v>1</v>
      </c>
      <c r="H447">
        <v>0</v>
      </c>
      <c r="I447">
        <v>2</v>
      </c>
      <c r="J447" s="1">
        <f t="shared" ca="1" si="136"/>
        <v>1.2860625000000021E-2</v>
      </c>
      <c r="K447" s="1">
        <f t="shared" ca="1" si="137"/>
        <v>0</v>
      </c>
      <c r="L447" s="13">
        <f t="shared" ca="1" si="138"/>
        <v>269</v>
      </c>
      <c r="M447" s="7">
        <f t="shared" ca="1" si="139"/>
        <v>1231</v>
      </c>
      <c r="N447" s="26">
        <f t="shared" ca="1" si="140"/>
        <v>5</v>
      </c>
      <c r="O447" s="44">
        <f t="shared" ca="1" si="141"/>
        <v>3.5346387789404914</v>
      </c>
      <c r="P447" s="44">
        <f t="shared" ca="1" si="142"/>
        <v>35.346387789404908</v>
      </c>
      <c r="Q447" s="44">
        <f t="shared" ca="1" si="143"/>
        <v>35.346387789404908</v>
      </c>
      <c r="R447" s="44">
        <f t="shared" ca="1" si="144"/>
        <v>3.5346387789404909</v>
      </c>
      <c r="S447" s="44">
        <f t="shared" ca="1" si="145"/>
        <v>3.5346387789404914</v>
      </c>
      <c r="T447" s="4">
        <f t="shared" ca="1" si="146"/>
        <v>0</v>
      </c>
      <c r="U447" s="120">
        <f t="shared" ca="1" si="147"/>
        <v>2041.4426794074936</v>
      </c>
      <c r="V447" s="4">
        <f t="shared" ca="1" si="148"/>
        <v>0</v>
      </c>
      <c r="W447" s="13">
        <f t="shared" ca="1" si="149"/>
        <v>35851.266000000003</v>
      </c>
      <c r="X447" s="4">
        <f t="shared" ca="1" si="150"/>
        <v>0</v>
      </c>
      <c r="Y447" s="4">
        <f t="shared" si="151"/>
        <v>0</v>
      </c>
      <c r="Z447" s="13">
        <f t="shared" ca="1" si="152"/>
        <v>35851.266000000003</v>
      </c>
      <c r="AA447" s="4">
        <f t="shared" ca="1" si="153"/>
        <v>0</v>
      </c>
      <c r="AE447" s="4"/>
    </row>
    <row r="448" spans="1:31">
      <c r="A448">
        <v>3</v>
      </c>
      <c r="B448">
        <v>1</v>
      </c>
      <c r="C448">
        <f t="shared" ca="1" si="132"/>
        <v>5</v>
      </c>
      <c r="D448">
        <f t="shared" ca="1" si="133"/>
        <v>4</v>
      </c>
      <c r="E448">
        <f t="shared" ca="1" si="134"/>
        <v>3</v>
      </c>
      <c r="F448" s="110">
        <f t="shared" ca="1" si="135"/>
        <v>0</v>
      </c>
      <c r="G448">
        <v>1</v>
      </c>
      <c r="H448">
        <v>0</v>
      </c>
      <c r="I448">
        <v>1</v>
      </c>
      <c r="J448" s="1">
        <f t="shared" ca="1" si="136"/>
        <v>4.5125000000000118E-4</v>
      </c>
      <c r="K448" s="1">
        <f t="shared" ca="1" si="137"/>
        <v>0</v>
      </c>
      <c r="L448" s="13">
        <f t="shared" ca="1" si="138"/>
        <v>250</v>
      </c>
      <c r="M448" s="7">
        <f t="shared" ca="1" si="139"/>
        <v>1250</v>
      </c>
      <c r="N448" s="26">
        <f t="shared" ca="1" si="140"/>
        <v>5</v>
      </c>
      <c r="O448" s="44">
        <f t="shared" ca="1" si="141"/>
        <v>3.5346387789404914</v>
      </c>
      <c r="P448" s="44">
        <f t="shared" ca="1" si="142"/>
        <v>35.346387789404908</v>
      </c>
      <c r="Q448" s="44">
        <f t="shared" ca="1" si="143"/>
        <v>35.346387789404908</v>
      </c>
      <c r="R448" s="44">
        <f t="shared" ca="1" si="144"/>
        <v>3.5346387789404909</v>
      </c>
      <c r="S448" s="44">
        <f t="shared" ca="1" si="145"/>
        <v>3.5346387789404914</v>
      </c>
      <c r="T448" s="4">
        <f t="shared" ca="1" si="146"/>
        <v>0</v>
      </c>
      <c r="U448" s="120">
        <f t="shared" ca="1" si="147"/>
        <v>2022.4426794074936</v>
      </c>
      <c r="V448" s="4">
        <f t="shared" ca="1" si="148"/>
        <v>0</v>
      </c>
      <c r="W448" s="13">
        <f t="shared" ca="1" si="149"/>
        <v>33422.391000000003</v>
      </c>
      <c r="X448" s="4">
        <f t="shared" ca="1" si="150"/>
        <v>0</v>
      </c>
      <c r="Y448" s="4">
        <f t="shared" si="151"/>
        <v>0</v>
      </c>
      <c r="Z448" s="13">
        <f t="shared" ca="1" si="152"/>
        <v>33422.391000000003</v>
      </c>
      <c r="AA448" s="4">
        <f t="shared" ca="1" si="153"/>
        <v>0</v>
      </c>
      <c r="AE448" s="4"/>
    </row>
    <row r="449" spans="1:31">
      <c r="A449">
        <v>3</v>
      </c>
      <c r="B449">
        <v>1</v>
      </c>
      <c r="C449">
        <f t="shared" ca="1" si="132"/>
        <v>5</v>
      </c>
      <c r="D449">
        <f t="shared" ca="1" si="133"/>
        <v>4</v>
      </c>
      <c r="E449">
        <f t="shared" ca="1" si="134"/>
        <v>3</v>
      </c>
      <c r="F449" s="110">
        <f t="shared" ca="1" si="135"/>
        <v>0</v>
      </c>
      <c r="G449">
        <v>1</v>
      </c>
      <c r="H449">
        <v>0</v>
      </c>
      <c r="I449">
        <v>0</v>
      </c>
      <c r="J449" s="1">
        <f t="shared" ca="1" si="136"/>
        <v>5.9375000000000207E-6</v>
      </c>
      <c r="K449" s="1">
        <f t="shared" ca="1" si="137"/>
        <v>0</v>
      </c>
      <c r="L449" s="13">
        <f t="shared" ca="1" si="138"/>
        <v>231</v>
      </c>
      <c r="M449" s="7">
        <f t="shared" ca="1" si="139"/>
        <v>1269</v>
      </c>
      <c r="N449" s="26">
        <f t="shared" ca="1" si="140"/>
        <v>5</v>
      </c>
      <c r="O449" s="44">
        <f t="shared" ca="1" si="141"/>
        <v>3.5346387789404914</v>
      </c>
      <c r="P449" s="44">
        <f t="shared" ca="1" si="142"/>
        <v>35.346387789404908</v>
      </c>
      <c r="Q449" s="44">
        <f t="shared" ca="1" si="143"/>
        <v>35.346387789404908</v>
      </c>
      <c r="R449" s="44">
        <f t="shared" ca="1" si="144"/>
        <v>3.5346387789404909</v>
      </c>
      <c r="S449" s="44">
        <f t="shared" ca="1" si="145"/>
        <v>3.5346387789404914</v>
      </c>
      <c r="T449" s="4">
        <f t="shared" ca="1" si="146"/>
        <v>0</v>
      </c>
      <c r="U449" s="120">
        <f t="shared" ca="1" si="147"/>
        <v>2003.4426794074936</v>
      </c>
      <c r="V449" s="4">
        <f t="shared" ca="1" si="148"/>
        <v>0</v>
      </c>
      <c r="W449" s="13">
        <f t="shared" ca="1" si="149"/>
        <v>30993.516000000003</v>
      </c>
      <c r="X449" s="4">
        <f t="shared" ca="1" si="150"/>
        <v>0</v>
      </c>
      <c r="Y449" s="4">
        <f t="shared" si="151"/>
        <v>0</v>
      </c>
      <c r="Z449" s="13">
        <f t="shared" ca="1" si="152"/>
        <v>30993.516000000003</v>
      </c>
      <c r="AA449" s="4">
        <f t="shared" ca="1" si="153"/>
        <v>0</v>
      </c>
      <c r="AE449" s="4"/>
    </row>
    <row r="450" spans="1:31">
      <c r="A450">
        <v>3</v>
      </c>
      <c r="B450">
        <v>1</v>
      </c>
      <c r="C450">
        <f t="shared" ca="1" si="132"/>
        <v>5</v>
      </c>
      <c r="D450">
        <f t="shared" ca="1" si="133"/>
        <v>4</v>
      </c>
      <c r="E450">
        <f t="shared" ca="1" si="134"/>
        <v>3</v>
      </c>
      <c r="F450" s="110">
        <f t="shared" ca="1" si="135"/>
        <v>0</v>
      </c>
      <c r="G450">
        <v>0</v>
      </c>
      <c r="H450">
        <v>1</v>
      </c>
      <c r="I450">
        <v>7</v>
      </c>
      <c r="J450" s="1">
        <f t="shared" ca="1" si="136"/>
        <v>0</v>
      </c>
      <c r="K450" s="1">
        <f t="shared" ca="1" si="137"/>
        <v>0</v>
      </c>
      <c r="L450" s="13">
        <f t="shared" ca="1" si="138"/>
        <v>364</v>
      </c>
      <c r="M450" s="7">
        <f t="shared" ca="1" si="139"/>
        <v>1136</v>
      </c>
      <c r="N450" s="26">
        <f t="shared" ca="1" si="140"/>
        <v>5</v>
      </c>
      <c r="O450" s="44">
        <f t="shared" ca="1" si="141"/>
        <v>3.5346387789404914</v>
      </c>
      <c r="P450" s="44">
        <f t="shared" ca="1" si="142"/>
        <v>35.346387789404908</v>
      </c>
      <c r="Q450" s="44">
        <f t="shared" ca="1" si="143"/>
        <v>34.700360457357213</v>
      </c>
      <c r="R450" s="44">
        <f t="shared" ca="1" si="144"/>
        <v>3.5023374123381061</v>
      </c>
      <c r="S450" s="44">
        <f t="shared" ca="1" si="145"/>
        <v>3.532377683278324</v>
      </c>
      <c r="T450" s="4">
        <f t="shared" ca="1" si="146"/>
        <v>0</v>
      </c>
      <c r="U450" s="120">
        <f t="shared" ca="1" si="147"/>
        <v>2135.4497774977995</v>
      </c>
      <c r="V450" s="4">
        <f t="shared" ca="1" si="148"/>
        <v>0</v>
      </c>
      <c r="W450" s="13">
        <f t="shared" ca="1" si="149"/>
        <v>17002.125</v>
      </c>
      <c r="X450" s="4">
        <f t="shared" ca="1" si="150"/>
        <v>0</v>
      </c>
      <c r="Y450" s="4">
        <f t="shared" si="151"/>
        <v>0</v>
      </c>
      <c r="Z450" s="13">
        <f t="shared" ca="1" si="152"/>
        <v>17002.125</v>
      </c>
      <c r="AA450" s="4">
        <f t="shared" ca="1" si="153"/>
        <v>0</v>
      </c>
      <c r="AE450" s="4"/>
    </row>
    <row r="451" spans="1:31">
      <c r="A451">
        <v>3</v>
      </c>
      <c r="B451">
        <v>1</v>
      </c>
      <c r="C451">
        <f t="shared" ca="1" si="132"/>
        <v>5</v>
      </c>
      <c r="D451">
        <f t="shared" ca="1" si="133"/>
        <v>4</v>
      </c>
      <c r="E451">
        <f t="shared" ca="1" si="134"/>
        <v>3</v>
      </c>
      <c r="F451" s="110">
        <f t="shared" ca="1" si="135"/>
        <v>0</v>
      </c>
      <c r="G451">
        <v>0</v>
      </c>
      <c r="H451">
        <v>1</v>
      </c>
      <c r="I451">
        <v>6</v>
      </c>
      <c r="J451" s="1">
        <f t="shared" ca="1" si="136"/>
        <v>0</v>
      </c>
      <c r="K451" s="1">
        <f t="shared" ca="1" si="137"/>
        <v>0</v>
      </c>
      <c r="L451" s="13">
        <f t="shared" ca="1" si="138"/>
        <v>345</v>
      </c>
      <c r="M451" s="7">
        <f t="shared" ca="1" si="139"/>
        <v>1155</v>
      </c>
      <c r="N451" s="26">
        <f t="shared" ca="1" si="140"/>
        <v>5</v>
      </c>
      <c r="O451" s="44">
        <f t="shared" ca="1" si="141"/>
        <v>3.5346387789404914</v>
      </c>
      <c r="P451" s="44">
        <f t="shared" ca="1" si="142"/>
        <v>35.346387789404908</v>
      </c>
      <c r="Q451" s="44">
        <f t="shared" ca="1" si="143"/>
        <v>35.346387789404908</v>
      </c>
      <c r="R451" s="44">
        <f t="shared" ca="1" si="144"/>
        <v>3.5346387789404909</v>
      </c>
      <c r="S451" s="44">
        <f t="shared" ca="1" si="145"/>
        <v>3.5346387789404914</v>
      </c>
      <c r="T451" s="4">
        <f t="shared" ca="1" si="146"/>
        <v>0</v>
      </c>
      <c r="U451" s="120">
        <f t="shared" ca="1" si="147"/>
        <v>2117.4426794074939</v>
      </c>
      <c r="V451" s="4">
        <f t="shared" ca="1" si="148"/>
        <v>0</v>
      </c>
      <c r="W451" s="13">
        <f t="shared" ca="1" si="149"/>
        <v>14573.25</v>
      </c>
      <c r="X451" s="4">
        <f t="shared" ca="1" si="150"/>
        <v>0</v>
      </c>
      <c r="Y451" s="4">
        <f t="shared" si="151"/>
        <v>0</v>
      </c>
      <c r="Z451" s="13">
        <f t="shared" ca="1" si="152"/>
        <v>14573.25</v>
      </c>
      <c r="AA451" s="4">
        <f t="shared" ca="1" si="153"/>
        <v>0</v>
      </c>
      <c r="AE451" s="4"/>
    </row>
    <row r="452" spans="1:31">
      <c r="A452">
        <v>3</v>
      </c>
      <c r="B452">
        <v>1</v>
      </c>
      <c r="C452">
        <f t="shared" ca="1" si="132"/>
        <v>5</v>
      </c>
      <c r="D452">
        <f t="shared" ca="1" si="133"/>
        <v>4</v>
      </c>
      <c r="E452">
        <f t="shared" ca="1" si="134"/>
        <v>3</v>
      </c>
      <c r="F452" s="110">
        <f t="shared" ca="1" si="135"/>
        <v>0</v>
      </c>
      <c r="G452">
        <v>0</v>
      </c>
      <c r="H452">
        <v>1</v>
      </c>
      <c r="I452">
        <v>5</v>
      </c>
      <c r="J452" s="1">
        <f t="shared" ca="1" si="136"/>
        <v>0</v>
      </c>
      <c r="K452" s="1">
        <f t="shared" ca="1" si="137"/>
        <v>0</v>
      </c>
      <c r="L452" s="13">
        <f t="shared" ca="1" si="138"/>
        <v>326</v>
      </c>
      <c r="M452" s="7">
        <f t="shared" ca="1" si="139"/>
        <v>1174</v>
      </c>
      <c r="N452" s="26">
        <f t="shared" ca="1" si="140"/>
        <v>5</v>
      </c>
      <c r="O452" s="44">
        <f t="shared" ca="1" si="141"/>
        <v>3.5346387789404914</v>
      </c>
      <c r="P452" s="44">
        <f t="shared" ca="1" si="142"/>
        <v>35.346387789404908</v>
      </c>
      <c r="Q452" s="44">
        <f t="shared" ca="1" si="143"/>
        <v>35.346387789404908</v>
      </c>
      <c r="R452" s="44">
        <f t="shared" ca="1" si="144"/>
        <v>3.5346387789404909</v>
      </c>
      <c r="S452" s="44">
        <f t="shared" ca="1" si="145"/>
        <v>3.5346387789404914</v>
      </c>
      <c r="T452" s="4">
        <f t="shared" ca="1" si="146"/>
        <v>0</v>
      </c>
      <c r="U452" s="120">
        <f t="shared" ca="1" si="147"/>
        <v>2098.4426794074939</v>
      </c>
      <c r="V452" s="4">
        <f t="shared" ca="1" si="148"/>
        <v>0</v>
      </c>
      <c r="W452" s="13">
        <f t="shared" ca="1" si="149"/>
        <v>12144.375</v>
      </c>
      <c r="X452" s="4">
        <f t="shared" ca="1" si="150"/>
        <v>0</v>
      </c>
      <c r="Y452" s="4">
        <f t="shared" si="151"/>
        <v>0</v>
      </c>
      <c r="Z452" s="13">
        <f t="shared" ca="1" si="152"/>
        <v>12144.375</v>
      </c>
      <c r="AA452" s="4">
        <f t="shared" ca="1" si="153"/>
        <v>0</v>
      </c>
      <c r="AE452" s="4"/>
    </row>
    <row r="453" spans="1:31">
      <c r="A453">
        <v>3</v>
      </c>
      <c r="B453">
        <v>1</v>
      </c>
      <c r="C453">
        <f t="shared" ca="1" si="132"/>
        <v>5</v>
      </c>
      <c r="D453">
        <f t="shared" ca="1" si="133"/>
        <v>4</v>
      </c>
      <c r="E453">
        <f t="shared" ca="1" si="134"/>
        <v>3</v>
      </c>
      <c r="F453" s="110">
        <f t="shared" ca="1" si="135"/>
        <v>0</v>
      </c>
      <c r="G453">
        <v>0</v>
      </c>
      <c r="H453">
        <v>1</v>
      </c>
      <c r="I453">
        <v>4</v>
      </c>
      <c r="J453" s="1">
        <f t="shared" ca="1" si="136"/>
        <v>0</v>
      </c>
      <c r="K453" s="1">
        <f t="shared" ca="1" si="137"/>
        <v>0</v>
      </c>
      <c r="L453" s="13">
        <f t="shared" ca="1" si="138"/>
        <v>307</v>
      </c>
      <c r="M453" s="7">
        <f t="shared" ca="1" si="139"/>
        <v>1193</v>
      </c>
      <c r="N453" s="26">
        <f t="shared" ca="1" si="140"/>
        <v>5</v>
      </c>
      <c r="O453" s="44">
        <f t="shared" ca="1" si="141"/>
        <v>3.5346387789404914</v>
      </c>
      <c r="P453" s="44">
        <f t="shared" ca="1" si="142"/>
        <v>35.346387789404908</v>
      </c>
      <c r="Q453" s="44">
        <f t="shared" ca="1" si="143"/>
        <v>35.346387789404908</v>
      </c>
      <c r="R453" s="44">
        <f t="shared" ca="1" si="144"/>
        <v>3.5346387789404909</v>
      </c>
      <c r="S453" s="44">
        <f t="shared" ca="1" si="145"/>
        <v>3.5346387789404914</v>
      </c>
      <c r="T453" s="4">
        <f t="shared" ca="1" si="146"/>
        <v>0</v>
      </c>
      <c r="U453" s="120">
        <f t="shared" ca="1" si="147"/>
        <v>2079.4426794074939</v>
      </c>
      <c r="V453" s="4">
        <f t="shared" ca="1" si="148"/>
        <v>0</v>
      </c>
      <c r="W453" s="13">
        <f t="shared" ca="1" si="149"/>
        <v>9715.5</v>
      </c>
      <c r="X453" s="4">
        <f t="shared" ca="1" si="150"/>
        <v>0</v>
      </c>
      <c r="Y453" s="4">
        <f t="shared" si="151"/>
        <v>0</v>
      </c>
      <c r="Z453" s="13">
        <f t="shared" ca="1" si="152"/>
        <v>9715.5</v>
      </c>
      <c r="AA453" s="4">
        <f t="shared" ca="1" si="153"/>
        <v>0</v>
      </c>
      <c r="AE453" s="4"/>
    </row>
    <row r="454" spans="1:31">
      <c r="A454">
        <v>3</v>
      </c>
      <c r="B454">
        <v>1</v>
      </c>
      <c r="C454">
        <f t="shared" ca="1" si="132"/>
        <v>5</v>
      </c>
      <c r="D454">
        <f t="shared" ca="1" si="133"/>
        <v>4</v>
      </c>
      <c r="E454">
        <f t="shared" ca="1" si="134"/>
        <v>3</v>
      </c>
      <c r="F454" s="110">
        <f t="shared" ca="1" si="135"/>
        <v>0</v>
      </c>
      <c r="G454">
        <v>0</v>
      </c>
      <c r="H454">
        <v>1</v>
      </c>
      <c r="I454">
        <v>3</v>
      </c>
      <c r="J454" s="1">
        <f t="shared" ca="1" si="136"/>
        <v>0</v>
      </c>
      <c r="K454" s="1">
        <f t="shared" ca="1" si="137"/>
        <v>0</v>
      </c>
      <c r="L454" s="13">
        <f t="shared" ca="1" si="138"/>
        <v>288</v>
      </c>
      <c r="M454" s="7">
        <f t="shared" ca="1" si="139"/>
        <v>1212</v>
      </c>
      <c r="N454" s="26">
        <f t="shared" ca="1" si="140"/>
        <v>5</v>
      </c>
      <c r="O454" s="44">
        <f t="shared" ca="1" si="141"/>
        <v>3.5346387789404914</v>
      </c>
      <c r="P454" s="44">
        <f t="shared" ca="1" si="142"/>
        <v>35.346387789404908</v>
      </c>
      <c r="Q454" s="44">
        <f t="shared" ca="1" si="143"/>
        <v>35.346387789404908</v>
      </c>
      <c r="R454" s="44">
        <f t="shared" ca="1" si="144"/>
        <v>3.5346387789404909</v>
      </c>
      <c r="S454" s="44">
        <f t="shared" ca="1" si="145"/>
        <v>3.5346387789404914</v>
      </c>
      <c r="T454" s="4">
        <f t="shared" ca="1" si="146"/>
        <v>0</v>
      </c>
      <c r="U454" s="120">
        <f t="shared" ca="1" si="147"/>
        <v>2060.4426794074939</v>
      </c>
      <c r="V454" s="4">
        <f t="shared" ca="1" si="148"/>
        <v>0</v>
      </c>
      <c r="W454" s="13">
        <f t="shared" ca="1" si="149"/>
        <v>7286.625</v>
      </c>
      <c r="X454" s="4">
        <f t="shared" ca="1" si="150"/>
        <v>0</v>
      </c>
      <c r="Y454" s="4">
        <f t="shared" si="151"/>
        <v>0</v>
      </c>
      <c r="Z454" s="13">
        <f t="shared" ca="1" si="152"/>
        <v>7286.625</v>
      </c>
      <c r="AA454" s="4">
        <f t="shared" ca="1" si="153"/>
        <v>0</v>
      </c>
      <c r="AE454" s="4"/>
    </row>
    <row r="455" spans="1:31">
      <c r="A455">
        <v>3</v>
      </c>
      <c r="B455">
        <v>1</v>
      </c>
      <c r="C455">
        <f t="shared" ca="1" si="132"/>
        <v>5</v>
      </c>
      <c r="D455">
        <f t="shared" ca="1" si="133"/>
        <v>4</v>
      </c>
      <c r="E455">
        <f t="shared" ca="1" si="134"/>
        <v>3</v>
      </c>
      <c r="F455" s="110">
        <f t="shared" ca="1" si="135"/>
        <v>0</v>
      </c>
      <c r="G455">
        <v>0</v>
      </c>
      <c r="H455">
        <v>1</v>
      </c>
      <c r="I455">
        <v>2</v>
      </c>
      <c r="J455" s="1">
        <f t="shared" ca="1" si="136"/>
        <v>0</v>
      </c>
      <c r="K455" s="1">
        <f t="shared" ca="1" si="137"/>
        <v>0</v>
      </c>
      <c r="L455" s="13">
        <f t="shared" ca="1" si="138"/>
        <v>269</v>
      </c>
      <c r="M455" s="7">
        <f t="shared" ca="1" si="139"/>
        <v>1231</v>
      </c>
      <c r="N455" s="26">
        <f t="shared" ca="1" si="140"/>
        <v>5</v>
      </c>
      <c r="O455" s="44">
        <f t="shared" ca="1" si="141"/>
        <v>3.5346387789404914</v>
      </c>
      <c r="P455" s="44">
        <f t="shared" ca="1" si="142"/>
        <v>35.346387789404908</v>
      </c>
      <c r="Q455" s="44">
        <f t="shared" ca="1" si="143"/>
        <v>35.346387789404908</v>
      </c>
      <c r="R455" s="44">
        <f t="shared" ca="1" si="144"/>
        <v>3.5346387789404909</v>
      </c>
      <c r="S455" s="44">
        <f t="shared" ca="1" si="145"/>
        <v>3.5346387789404914</v>
      </c>
      <c r="T455" s="4">
        <f t="shared" ca="1" si="146"/>
        <v>0</v>
      </c>
      <c r="U455" s="120">
        <f t="shared" ca="1" si="147"/>
        <v>2041.4426794074936</v>
      </c>
      <c r="V455" s="4">
        <f t="shared" ca="1" si="148"/>
        <v>0</v>
      </c>
      <c r="W455" s="13">
        <f t="shared" ca="1" si="149"/>
        <v>4857.75</v>
      </c>
      <c r="X455" s="4">
        <f t="shared" ca="1" si="150"/>
        <v>0</v>
      </c>
      <c r="Y455" s="4">
        <f t="shared" si="151"/>
        <v>0</v>
      </c>
      <c r="Z455" s="13">
        <f t="shared" ca="1" si="152"/>
        <v>4857.75</v>
      </c>
      <c r="AA455" s="4">
        <f t="shared" ca="1" si="153"/>
        <v>0</v>
      </c>
      <c r="AE455" s="4"/>
    </row>
    <row r="456" spans="1:31">
      <c r="A456">
        <v>3</v>
      </c>
      <c r="B456">
        <v>1</v>
      </c>
      <c r="C456">
        <f t="shared" ca="1" si="132"/>
        <v>5</v>
      </c>
      <c r="D456">
        <f t="shared" ca="1" si="133"/>
        <v>4</v>
      </c>
      <c r="E456">
        <f t="shared" ca="1" si="134"/>
        <v>3</v>
      </c>
      <c r="F456" s="110">
        <f t="shared" ca="1" si="135"/>
        <v>0</v>
      </c>
      <c r="G456">
        <v>0</v>
      </c>
      <c r="H456">
        <v>1</v>
      </c>
      <c r="I456">
        <v>1</v>
      </c>
      <c r="J456" s="1">
        <f t="shared" ca="1" si="136"/>
        <v>0</v>
      </c>
      <c r="K456" s="1">
        <f t="shared" ca="1" si="137"/>
        <v>0</v>
      </c>
      <c r="L456" s="13">
        <f t="shared" ca="1" si="138"/>
        <v>250</v>
      </c>
      <c r="M456" s="7">
        <f t="shared" ca="1" si="139"/>
        <v>1250</v>
      </c>
      <c r="N456" s="26">
        <f t="shared" ca="1" si="140"/>
        <v>5</v>
      </c>
      <c r="O456" s="44">
        <f t="shared" ca="1" si="141"/>
        <v>3.5346387789404914</v>
      </c>
      <c r="P456" s="44">
        <f t="shared" ca="1" si="142"/>
        <v>35.346387789404908</v>
      </c>
      <c r="Q456" s="44">
        <f t="shared" ca="1" si="143"/>
        <v>35.346387789404908</v>
      </c>
      <c r="R456" s="44">
        <f t="shared" ca="1" si="144"/>
        <v>3.5346387789404909</v>
      </c>
      <c r="S456" s="44">
        <f t="shared" ca="1" si="145"/>
        <v>3.5346387789404914</v>
      </c>
      <c r="T456" s="4">
        <f t="shared" ca="1" si="146"/>
        <v>0</v>
      </c>
      <c r="U456" s="120">
        <f t="shared" ca="1" si="147"/>
        <v>2022.4426794074936</v>
      </c>
      <c r="V456" s="4">
        <f t="shared" ca="1" si="148"/>
        <v>0</v>
      </c>
      <c r="W456" s="13">
        <f t="shared" ca="1" si="149"/>
        <v>2428.875</v>
      </c>
      <c r="X456" s="4">
        <f t="shared" ca="1" si="150"/>
        <v>0</v>
      </c>
      <c r="Y456" s="4">
        <f t="shared" si="151"/>
        <v>0</v>
      </c>
      <c r="Z456" s="13">
        <f t="shared" ca="1" si="152"/>
        <v>2428.875</v>
      </c>
      <c r="AA456" s="4">
        <f t="shared" ca="1" si="153"/>
        <v>0</v>
      </c>
      <c r="AE456" s="4"/>
    </row>
    <row r="457" spans="1:31">
      <c r="A457">
        <v>3</v>
      </c>
      <c r="B457">
        <v>1</v>
      </c>
      <c r="C457">
        <f t="shared" ca="1" si="132"/>
        <v>5</v>
      </c>
      <c r="D457">
        <f t="shared" ca="1" si="133"/>
        <v>4</v>
      </c>
      <c r="E457">
        <f t="shared" ca="1" si="134"/>
        <v>3</v>
      </c>
      <c r="F457" s="110">
        <f t="shared" ca="1" si="135"/>
        <v>0</v>
      </c>
      <c r="G457">
        <v>0</v>
      </c>
      <c r="H457">
        <v>1</v>
      </c>
      <c r="I457">
        <v>0</v>
      </c>
      <c r="J457" s="1">
        <f t="shared" ca="1" si="136"/>
        <v>0</v>
      </c>
      <c r="K457" s="1">
        <f t="shared" ca="1" si="137"/>
        <v>0</v>
      </c>
      <c r="L457" s="13">
        <f t="shared" ca="1" si="138"/>
        <v>231</v>
      </c>
      <c r="M457" s="7">
        <f t="shared" ca="1" si="139"/>
        <v>1269</v>
      </c>
      <c r="N457" s="26">
        <f t="shared" ca="1" si="140"/>
        <v>5</v>
      </c>
      <c r="O457" s="44">
        <f t="shared" ca="1" si="141"/>
        <v>3.5346387789404914</v>
      </c>
      <c r="P457" s="44">
        <f t="shared" ca="1" si="142"/>
        <v>35.346387789404908</v>
      </c>
      <c r="Q457" s="44">
        <f t="shared" ca="1" si="143"/>
        <v>35.346387789404908</v>
      </c>
      <c r="R457" s="44">
        <f t="shared" ca="1" si="144"/>
        <v>3.5346387789404909</v>
      </c>
      <c r="S457" s="44">
        <f t="shared" ca="1" si="145"/>
        <v>3.5346387789404914</v>
      </c>
      <c r="T457" s="4">
        <f t="shared" ca="1" si="146"/>
        <v>0</v>
      </c>
      <c r="U457" s="120">
        <f t="shared" ca="1" si="147"/>
        <v>2003.4426794074936</v>
      </c>
      <c r="V457" s="4">
        <f t="shared" ca="1" si="148"/>
        <v>0</v>
      </c>
      <c r="W457" s="13">
        <f t="shared" ca="1" si="149"/>
        <v>0</v>
      </c>
      <c r="X457" s="4">
        <f t="shared" ca="1" si="150"/>
        <v>0</v>
      </c>
      <c r="Y457" s="4">
        <f t="shared" si="151"/>
        <v>0</v>
      </c>
      <c r="Z457" s="13">
        <f t="shared" ca="1" si="152"/>
        <v>0</v>
      </c>
      <c r="AA457" s="4">
        <f t="shared" ca="1" si="153"/>
        <v>0</v>
      </c>
      <c r="AE457" s="4"/>
    </row>
    <row r="458" spans="1:31">
      <c r="A458">
        <v>3</v>
      </c>
      <c r="B458">
        <v>1</v>
      </c>
      <c r="C458">
        <f t="shared" ca="1" si="132"/>
        <v>5</v>
      </c>
      <c r="D458">
        <f t="shared" ca="1" si="133"/>
        <v>4</v>
      </c>
      <c r="E458">
        <f t="shared" ca="1" si="134"/>
        <v>3</v>
      </c>
      <c r="F458" s="110">
        <f t="shared" ca="1" si="135"/>
        <v>0</v>
      </c>
      <c r="G458">
        <v>0</v>
      </c>
      <c r="H458">
        <v>0</v>
      </c>
      <c r="I458">
        <v>7</v>
      </c>
      <c r="J458" s="1">
        <f t="shared" ca="1" si="136"/>
        <v>0</v>
      </c>
      <c r="K458" s="1">
        <f t="shared" ca="1" si="137"/>
        <v>0</v>
      </c>
      <c r="L458" s="13">
        <f t="shared" ca="1" si="138"/>
        <v>133</v>
      </c>
      <c r="M458" s="7">
        <f t="shared" ca="1" si="139"/>
        <v>1367</v>
      </c>
      <c r="N458" s="26">
        <f t="shared" ca="1" si="140"/>
        <v>5</v>
      </c>
      <c r="O458" s="44">
        <f t="shared" ca="1" si="141"/>
        <v>3.5346387789404914</v>
      </c>
      <c r="P458" s="44">
        <f t="shared" ca="1" si="142"/>
        <v>35.346387789404908</v>
      </c>
      <c r="Q458" s="44">
        <f t="shared" ca="1" si="143"/>
        <v>35.346387789404908</v>
      </c>
      <c r="R458" s="44">
        <f t="shared" ca="1" si="144"/>
        <v>3.5346387789404909</v>
      </c>
      <c r="S458" s="44">
        <f t="shared" ca="1" si="145"/>
        <v>3.5346387789404914</v>
      </c>
      <c r="T458" s="4">
        <f t="shared" ca="1" si="146"/>
        <v>0</v>
      </c>
      <c r="U458" s="120">
        <f t="shared" ca="1" si="147"/>
        <v>1905.4426794074936</v>
      </c>
      <c r="V458" s="4">
        <f t="shared" ca="1" si="148"/>
        <v>0</v>
      </c>
      <c r="W458" s="13">
        <f t="shared" ca="1" si="149"/>
        <v>17002.125</v>
      </c>
      <c r="X458" s="4">
        <f t="shared" ca="1" si="150"/>
        <v>0</v>
      </c>
      <c r="Y458" s="4">
        <f t="shared" si="151"/>
        <v>0</v>
      </c>
      <c r="Z458" s="13">
        <f t="shared" ca="1" si="152"/>
        <v>17002.125</v>
      </c>
      <c r="AA458" s="4">
        <f t="shared" ca="1" si="153"/>
        <v>0</v>
      </c>
      <c r="AE458" s="4"/>
    </row>
    <row r="459" spans="1:31">
      <c r="A459">
        <v>3</v>
      </c>
      <c r="B459">
        <v>1</v>
      </c>
      <c r="C459">
        <f t="shared" ca="1" si="132"/>
        <v>5</v>
      </c>
      <c r="D459">
        <f t="shared" ca="1" si="133"/>
        <v>4</v>
      </c>
      <c r="E459">
        <f t="shared" ca="1" si="134"/>
        <v>3</v>
      </c>
      <c r="F459" s="110">
        <f t="shared" ca="1" si="135"/>
        <v>0</v>
      </c>
      <c r="G459">
        <v>0</v>
      </c>
      <c r="H459">
        <v>0</v>
      </c>
      <c r="I459">
        <v>6</v>
      </c>
      <c r="J459" s="1">
        <f t="shared" ca="1" si="136"/>
        <v>0</v>
      </c>
      <c r="K459" s="1">
        <f t="shared" ca="1" si="137"/>
        <v>0</v>
      </c>
      <c r="L459" s="13">
        <f t="shared" ca="1" si="138"/>
        <v>114</v>
      </c>
      <c r="M459" s="7">
        <f t="shared" ca="1" si="139"/>
        <v>1386</v>
      </c>
      <c r="N459" s="26">
        <f t="shared" ca="1" si="140"/>
        <v>5</v>
      </c>
      <c r="O459" s="44">
        <f t="shared" ca="1" si="141"/>
        <v>3.5346387789404914</v>
      </c>
      <c r="P459" s="44">
        <f t="shared" ca="1" si="142"/>
        <v>35.346387789404908</v>
      </c>
      <c r="Q459" s="44">
        <f t="shared" ca="1" si="143"/>
        <v>35.346387789404908</v>
      </c>
      <c r="R459" s="44">
        <f t="shared" ca="1" si="144"/>
        <v>3.5346387789404909</v>
      </c>
      <c r="S459" s="44">
        <f t="shared" ca="1" si="145"/>
        <v>3.5346387789404914</v>
      </c>
      <c r="T459" s="4">
        <f t="shared" ca="1" si="146"/>
        <v>0</v>
      </c>
      <c r="U459" s="120">
        <f t="shared" ca="1" si="147"/>
        <v>1886.4426794074936</v>
      </c>
      <c r="V459" s="4">
        <f t="shared" ca="1" si="148"/>
        <v>0</v>
      </c>
      <c r="W459" s="13">
        <f t="shared" ca="1" si="149"/>
        <v>14573.25</v>
      </c>
      <c r="X459" s="4">
        <f t="shared" ca="1" si="150"/>
        <v>0</v>
      </c>
      <c r="Y459" s="4">
        <f t="shared" si="151"/>
        <v>0</v>
      </c>
      <c r="Z459" s="13">
        <f t="shared" ca="1" si="152"/>
        <v>14573.25</v>
      </c>
      <c r="AA459" s="4">
        <f t="shared" ca="1" si="153"/>
        <v>0</v>
      </c>
      <c r="AE459" s="4"/>
    </row>
    <row r="460" spans="1:31">
      <c r="A460">
        <v>3</v>
      </c>
      <c r="B460">
        <v>1</v>
      </c>
      <c r="C460">
        <f t="shared" ca="1" si="132"/>
        <v>5</v>
      </c>
      <c r="D460">
        <f t="shared" ca="1" si="133"/>
        <v>4</v>
      </c>
      <c r="E460">
        <f t="shared" ca="1" si="134"/>
        <v>3</v>
      </c>
      <c r="F460" s="110">
        <f t="shared" ca="1" si="135"/>
        <v>0</v>
      </c>
      <c r="G460">
        <v>0</v>
      </c>
      <c r="H460">
        <v>0</v>
      </c>
      <c r="I460">
        <v>5</v>
      </c>
      <c r="J460" s="1">
        <f t="shared" ca="1" si="136"/>
        <v>0</v>
      </c>
      <c r="K460" s="1">
        <f t="shared" ca="1" si="137"/>
        <v>0</v>
      </c>
      <c r="L460" s="13">
        <f t="shared" ca="1" si="138"/>
        <v>95</v>
      </c>
      <c r="M460" s="7">
        <f t="shared" ca="1" si="139"/>
        <v>1405</v>
      </c>
      <c r="N460" s="26">
        <f t="shared" ca="1" si="140"/>
        <v>6</v>
      </c>
      <c r="O460" s="44">
        <f t="shared" ca="1" si="141"/>
        <v>4.1694581524927896</v>
      </c>
      <c r="P460" s="44">
        <f t="shared" ca="1" si="142"/>
        <v>41.059762151375594</v>
      </c>
      <c r="Q460" s="44">
        <f t="shared" ca="1" si="143"/>
        <v>35.346387789404908</v>
      </c>
      <c r="R460" s="44">
        <f t="shared" ca="1" si="144"/>
        <v>3.8203074970390247</v>
      </c>
      <c r="S460" s="44">
        <f t="shared" ca="1" si="145"/>
        <v>4.1450176066110256</v>
      </c>
      <c r="T460" s="4">
        <f t="shared" ca="1" si="146"/>
        <v>0</v>
      </c>
      <c r="U460" s="120">
        <f t="shared" ca="1" si="147"/>
        <v>2135.4748169996506</v>
      </c>
      <c r="V460" s="4">
        <f t="shared" ca="1" si="148"/>
        <v>0</v>
      </c>
      <c r="W460" s="13">
        <f t="shared" ca="1" si="149"/>
        <v>12144.375</v>
      </c>
      <c r="X460" s="4">
        <f t="shared" ca="1" si="150"/>
        <v>0</v>
      </c>
      <c r="Y460" s="4">
        <f t="shared" si="151"/>
        <v>0</v>
      </c>
      <c r="Z460" s="13">
        <f t="shared" ca="1" si="152"/>
        <v>12144.375</v>
      </c>
      <c r="AA460" s="4">
        <f t="shared" ca="1" si="153"/>
        <v>0</v>
      </c>
      <c r="AE460" s="4"/>
    </row>
    <row r="461" spans="1:31">
      <c r="A461">
        <v>3</v>
      </c>
      <c r="B461">
        <v>1</v>
      </c>
      <c r="C461">
        <f t="shared" ca="1" si="132"/>
        <v>5</v>
      </c>
      <c r="D461">
        <f t="shared" ca="1" si="133"/>
        <v>4</v>
      </c>
      <c r="E461">
        <f t="shared" ca="1" si="134"/>
        <v>3</v>
      </c>
      <c r="F461" s="110">
        <f t="shared" ca="1" si="135"/>
        <v>0</v>
      </c>
      <c r="G461">
        <v>0</v>
      </c>
      <c r="H461">
        <v>0</v>
      </c>
      <c r="I461">
        <v>4</v>
      </c>
      <c r="J461" s="1">
        <f t="shared" ca="1" si="136"/>
        <v>4.0725312499999999E-2</v>
      </c>
      <c r="K461" s="1">
        <f t="shared" ca="1" si="137"/>
        <v>0</v>
      </c>
      <c r="L461" s="13">
        <f t="shared" ca="1" si="138"/>
        <v>76</v>
      </c>
      <c r="M461" s="7">
        <f t="shared" ca="1" si="139"/>
        <v>1424</v>
      </c>
      <c r="N461" s="26">
        <f t="shared" ca="1" si="140"/>
        <v>6</v>
      </c>
      <c r="O461" s="44">
        <f t="shared" ca="1" si="141"/>
        <v>4.1694581524927896</v>
      </c>
      <c r="P461" s="44">
        <f t="shared" ca="1" si="142"/>
        <v>41.694581524927891</v>
      </c>
      <c r="Q461" s="44">
        <f t="shared" ca="1" si="143"/>
        <v>41.694581524927891</v>
      </c>
      <c r="R461" s="44">
        <f t="shared" ca="1" si="144"/>
        <v>4.1694581524927887</v>
      </c>
      <c r="S461" s="44">
        <f t="shared" ca="1" si="145"/>
        <v>4.1694581524927896</v>
      </c>
      <c r="T461" s="4">
        <f t="shared" ca="1" si="146"/>
        <v>0</v>
      </c>
      <c r="U461" s="120">
        <f t="shared" ca="1" si="147"/>
        <v>2127.2072530862838</v>
      </c>
      <c r="V461" s="4">
        <f t="shared" ca="1" si="148"/>
        <v>0</v>
      </c>
      <c r="W461" s="13">
        <f t="shared" ca="1" si="149"/>
        <v>9715.5</v>
      </c>
      <c r="X461" s="4">
        <f t="shared" ca="1" si="150"/>
        <v>0</v>
      </c>
      <c r="Y461" s="4">
        <f t="shared" si="151"/>
        <v>0</v>
      </c>
      <c r="Z461" s="13">
        <f t="shared" ca="1" si="152"/>
        <v>9715.5</v>
      </c>
      <c r="AA461" s="4">
        <f t="shared" ca="1" si="153"/>
        <v>0</v>
      </c>
      <c r="AE461" s="4"/>
    </row>
    <row r="462" spans="1:31">
      <c r="A462">
        <v>3</v>
      </c>
      <c r="B462">
        <v>1</v>
      </c>
      <c r="C462">
        <f t="shared" ca="1" si="132"/>
        <v>5</v>
      </c>
      <c r="D462">
        <f t="shared" ca="1" si="133"/>
        <v>4</v>
      </c>
      <c r="E462">
        <f t="shared" ca="1" si="134"/>
        <v>3</v>
      </c>
      <c r="F462" s="110">
        <f t="shared" ca="1" si="135"/>
        <v>0</v>
      </c>
      <c r="G462">
        <v>0</v>
      </c>
      <c r="H462">
        <v>0</v>
      </c>
      <c r="I462">
        <v>3</v>
      </c>
      <c r="J462" s="1">
        <f t="shared" ca="1" si="136"/>
        <v>8.5737500000000067E-3</v>
      </c>
      <c r="K462" s="1">
        <f t="shared" ca="1" si="137"/>
        <v>0</v>
      </c>
      <c r="L462" s="13">
        <f t="shared" ca="1" si="138"/>
        <v>57</v>
      </c>
      <c r="M462" s="7">
        <f t="shared" ca="1" si="139"/>
        <v>1443</v>
      </c>
      <c r="N462" s="26">
        <f t="shared" ca="1" si="140"/>
        <v>6</v>
      </c>
      <c r="O462" s="44">
        <f t="shared" ca="1" si="141"/>
        <v>4.1694581524927896</v>
      </c>
      <c r="P462" s="44">
        <f t="shared" ca="1" si="142"/>
        <v>41.694581524927891</v>
      </c>
      <c r="Q462" s="44">
        <f t="shared" ca="1" si="143"/>
        <v>41.694581524927891</v>
      </c>
      <c r="R462" s="44">
        <f t="shared" ca="1" si="144"/>
        <v>4.1694581524927887</v>
      </c>
      <c r="S462" s="44">
        <f t="shared" ca="1" si="145"/>
        <v>4.1694581524927896</v>
      </c>
      <c r="T462" s="4">
        <f t="shared" ca="1" si="146"/>
        <v>0</v>
      </c>
      <c r="U462" s="120">
        <f t="shared" ca="1" si="147"/>
        <v>2108.2072530862838</v>
      </c>
      <c r="V462" s="4">
        <f t="shared" ca="1" si="148"/>
        <v>0</v>
      </c>
      <c r="W462" s="13">
        <f t="shared" ca="1" si="149"/>
        <v>7286.625</v>
      </c>
      <c r="X462" s="4">
        <f t="shared" ca="1" si="150"/>
        <v>0</v>
      </c>
      <c r="Y462" s="4">
        <f t="shared" si="151"/>
        <v>0</v>
      </c>
      <c r="Z462" s="13">
        <f t="shared" ca="1" si="152"/>
        <v>7286.625</v>
      </c>
      <c r="AA462" s="4">
        <f t="shared" ca="1" si="153"/>
        <v>0</v>
      </c>
      <c r="AE462" s="4"/>
    </row>
    <row r="463" spans="1:31">
      <c r="A463">
        <v>3</v>
      </c>
      <c r="B463">
        <v>1</v>
      </c>
      <c r="C463">
        <f t="shared" ca="1" si="132"/>
        <v>5</v>
      </c>
      <c r="D463">
        <f t="shared" ca="1" si="133"/>
        <v>4</v>
      </c>
      <c r="E463">
        <f t="shared" ca="1" si="134"/>
        <v>3</v>
      </c>
      <c r="F463" s="110">
        <f t="shared" ca="1" si="135"/>
        <v>0</v>
      </c>
      <c r="G463">
        <v>0</v>
      </c>
      <c r="H463">
        <v>0</v>
      </c>
      <c r="I463">
        <v>2</v>
      </c>
      <c r="J463" s="1">
        <f t="shared" ca="1" si="136"/>
        <v>6.7687500000000126E-4</v>
      </c>
      <c r="K463" s="1">
        <f t="shared" ca="1" si="137"/>
        <v>0</v>
      </c>
      <c r="L463" s="13">
        <f t="shared" ca="1" si="138"/>
        <v>38</v>
      </c>
      <c r="M463" s="7">
        <f t="shared" ca="1" si="139"/>
        <v>1462</v>
      </c>
      <c r="N463" s="26">
        <f t="shared" ca="1" si="140"/>
        <v>6</v>
      </c>
      <c r="O463" s="44">
        <f t="shared" ca="1" si="141"/>
        <v>4.1694581524927896</v>
      </c>
      <c r="P463" s="44">
        <f t="shared" ca="1" si="142"/>
        <v>41.694581524927891</v>
      </c>
      <c r="Q463" s="44">
        <f t="shared" ca="1" si="143"/>
        <v>41.694581524927891</v>
      </c>
      <c r="R463" s="44">
        <f t="shared" ca="1" si="144"/>
        <v>4.1694581524927887</v>
      </c>
      <c r="S463" s="44">
        <f t="shared" ca="1" si="145"/>
        <v>4.1694581524927896</v>
      </c>
      <c r="T463" s="4">
        <f t="shared" ca="1" si="146"/>
        <v>0</v>
      </c>
      <c r="U463" s="120">
        <f t="shared" ca="1" si="147"/>
        <v>2089.2072530862838</v>
      </c>
      <c r="V463" s="4">
        <f t="shared" ca="1" si="148"/>
        <v>0</v>
      </c>
      <c r="W463" s="13">
        <f t="shared" ca="1" si="149"/>
        <v>4857.75</v>
      </c>
      <c r="X463" s="4">
        <f t="shared" ca="1" si="150"/>
        <v>0</v>
      </c>
      <c r="Y463" s="4">
        <f t="shared" si="151"/>
        <v>0</v>
      </c>
      <c r="Z463" s="13">
        <f t="shared" ca="1" si="152"/>
        <v>4857.75</v>
      </c>
      <c r="AA463" s="4">
        <f t="shared" ca="1" si="153"/>
        <v>0</v>
      </c>
      <c r="AE463" s="4"/>
    </row>
    <row r="464" spans="1:31">
      <c r="A464">
        <v>3</v>
      </c>
      <c r="B464">
        <v>1</v>
      </c>
      <c r="C464">
        <f t="shared" ca="1" si="132"/>
        <v>5</v>
      </c>
      <c r="D464">
        <f t="shared" ca="1" si="133"/>
        <v>4</v>
      </c>
      <c r="E464">
        <f t="shared" ca="1" si="134"/>
        <v>3</v>
      </c>
      <c r="F464" s="110">
        <f t="shared" ca="1" si="135"/>
        <v>0</v>
      </c>
      <c r="G464">
        <v>0</v>
      </c>
      <c r="H464">
        <v>0</v>
      </c>
      <c r="I464">
        <v>1</v>
      </c>
      <c r="J464" s="1">
        <f t="shared" ca="1" si="136"/>
        <v>2.3750000000000062E-5</v>
      </c>
      <c r="K464" s="1">
        <f t="shared" ca="1" si="137"/>
        <v>0</v>
      </c>
      <c r="L464" s="13">
        <f t="shared" ca="1" si="138"/>
        <v>19</v>
      </c>
      <c r="M464" s="7">
        <f t="shared" ca="1" si="139"/>
        <v>1481</v>
      </c>
      <c r="N464" s="26">
        <f t="shared" ca="1" si="140"/>
        <v>6</v>
      </c>
      <c r="O464" s="44">
        <f t="shared" ca="1" si="141"/>
        <v>4.1694581524927896</v>
      </c>
      <c r="P464" s="44">
        <f t="shared" ca="1" si="142"/>
        <v>41.694581524927891</v>
      </c>
      <c r="Q464" s="44">
        <f t="shared" ca="1" si="143"/>
        <v>41.694581524927891</v>
      </c>
      <c r="R464" s="44">
        <f t="shared" ca="1" si="144"/>
        <v>4.1694581524927887</v>
      </c>
      <c r="S464" s="44">
        <f t="shared" ca="1" si="145"/>
        <v>4.1694581524927896</v>
      </c>
      <c r="T464" s="4">
        <f t="shared" ca="1" si="146"/>
        <v>0</v>
      </c>
      <c r="U464" s="120">
        <f t="shared" ca="1" si="147"/>
        <v>2070.2072530862838</v>
      </c>
      <c r="V464" s="4">
        <f t="shared" ca="1" si="148"/>
        <v>0</v>
      </c>
      <c r="W464" s="13">
        <f t="shared" ca="1" si="149"/>
        <v>2428.875</v>
      </c>
      <c r="X464" s="4">
        <f t="shared" ca="1" si="150"/>
        <v>0</v>
      </c>
      <c r="Y464" s="4">
        <f t="shared" si="151"/>
        <v>0</v>
      </c>
      <c r="Z464" s="13">
        <f t="shared" ca="1" si="152"/>
        <v>2428.875</v>
      </c>
      <c r="AA464" s="4">
        <f t="shared" ca="1" si="153"/>
        <v>0</v>
      </c>
      <c r="AE464" s="4"/>
    </row>
    <row r="465" spans="1:31">
      <c r="A465">
        <v>3</v>
      </c>
      <c r="B465">
        <v>1</v>
      </c>
      <c r="C465">
        <f t="shared" ca="1" si="132"/>
        <v>5</v>
      </c>
      <c r="D465">
        <f t="shared" ca="1" si="133"/>
        <v>4</v>
      </c>
      <c r="E465">
        <f t="shared" ca="1" si="134"/>
        <v>3</v>
      </c>
      <c r="F465" s="110">
        <f t="shared" ca="1" si="135"/>
        <v>0</v>
      </c>
      <c r="G465">
        <v>0</v>
      </c>
      <c r="H465">
        <v>0</v>
      </c>
      <c r="I465">
        <v>0</v>
      </c>
      <c r="J465" s="1">
        <f t="shared" ca="1" si="136"/>
        <v>3.1250000000000114E-7</v>
      </c>
      <c r="K465" s="1">
        <f t="shared" ca="1" si="137"/>
        <v>0</v>
      </c>
      <c r="L465" s="13">
        <f t="shared" ca="1" si="138"/>
        <v>0</v>
      </c>
      <c r="M465" s="7">
        <f t="shared" ca="1" si="139"/>
        <v>1500</v>
      </c>
      <c r="N465" s="26">
        <f t="shared" ca="1" si="140"/>
        <v>6</v>
      </c>
      <c r="O465" s="44">
        <f t="shared" ca="1" si="141"/>
        <v>4.1694581524927896</v>
      </c>
      <c r="P465" s="44">
        <f t="shared" ca="1" si="142"/>
        <v>41.694581524927891</v>
      </c>
      <c r="Q465" s="44">
        <f t="shared" ca="1" si="143"/>
        <v>41.694581524927891</v>
      </c>
      <c r="R465" s="44">
        <f t="shared" ca="1" si="144"/>
        <v>4.1694581524927887</v>
      </c>
      <c r="S465" s="44">
        <f t="shared" ca="1" si="145"/>
        <v>4.1694581524927896</v>
      </c>
      <c r="T465" s="4">
        <f t="shared" ca="1" si="146"/>
        <v>0</v>
      </c>
      <c r="U465" s="120">
        <f t="shared" ca="1" si="147"/>
        <v>2051.2072530862838</v>
      </c>
      <c r="V465" s="4">
        <f t="shared" ca="1" si="148"/>
        <v>0</v>
      </c>
      <c r="W465" s="13">
        <f t="shared" ca="1" si="149"/>
        <v>0</v>
      </c>
      <c r="X465" s="4">
        <f t="shared" ca="1" si="150"/>
        <v>0</v>
      </c>
      <c r="Y465" s="4">
        <f t="shared" si="151"/>
        <v>0</v>
      </c>
      <c r="Z465" s="13">
        <f t="shared" ca="1" si="152"/>
        <v>0</v>
      </c>
      <c r="AA465" s="4">
        <f t="shared" ca="1" si="153"/>
        <v>0</v>
      </c>
      <c r="AE465" s="4"/>
    </row>
    <row r="466" spans="1:31">
      <c r="A466">
        <v>3</v>
      </c>
      <c r="B466">
        <v>2</v>
      </c>
      <c r="C466">
        <f t="shared" ref="C466:C529" ca="1" si="154">MIN(8, 1+$B$10+$B$9+A466+B466)</f>
        <v>6</v>
      </c>
      <c r="D466">
        <f t="shared" ref="D466:D529" ca="1" si="155">C466-(1+$B$10)</f>
        <v>5</v>
      </c>
      <c r="E466">
        <f t="shared" ref="E466:E529" ca="1" si="156">MIN(A466, C466-(1+$B$10+$B$9))</f>
        <v>3</v>
      </c>
      <c r="F466" s="110">
        <f t="shared" ref="F466:F529" ca="1" si="157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58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59">F466*J466</f>
        <v>0</v>
      </c>
      <c r="L466" s="13">
        <f t="shared" ref="L466:L529" ca="1" si="160">MAX((G466+H466)*Set1WSTP + I466*$B$6, Set1SaveTP)</f>
        <v>595</v>
      </c>
      <c r="M466" s="7">
        <f t="shared" ref="M466:M529" ca="1" si="161">MAX(Set1MinTP-(L466+Set1Regain), 0)</f>
        <v>905</v>
      </c>
      <c r="N466" s="26">
        <f t="shared" ref="N466:N529" ca="1" si="162">CEILING(M466/Set1MeleeTP, 1)</f>
        <v>4</v>
      </c>
      <c r="O466" s="44">
        <f t="shared" ref="O466:O529" ca="1" si="163">VLOOKUP(N466,AvgRoundsSet1,2)</f>
        <v>2.8886114468927948</v>
      </c>
      <c r="P466" s="44">
        <f t="shared" ref="P466:P529" ca="1" si="164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28.886114468927953</v>
      </c>
      <c r="Q466" s="44">
        <f t="shared" ref="Q466:Q529" ca="1" si="165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28.886114468927953</v>
      </c>
      <c r="R466" s="44">
        <f t="shared" ref="R466:R529" ca="1" si="166">(P466+Q466)/20</f>
        <v>2.8886114468927953</v>
      </c>
      <c r="S466" s="44">
        <f t="shared" ref="S466:S529" ca="1" si="167">R466*Set1ConserveTP + O466*(1-Set1ConserveTP)</f>
        <v>2.8886114468927948</v>
      </c>
      <c r="T466" s="4">
        <f t="shared" ref="T466:T529" ca="1" si="168">K466*S466</f>
        <v>0</v>
      </c>
      <c r="U466" s="120">
        <f t="shared" ref="U466:U529" ca="1" si="169">MIN(L466+(S466+Set1OverTP)*AvgHitsPerRound1*Set1MeleeTP + Set1Regain + 10.5*Set1ConserveTP, 3000)</f>
        <v>2083.7564194948759</v>
      </c>
      <c r="V466" s="4">
        <f t="shared" ref="V466:V529" ca="1" si="170">U466*K466</f>
        <v>0</v>
      </c>
      <c r="W466" s="13">
        <f t="shared" ref="W466:W529" ca="1" si="171">G466*$K$10*((1-$L$10)*$L$14 + $L$10*$M$14*$M$10)*Set1WSDmg + H466*$K$13*((1-$L$13)*$L$15 + $L$13*$M$15*$M$11) + I466*$K$11*((1-$L$11)*$L$14 + $L$11*$M$14*$M$11) + E466*$K$12*$L$12*$M$10</f>
        <v>47995.641000000003</v>
      </c>
      <c r="X466" s="4">
        <f t="shared" ref="X466:X529" ca="1" si="172">K466*W466</f>
        <v>0</v>
      </c>
      <c r="Y466" s="4">
        <f t="shared" ref="Y466:Y529" si="173">IF($B$12=1, (VLOOKUP(C466, IF($B$13=10%,Souleater10,Souleater12), 6, FALSE) * $B$14), 0)</f>
        <v>0</v>
      </c>
      <c r="Z466" s="13">
        <f t="shared" ca="1" si="152"/>
        <v>47995.641000000003</v>
      </c>
      <c r="AA466" s="4">
        <f t="shared" ca="1" si="153"/>
        <v>0</v>
      </c>
      <c r="AE466" s="4"/>
    </row>
    <row r="467" spans="1:31">
      <c r="A467">
        <v>3</v>
      </c>
      <c r="B467">
        <v>2</v>
      </c>
      <c r="C467">
        <f t="shared" ca="1" si="154"/>
        <v>6</v>
      </c>
      <c r="D467">
        <f t="shared" ca="1" si="155"/>
        <v>5</v>
      </c>
      <c r="E467">
        <f t="shared" ca="1" si="156"/>
        <v>3</v>
      </c>
      <c r="F467" s="110">
        <f t="shared" ca="1" si="157"/>
        <v>0</v>
      </c>
      <c r="G467">
        <v>1</v>
      </c>
      <c r="H467">
        <v>1</v>
      </c>
      <c r="I467">
        <v>6</v>
      </c>
      <c r="J467" s="1">
        <f t="shared" ca="1" si="158"/>
        <v>0</v>
      </c>
      <c r="K467" s="1">
        <f t="shared" ca="1" si="159"/>
        <v>0</v>
      </c>
      <c r="L467" s="13">
        <f t="shared" ca="1" si="160"/>
        <v>576</v>
      </c>
      <c r="M467" s="7">
        <f t="shared" ca="1" si="161"/>
        <v>924</v>
      </c>
      <c r="N467" s="26">
        <f t="shared" ca="1" si="162"/>
        <v>4</v>
      </c>
      <c r="O467" s="44">
        <f t="shared" ca="1" si="163"/>
        <v>2.8886114468927948</v>
      </c>
      <c r="P467" s="44">
        <f t="shared" ca="1" si="164"/>
        <v>28.886114468927953</v>
      </c>
      <c r="Q467" s="44">
        <f t="shared" ca="1" si="165"/>
        <v>28.886114468927953</v>
      </c>
      <c r="R467" s="44">
        <f t="shared" ca="1" si="166"/>
        <v>2.8886114468927953</v>
      </c>
      <c r="S467" s="44">
        <f t="shared" ca="1" si="167"/>
        <v>2.8886114468927948</v>
      </c>
      <c r="T467" s="4">
        <f t="shared" ca="1" si="168"/>
        <v>0</v>
      </c>
      <c r="U467" s="120">
        <f t="shared" ca="1" si="169"/>
        <v>2064.7564194948759</v>
      </c>
      <c r="V467" s="4">
        <f t="shared" ca="1" si="170"/>
        <v>0</v>
      </c>
      <c r="W467" s="13">
        <f t="shared" ca="1" si="171"/>
        <v>45566.766000000003</v>
      </c>
      <c r="X467" s="4">
        <f t="shared" ca="1" si="172"/>
        <v>0</v>
      </c>
      <c r="Y467" s="4">
        <f t="shared" si="173"/>
        <v>0</v>
      </c>
      <c r="Z467" s="13">
        <f t="shared" ref="Z467:Z529" ca="1" si="174">Y467+W467</f>
        <v>45566.766000000003</v>
      </c>
      <c r="AA467" s="4">
        <f t="shared" ref="AA467:AA529" ca="1" si="175">Z467*K467</f>
        <v>0</v>
      </c>
      <c r="AE467" s="4"/>
    </row>
    <row r="468" spans="1:31">
      <c r="A468">
        <v>3</v>
      </c>
      <c r="B468">
        <v>2</v>
      </c>
      <c r="C468">
        <f t="shared" ca="1" si="154"/>
        <v>6</v>
      </c>
      <c r="D468">
        <f t="shared" ca="1" si="155"/>
        <v>5</v>
      </c>
      <c r="E468">
        <f t="shared" ca="1" si="156"/>
        <v>3</v>
      </c>
      <c r="F468" s="110">
        <f t="shared" ca="1" si="157"/>
        <v>0</v>
      </c>
      <c r="G468">
        <v>1</v>
      </c>
      <c r="H468">
        <v>1</v>
      </c>
      <c r="I468">
        <v>5</v>
      </c>
      <c r="J468" s="1">
        <f t="shared" ca="1" si="158"/>
        <v>0</v>
      </c>
      <c r="K468" s="1">
        <f t="shared" ca="1" si="159"/>
        <v>0</v>
      </c>
      <c r="L468" s="13">
        <f t="shared" ca="1" si="160"/>
        <v>557</v>
      </c>
      <c r="M468" s="7">
        <f t="shared" ca="1" si="161"/>
        <v>943</v>
      </c>
      <c r="N468" s="26">
        <f t="shared" ca="1" si="162"/>
        <v>4</v>
      </c>
      <c r="O468" s="44">
        <f t="shared" ca="1" si="163"/>
        <v>2.8886114468927948</v>
      </c>
      <c r="P468" s="44">
        <f t="shared" ca="1" si="164"/>
        <v>28.886114468927953</v>
      </c>
      <c r="Q468" s="44">
        <f t="shared" ca="1" si="165"/>
        <v>28.886114468927953</v>
      </c>
      <c r="R468" s="44">
        <f t="shared" ca="1" si="166"/>
        <v>2.8886114468927953</v>
      </c>
      <c r="S468" s="44">
        <f t="shared" ca="1" si="167"/>
        <v>2.8886114468927948</v>
      </c>
      <c r="T468" s="4">
        <f t="shared" ca="1" si="168"/>
        <v>0</v>
      </c>
      <c r="U468" s="120">
        <f t="shared" ca="1" si="169"/>
        <v>2045.7564194948757</v>
      </c>
      <c r="V468" s="4">
        <f t="shared" ca="1" si="170"/>
        <v>0</v>
      </c>
      <c r="W468" s="13">
        <f t="shared" ca="1" si="171"/>
        <v>43137.891000000003</v>
      </c>
      <c r="X468" s="4">
        <f t="shared" ca="1" si="172"/>
        <v>0</v>
      </c>
      <c r="Y468" s="4">
        <f t="shared" si="173"/>
        <v>0</v>
      </c>
      <c r="Z468" s="13">
        <f t="shared" ca="1" si="174"/>
        <v>43137.891000000003</v>
      </c>
      <c r="AA468" s="4">
        <f t="shared" ca="1" si="175"/>
        <v>0</v>
      </c>
      <c r="AE468" s="4"/>
    </row>
    <row r="469" spans="1:31">
      <c r="A469">
        <v>3</v>
      </c>
      <c r="B469">
        <v>2</v>
      </c>
      <c r="C469">
        <f t="shared" ca="1" si="154"/>
        <v>6</v>
      </c>
      <c r="D469">
        <f t="shared" ca="1" si="155"/>
        <v>5</v>
      </c>
      <c r="E469">
        <f t="shared" ca="1" si="156"/>
        <v>3</v>
      </c>
      <c r="F469" s="110">
        <f t="shared" ca="1" si="157"/>
        <v>0</v>
      </c>
      <c r="G469">
        <v>1</v>
      </c>
      <c r="H469">
        <v>1</v>
      </c>
      <c r="I469">
        <v>4</v>
      </c>
      <c r="J469" s="1">
        <f t="shared" ca="1" si="158"/>
        <v>0</v>
      </c>
      <c r="K469" s="1">
        <f t="shared" ca="1" si="159"/>
        <v>0</v>
      </c>
      <c r="L469" s="13">
        <f t="shared" ca="1" si="160"/>
        <v>538</v>
      </c>
      <c r="M469" s="7">
        <f t="shared" ca="1" si="161"/>
        <v>962</v>
      </c>
      <c r="N469" s="26">
        <f t="shared" ca="1" si="162"/>
        <v>4</v>
      </c>
      <c r="O469" s="44">
        <f t="shared" ca="1" si="163"/>
        <v>2.8886114468927948</v>
      </c>
      <c r="P469" s="44">
        <f t="shared" ca="1" si="164"/>
        <v>28.886114468927953</v>
      </c>
      <c r="Q469" s="44">
        <f t="shared" ca="1" si="165"/>
        <v>28.886114468927953</v>
      </c>
      <c r="R469" s="44">
        <f t="shared" ca="1" si="166"/>
        <v>2.8886114468927953</v>
      </c>
      <c r="S469" s="44">
        <f t="shared" ca="1" si="167"/>
        <v>2.8886114468927948</v>
      </c>
      <c r="T469" s="4">
        <f t="shared" ca="1" si="168"/>
        <v>0</v>
      </c>
      <c r="U469" s="120">
        <f t="shared" ca="1" si="169"/>
        <v>2026.7564194948757</v>
      </c>
      <c r="V469" s="4">
        <f t="shared" ca="1" si="170"/>
        <v>0</v>
      </c>
      <c r="W469" s="13">
        <f t="shared" ca="1" si="171"/>
        <v>40709.016000000003</v>
      </c>
      <c r="X469" s="4">
        <f t="shared" ca="1" si="172"/>
        <v>0</v>
      </c>
      <c r="Y469" s="4">
        <f t="shared" si="173"/>
        <v>0</v>
      </c>
      <c r="Z469" s="13">
        <f t="shared" ca="1" si="174"/>
        <v>40709.016000000003</v>
      </c>
      <c r="AA469" s="4">
        <f t="shared" ca="1" si="175"/>
        <v>0</v>
      </c>
      <c r="AE469" s="4"/>
    </row>
    <row r="470" spans="1:31">
      <c r="A470">
        <v>3</v>
      </c>
      <c r="B470">
        <v>2</v>
      </c>
      <c r="C470">
        <f t="shared" ca="1" si="154"/>
        <v>6</v>
      </c>
      <c r="D470">
        <f t="shared" ca="1" si="155"/>
        <v>5</v>
      </c>
      <c r="E470">
        <f t="shared" ca="1" si="156"/>
        <v>3</v>
      </c>
      <c r="F470" s="110">
        <f t="shared" ca="1" si="157"/>
        <v>0</v>
      </c>
      <c r="G470">
        <v>1</v>
      </c>
      <c r="H470">
        <v>1</v>
      </c>
      <c r="I470">
        <v>3</v>
      </c>
      <c r="J470" s="1">
        <f t="shared" ca="1" si="158"/>
        <v>0</v>
      </c>
      <c r="K470" s="1">
        <f t="shared" ca="1" si="159"/>
        <v>0</v>
      </c>
      <c r="L470" s="13">
        <f t="shared" ca="1" si="160"/>
        <v>519</v>
      </c>
      <c r="M470" s="7">
        <f t="shared" ca="1" si="161"/>
        <v>981</v>
      </c>
      <c r="N470" s="26">
        <f t="shared" ca="1" si="162"/>
        <v>4</v>
      </c>
      <c r="O470" s="44">
        <f t="shared" ca="1" si="163"/>
        <v>2.8886114468927948</v>
      </c>
      <c r="P470" s="44">
        <f t="shared" ca="1" si="164"/>
        <v>28.886114468927953</v>
      </c>
      <c r="Q470" s="44">
        <f t="shared" ca="1" si="165"/>
        <v>28.886114468927953</v>
      </c>
      <c r="R470" s="44">
        <f t="shared" ca="1" si="166"/>
        <v>2.8886114468927953</v>
      </c>
      <c r="S470" s="44">
        <f t="shared" ca="1" si="167"/>
        <v>2.8886114468927948</v>
      </c>
      <c r="T470" s="4">
        <f t="shared" ca="1" si="168"/>
        <v>0</v>
      </c>
      <c r="U470" s="120">
        <f t="shared" ca="1" si="169"/>
        <v>2007.7564194948757</v>
      </c>
      <c r="V470" s="4">
        <f t="shared" ca="1" si="170"/>
        <v>0</v>
      </c>
      <c r="W470" s="13">
        <f t="shared" ca="1" si="171"/>
        <v>38280.141000000003</v>
      </c>
      <c r="X470" s="4">
        <f t="shared" ca="1" si="172"/>
        <v>0</v>
      </c>
      <c r="Y470" s="4">
        <f t="shared" si="173"/>
        <v>0</v>
      </c>
      <c r="Z470" s="13">
        <f t="shared" ca="1" si="174"/>
        <v>38280.141000000003</v>
      </c>
      <c r="AA470" s="4">
        <f t="shared" ca="1" si="175"/>
        <v>0</v>
      </c>
      <c r="AE470" s="4"/>
    </row>
    <row r="471" spans="1:31">
      <c r="A471">
        <v>3</v>
      </c>
      <c r="B471">
        <v>2</v>
      </c>
      <c r="C471">
        <f t="shared" ca="1" si="154"/>
        <v>6</v>
      </c>
      <c r="D471">
        <f t="shared" ca="1" si="155"/>
        <v>5</v>
      </c>
      <c r="E471">
        <f t="shared" ca="1" si="156"/>
        <v>3</v>
      </c>
      <c r="F471" s="110">
        <f t="shared" ca="1" si="157"/>
        <v>0</v>
      </c>
      <c r="G471">
        <v>1</v>
      </c>
      <c r="H471">
        <v>1</v>
      </c>
      <c r="I471">
        <v>2</v>
      </c>
      <c r="J471" s="1">
        <f t="shared" ca="1" si="158"/>
        <v>0</v>
      </c>
      <c r="K471" s="1">
        <f t="shared" ca="1" si="159"/>
        <v>0</v>
      </c>
      <c r="L471" s="13">
        <f t="shared" ca="1" si="160"/>
        <v>500</v>
      </c>
      <c r="M471" s="7">
        <f t="shared" ca="1" si="161"/>
        <v>1000</v>
      </c>
      <c r="N471" s="26">
        <f t="shared" ca="1" si="162"/>
        <v>4</v>
      </c>
      <c r="O471" s="44">
        <f t="shared" ca="1" si="163"/>
        <v>2.8886114468927948</v>
      </c>
      <c r="P471" s="44">
        <f t="shared" ca="1" si="164"/>
        <v>28.886114468927953</v>
      </c>
      <c r="Q471" s="44">
        <f t="shared" ca="1" si="165"/>
        <v>28.886114468927953</v>
      </c>
      <c r="R471" s="44">
        <f t="shared" ca="1" si="166"/>
        <v>2.8886114468927953</v>
      </c>
      <c r="S471" s="44">
        <f t="shared" ca="1" si="167"/>
        <v>2.8886114468927948</v>
      </c>
      <c r="T471" s="4">
        <f t="shared" ca="1" si="168"/>
        <v>0</v>
      </c>
      <c r="U471" s="120">
        <f t="shared" ca="1" si="169"/>
        <v>1988.7564194948757</v>
      </c>
      <c r="V471" s="4">
        <f t="shared" ca="1" si="170"/>
        <v>0</v>
      </c>
      <c r="W471" s="13">
        <f t="shared" ca="1" si="171"/>
        <v>35851.266000000003</v>
      </c>
      <c r="X471" s="4">
        <f t="shared" ca="1" si="172"/>
        <v>0</v>
      </c>
      <c r="Y471" s="4">
        <f t="shared" si="173"/>
        <v>0</v>
      </c>
      <c r="Z471" s="13">
        <f t="shared" ca="1" si="174"/>
        <v>35851.266000000003</v>
      </c>
      <c r="AA471" s="4">
        <f t="shared" ca="1" si="175"/>
        <v>0</v>
      </c>
      <c r="AE471" s="4"/>
    </row>
    <row r="472" spans="1:31">
      <c r="A472">
        <v>3</v>
      </c>
      <c r="B472">
        <v>2</v>
      </c>
      <c r="C472">
        <f t="shared" ca="1" si="154"/>
        <v>6</v>
      </c>
      <c r="D472">
        <f t="shared" ca="1" si="155"/>
        <v>5</v>
      </c>
      <c r="E472">
        <f t="shared" ca="1" si="156"/>
        <v>3</v>
      </c>
      <c r="F472" s="110">
        <f t="shared" ca="1" si="157"/>
        <v>0</v>
      </c>
      <c r="G472">
        <v>1</v>
      </c>
      <c r="H472">
        <v>1</v>
      </c>
      <c r="I472">
        <v>1</v>
      </c>
      <c r="J472" s="1">
        <f t="shared" ca="1" si="158"/>
        <v>0</v>
      </c>
      <c r="K472" s="1">
        <f t="shared" ca="1" si="159"/>
        <v>0</v>
      </c>
      <c r="L472" s="13">
        <f t="shared" ca="1" si="160"/>
        <v>481</v>
      </c>
      <c r="M472" s="7">
        <f t="shared" ca="1" si="161"/>
        <v>1019</v>
      </c>
      <c r="N472" s="26">
        <f t="shared" ca="1" si="162"/>
        <v>4</v>
      </c>
      <c r="O472" s="44">
        <f t="shared" ca="1" si="163"/>
        <v>2.8886114468927948</v>
      </c>
      <c r="P472" s="44">
        <f t="shared" ca="1" si="164"/>
        <v>28.886114468927953</v>
      </c>
      <c r="Q472" s="44">
        <f t="shared" ca="1" si="165"/>
        <v>28.886114468927953</v>
      </c>
      <c r="R472" s="44">
        <f t="shared" ca="1" si="166"/>
        <v>2.8886114468927953</v>
      </c>
      <c r="S472" s="44">
        <f t="shared" ca="1" si="167"/>
        <v>2.8886114468927948</v>
      </c>
      <c r="T472" s="4">
        <f t="shared" ca="1" si="168"/>
        <v>0</v>
      </c>
      <c r="U472" s="120">
        <f t="shared" ca="1" si="169"/>
        <v>1969.7564194948757</v>
      </c>
      <c r="V472" s="4">
        <f t="shared" ca="1" si="170"/>
        <v>0</v>
      </c>
      <c r="W472" s="13">
        <f t="shared" ca="1" si="171"/>
        <v>33422.391000000003</v>
      </c>
      <c r="X472" s="4">
        <f t="shared" ca="1" si="172"/>
        <v>0</v>
      </c>
      <c r="Y472" s="4">
        <f t="shared" si="173"/>
        <v>0</v>
      </c>
      <c r="Z472" s="13">
        <f t="shared" ca="1" si="174"/>
        <v>33422.391000000003</v>
      </c>
      <c r="AA472" s="4">
        <f t="shared" ca="1" si="175"/>
        <v>0</v>
      </c>
      <c r="AE472" s="4"/>
    </row>
    <row r="473" spans="1:31">
      <c r="A473">
        <v>3</v>
      </c>
      <c r="B473">
        <v>2</v>
      </c>
      <c r="C473">
        <f t="shared" ca="1" si="154"/>
        <v>6</v>
      </c>
      <c r="D473">
        <f t="shared" ca="1" si="155"/>
        <v>5</v>
      </c>
      <c r="E473">
        <f t="shared" ca="1" si="156"/>
        <v>3</v>
      </c>
      <c r="F473" s="110">
        <f t="shared" ca="1" si="157"/>
        <v>0</v>
      </c>
      <c r="G473">
        <v>1</v>
      </c>
      <c r="H473">
        <v>1</v>
      </c>
      <c r="I473">
        <v>0</v>
      </c>
      <c r="J473" s="1">
        <f t="shared" ca="1" si="158"/>
        <v>0</v>
      </c>
      <c r="K473" s="1">
        <f t="shared" ca="1" si="159"/>
        <v>0</v>
      </c>
      <c r="L473" s="13">
        <f t="shared" ca="1" si="160"/>
        <v>462</v>
      </c>
      <c r="M473" s="7">
        <f t="shared" ca="1" si="161"/>
        <v>1038</v>
      </c>
      <c r="N473" s="26">
        <f t="shared" ca="1" si="162"/>
        <v>4</v>
      </c>
      <c r="O473" s="44">
        <f t="shared" ca="1" si="163"/>
        <v>2.8886114468927948</v>
      </c>
      <c r="P473" s="44">
        <f t="shared" ca="1" si="164"/>
        <v>28.886114468927953</v>
      </c>
      <c r="Q473" s="44">
        <f t="shared" ca="1" si="165"/>
        <v>28.886114468927953</v>
      </c>
      <c r="R473" s="44">
        <f t="shared" ca="1" si="166"/>
        <v>2.8886114468927953</v>
      </c>
      <c r="S473" s="44">
        <f t="shared" ca="1" si="167"/>
        <v>2.8886114468927948</v>
      </c>
      <c r="T473" s="4">
        <f t="shared" ca="1" si="168"/>
        <v>0</v>
      </c>
      <c r="U473" s="120">
        <f t="shared" ca="1" si="169"/>
        <v>1950.7564194948757</v>
      </c>
      <c r="V473" s="4">
        <f t="shared" ca="1" si="170"/>
        <v>0</v>
      </c>
      <c r="W473" s="13">
        <f t="shared" ca="1" si="171"/>
        <v>30993.516000000003</v>
      </c>
      <c r="X473" s="4">
        <f t="shared" ca="1" si="172"/>
        <v>0</v>
      </c>
      <c r="Y473" s="4">
        <f t="shared" si="173"/>
        <v>0</v>
      </c>
      <c r="Z473" s="13">
        <f t="shared" ca="1" si="174"/>
        <v>30993.516000000003</v>
      </c>
      <c r="AA473" s="4">
        <f t="shared" ca="1" si="175"/>
        <v>0</v>
      </c>
      <c r="AE473" s="4"/>
    </row>
    <row r="474" spans="1:31">
      <c r="A474">
        <v>3</v>
      </c>
      <c r="B474">
        <v>2</v>
      </c>
      <c r="C474">
        <f t="shared" ca="1" si="154"/>
        <v>6</v>
      </c>
      <c r="D474">
        <f t="shared" ca="1" si="155"/>
        <v>5</v>
      </c>
      <c r="E474">
        <f t="shared" ca="1" si="156"/>
        <v>3</v>
      </c>
      <c r="F474" s="110">
        <f t="shared" ca="1" si="157"/>
        <v>0</v>
      </c>
      <c r="G474">
        <v>1</v>
      </c>
      <c r="H474">
        <v>0</v>
      </c>
      <c r="I474">
        <v>7</v>
      </c>
      <c r="J474" s="1">
        <f t="shared" ca="1" si="158"/>
        <v>0</v>
      </c>
      <c r="K474" s="1">
        <f t="shared" ca="1" si="159"/>
        <v>0</v>
      </c>
      <c r="L474" s="13">
        <f t="shared" ca="1" si="160"/>
        <v>364</v>
      </c>
      <c r="M474" s="7">
        <f t="shared" ca="1" si="161"/>
        <v>1136</v>
      </c>
      <c r="N474" s="26">
        <f t="shared" ca="1" si="162"/>
        <v>5</v>
      </c>
      <c r="O474" s="44">
        <f t="shared" ca="1" si="163"/>
        <v>3.5346387789404914</v>
      </c>
      <c r="P474" s="44">
        <f t="shared" ca="1" si="164"/>
        <v>35.346387789404908</v>
      </c>
      <c r="Q474" s="44">
        <f t="shared" ca="1" si="165"/>
        <v>34.700360457357213</v>
      </c>
      <c r="R474" s="44">
        <f t="shared" ca="1" si="166"/>
        <v>3.5023374123381061</v>
      </c>
      <c r="S474" s="44">
        <f t="shared" ca="1" si="167"/>
        <v>3.532377683278324</v>
      </c>
      <c r="T474" s="4">
        <f t="shared" ca="1" si="168"/>
        <v>0</v>
      </c>
      <c r="U474" s="120">
        <f t="shared" ca="1" si="169"/>
        <v>2135.4497774977995</v>
      </c>
      <c r="V474" s="4">
        <f t="shared" ca="1" si="170"/>
        <v>0</v>
      </c>
      <c r="W474" s="13">
        <f t="shared" ca="1" si="171"/>
        <v>47995.641000000003</v>
      </c>
      <c r="X474" s="4">
        <f t="shared" ca="1" si="172"/>
        <v>0</v>
      </c>
      <c r="Y474" s="4">
        <f t="shared" si="173"/>
        <v>0</v>
      </c>
      <c r="Z474" s="13">
        <f t="shared" ca="1" si="174"/>
        <v>47995.641000000003</v>
      </c>
      <c r="AA474" s="4">
        <f t="shared" ca="1" si="175"/>
        <v>0</v>
      </c>
      <c r="AE474" s="4"/>
    </row>
    <row r="475" spans="1:31">
      <c r="A475">
        <v>3</v>
      </c>
      <c r="B475">
        <v>2</v>
      </c>
      <c r="C475">
        <f t="shared" ca="1" si="154"/>
        <v>6</v>
      </c>
      <c r="D475">
        <f t="shared" ca="1" si="155"/>
        <v>5</v>
      </c>
      <c r="E475">
        <f t="shared" ca="1" si="156"/>
        <v>3</v>
      </c>
      <c r="F475" s="110">
        <f t="shared" ca="1" si="157"/>
        <v>0</v>
      </c>
      <c r="G475">
        <v>1</v>
      </c>
      <c r="H475">
        <v>0</v>
      </c>
      <c r="I475">
        <v>6</v>
      </c>
      <c r="J475" s="1">
        <f t="shared" ca="1" si="158"/>
        <v>0</v>
      </c>
      <c r="K475" s="1">
        <f t="shared" ca="1" si="159"/>
        <v>0</v>
      </c>
      <c r="L475" s="13">
        <f t="shared" ca="1" si="160"/>
        <v>345</v>
      </c>
      <c r="M475" s="7">
        <f t="shared" ca="1" si="161"/>
        <v>1155</v>
      </c>
      <c r="N475" s="26">
        <f t="shared" ca="1" si="162"/>
        <v>5</v>
      </c>
      <c r="O475" s="44">
        <f t="shared" ca="1" si="163"/>
        <v>3.5346387789404914</v>
      </c>
      <c r="P475" s="44">
        <f t="shared" ca="1" si="164"/>
        <v>35.346387789404908</v>
      </c>
      <c r="Q475" s="44">
        <f t="shared" ca="1" si="165"/>
        <v>35.346387789404908</v>
      </c>
      <c r="R475" s="44">
        <f t="shared" ca="1" si="166"/>
        <v>3.5346387789404909</v>
      </c>
      <c r="S475" s="44">
        <f t="shared" ca="1" si="167"/>
        <v>3.5346387789404914</v>
      </c>
      <c r="T475" s="4">
        <f t="shared" ca="1" si="168"/>
        <v>0</v>
      </c>
      <c r="U475" s="120">
        <f t="shared" ca="1" si="169"/>
        <v>2117.4426794074939</v>
      </c>
      <c r="V475" s="4">
        <f t="shared" ca="1" si="170"/>
        <v>0</v>
      </c>
      <c r="W475" s="13">
        <f t="shared" ca="1" si="171"/>
        <v>45566.766000000003</v>
      </c>
      <c r="X475" s="4">
        <f t="shared" ca="1" si="172"/>
        <v>0</v>
      </c>
      <c r="Y475" s="4">
        <f t="shared" si="173"/>
        <v>0</v>
      </c>
      <c r="Z475" s="13">
        <f t="shared" ca="1" si="174"/>
        <v>45566.766000000003</v>
      </c>
      <c r="AA475" s="4">
        <f t="shared" ca="1" si="175"/>
        <v>0</v>
      </c>
      <c r="AE475" s="4"/>
    </row>
    <row r="476" spans="1:31">
      <c r="A476">
        <v>3</v>
      </c>
      <c r="B476">
        <v>2</v>
      </c>
      <c r="C476">
        <f t="shared" ca="1" si="154"/>
        <v>6</v>
      </c>
      <c r="D476">
        <f t="shared" ca="1" si="155"/>
        <v>5</v>
      </c>
      <c r="E476">
        <f t="shared" ca="1" si="156"/>
        <v>3</v>
      </c>
      <c r="F476" s="110">
        <f t="shared" ca="1" si="157"/>
        <v>0</v>
      </c>
      <c r="G476">
        <v>1</v>
      </c>
      <c r="H476">
        <v>0</v>
      </c>
      <c r="I476">
        <v>5</v>
      </c>
      <c r="J476" s="1">
        <f t="shared" ca="1" si="158"/>
        <v>0.73509189062499991</v>
      </c>
      <c r="K476" s="1">
        <f t="shared" ca="1" si="159"/>
        <v>0</v>
      </c>
      <c r="L476" s="13">
        <f t="shared" ca="1" si="160"/>
        <v>326</v>
      </c>
      <c r="M476" s="7">
        <f t="shared" ca="1" si="161"/>
        <v>1174</v>
      </c>
      <c r="N476" s="26">
        <f t="shared" ca="1" si="162"/>
        <v>5</v>
      </c>
      <c r="O476" s="44">
        <f t="shared" ca="1" si="163"/>
        <v>3.5346387789404914</v>
      </c>
      <c r="P476" s="44">
        <f t="shared" ca="1" si="164"/>
        <v>35.346387789404908</v>
      </c>
      <c r="Q476" s="44">
        <f t="shared" ca="1" si="165"/>
        <v>35.346387789404908</v>
      </c>
      <c r="R476" s="44">
        <f t="shared" ca="1" si="166"/>
        <v>3.5346387789404909</v>
      </c>
      <c r="S476" s="44">
        <f t="shared" ca="1" si="167"/>
        <v>3.5346387789404914</v>
      </c>
      <c r="T476" s="4">
        <f t="shared" ca="1" si="168"/>
        <v>0</v>
      </c>
      <c r="U476" s="120">
        <f t="shared" ca="1" si="169"/>
        <v>2098.4426794074939</v>
      </c>
      <c r="V476" s="4">
        <f t="shared" ca="1" si="170"/>
        <v>0</v>
      </c>
      <c r="W476" s="13">
        <f t="shared" ca="1" si="171"/>
        <v>43137.891000000003</v>
      </c>
      <c r="X476" s="4">
        <f t="shared" ca="1" si="172"/>
        <v>0</v>
      </c>
      <c r="Y476" s="4">
        <f t="shared" si="173"/>
        <v>0</v>
      </c>
      <c r="Z476" s="13">
        <f t="shared" ca="1" si="174"/>
        <v>43137.891000000003</v>
      </c>
      <c r="AA476" s="4">
        <f t="shared" ca="1" si="175"/>
        <v>0</v>
      </c>
      <c r="AE476" s="4"/>
    </row>
    <row r="477" spans="1:31">
      <c r="A477">
        <v>3</v>
      </c>
      <c r="B477">
        <v>2</v>
      </c>
      <c r="C477">
        <f t="shared" ca="1" si="154"/>
        <v>6</v>
      </c>
      <c r="D477">
        <f t="shared" ca="1" si="155"/>
        <v>5</v>
      </c>
      <c r="E477">
        <f t="shared" ca="1" si="156"/>
        <v>3</v>
      </c>
      <c r="F477" s="110">
        <f t="shared" ca="1" si="157"/>
        <v>0</v>
      </c>
      <c r="G477">
        <v>1</v>
      </c>
      <c r="H477">
        <v>0</v>
      </c>
      <c r="I477">
        <v>4</v>
      </c>
      <c r="J477" s="1">
        <f t="shared" ca="1" si="158"/>
        <v>0.19344523437500014</v>
      </c>
      <c r="K477" s="1">
        <f t="shared" ca="1" si="159"/>
        <v>0</v>
      </c>
      <c r="L477" s="13">
        <f t="shared" ca="1" si="160"/>
        <v>307</v>
      </c>
      <c r="M477" s="7">
        <f t="shared" ca="1" si="161"/>
        <v>1193</v>
      </c>
      <c r="N477" s="26">
        <f t="shared" ca="1" si="162"/>
        <v>5</v>
      </c>
      <c r="O477" s="44">
        <f t="shared" ca="1" si="163"/>
        <v>3.5346387789404914</v>
      </c>
      <c r="P477" s="44">
        <f t="shared" ca="1" si="164"/>
        <v>35.346387789404908</v>
      </c>
      <c r="Q477" s="44">
        <f t="shared" ca="1" si="165"/>
        <v>35.346387789404908</v>
      </c>
      <c r="R477" s="44">
        <f t="shared" ca="1" si="166"/>
        <v>3.5346387789404909</v>
      </c>
      <c r="S477" s="44">
        <f t="shared" ca="1" si="167"/>
        <v>3.5346387789404914</v>
      </c>
      <c r="T477" s="4">
        <f t="shared" ca="1" si="168"/>
        <v>0</v>
      </c>
      <c r="U477" s="120">
        <f t="shared" ca="1" si="169"/>
        <v>2079.4426794074939</v>
      </c>
      <c r="V477" s="4">
        <f t="shared" ca="1" si="170"/>
        <v>0</v>
      </c>
      <c r="W477" s="13">
        <f t="shared" ca="1" si="171"/>
        <v>40709.016000000003</v>
      </c>
      <c r="X477" s="4">
        <f t="shared" ca="1" si="172"/>
        <v>0</v>
      </c>
      <c r="Y477" s="4">
        <f t="shared" si="173"/>
        <v>0</v>
      </c>
      <c r="Z477" s="13">
        <f t="shared" ca="1" si="174"/>
        <v>40709.016000000003</v>
      </c>
      <c r="AA477" s="4">
        <f t="shared" ca="1" si="175"/>
        <v>0</v>
      </c>
      <c r="AE477" s="4"/>
    </row>
    <row r="478" spans="1:31">
      <c r="A478">
        <v>3</v>
      </c>
      <c r="B478">
        <v>2</v>
      </c>
      <c r="C478">
        <f t="shared" ca="1" si="154"/>
        <v>6</v>
      </c>
      <c r="D478">
        <f t="shared" ca="1" si="155"/>
        <v>5</v>
      </c>
      <c r="E478">
        <f t="shared" ca="1" si="156"/>
        <v>3</v>
      </c>
      <c r="F478" s="110">
        <f t="shared" ca="1" si="157"/>
        <v>0</v>
      </c>
      <c r="G478">
        <v>1</v>
      </c>
      <c r="H478">
        <v>0</v>
      </c>
      <c r="I478">
        <v>3</v>
      </c>
      <c r="J478" s="1">
        <f t="shared" ca="1" si="158"/>
        <v>2.0362656250000031E-2</v>
      </c>
      <c r="K478" s="1">
        <f t="shared" ca="1" si="159"/>
        <v>0</v>
      </c>
      <c r="L478" s="13">
        <f t="shared" ca="1" si="160"/>
        <v>288</v>
      </c>
      <c r="M478" s="7">
        <f t="shared" ca="1" si="161"/>
        <v>1212</v>
      </c>
      <c r="N478" s="26">
        <f t="shared" ca="1" si="162"/>
        <v>5</v>
      </c>
      <c r="O478" s="44">
        <f t="shared" ca="1" si="163"/>
        <v>3.5346387789404914</v>
      </c>
      <c r="P478" s="44">
        <f t="shared" ca="1" si="164"/>
        <v>35.346387789404908</v>
      </c>
      <c r="Q478" s="44">
        <f t="shared" ca="1" si="165"/>
        <v>35.346387789404908</v>
      </c>
      <c r="R478" s="44">
        <f t="shared" ca="1" si="166"/>
        <v>3.5346387789404909</v>
      </c>
      <c r="S478" s="44">
        <f t="shared" ca="1" si="167"/>
        <v>3.5346387789404914</v>
      </c>
      <c r="T478" s="4">
        <f t="shared" ca="1" si="168"/>
        <v>0</v>
      </c>
      <c r="U478" s="120">
        <f t="shared" ca="1" si="169"/>
        <v>2060.4426794074939</v>
      </c>
      <c r="V478" s="4">
        <f t="shared" ca="1" si="170"/>
        <v>0</v>
      </c>
      <c r="W478" s="13">
        <f t="shared" ca="1" si="171"/>
        <v>38280.141000000003</v>
      </c>
      <c r="X478" s="4">
        <f t="shared" ca="1" si="172"/>
        <v>0</v>
      </c>
      <c r="Y478" s="4">
        <f t="shared" si="173"/>
        <v>0</v>
      </c>
      <c r="Z478" s="13">
        <f t="shared" ca="1" si="174"/>
        <v>38280.141000000003</v>
      </c>
      <c r="AA478" s="4">
        <f t="shared" ca="1" si="175"/>
        <v>0</v>
      </c>
      <c r="AE478" s="4"/>
    </row>
    <row r="479" spans="1:31">
      <c r="A479">
        <v>3</v>
      </c>
      <c r="B479">
        <v>2</v>
      </c>
      <c r="C479">
        <f t="shared" ca="1" si="154"/>
        <v>6</v>
      </c>
      <c r="D479">
        <f t="shared" ca="1" si="155"/>
        <v>5</v>
      </c>
      <c r="E479">
        <f t="shared" ca="1" si="156"/>
        <v>3</v>
      </c>
      <c r="F479" s="110">
        <f t="shared" ca="1" si="157"/>
        <v>0</v>
      </c>
      <c r="G479">
        <v>1</v>
      </c>
      <c r="H479">
        <v>0</v>
      </c>
      <c r="I479">
        <v>2</v>
      </c>
      <c r="J479" s="1">
        <f t="shared" ca="1" si="158"/>
        <v>1.0717187500000028E-3</v>
      </c>
      <c r="K479" s="1">
        <f t="shared" ca="1" si="159"/>
        <v>0</v>
      </c>
      <c r="L479" s="13">
        <f t="shared" ca="1" si="160"/>
        <v>269</v>
      </c>
      <c r="M479" s="7">
        <f t="shared" ca="1" si="161"/>
        <v>1231</v>
      </c>
      <c r="N479" s="26">
        <f t="shared" ca="1" si="162"/>
        <v>5</v>
      </c>
      <c r="O479" s="44">
        <f t="shared" ca="1" si="163"/>
        <v>3.5346387789404914</v>
      </c>
      <c r="P479" s="44">
        <f t="shared" ca="1" si="164"/>
        <v>35.346387789404908</v>
      </c>
      <c r="Q479" s="44">
        <f t="shared" ca="1" si="165"/>
        <v>35.346387789404908</v>
      </c>
      <c r="R479" s="44">
        <f t="shared" ca="1" si="166"/>
        <v>3.5346387789404909</v>
      </c>
      <c r="S479" s="44">
        <f t="shared" ca="1" si="167"/>
        <v>3.5346387789404914</v>
      </c>
      <c r="T479" s="4">
        <f t="shared" ca="1" si="168"/>
        <v>0</v>
      </c>
      <c r="U479" s="120">
        <f t="shared" ca="1" si="169"/>
        <v>2041.4426794074936</v>
      </c>
      <c r="V479" s="4">
        <f t="shared" ca="1" si="170"/>
        <v>0</v>
      </c>
      <c r="W479" s="13">
        <f t="shared" ca="1" si="171"/>
        <v>35851.266000000003</v>
      </c>
      <c r="X479" s="4">
        <f t="shared" ca="1" si="172"/>
        <v>0</v>
      </c>
      <c r="Y479" s="4">
        <f t="shared" si="173"/>
        <v>0</v>
      </c>
      <c r="Z479" s="13">
        <f t="shared" ca="1" si="174"/>
        <v>35851.266000000003</v>
      </c>
      <c r="AA479" s="4">
        <f t="shared" ca="1" si="175"/>
        <v>0</v>
      </c>
      <c r="AE479" s="4"/>
    </row>
    <row r="480" spans="1:31">
      <c r="A480">
        <v>3</v>
      </c>
      <c r="B480">
        <v>2</v>
      </c>
      <c r="C480">
        <f t="shared" ca="1" si="154"/>
        <v>6</v>
      </c>
      <c r="D480">
        <f t="shared" ca="1" si="155"/>
        <v>5</v>
      </c>
      <c r="E480">
        <f t="shared" ca="1" si="156"/>
        <v>3</v>
      </c>
      <c r="F480" s="110">
        <f t="shared" ca="1" si="157"/>
        <v>0</v>
      </c>
      <c r="G480">
        <v>1</v>
      </c>
      <c r="H480">
        <v>0</v>
      </c>
      <c r="I480">
        <v>1</v>
      </c>
      <c r="J480" s="1">
        <f t="shared" ca="1" si="158"/>
        <v>2.8203125000000098E-5</v>
      </c>
      <c r="K480" s="1">
        <f t="shared" ca="1" si="159"/>
        <v>0</v>
      </c>
      <c r="L480" s="13">
        <f t="shared" ca="1" si="160"/>
        <v>250</v>
      </c>
      <c r="M480" s="7">
        <f t="shared" ca="1" si="161"/>
        <v>1250</v>
      </c>
      <c r="N480" s="26">
        <f t="shared" ca="1" si="162"/>
        <v>5</v>
      </c>
      <c r="O480" s="44">
        <f t="shared" ca="1" si="163"/>
        <v>3.5346387789404914</v>
      </c>
      <c r="P480" s="44">
        <f t="shared" ca="1" si="164"/>
        <v>35.346387789404908</v>
      </c>
      <c r="Q480" s="44">
        <f t="shared" ca="1" si="165"/>
        <v>35.346387789404908</v>
      </c>
      <c r="R480" s="44">
        <f t="shared" ca="1" si="166"/>
        <v>3.5346387789404909</v>
      </c>
      <c r="S480" s="44">
        <f t="shared" ca="1" si="167"/>
        <v>3.5346387789404914</v>
      </c>
      <c r="T480" s="4">
        <f t="shared" ca="1" si="168"/>
        <v>0</v>
      </c>
      <c r="U480" s="120">
        <f t="shared" ca="1" si="169"/>
        <v>2022.4426794074936</v>
      </c>
      <c r="V480" s="4">
        <f t="shared" ca="1" si="170"/>
        <v>0</v>
      </c>
      <c r="W480" s="13">
        <f t="shared" ca="1" si="171"/>
        <v>33422.391000000003</v>
      </c>
      <c r="X480" s="4">
        <f t="shared" ca="1" si="172"/>
        <v>0</v>
      </c>
      <c r="Y480" s="4">
        <f t="shared" si="173"/>
        <v>0</v>
      </c>
      <c r="Z480" s="13">
        <f t="shared" ca="1" si="174"/>
        <v>33422.391000000003</v>
      </c>
      <c r="AA480" s="4">
        <f t="shared" ca="1" si="175"/>
        <v>0</v>
      </c>
      <c r="AE480" s="4"/>
    </row>
    <row r="481" spans="1:31">
      <c r="A481">
        <v>3</v>
      </c>
      <c r="B481">
        <v>2</v>
      </c>
      <c r="C481">
        <f t="shared" ca="1" si="154"/>
        <v>6</v>
      </c>
      <c r="D481">
        <f t="shared" ca="1" si="155"/>
        <v>5</v>
      </c>
      <c r="E481">
        <f t="shared" ca="1" si="156"/>
        <v>3</v>
      </c>
      <c r="F481" s="110">
        <f t="shared" ca="1" si="157"/>
        <v>0</v>
      </c>
      <c r="G481">
        <v>1</v>
      </c>
      <c r="H481">
        <v>0</v>
      </c>
      <c r="I481">
        <v>0</v>
      </c>
      <c r="J481" s="1">
        <f t="shared" ca="1" si="158"/>
        <v>2.9687500000000134E-7</v>
      </c>
      <c r="K481" s="1">
        <f t="shared" ca="1" si="159"/>
        <v>0</v>
      </c>
      <c r="L481" s="13">
        <f t="shared" ca="1" si="160"/>
        <v>231</v>
      </c>
      <c r="M481" s="7">
        <f t="shared" ca="1" si="161"/>
        <v>1269</v>
      </c>
      <c r="N481" s="26">
        <f t="shared" ca="1" si="162"/>
        <v>5</v>
      </c>
      <c r="O481" s="44">
        <f t="shared" ca="1" si="163"/>
        <v>3.5346387789404914</v>
      </c>
      <c r="P481" s="44">
        <f t="shared" ca="1" si="164"/>
        <v>35.346387789404908</v>
      </c>
      <c r="Q481" s="44">
        <f t="shared" ca="1" si="165"/>
        <v>35.346387789404908</v>
      </c>
      <c r="R481" s="44">
        <f t="shared" ca="1" si="166"/>
        <v>3.5346387789404909</v>
      </c>
      <c r="S481" s="44">
        <f t="shared" ca="1" si="167"/>
        <v>3.5346387789404914</v>
      </c>
      <c r="T481" s="4">
        <f t="shared" ca="1" si="168"/>
        <v>0</v>
      </c>
      <c r="U481" s="120">
        <f t="shared" ca="1" si="169"/>
        <v>2003.4426794074936</v>
      </c>
      <c r="V481" s="4">
        <f t="shared" ca="1" si="170"/>
        <v>0</v>
      </c>
      <c r="W481" s="13">
        <f t="shared" ca="1" si="171"/>
        <v>30993.516000000003</v>
      </c>
      <c r="X481" s="4">
        <f t="shared" ca="1" si="172"/>
        <v>0</v>
      </c>
      <c r="Y481" s="4">
        <f t="shared" si="173"/>
        <v>0</v>
      </c>
      <c r="Z481" s="13">
        <f t="shared" ca="1" si="174"/>
        <v>30993.516000000003</v>
      </c>
      <c r="AA481" s="4">
        <f t="shared" ca="1" si="175"/>
        <v>0</v>
      </c>
      <c r="AE481" s="4"/>
    </row>
    <row r="482" spans="1:31">
      <c r="A482">
        <v>3</v>
      </c>
      <c r="B482">
        <v>2</v>
      </c>
      <c r="C482">
        <f t="shared" ca="1" si="154"/>
        <v>6</v>
      </c>
      <c r="D482">
        <f t="shared" ca="1" si="155"/>
        <v>5</v>
      </c>
      <c r="E482">
        <f t="shared" ca="1" si="156"/>
        <v>3</v>
      </c>
      <c r="F482" s="110">
        <f t="shared" ca="1" si="157"/>
        <v>0</v>
      </c>
      <c r="G482">
        <v>0</v>
      </c>
      <c r="H482">
        <v>1</v>
      </c>
      <c r="I482">
        <v>7</v>
      </c>
      <c r="J482" s="1">
        <f t="shared" ca="1" si="158"/>
        <v>0</v>
      </c>
      <c r="K482" s="1">
        <f t="shared" ca="1" si="159"/>
        <v>0</v>
      </c>
      <c r="L482" s="13">
        <f t="shared" ca="1" si="160"/>
        <v>364</v>
      </c>
      <c r="M482" s="7">
        <f t="shared" ca="1" si="161"/>
        <v>1136</v>
      </c>
      <c r="N482" s="26">
        <f t="shared" ca="1" si="162"/>
        <v>5</v>
      </c>
      <c r="O482" s="44">
        <f t="shared" ca="1" si="163"/>
        <v>3.5346387789404914</v>
      </c>
      <c r="P482" s="44">
        <f t="shared" ca="1" si="164"/>
        <v>35.346387789404908</v>
      </c>
      <c r="Q482" s="44">
        <f t="shared" ca="1" si="165"/>
        <v>34.700360457357213</v>
      </c>
      <c r="R482" s="44">
        <f t="shared" ca="1" si="166"/>
        <v>3.5023374123381061</v>
      </c>
      <c r="S482" s="44">
        <f t="shared" ca="1" si="167"/>
        <v>3.532377683278324</v>
      </c>
      <c r="T482" s="4">
        <f t="shared" ca="1" si="168"/>
        <v>0</v>
      </c>
      <c r="U482" s="120">
        <f t="shared" ca="1" si="169"/>
        <v>2135.4497774977995</v>
      </c>
      <c r="V482" s="4">
        <f t="shared" ca="1" si="170"/>
        <v>0</v>
      </c>
      <c r="W482" s="13">
        <f t="shared" ca="1" si="171"/>
        <v>17002.125</v>
      </c>
      <c r="X482" s="4">
        <f t="shared" ca="1" si="172"/>
        <v>0</v>
      </c>
      <c r="Y482" s="4">
        <f t="shared" si="173"/>
        <v>0</v>
      </c>
      <c r="Z482" s="13">
        <f t="shared" ca="1" si="174"/>
        <v>17002.125</v>
      </c>
      <c r="AA482" s="4">
        <f t="shared" ca="1" si="175"/>
        <v>0</v>
      </c>
      <c r="AE482" s="4"/>
    </row>
    <row r="483" spans="1:31">
      <c r="A483">
        <v>3</v>
      </c>
      <c r="B483">
        <v>2</v>
      </c>
      <c r="C483">
        <f t="shared" ca="1" si="154"/>
        <v>6</v>
      </c>
      <c r="D483">
        <f t="shared" ca="1" si="155"/>
        <v>5</v>
      </c>
      <c r="E483">
        <f t="shared" ca="1" si="156"/>
        <v>3</v>
      </c>
      <c r="F483" s="110">
        <f t="shared" ca="1" si="157"/>
        <v>0</v>
      </c>
      <c r="G483">
        <v>0</v>
      </c>
      <c r="H483">
        <v>1</v>
      </c>
      <c r="I483">
        <v>6</v>
      </c>
      <c r="J483" s="1">
        <f t="shared" ca="1" si="158"/>
        <v>0</v>
      </c>
      <c r="K483" s="1">
        <f t="shared" ca="1" si="159"/>
        <v>0</v>
      </c>
      <c r="L483" s="13">
        <f t="shared" ca="1" si="160"/>
        <v>345</v>
      </c>
      <c r="M483" s="7">
        <f t="shared" ca="1" si="161"/>
        <v>1155</v>
      </c>
      <c r="N483" s="26">
        <f t="shared" ca="1" si="162"/>
        <v>5</v>
      </c>
      <c r="O483" s="44">
        <f t="shared" ca="1" si="163"/>
        <v>3.5346387789404914</v>
      </c>
      <c r="P483" s="44">
        <f t="shared" ca="1" si="164"/>
        <v>35.346387789404908</v>
      </c>
      <c r="Q483" s="44">
        <f t="shared" ca="1" si="165"/>
        <v>35.346387789404908</v>
      </c>
      <c r="R483" s="44">
        <f t="shared" ca="1" si="166"/>
        <v>3.5346387789404909</v>
      </c>
      <c r="S483" s="44">
        <f t="shared" ca="1" si="167"/>
        <v>3.5346387789404914</v>
      </c>
      <c r="T483" s="4">
        <f t="shared" ca="1" si="168"/>
        <v>0</v>
      </c>
      <c r="U483" s="120">
        <f t="shared" ca="1" si="169"/>
        <v>2117.4426794074939</v>
      </c>
      <c r="V483" s="4">
        <f t="shared" ca="1" si="170"/>
        <v>0</v>
      </c>
      <c r="W483" s="13">
        <f t="shared" ca="1" si="171"/>
        <v>14573.25</v>
      </c>
      <c r="X483" s="4">
        <f t="shared" ca="1" si="172"/>
        <v>0</v>
      </c>
      <c r="Y483" s="4">
        <f t="shared" si="173"/>
        <v>0</v>
      </c>
      <c r="Z483" s="13">
        <f t="shared" ca="1" si="174"/>
        <v>14573.25</v>
      </c>
      <c r="AA483" s="4">
        <f t="shared" ca="1" si="175"/>
        <v>0</v>
      </c>
      <c r="AE483" s="4"/>
    </row>
    <row r="484" spans="1:31">
      <c r="A484">
        <v>3</v>
      </c>
      <c r="B484">
        <v>2</v>
      </c>
      <c r="C484">
        <f t="shared" ca="1" si="154"/>
        <v>6</v>
      </c>
      <c r="D484">
        <f t="shared" ca="1" si="155"/>
        <v>5</v>
      </c>
      <c r="E484">
        <f t="shared" ca="1" si="156"/>
        <v>3</v>
      </c>
      <c r="F484" s="110">
        <f t="shared" ca="1" si="157"/>
        <v>0</v>
      </c>
      <c r="G484">
        <v>0</v>
      </c>
      <c r="H484">
        <v>1</v>
      </c>
      <c r="I484">
        <v>5</v>
      </c>
      <c r="J484" s="1">
        <f t="shared" ca="1" si="158"/>
        <v>0</v>
      </c>
      <c r="K484" s="1">
        <f t="shared" ca="1" si="159"/>
        <v>0</v>
      </c>
      <c r="L484" s="13">
        <f t="shared" ca="1" si="160"/>
        <v>326</v>
      </c>
      <c r="M484" s="7">
        <f t="shared" ca="1" si="161"/>
        <v>1174</v>
      </c>
      <c r="N484" s="26">
        <f t="shared" ca="1" si="162"/>
        <v>5</v>
      </c>
      <c r="O484" s="44">
        <f t="shared" ca="1" si="163"/>
        <v>3.5346387789404914</v>
      </c>
      <c r="P484" s="44">
        <f t="shared" ca="1" si="164"/>
        <v>35.346387789404908</v>
      </c>
      <c r="Q484" s="44">
        <f t="shared" ca="1" si="165"/>
        <v>35.346387789404908</v>
      </c>
      <c r="R484" s="44">
        <f t="shared" ca="1" si="166"/>
        <v>3.5346387789404909</v>
      </c>
      <c r="S484" s="44">
        <f t="shared" ca="1" si="167"/>
        <v>3.5346387789404914</v>
      </c>
      <c r="T484" s="4">
        <f t="shared" ca="1" si="168"/>
        <v>0</v>
      </c>
      <c r="U484" s="120">
        <f t="shared" ca="1" si="169"/>
        <v>2098.4426794074939</v>
      </c>
      <c r="V484" s="4">
        <f t="shared" ca="1" si="170"/>
        <v>0</v>
      </c>
      <c r="W484" s="13">
        <f t="shared" ca="1" si="171"/>
        <v>12144.375</v>
      </c>
      <c r="X484" s="4">
        <f t="shared" ca="1" si="172"/>
        <v>0</v>
      </c>
      <c r="Y484" s="4">
        <f t="shared" si="173"/>
        <v>0</v>
      </c>
      <c r="Z484" s="13">
        <f t="shared" ca="1" si="174"/>
        <v>12144.375</v>
      </c>
      <c r="AA484" s="4">
        <f t="shared" ca="1" si="175"/>
        <v>0</v>
      </c>
      <c r="AE484" s="4"/>
    </row>
    <row r="485" spans="1:31">
      <c r="A485">
        <v>3</v>
      </c>
      <c r="B485">
        <v>2</v>
      </c>
      <c r="C485">
        <f t="shared" ca="1" si="154"/>
        <v>6</v>
      </c>
      <c r="D485">
        <f t="shared" ca="1" si="155"/>
        <v>5</v>
      </c>
      <c r="E485">
        <f t="shared" ca="1" si="156"/>
        <v>3</v>
      </c>
      <c r="F485" s="110">
        <f t="shared" ca="1" si="157"/>
        <v>0</v>
      </c>
      <c r="G485">
        <v>0</v>
      </c>
      <c r="H485">
        <v>1</v>
      </c>
      <c r="I485">
        <v>4</v>
      </c>
      <c r="J485" s="1">
        <f t="shared" ca="1" si="158"/>
        <v>0</v>
      </c>
      <c r="K485" s="1">
        <f t="shared" ca="1" si="159"/>
        <v>0</v>
      </c>
      <c r="L485" s="13">
        <f t="shared" ca="1" si="160"/>
        <v>307</v>
      </c>
      <c r="M485" s="7">
        <f t="shared" ca="1" si="161"/>
        <v>1193</v>
      </c>
      <c r="N485" s="26">
        <f t="shared" ca="1" si="162"/>
        <v>5</v>
      </c>
      <c r="O485" s="44">
        <f t="shared" ca="1" si="163"/>
        <v>3.5346387789404914</v>
      </c>
      <c r="P485" s="44">
        <f t="shared" ca="1" si="164"/>
        <v>35.346387789404908</v>
      </c>
      <c r="Q485" s="44">
        <f t="shared" ca="1" si="165"/>
        <v>35.346387789404908</v>
      </c>
      <c r="R485" s="44">
        <f t="shared" ca="1" si="166"/>
        <v>3.5346387789404909</v>
      </c>
      <c r="S485" s="44">
        <f t="shared" ca="1" si="167"/>
        <v>3.5346387789404914</v>
      </c>
      <c r="T485" s="4">
        <f t="shared" ca="1" si="168"/>
        <v>0</v>
      </c>
      <c r="U485" s="120">
        <f t="shared" ca="1" si="169"/>
        <v>2079.4426794074939</v>
      </c>
      <c r="V485" s="4">
        <f t="shared" ca="1" si="170"/>
        <v>0</v>
      </c>
      <c r="W485" s="13">
        <f t="shared" ca="1" si="171"/>
        <v>9715.5</v>
      </c>
      <c r="X485" s="4">
        <f t="shared" ca="1" si="172"/>
        <v>0</v>
      </c>
      <c r="Y485" s="4">
        <f t="shared" si="173"/>
        <v>0</v>
      </c>
      <c r="Z485" s="13">
        <f t="shared" ca="1" si="174"/>
        <v>9715.5</v>
      </c>
      <c r="AA485" s="4">
        <f t="shared" ca="1" si="175"/>
        <v>0</v>
      </c>
      <c r="AE485" s="4"/>
    </row>
    <row r="486" spans="1:31">
      <c r="A486">
        <v>3</v>
      </c>
      <c r="B486">
        <v>2</v>
      </c>
      <c r="C486">
        <f t="shared" ca="1" si="154"/>
        <v>6</v>
      </c>
      <c r="D486">
        <f t="shared" ca="1" si="155"/>
        <v>5</v>
      </c>
      <c r="E486">
        <f t="shared" ca="1" si="156"/>
        <v>3</v>
      </c>
      <c r="F486" s="110">
        <f t="shared" ca="1" si="157"/>
        <v>0</v>
      </c>
      <c r="G486">
        <v>0</v>
      </c>
      <c r="H486">
        <v>1</v>
      </c>
      <c r="I486">
        <v>3</v>
      </c>
      <c r="J486" s="1">
        <f t="shared" ca="1" si="158"/>
        <v>0</v>
      </c>
      <c r="K486" s="1">
        <f t="shared" ca="1" si="159"/>
        <v>0</v>
      </c>
      <c r="L486" s="13">
        <f t="shared" ca="1" si="160"/>
        <v>288</v>
      </c>
      <c r="M486" s="7">
        <f t="shared" ca="1" si="161"/>
        <v>1212</v>
      </c>
      <c r="N486" s="26">
        <f t="shared" ca="1" si="162"/>
        <v>5</v>
      </c>
      <c r="O486" s="44">
        <f t="shared" ca="1" si="163"/>
        <v>3.5346387789404914</v>
      </c>
      <c r="P486" s="44">
        <f t="shared" ca="1" si="164"/>
        <v>35.346387789404908</v>
      </c>
      <c r="Q486" s="44">
        <f t="shared" ca="1" si="165"/>
        <v>35.346387789404908</v>
      </c>
      <c r="R486" s="44">
        <f t="shared" ca="1" si="166"/>
        <v>3.5346387789404909</v>
      </c>
      <c r="S486" s="44">
        <f t="shared" ca="1" si="167"/>
        <v>3.5346387789404914</v>
      </c>
      <c r="T486" s="4">
        <f t="shared" ca="1" si="168"/>
        <v>0</v>
      </c>
      <c r="U486" s="120">
        <f t="shared" ca="1" si="169"/>
        <v>2060.4426794074939</v>
      </c>
      <c r="V486" s="4">
        <f t="shared" ca="1" si="170"/>
        <v>0</v>
      </c>
      <c r="W486" s="13">
        <f t="shared" ca="1" si="171"/>
        <v>7286.625</v>
      </c>
      <c r="X486" s="4">
        <f t="shared" ca="1" si="172"/>
        <v>0</v>
      </c>
      <c r="Y486" s="4">
        <f t="shared" si="173"/>
        <v>0</v>
      </c>
      <c r="Z486" s="13">
        <f t="shared" ca="1" si="174"/>
        <v>7286.625</v>
      </c>
      <c r="AA486" s="4">
        <f t="shared" ca="1" si="175"/>
        <v>0</v>
      </c>
      <c r="AE486" s="4"/>
    </row>
    <row r="487" spans="1:31">
      <c r="A487">
        <v>3</v>
      </c>
      <c r="B487">
        <v>2</v>
      </c>
      <c r="C487">
        <f t="shared" ca="1" si="154"/>
        <v>6</v>
      </c>
      <c r="D487">
        <f t="shared" ca="1" si="155"/>
        <v>5</v>
      </c>
      <c r="E487">
        <f t="shared" ca="1" si="156"/>
        <v>3</v>
      </c>
      <c r="F487" s="110">
        <f t="shared" ca="1" si="157"/>
        <v>0</v>
      </c>
      <c r="G487">
        <v>0</v>
      </c>
      <c r="H487">
        <v>1</v>
      </c>
      <c r="I487">
        <v>2</v>
      </c>
      <c r="J487" s="1">
        <f t="shared" ca="1" si="158"/>
        <v>0</v>
      </c>
      <c r="K487" s="1">
        <f t="shared" ca="1" si="159"/>
        <v>0</v>
      </c>
      <c r="L487" s="13">
        <f t="shared" ca="1" si="160"/>
        <v>269</v>
      </c>
      <c r="M487" s="7">
        <f t="shared" ca="1" si="161"/>
        <v>1231</v>
      </c>
      <c r="N487" s="26">
        <f t="shared" ca="1" si="162"/>
        <v>5</v>
      </c>
      <c r="O487" s="44">
        <f t="shared" ca="1" si="163"/>
        <v>3.5346387789404914</v>
      </c>
      <c r="P487" s="44">
        <f t="shared" ca="1" si="164"/>
        <v>35.346387789404908</v>
      </c>
      <c r="Q487" s="44">
        <f t="shared" ca="1" si="165"/>
        <v>35.346387789404908</v>
      </c>
      <c r="R487" s="44">
        <f t="shared" ca="1" si="166"/>
        <v>3.5346387789404909</v>
      </c>
      <c r="S487" s="44">
        <f t="shared" ca="1" si="167"/>
        <v>3.5346387789404914</v>
      </c>
      <c r="T487" s="4">
        <f t="shared" ca="1" si="168"/>
        <v>0</v>
      </c>
      <c r="U487" s="120">
        <f t="shared" ca="1" si="169"/>
        <v>2041.4426794074936</v>
      </c>
      <c r="V487" s="4">
        <f t="shared" ca="1" si="170"/>
        <v>0</v>
      </c>
      <c r="W487" s="13">
        <f t="shared" ca="1" si="171"/>
        <v>4857.75</v>
      </c>
      <c r="X487" s="4">
        <f t="shared" ca="1" si="172"/>
        <v>0</v>
      </c>
      <c r="Y487" s="4">
        <f t="shared" si="173"/>
        <v>0</v>
      </c>
      <c r="Z487" s="13">
        <f t="shared" ca="1" si="174"/>
        <v>4857.75</v>
      </c>
      <c r="AA487" s="4">
        <f t="shared" ca="1" si="175"/>
        <v>0</v>
      </c>
      <c r="AE487" s="4"/>
    </row>
    <row r="488" spans="1:31">
      <c r="A488">
        <v>3</v>
      </c>
      <c r="B488">
        <v>2</v>
      </c>
      <c r="C488">
        <f t="shared" ca="1" si="154"/>
        <v>6</v>
      </c>
      <c r="D488">
        <f t="shared" ca="1" si="155"/>
        <v>5</v>
      </c>
      <c r="E488">
        <f t="shared" ca="1" si="156"/>
        <v>3</v>
      </c>
      <c r="F488" s="110">
        <f t="shared" ca="1" si="157"/>
        <v>0</v>
      </c>
      <c r="G488">
        <v>0</v>
      </c>
      <c r="H488">
        <v>1</v>
      </c>
      <c r="I488">
        <v>1</v>
      </c>
      <c r="J488" s="1">
        <f t="shared" ca="1" si="158"/>
        <v>0</v>
      </c>
      <c r="K488" s="1">
        <f t="shared" ca="1" si="159"/>
        <v>0</v>
      </c>
      <c r="L488" s="13">
        <f t="shared" ca="1" si="160"/>
        <v>250</v>
      </c>
      <c r="M488" s="7">
        <f t="shared" ca="1" si="161"/>
        <v>1250</v>
      </c>
      <c r="N488" s="26">
        <f t="shared" ca="1" si="162"/>
        <v>5</v>
      </c>
      <c r="O488" s="44">
        <f t="shared" ca="1" si="163"/>
        <v>3.5346387789404914</v>
      </c>
      <c r="P488" s="44">
        <f t="shared" ca="1" si="164"/>
        <v>35.346387789404908</v>
      </c>
      <c r="Q488" s="44">
        <f t="shared" ca="1" si="165"/>
        <v>35.346387789404908</v>
      </c>
      <c r="R488" s="44">
        <f t="shared" ca="1" si="166"/>
        <v>3.5346387789404909</v>
      </c>
      <c r="S488" s="44">
        <f t="shared" ca="1" si="167"/>
        <v>3.5346387789404914</v>
      </c>
      <c r="T488" s="4">
        <f t="shared" ca="1" si="168"/>
        <v>0</v>
      </c>
      <c r="U488" s="120">
        <f t="shared" ca="1" si="169"/>
        <v>2022.4426794074936</v>
      </c>
      <c r="V488" s="4">
        <f t="shared" ca="1" si="170"/>
        <v>0</v>
      </c>
      <c r="W488" s="13">
        <f t="shared" ca="1" si="171"/>
        <v>2428.875</v>
      </c>
      <c r="X488" s="4">
        <f t="shared" ca="1" si="172"/>
        <v>0</v>
      </c>
      <c r="Y488" s="4">
        <f t="shared" si="173"/>
        <v>0</v>
      </c>
      <c r="Z488" s="13">
        <f t="shared" ca="1" si="174"/>
        <v>2428.875</v>
      </c>
      <c r="AA488" s="4">
        <f t="shared" ca="1" si="175"/>
        <v>0</v>
      </c>
      <c r="AE488" s="4"/>
    </row>
    <row r="489" spans="1:31">
      <c r="A489">
        <v>3</v>
      </c>
      <c r="B489">
        <v>2</v>
      </c>
      <c r="C489">
        <f t="shared" ca="1" si="154"/>
        <v>6</v>
      </c>
      <c r="D489">
        <f t="shared" ca="1" si="155"/>
        <v>5</v>
      </c>
      <c r="E489">
        <f t="shared" ca="1" si="156"/>
        <v>3</v>
      </c>
      <c r="F489" s="110">
        <f t="shared" ca="1" si="157"/>
        <v>0</v>
      </c>
      <c r="G489">
        <v>0</v>
      </c>
      <c r="H489">
        <v>1</v>
      </c>
      <c r="I489">
        <v>0</v>
      </c>
      <c r="J489" s="1">
        <f t="shared" ca="1" si="158"/>
        <v>0</v>
      </c>
      <c r="K489" s="1">
        <f t="shared" ca="1" si="159"/>
        <v>0</v>
      </c>
      <c r="L489" s="13">
        <f t="shared" ca="1" si="160"/>
        <v>231</v>
      </c>
      <c r="M489" s="7">
        <f t="shared" ca="1" si="161"/>
        <v>1269</v>
      </c>
      <c r="N489" s="26">
        <f t="shared" ca="1" si="162"/>
        <v>5</v>
      </c>
      <c r="O489" s="44">
        <f t="shared" ca="1" si="163"/>
        <v>3.5346387789404914</v>
      </c>
      <c r="P489" s="44">
        <f t="shared" ca="1" si="164"/>
        <v>35.346387789404908</v>
      </c>
      <c r="Q489" s="44">
        <f t="shared" ca="1" si="165"/>
        <v>35.346387789404908</v>
      </c>
      <c r="R489" s="44">
        <f t="shared" ca="1" si="166"/>
        <v>3.5346387789404909</v>
      </c>
      <c r="S489" s="44">
        <f t="shared" ca="1" si="167"/>
        <v>3.5346387789404914</v>
      </c>
      <c r="T489" s="4">
        <f t="shared" ca="1" si="168"/>
        <v>0</v>
      </c>
      <c r="U489" s="120">
        <f t="shared" ca="1" si="169"/>
        <v>2003.4426794074936</v>
      </c>
      <c r="V489" s="4">
        <f t="shared" ca="1" si="170"/>
        <v>0</v>
      </c>
      <c r="W489" s="13">
        <f t="shared" ca="1" si="171"/>
        <v>0</v>
      </c>
      <c r="X489" s="4">
        <f t="shared" ca="1" si="172"/>
        <v>0</v>
      </c>
      <c r="Y489" s="4">
        <f t="shared" si="173"/>
        <v>0</v>
      </c>
      <c r="Z489" s="13">
        <f t="shared" ca="1" si="174"/>
        <v>0</v>
      </c>
      <c r="AA489" s="4">
        <f t="shared" ca="1" si="175"/>
        <v>0</v>
      </c>
      <c r="AE489" s="4"/>
    </row>
    <row r="490" spans="1:31">
      <c r="A490">
        <v>3</v>
      </c>
      <c r="B490">
        <v>2</v>
      </c>
      <c r="C490">
        <f t="shared" ca="1" si="154"/>
        <v>6</v>
      </c>
      <c r="D490">
        <f t="shared" ca="1" si="155"/>
        <v>5</v>
      </c>
      <c r="E490">
        <f t="shared" ca="1" si="156"/>
        <v>3</v>
      </c>
      <c r="F490" s="110">
        <f t="shared" ca="1" si="157"/>
        <v>0</v>
      </c>
      <c r="G490">
        <v>0</v>
      </c>
      <c r="H490">
        <v>0</v>
      </c>
      <c r="I490">
        <v>7</v>
      </c>
      <c r="J490" s="1">
        <f t="shared" ca="1" si="158"/>
        <v>0</v>
      </c>
      <c r="K490" s="1">
        <f ca="1">F490*J490</f>
        <v>0</v>
      </c>
      <c r="L490" s="13">
        <f t="shared" ca="1" si="160"/>
        <v>133</v>
      </c>
      <c r="M490" s="7">
        <f t="shared" ca="1" si="161"/>
        <v>1367</v>
      </c>
      <c r="N490" s="26">
        <f t="shared" ca="1" si="162"/>
        <v>5</v>
      </c>
      <c r="O490" s="44">
        <f t="shared" ca="1" si="163"/>
        <v>3.5346387789404914</v>
      </c>
      <c r="P490" s="44">
        <f t="shared" ca="1" si="164"/>
        <v>35.346387789404908</v>
      </c>
      <c r="Q490" s="44">
        <f t="shared" ca="1" si="165"/>
        <v>35.346387789404908</v>
      </c>
      <c r="R490" s="44">
        <f t="shared" ca="1" si="166"/>
        <v>3.5346387789404909</v>
      </c>
      <c r="S490" s="44">
        <f t="shared" ca="1" si="167"/>
        <v>3.5346387789404914</v>
      </c>
      <c r="T490" s="4">
        <f t="shared" ca="1" si="168"/>
        <v>0</v>
      </c>
      <c r="U490" s="120">
        <f ca="1">MIN(L490+(S490+Set1OverTP)*AvgHitsPerRound1*Set1MeleeTP + Set1Regain + 10.5*Set1ConserveTP, 3000)</f>
        <v>1905.4426794074936</v>
      </c>
      <c r="V490" s="4">
        <f ca="1">U490*K490</f>
        <v>0</v>
      </c>
      <c r="W490" s="13">
        <f ca="1">G490*$K$10*((1-$L$10)*$L$14 + $L$10*$M$14*$M$10)*Set1WSDmg + H490*$K$13*((1-$L$13)*$L$15 + $L$13*$M$15*$M$11) + I490*$K$11*((1-$L$11)*$L$14 + $L$11*$M$14*$M$11) + E490*$K$12*$L$12*$M$10</f>
        <v>17002.125</v>
      </c>
      <c r="X490" s="4">
        <f t="shared" ca="1" si="172"/>
        <v>0</v>
      </c>
      <c r="Y490" s="4">
        <f t="shared" si="173"/>
        <v>0</v>
      </c>
      <c r="Z490" s="13">
        <f t="shared" ca="1" si="174"/>
        <v>17002.125</v>
      </c>
      <c r="AA490" s="4">
        <f t="shared" ca="1" si="175"/>
        <v>0</v>
      </c>
      <c r="AE490" s="4"/>
    </row>
    <row r="491" spans="1:31">
      <c r="A491">
        <v>3</v>
      </c>
      <c r="B491">
        <v>2</v>
      </c>
      <c r="C491">
        <f t="shared" ca="1" si="154"/>
        <v>6</v>
      </c>
      <c r="D491">
        <f t="shared" ca="1" si="155"/>
        <v>5</v>
      </c>
      <c r="E491">
        <f t="shared" ca="1" si="156"/>
        <v>3</v>
      </c>
      <c r="F491" s="110">
        <f t="shared" ca="1" si="157"/>
        <v>0</v>
      </c>
      <c r="G491">
        <v>0</v>
      </c>
      <c r="H491">
        <v>0</v>
      </c>
      <c r="I491">
        <v>6</v>
      </c>
      <c r="J491" s="1">
        <f t="shared" ca="1" si="158"/>
        <v>0</v>
      </c>
      <c r="K491" s="1">
        <f t="shared" ca="1" si="159"/>
        <v>0</v>
      </c>
      <c r="L491" s="13">
        <f t="shared" ca="1" si="160"/>
        <v>114</v>
      </c>
      <c r="M491" s="7">
        <f t="shared" ca="1" si="161"/>
        <v>1386</v>
      </c>
      <c r="N491" s="26">
        <f t="shared" ca="1" si="162"/>
        <v>5</v>
      </c>
      <c r="O491" s="44">
        <f t="shared" ca="1" si="163"/>
        <v>3.5346387789404914</v>
      </c>
      <c r="P491" s="44">
        <f t="shared" ca="1" si="164"/>
        <v>35.346387789404908</v>
      </c>
      <c r="Q491" s="44">
        <f t="shared" ca="1" si="165"/>
        <v>35.346387789404908</v>
      </c>
      <c r="R491" s="44">
        <f t="shared" ca="1" si="166"/>
        <v>3.5346387789404909</v>
      </c>
      <c r="S491" s="44">
        <f t="shared" ca="1" si="167"/>
        <v>3.5346387789404914</v>
      </c>
      <c r="T491" s="4">
        <f t="shared" ca="1" si="168"/>
        <v>0</v>
      </c>
      <c r="U491" s="120">
        <f t="shared" ca="1" si="169"/>
        <v>1886.4426794074936</v>
      </c>
      <c r="V491" s="4">
        <f t="shared" ca="1" si="170"/>
        <v>0</v>
      </c>
      <c r="W491" s="13">
        <f t="shared" ca="1" si="171"/>
        <v>14573.25</v>
      </c>
      <c r="X491" s="4">
        <f t="shared" ca="1" si="172"/>
        <v>0</v>
      </c>
      <c r="Y491" s="4">
        <f t="shared" si="173"/>
        <v>0</v>
      </c>
      <c r="Z491" s="13">
        <f t="shared" ca="1" si="174"/>
        <v>14573.25</v>
      </c>
      <c r="AA491" s="4">
        <f t="shared" ca="1" si="175"/>
        <v>0</v>
      </c>
      <c r="AE491" s="4"/>
    </row>
    <row r="492" spans="1:31">
      <c r="A492">
        <v>3</v>
      </c>
      <c r="B492">
        <v>2</v>
      </c>
      <c r="C492">
        <f t="shared" ca="1" si="154"/>
        <v>6</v>
      </c>
      <c r="D492">
        <f t="shared" ca="1" si="155"/>
        <v>5</v>
      </c>
      <c r="E492">
        <f t="shared" ca="1" si="156"/>
        <v>3</v>
      </c>
      <c r="F492" s="110">
        <f t="shared" ca="1" si="157"/>
        <v>0</v>
      </c>
      <c r="G492">
        <v>0</v>
      </c>
      <c r="H492">
        <v>0</v>
      </c>
      <c r="I492">
        <v>5</v>
      </c>
      <c r="J492" s="1">
        <f t="shared" ca="1" si="158"/>
        <v>3.8689046875000001E-2</v>
      </c>
      <c r="K492" s="1">
        <f t="shared" ca="1" si="159"/>
        <v>0</v>
      </c>
      <c r="L492" s="13">
        <f t="shared" ca="1" si="160"/>
        <v>95</v>
      </c>
      <c r="M492" s="7">
        <f t="shared" ca="1" si="161"/>
        <v>1405</v>
      </c>
      <c r="N492" s="26">
        <f t="shared" ca="1" si="162"/>
        <v>6</v>
      </c>
      <c r="O492" s="44">
        <f t="shared" ca="1" si="163"/>
        <v>4.1694581524927896</v>
      </c>
      <c r="P492" s="44">
        <f t="shared" ca="1" si="164"/>
        <v>41.059762151375594</v>
      </c>
      <c r="Q492" s="44">
        <f t="shared" ca="1" si="165"/>
        <v>35.346387789404908</v>
      </c>
      <c r="R492" s="44">
        <f t="shared" ca="1" si="166"/>
        <v>3.8203074970390247</v>
      </c>
      <c r="S492" s="44">
        <f t="shared" ca="1" si="167"/>
        <v>4.1450176066110256</v>
      </c>
      <c r="T492" s="4">
        <f t="shared" ca="1" si="168"/>
        <v>0</v>
      </c>
      <c r="U492" s="120">
        <f t="shared" ca="1" si="169"/>
        <v>2135.4748169996506</v>
      </c>
      <c r="V492" s="4">
        <f t="shared" ca="1" si="170"/>
        <v>0</v>
      </c>
      <c r="W492" s="13">
        <f t="shared" ca="1" si="171"/>
        <v>12144.375</v>
      </c>
      <c r="X492" s="4">
        <f t="shared" ca="1" si="172"/>
        <v>0</v>
      </c>
      <c r="Y492" s="4">
        <f t="shared" si="173"/>
        <v>0</v>
      </c>
      <c r="Z492" s="13">
        <f t="shared" ca="1" si="174"/>
        <v>12144.375</v>
      </c>
      <c r="AA492" s="4">
        <f t="shared" ca="1" si="175"/>
        <v>0</v>
      </c>
      <c r="AE492" s="4"/>
    </row>
    <row r="493" spans="1:31">
      <c r="A493">
        <v>3</v>
      </c>
      <c r="B493">
        <v>2</v>
      </c>
      <c r="C493">
        <f t="shared" ca="1" si="154"/>
        <v>6</v>
      </c>
      <c r="D493">
        <f t="shared" ca="1" si="155"/>
        <v>5</v>
      </c>
      <c r="E493">
        <f t="shared" ca="1" si="156"/>
        <v>3</v>
      </c>
      <c r="F493" s="110">
        <f t="shared" ca="1" si="157"/>
        <v>0</v>
      </c>
      <c r="G493">
        <v>0</v>
      </c>
      <c r="H493">
        <v>0</v>
      </c>
      <c r="I493">
        <v>4</v>
      </c>
      <c r="J493" s="1">
        <f t="shared" ca="1" si="158"/>
        <v>1.0181328125000009E-2</v>
      </c>
      <c r="K493" s="1">
        <f t="shared" ca="1" si="159"/>
        <v>0</v>
      </c>
      <c r="L493" s="13">
        <f t="shared" ca="1" si="160"/>
        <v>76</v>
      </c>
      <c r="M493" s="7">
        <f t="shared" ca="1" si="161"/>
        <v>1424</v>
      </c>
      <c r="N493" s="26">
        <f t="shared" ca="1" si="162"/>
        <v>6</v>
      </c>
      <c r="O493" s="44">
        <f t="shared" ca="1" si="163"/>
        <v>4.1694581524927896</v>
      </c>
      <c r="P493" s="44">
        <f t="shared" ca="1" si="164"/>
        <v>41.694581524927891</v>
      </c>
      <c r="Q493" s="44">
        <f t="shared" ca="1" si="165"/>
        <v>41.694581524927891</v>
      </c>
      <c r="R493" s="44">
        <f t="shared" ca="1" si="166"/>
        <v>4.1694581524927887</v>
      </c>
      <c r="S493" s="44">
        <f t="shared" ca="1" si="167"/>
        <v>4.1694581524927896</v>
      </c>
      <c r="T493" s="4">
        <f t="shared" ca="1" si="168"/>
        <v>0</v>
      </c>
      <c r="U493" s="120">
        <f t="shared" ca="1" si="169"/>
        <v>2127.2072530862838</v>
      </c>
      <c r="V493" s="4">
        <f t="shared" ca="1" si="170"/>
        <v>0</v>
      </c>
      <c r="W493" s="13">
        <f t="shared" ca="1" si="171"/>
        <v>9715.5</v>
      </c>
      <c r="X493" s="4">
        <f t="shared" ca="1" si="172"/>
        <v>0</v>
      </c>
      <c r="Y493" s="4">
        <f t="shared" si="173"/>
        <v>0</v>
      </c>
      <c r="Z493" s="13">
        <f t="shared" ca="1" si="174"/>
        <v>9715.5</v>
      </c>
      <c r="AA493" s="4">
        <f t="shared" ca="1" si="175"/>
        <v>0</v>
      </c>
      <c r="AE493" s="4"/>
    </row>
    <row r="494" spans="1:31">
      <c r="A494">
        <v>3</v>
      </c>
      <c r="B494">
        <v>2</v>
      </c>
      <c r="C494">
        <f t="shared" ca="1" si="154"/>
        <v>6</v>
      </c>
      <c r="D494">
        <f t="shared" ca="1" si="155"/>
        <v>5</v>
      </c>
      <c r="E494">
        <f t="shared" ca="1" si="156"/>
        <v>3</v>
      </c>
      <c r="F494" s="110">
        <f t="shared" ca="1" si="157"/>
        <v>0</v>
      </c>
      <c r="G494">
        <v>0</v>
      </c>
      <c r="H494">
        <v>0</v>
      </c>
      <c r="I494">
        <v>3</v>
      </c>
      <c r="J494" s="1">
        <f t="shared" ca="1" si="158"/>
        <v>1.0717187500000017E-3</v>
      </c>
      <c r="K494" s="1">
        <f t="shared" ca="1" si="159"/>
        <v>0</v>
      </c>
      <c r="L494" s="13">
        <f t="shared" ca="1" si="160"/>
        <v>57</v>
      </c>
      <c r="M494" s="7">
        <f t="shared" ca="1" si="161"/>
        <v>1443</v>
      </c>
      <c r="N494" s="26">
        <f t="shared" ca="1" si="162"/>
        <v>6</v>
      </c>
      <c r="O494" s="44">
        <f t="shared" ca="1" si="163"/>
        <v>4.1694581524927896</v>
      </c>
      <c r="P494" s="44">
        <f t="shared" ca="1" si="164"/>
        <v>41.694581524927891</v>
      </c>
      <c r="Q494" s="44">
        <f t="shared" ca="1" si="165"/>
        <v>41.694581524927891</v>
      </c>
      <c r="R494" s="44">
        <f t="shared" ca="1" si="166"/>
        <v>4.1694581524927887</v>
      </c>
      <c r="S494" s="44">
        <f t="shared" ca="1" si="167"/>
        <v>4.1694581524927896</v>
      </c>
      <c r="T494" s="4">
        <f t="shared" ca="1" si="168"/>
        <v>0</v>
      </c>
      <c r="U494" s="120">
        <f t="shared" ca="1" si="169"/>
        <v>2108.2072530862838</v>
      </c>
      <c r="V494" s="4">
        <f t="shared" ca="1" si="170"/>
        <v>0</v>
      </c>
      <c r="W494" s="13">
        <f t="shared" ca="1" si="171"/>
        <v>7286.625</v>
      </c>
      <c r="X494" s="4">
        <f t="shared" ca="1" si="172"/>
        <v>0</v>
      </c>
      <c r="Y494" s="4">
        <f t="shared" si="173"/>
        <v>0</v>
      </c>
      <c r="Z494" s="13">
        <f t="shared" ca="1" si="174"/>
        <v>7286.625</v>
      </c>
      <c r="AA494" s="4">
        <f t="shared" ca="1" si="175"/>
        <v>0</v>
      </c>
      <c r="AE494" s="4"/>
    </row>
    <row r="495" spans="1:31">
      <c r="A495">
        <v>3</v>
      </c>
      <c r="B495">
        <v>2</v>
      </c>
      <c r="C495">
        <f t="shared" ca="1" si="154"/>
        <v>6</v>
      </c>
      <c r="D495">
        <f t="shared" ca="1" si="155"/>
        <v>5</v>
      </c>
      <c r="E495">
        <f t="shared" ca="1" si="156"/>
        <v>3</v>
      </c>
      <c r="F495" s="110">
        <f t="shared" ca="1" si="157"/>
        <v>0</v>
      </c>
      <c r="G495">
        <v>0</v>
      </c>
      <c r="H495">
        <v>0</v>
      </c>
      <c r="I495">
        <v>2</v>
      </c>
      <c r="J495" s="1">
        <f t="shared" ca="1" si="158"/>
        <v>5.6406250000000155E-5</v>
      </c>
      <c r="K495" s="1">
        <f t="shared" ca="1" si="159"/>
        <v>0</v>
      </c>
      <c r="L495" s="13">
        <f t="shared" ca="1" si="160"/>
        <v>38</v>
      </c>
      <c r="M495" s="7">
        <f t="shared" ca="1" si="161"/>
        <v>1462</v>
      </c>
      <c r="N495" s="26">
        <f t="shared" ca="1" si="162"/>
        <v>6</v>
      </c>
      <c r="O495" s="44">
        <f t="shared" ca="1" si="163"/>
        <v>4.1694581524927896</v>
      </c>
      <c r="P495" s="44">
        <f t="shared" ca="1" si="164"/>
        <v>41.694581524927891</v>
      </c>
      <c r="Q495" s="44">
        <f t="shared" ca="1" si="165"/>
        <v>41.694581524927891</v>
      </c>
      <c r="R495" s="44">
        <f t="shared" ca="1" si="166"/>
        <v>4.1694581524927887</v>
      </c>
      <c r="S495" s="44">
        <f t="shared" ca="1" si="167"/>
        <v>4.1694581524927896</v>
      </c>
      <c r="T495" s="4">
        <f t="shared" ca="1" si="168"/>
        <v>0</v>
      </c>
      <c r="U495" s="120">
        <f t="shared" ca="1" si="169"/>
        <v>2089.2072530862838</v>
      </c>
      <c r="V495" s="4">
        <f t="shared" ca="1" si="170"/>
        <v>0</v>
      </c>
      <c r="W495" s="13">
        <f t="shared" ca="1" si="171"/>
        <v>4857.75</v>
      </c>
      <c r="X495" s="4">
        <f t="shared" ca="1" si="172"/>
        <v>0</v>
      </c>
      <c r="Y495" s="4">
        <f t="shared" si="173"/>
        <v>0</v>
      </c>
      <c r="Z495" s="13">
        <f t="shared" ca="1" si="174"/>
        <v>4857.75</v>
      </c>
      <c r="AA495" s="4">
        <f t="shared" ca="1" si="175"/>
        <v>0</v>
      </c>
      <c r="AE495" s="4"/>
    </row>
    <row r="496" spans="1:31">
      <c r="A496">
        <v>3</v>
      </c>
      <c r="B496">
        <v>2</v>
      </c>
      <c r="C496">
        <f t="shared" ca="1" si="154"/>
        <v>6</v>
      </c>
      <c r="D496">
        <f t="shared" ca="1" si="155"/>
        <v>5</v>
      </c>
      <c r="E496">
        <f t="shared" ca="1" si="156"/>
        <v>3</v>
      </c>
      <c r="F496" s="110">
        <f t="shared" ca="1" si="157"/>
        <v>0</v>
      </c>
      <c r="G496">
        <v>0</v>
      </c>
      <c r="H496">
        <v>0</v>
      </c>
      <c r="I496">
        <v>1</v>
      </c>
      <c r="J496" s="1">
        <f t="shared" ca="1" si="158"/>
        <v>1.4843750000000054E-6</v>
      </c>
      <c r="K496" s="1">
        <f t="shared" ca="1" si="159"/>
        <v>0</v>
      </c>
      <c r="L496" s="13">
        <f t="shared" ca="1" si="160"/>
        <v>19</v>
      </c>
      <c r="M496" s="7">
        <f t="shared" ca="1" si="161"/>
        <v>1481</v>
      </c>
      <c r="N496" s="26">
        <f t="shared" ca="1" si="162"/>
        <v>6</v>
      </c>
      <c r="O496" s="44">
        <f t="shared" ca="1" si="163"/>
        <v>4.1694581524927896</v>
      </c>
      <c r="P496" s="44">
        <f t="shared" ca="1" si="164"/>
        <v>41.694581524927891</v>
      </c>
      <c r="Q496" s="44">
        <f t="shared" ca="1" si="165"/>
        <v>41.694581524927891</v>
      </c>
      <c r="R496" s="44">
        <f t="shared" ca="1" si="166"/>
        <v>4.1694581524927887</v>
      </c>
      <c r="S496" s="44">
        <f t="shared" ca="1" si="167"/>
        <v>4.1694581524927896</v>
      </c>
      <c r="T496" s="4">
        <f t="shared" ca="1" si="168"/>
        <v>0</v>
      </c>
      <c r="U496" s="120">
        <f t="shared" ca="1" si="169"/>
        <v>2070.2072530862838</v>
      </c>
      <c r="V496" s="4">
        <f t="shared" ca="1" si="170"/>
        <v>0</v>
      </c>
      <c r="W496" s="13">
        <f t="shared" ca="1" si="171"/>
        <v>2428.875</v>
      </c>
      <c r="X496" s="4">
        <f t="shared" ca="1" si="172"/>
        <v>0</v>
      </c>
      <c r="Y496" s="4">
        <f t="shared" si="173"/>
        <v>0</v>
      </c>
      <c r="Z496" s="13">
        <f t="shared" ca="1" si="174"/>
        <v>2428.875</v>
      </c>
      <c r="AA496" s="4">
        <f t="shared" ca="1" si="175"/>
        <v>0</v>
      </c>
      <c r="AE496" s="4"/>
    </row>
    <row r="497" spans="1:31">
      <c r="A497">
        <v>3</v>
      </c>
      <c r="B497">
        <v>2</v>
      </c>
      <c r="C497">
        <f t="shared" ca="1" si="154"/>
        <v>6</v>
      </c>
      <c r="D497">
        <f t="shared" ca="1" si="155"/>
        <v>5</v>
      </c>
      <c r="E497">
        <f t="shared" ca="1" si="156"/>
        <v>3</v>
      </c>
      <c r="F497" s="110">
        <f t="shared" ca="1" si="157"/>
        <v>0</v>
      </c>
      <c r="G497">
        <v>0</v>
      </c>
      <c r="H497">
        <v>0</v>
      </c>
      <c r="I497">
        <v>0</v>
      </c>
      <c r="J497" s="1">
        <f t="shared" ca="1" si="158"/>
        <v>1.5625000000000072E-8</v>
      </c>
      <c r="K497" s="1">
        <f t="shared" ca="1" si="159"/>
        <v>0</v>
      </c>
      <c r="L497" s="13">
        <f t="shared" ca="1" si="160"/>
        <v>0</v>
      </c>
      <c r="M497" s="7">
        <f t="shared" ca="1" si="161"/>
        <v>1500</v>
      </c>
      <c r="N497" s="26">
        <f t="shared" ca="1" si="162"/>
        <v>6</v>
      </c>
      <c r="O497" s="44">
        <f t="shared" ca="1" si="163"/>
        <v>4.1694581524927896</v>
      </c>
      <c r="P497" s="44">
        <f t="shared" ca="1" si="164"/>
        <v>41.694581524927891</v>
      </c>
      <c r="Q497" s="44">
        <f t="shared" ca="1" si="165"/>
        <v>41.694581524927891</v>
      </c>
      <c r="R497" s="44">
        <f t="shared" ca="1" si="166"/>
        <v>4.1694581524927887</v>
      </c>
      <c r="S497" s="44">
        <f t="shared" ca="1" si="167"/>
        <v>4.1694581524927896</v>
      </c>
      <c r="T497" s="4">
        <f t="shared" ca="1" si="168"/>
        <v>0</v>
      </c>
      <c r="U497" s="120">
        <f t="shared" ca="1" si="169"/>
        <v>2051.2072530862838</v>
      </c>
      <c r="V497" s="4">
        <f t="shared" ca="1" si="170"/>
        <v>0</v>
      </c>
      <c r="W497" s="13">
        <f t="shared" ca="1" si="171"/>
        <v>0</v>
      </c>
      <c r="X497" s="4">
        <f t="shared" ca="1" si="172"/>
        <v>0</v>
      </c>
      <c r="Y497" s="4">
        <f t="shared" si="173"/>
        <v>0</v>
      </c>
      <c r="Z497" s="13">
        <f t="shared" ca="1" si="174"/>
        <v>0</v>
      </c>
      <c r="AA497" s="4">
        <f t="shared" ca="1" si="175"/>
        <v>0</v>
      </c>
      <c r="AE497" s="4"/>
    </row>
    <row r="498" spans="1:31">
      <c r="A498">
        <v>3</v>
      </c>
      <c r="B498">
        <v>3</v>
      </c>
      <c r="C498">
        <f t="shared" ca="1" si="154"/>
        <v>7</v>
      </c>
      <c r="D498">
        <f t="shared" ca="1" si="155"/>
        <v>6</v>
      </c>
      <c r="E498">
        <f t="shared" ca="1" si="156"/>
        <v>3</v>
      </c>
      <c r="F498" s="110">
        <f t="shared" ca="1" si="157"/>
        <v>0</v>
      </c>
      <c r="G498">
        <v>1</v>
      </c>
      <c r="H498">
        <v>1</v>
      </c>
      <c r="I498">
        <v>7</v>
      </c>
      <c r="J498" s="1">
        <f t="shared" ca="1" si="158"/>
        <v>0</v>
      </c>
      <c r="K498" s="1">
        <f t="shared" ca="1" si="159"/>
        <v>0</v>
      </c>
      <c r="L498" s="13">
        <f t="shared" ca="1" si="160"/>
        <v>595</v>
      </c>
      <c r="M498" s="7">
        <f t="shared" ca="1" si="161"/>
        <v>905</v>
      </c>
      <c r="N498" s="26">
        <f t="shared" ca="1" si="162"/>
        <v>4</v>
      </c>
      <c r="O498" s="44">
        <f t="shared" ca="1" si="163"/>
        <v>2.8886114468927948</v>
      </c>
      <c r="P498" s="44">
        <f t="shared" ca="1" si="164"/>
        <v>28.886114468927953</v>
      </c>
      <c r="Q498" s="44">
        <f t="shared" ca="1" si="165"/>
        <v>28.886114468927953</v>
      </c>
      <c r="R498" s="44">
        <f t="shared" ca="1" si="166"/>
        <v>2.8886114468927953</v>
      </c>
      <c r="S498" s="44">
        <f t="shared" ca="1" si="167"/>
        <v>2.8886114468927948</v>
      </c>
      <c r="T498" s="4">
        <f t="shared" ca="1" si="168"/>
        <v>0</v>
      </c>
      <c r="U498" s="120">
        <f t="shared" ca="1" si="169"/>
        <v>2083.7564194948759</v>
      </c>
      <c r="V498" s="4">
        <f t="shared" ca="1" si="170"/>
        <v>0</v>
      </c>
      <c r="W498" s="13">
        <f t="shared" ca="1" si="171"/>
        <v>47995.641000000003</v>
      </c>
      <c r="X498" s="4">
        <f t="shared" ca="1" si="172"/>
        <v>0</v>
      </c>
      <c r="Y498" s="4">
        <f t="shared" si="173"/>
        <v>0</v>
      </c>
      <c r="Z498" s="13">
        <f t="shared" ca="1" si="174"/>
        <v>47995.641000000003</v>
      </c>
      <c r="AA498" s="4">
        <f t="shared" ca="1" si="175"/>
        <v>0</v>
      </c>
      <c r="AE498" s="4"/>
    </row>
    <row r="499" spans="1:31">
      <c r="A499">
        <v>3</v>
      </c>
      <c r="B499">
        <v>3</v>
      </c>
      <c r="C499">
        <f t="shared" ca="1" si="154"/>
        <v>7</v>
      </c>
      <c r="D499">
        <f t="shared" ca="1" si="155"/>
        <v>6</v>
      </c>
      <c r="E499">
        <f t="shared" ca="1" si="156"/>
        <v>3</v>
      </c>
      <c r="F499" s="110">
        <f t="shared" ca="1" si="157"/>
        <v>0</v>
      </c>
      <c r="G499">
        <v>1</v>
      </c>
      <c r="H499">
        <v>1</v>
      </c>
      <c r="I499">
        <v>6</v>
      </c>
      <c r="J499" s="1">
        <f t="shared" ca="1" si="158"/>
        <v>0</v>
      </c>
      <c r="K499" s="1">
        <f t="shared" ca="1" si="159"/>
        <v>0</v>
      </c>
      <c r="L499" s="13">
        <f t="shared" ca="1" si="160"/>
        <v>576</v>
      </c>
      <c r="M499" s="7">
        <f t="shared" ca="1" si="161"/>
        <v>924</v>
      </c>
      <c r="N499" s="26">
        <f t="shared" ca="1" si="162"/>
        <v>4</v>
      </c>
      <c r="O499" s="44">
        <f t="shared" ca="1" si="163"/>
        <v>2.8886114468927948</v>
      </c>
      <c r="P499" s="44">
        <f t="shared" ca="1" si="164"/>
        <v>28.886114468927953</v>
      </c>
      <c r="Q499" s="44">
        <f t="shared" ca="1" si="165"/>
        <v>28.886114468927953</v>
      </c>
      <c r="R499" s="44">
        <f t="shared" ca="1" si="166"/>
        <v>2.8886114468927953</v>
      </c>
      <c r="S499" s="44">
        <f t="shared" ca="1" si="167"/>
        <v>2.8886114468927948</v>
      </c>
      <c r="T499" s="4">
        <f t="shared" ca="1" si="168"/>
        <v>0</v>
      </c>
      <c r="U499" s="120">
        <f t="shared" ca="1" si="169"/>
        <v>2064.7564194948759</v>
      </c>
      <c r="V499" s="4">
        <f t="shared" ca="1" si="170"/>
        <v>0</v>
      </c>
      <c r="W499" s="13">
        <f t="shared" ca="1" si="171"/>
        <v>45566.766000000003</v>
      </c>
      <c r="X499" s="4">
        <f t="shared" ca="1" si="172"/>
        <v>0</v>
      </c>
      <c r="Y499" s="4">
        <f t="shared" si="173"/>
        <v>0</v>
      </c>
      <c r="Z499" s="13">
        <f t="shared" ca="1" si="174"/>
        <v>45566.766000000003</v>
      </c>
      <c r="AA499" s="4">
        <f t="shared" ca="1" si="175"/>
        <v>0</v>
      </c>
      <c r="AE499" s="4"/>
    </row>
    <row r="500" spans="1:31">
      <c r="A500">
        <v>3</v>
      </c>
      <c r="B500">
        <v>3</v>
      </c>
      <c r="C500">
        <f t="shared" ca="1" si="154"/>
        <v>7</v>
      </c>
      <c r="D500">
        <f t="shared" ca="1" si="155"/>
        <v>6</v>
      </c>
      <c r="E500">
        <f t="shared" ca="1" si="156"/>
        <v>3</v>
      </c>
      <c r="F500" s="110">
        <f t="shared" ca="1" si="157"/>
        <v>0</v>
      </c>
      <c r="G500">
        <v>1</v>
      </c>
      <c r="H500">
        <v>1</v>
      </c>
      <c r="I500">
        <v>5</v>
      </c>
      <c r="J500" s="1">
        <f t="shared" ca="1" si="158"/>
        <v>0</v>
      </c>
      <c r="K500" s="1">
        <f t="shared" ca="1" si="159"/>
        <v>0</v>
      </c>
      <c r="L500" s="13">
        <f t="shared" ca="1" si="160"/>
        <v>557</v>
      </c>
      <c r="M500" s="7">
        <f t="shared" ca="1" si="161"/>
        <v>943</v>
      </c>
      <c r="N500" s="26">
        <f t="shared" ca="1" si="162"/>
        <v>4</v>
      </c>
      <c r="O500" s="44">
        <f t="shared" ca="1" si="163"/>
        <v>2.8886114468927948</v>
      </c>
      <c r="P500" s="44">
        <f t="shared" ca="1" si="164"/>
        <v>28.886114468927953</v>
      </c>
      <c r="Q500" s="44">
        <f t="shared" ca="1" si="165"/>
        <v>28.886114468927953</v>
      </c>
      <c r="R500" s="44">
        <f t="shared" ca="1" si="166"/>
        <v>2.8886114468927953</v>
      </c>
      <c r="S500" s="44">
        <f t="shared" ca="1" si="167"/>
        <v>2.8886114468927948</v>
      </c>
      <c r="T500" s="4">
        <f t="shared" ca="1" si="168"/>
        <v>0</v>
      </c>
      <c r="U500" s="120">
        <f t="shared" ca="1" si="169"/>
        <v>2045.7564194948757</v>
      </c>
      <c r="V500" s="4">
        <f t="shared" ca="1" si="170"/>
        <v>0</v>
      </c>
      <c r="W500" s="13">
        <f t="shared" ca="1" si="171"/>
        <v>43137.891000000003</v>
      </c>
      <c r="X500" s="4">
        <f t="shared" ca="1" si="172"/>
        <v>0</v>
      </c>
      <c r="Y500" s="4">
        <f t="shared" si="173"/>
        <v>0</v>
      </c>
      <c r="Z500" s="13">
        <f t="shared" ca="1" si="174"/>
        <v>43137.891000000003</v>
      </c>
      <c r="AA500" s="4">
        <f t="shared" ca="1" si="175"/>
        <v>0</v>
      </c>
      <c r="AE500" s="4"/>
    </row>
    <row r="501" spans="1:31">
      <c r="A501">
        <v>3</v>
      </c>
      <c r="B501">
        <v>3</v>
      </c>
      <c r="C501">
        <f t="shared" ca="1" si="154"/>
        <v>7</v>
      </c>
      <c r="D501">
        <f t="shared" ca="1" si="155"/>
        <v>6</v>
      </c>
      <c r="E501">
        <f t="shared" ca="1" si="156"/>
        <v>3</v>
      </c>
      <c r="F501" s="110">
        <f t="shared" ca="1" si="157"/>
        <v>0</v>
      </c>
      <c r="G501">
        <v>1</v>
      </c>
      <c r="H501">
        <v>1</v>
      </c>
      <c r="I501">
        <v>4</v>
      </c>
      <c r="J501" s="1">
        <f t="shared" ca="1" si="158"/>
        <v>0</v>
      </c>
      <c r="K501" s="1">
        <f t="shared" ca="1" si="159"/>
        <v>0</v>
      </c>
      <c r="L501" s="13">
        <f t="shared" ca="1" si="160"/>
        <v>538</v>
      </c>
      <c r="M501" s="7">
        <f t="shared" ca="1" si="161"/>
        <v>962</v>
      </c>
      <c r="N501" s="26">
        <f t="shared" ca="1" si="162"/>
        <v>4</v>
      </c>
      <c r="O501" s="44">
        <f t="shared" ca="1" si="163"/>
        <v>2.8886114468927948</v>
      </c>
      <c r="P501" s="44">
        <f t="shared" ca="1" si="164"/>
        <v>28.886114468927953</v>
      </c>
      <c r="Q501" s="44">
        <f t="shared" ca="1" si="165"/>
        <v>28.886114468927953</v>
      </c>
      <c r="R501" s="44">
        <f t="shared" ca="1" si="166"/>
        <v>2.8886114468927953</v>
      </c>
      <c r="S501" s="44">
        <f t="shared" ca="1" si="167"/>
        <v>2.8886114468927948</v>
      </c>
      <c r="T501" s="4">
        <f t="shared" ca="1" si="168"/>
        <v>0</v>
      </c>
      <c r="U501" s="120">
        <f t="shared" ca="1" si="169"/>
        <v>2026.7564194948757</v>
      </c>
      <c r="V501" s="4">
        <f t="shared" ca="1" si="170"/>
        <v>0</v>
      </c>
      <c r="W501" s="13">
        <f t="shared" ca="1" si="171"/>
        <v>40709.016000000003</v>
      </c>
      <c r="X501" s="4">
        <f t="shared" ca="1" si="172"/>
        <v>0</v>
      </c>
      <c r="Y501" s="4">
        <f t="shared" si="173"/>
        <v>0</v>
      </c>
      <c r="Z501" s="13">
        <f t="shared" ca="1" si="174"/>
        <v>40709.016000000003</v>
      </c>
      <c r="AA501" s="4">
        <f t="shared" ca="1" si="175"/>
        <v>0</v>
      </c>
      <c r="AE501" s="4"/>
    </row>
    <row r="502" spans="1:31">
      <c r="A502">
        <v>3</v>
      </c>
      <c r="B502">
        <v>3</v>
      </c>
      <c r="C502">
        <f t="shared" ca="1" si="154"/>
        <v>7</v>
      </c>
      <c r="D502">
        <f t="shared" ca="1" si="155"/>
        <v>6</v>
      </c>
      <c r="E502">
        <f t="shared" ca="1" si="156"/>
        <v>3</v>
      </c>
      <c r="F502" s="110">
        <f t="shared" ca="1" si="157"/>
        <v>0</v>
      </c>
      <c r="G502">
        <v>1</v>
      </c>
      <c r="H502">
        <v>1</v>
      </c>
      <c r="I502">
        <v>3</v>
      </c>
      <c r="J502" s="1">
        <f t="shared" ca="1" si="158"/>
        <v>0</v>
      </c>
      <c r="K502" s="1">
        <f t="shared" ca="1" si="159"/>
        <v>0</v>
      </c>
      <c r="L502" s="13">
        <f t="shared" ca="1" si="160"/>
        <v>519</v>
      </c>
      <c r="M502" s="7">
        <f t="shared" ca="1" si="161"/>
        <v>981</v>
      </c>
      <c r="N502" s="26">
        <f t="shared" ca="1" si="162"/>
        <v>4</v>
      </c>
      <c r="O502" s="44">
        <f t="shared" ca="1" si="163"/>
        <v>2.8886114468927948</v>
      </c>
      <c r="P502" s="44">
        <f t="shared" ca="1" si="164"/>
        <v>28.886114468927953</v>
      </c>
      <c r="Q502" s="44">
        <f t="shared" ca="1" si="165"/>
        <v>28.886114468927953</v>
      </c>
      <c r="R502" s="44">
        <f t="shared" ca="1" si="166"/>
        <v>2.8886114468927953</v>
      </c>
      <c r="S502" s="44">
        <f t="shared" ca="1" si="167"/>
        <v>2.8886114468927948</v>
      </c>
      <c r="T502" s="4">
        <f t="shared" ca="1" si="168"/>
        <v>0</v>
      </c>
      <c r="U502" s="120">
        <f t="shared" ca="1" si="169"/>
        <v>2007.7564194948757</v>
      </c>
      <c r="V502" s="4">
        <f t="shared" ca="1" si="170"/>
        <v>0</v>
      </c>
      <c r="W502" s="13">
        <f t="shared" ca="1" si="171"/>
        <v>38280.141000000003</v>
      </c>
      <c r="X502" s="4">
        <f t="shared" ca="1" si="172"/>
        <v>0</v>
      </c>
      <c r="Y502" s="4">
        <f t="shared" si="173"/>
        <v>0</v>
      </c>
      <c r="Z502" s="13">
        <f t="shared" ca="1" si="174"/>
        <v>38280.141000000003</v>
      </c>
      <c r="AA502" s="4">
        <f t="shared" ca="1" si="175"/>
        <v>0</v>
      </c>
      <c r="AE502" s="4"/>
    </row>
    <row r="503" spans="1:31">
      <c r="A503">
        <v>3</v>
      </c>
      <c r="B503">
        <v>3</v>
      </c>
      <c r="C503">
        <f t="shared" ca="1" si="154"/>
        <v>7</v>
      </c>
      <c r="D503">
        <f t="shared" ca="1" si="155"/>
        <v>6</v>
      </c>
      <c r="E503">
        <f t="shared" ca="1" si="156"/>
        <v>3</v>
      </c>
      <c r="F503" s="110">
        <f t="shared" ca="1" si="157"/>
        <v>0</v>
      </c>
      <c r="G503">
        <v>1</v>
      </c>
      <c r="H503">
        <v>1</v>
      </c>
      <c r="I503">
        <v>2</v>
      </c>
      <c r="J503" s="1">
        <f t="shared" ca="1" si="158"/>
        <v>0</v>
      </c>
      <c r="K503" s="1">
        <f t="shared" ca="1" si="159"/>
        <v>0</v>
      </c>
      <c r="L503" s="13">
        <f t="shared" ca="1" si="160"/>
        <v>500</v>
      </c>
      <c r="M503" s="7">
        <f t="shared" ca="1" si="161"/>
        <v>1000</v>
      </c>
      <c r="N503" s="26">
        <f t="shared" ca="1" si="162"/>
        <v>4</v>
      </c>
      <c r="O503" s="44">
        <f t="shared" ca="1" si="163"/>
        <v>2.8886114468927948</v>
      </c>
      <c r="P503" s="44">
        <f t="shared" ca="1" si="164"/>
        <v>28.886114468927953</v>
      </c>
      <c r="Q503" s="44">
        <f t="shared" ca="1" si="165"/>
        <v>28.886114468927953</v>
      </c>
      <c r="R503" s="44">
        <f t="shared" ca="1" si="166"/>
        <v>2.8886114468927953</v>
      </c>
      <c r="S503" s="44">
        <f t="shared" ca="1" si="167"/>
        <v>2.8886114468927948</v>
      </c>
      <c r="T503" s="4">
        <f t="shared" ca="1" si="168"/>
        <v>0</v>
      </c>
      <c r="U503" s="120">
        <f t="shared" ca="1" si="169"/>
        <v>1988.7564194948757</v>
      </c>
      <c r="V503" s="4">
        <f t="shared" ca="1" si="170"/>
        <v>0</v>
      </c>
      <c r="W503" s="13">
        <f t="shared" ca="1" si="171"/>
        <v>35851.266000000003</v>
      </c>
      <c r="X503" s="4">
        <f t="shared" ca="1" si="172"/>
        <v>0</v>
      </c>
      <c r="Y503" s="4">
        <f t="shared" si="173"/>
        <v>0</v>
      </c>
      <c r="Z503" s="13">
        <f t="shared" ca="1" si="174"/>
        <v>35851.266000000003</v>
      </c>
      <c r="AA503" s="4">
        <f t="shared" ca="1" si="175"/>
        <v>0</v>
      </c>
      <c r="AE503" s="4"/>
    </row>
    <row r="504" spans="1:31">
      <c r="A504">
        <v>3</v>
      </c>
      <c r="B504">
        <v>3</v>
      </c>
      <c r="C504">
        <f t="shared" ca="1" si="154"/>
        <v>7</v>
      </c>
      <c r="D504">
        <f t="shared" ca="1" si="155"/>
        <v>6</v>
      </c>
      <c r="E504">
        <f t="shared" ca="1" si="156"/>
        <v>3</v>
      </c>
      <c r="F504" s="110">
        <f t="shared" ca="1" si="157"/>
        <v>0</v>
      </c>
      <c r="G504">
        <v>1</v>
      </c>
      <c r="H504">
        <v>1</v>
      </c>
      <c r="I504">
        <v>1</v>
      </c>
      <c r="J504" s="1">
        <f t="shared" ca="1" si="158"/>
        <v>0</v>
      </c>
      <c r="K504" s="1">
        <f t="shared" ca="1" si="159"/>
        <v>0</v>
      </c>
      <c r="L504" s="13">
        <f t="shared" ca="1" si="160"/>
        <v>481</v>
      </c>
      <c r="M504" s="7">
        <f t="shared" ca="1" si="161"/>
        <v>1019</v>
      </c>
      <c r="N504" s="26">
        <f t="shared" ca="1" si="162"/>
        <v>4</v>
      </c>
      <c r="O504" s="44">
        <f t="shared" ca="1" si="163"/>
        <v>2.8886114468927948</v>
      </c>
      <c r="P504" s="44">
        <f t="shared" ca="1" si="164"/>
        <v>28.886114468927953</v>
      </c>
      <c r="Q504" s="44">
        <f t="shared" ca="1" si="165"/>
        <v>28.886114468927953</v>
      </c>
      <c r="R504" s="44">
        <f t="shared" ca="1" si="166"/>
        <v>2.8886114468927953</v>
      </c>
      <c r="S504" s="44">
        <f t="shared" ca="1" si="167"/>
        <v>2.8886114468927948</v>
      </c>
      <c r="T504" s="4">
        <f t="shared" ca="1" si="168"/>
        <v>0</v>
      </c>
      <c r="U504" s="120">
        <f t="shared" ca="1" si="169"/>
        <v>1969.7564194948757</v>
      </c>
      <c r="V504" s="4">
        <f t="shared" ca="1" si="170"/>
        <v>0</v>
      </c>
      <c r="W504" s="13">
        <f t="shared" ca="1" si="171"/>
        <v>33422.391000000003</v>
      </c>
      <c r="X504" s="4">
        <f t="shared" ca="1" si="172"/>
        <v>0</v>
      </c>
      <c r="Y504" s="4">
        <f t="shared" si="173"/>
        <v>0</v>
      </c>
      <c r="Z504" s="13">
        <f t="shared" ca="1" si="174"/>
        <v>33422.391000000003</v>
      </c>
      <c r="AA504" s="4">
        <f t="shared" ca="1" si="175"/>
        <v>0</v>
      </c>
      <c r="AE504" s="4"/>
    </row>
    <row r="505" spans="1:31">
      <c r="A505">
        <v>3</v>
      </c>
      <c r="B505">
        <v>3</v>
      </c>
      <c r="C505">
        <f t="shared" ca="1" si="154"/>
        <v>7</v>
      </c>
      <c r="D505">
        <f t="shared" ca="1" si="155"/>
        <v>6</v>
      </c>
      <c r="E505">
        <f t="shared" ca="1" si="156"/>
        <v>3</v>
      </c>
      <c r="F505" s="110">
        <f t="shared" ca="1" si="157"/>
        <v>0</v>
      </c>
      <c r="G505">
        <v>1</v>
      </c>
      <c r="H505">
        <v>1</v>
      </c>
      <c r="I505">
        <v>0</v>
      </c>
      <c r="J505" s="1">
        <f t="shared" ca="1" si="158"/>
        <v>0</v>
      </c>
      <c r="K505" s="1">
        <f t="shared" ca="1" si="159"/>
        <v>0</v>
      </c>
      <c r="L505" s="13">
        <f t="shared" ca="1" si="160"/>
        <v>462</v>
      </c>
      <c r="M505" s="7">
        <f t="shared" ca="1" si="161"/>
        <v>1038</v>
      </c>
      <c r="N505" s="26">
        <f t="shared" ca="1" si="162"/>
        <v>4</v>
      </c>
      <c r="O505" s="44">
        <f t="shared" ca="1" si="163"/>
        <v>2.8886114468927948</v>
      </c>
      <c r="P505" s="44">
        <f t="shared" ca="1" si="164"/>
        <v>28.886114468927953</v>
      </c>
      <c r="Q505" s="44">
        <f t="shared" ca="1" si="165"/>
        <v>28.886114468927953</v>
      </c>
      <c r="R505" s="44">
        <f t="shared" ca="1" si="166"/>
        <v>2.8886114468927953</v>
      </c>
      <c r="S505" s="44">
        <f t="shared" ca="1" si="167"/>
        <v>2.8886114468927948</v>
      </c>
      <c r="T505" s="4">
        <f t="shared" ca="1" si="168"/>
        <v>0</v>
      </c>
      <c r="U505" s="120">
        <f t="shared" ca="1" si="169"/>
        <v>1950.7564194948757</v>
      </c>
      <c r="V505" s="4">
        <f t="shared" ca="1" si="170"/>
        <v>0</v>
      </c>
      <c r="W505" s="13">
        <f t="shared" ca="1" si="171"/>
        <v>30993.516000000003</v>
      </c>
      <c r="X505" s="4">
        <f t="shared" ca="1" si="172"/>
        <v>0</v>
      </c>
      <c r="Y505" s="4">
        <f t="shared" si="173"/>
        <v>0</v>
      </c>
      <c r="Z505" s="13">
        <f t="shared" ca="1" si="174"/>
        <v>30993.516000000003</v>
      </c>
      <c r="AA505" s="4">
        <f t="shared" ca="1" si="175"/>
        <v>0</v>
      </c>
      <c r="AE505" s="4"/>
    </row>
    <row r="506" spans="1:31">
      <c r="A506">
        <v>3</v>
      </c>
      <c r="B506">
        <v>3</v>
      </c>
      <c r="C506">
        <f t="shared" ca="1" si="154"/>
        <v>7</v>
      </c>
      <c r="D506">
        <f t="shared" ca="1" si="155"/>
        <v>6</v>
      </c>
      <c r="E506">
        <f t="shared" ca="1" si="156"/>
        <v>3</v>
      </c>
      <c r="F506" s="110">
        <f t="shared" ca="1" si="157"/>
        <v>0</v>
      </c>
      <c r="G506">
        <v>1</v>
      </c>
      <c r="H506">
        <v>0</v>
      </c>
      <c r="I506">
        <v>7</v>
      </c>
      <c r="J506" s="1">
        <f t="shared" ca="1" si="158"/>
        <v>0</v>
      </c>
      <c r="K506" s="1">
        <f t="shared" ca="1" si="159"/>
        <v>0</v>
      </c>
      <c r="L506" s="13">
        <f t="shared" ca="1" si="160"/>
        <v>364</v>
      </c>
      <c r="M506" s="7">
        <f t="shared" ca="1" si="161"/>
        <v>1136</v>
      </c>
      <c r="N506" s="26">
        <f t="shared" ca="1" si="162"/>
        <v>5</v>
      </c>
      <c r="O506" s="44">
        <f t="shared" ca="1" si="163"/>
        <v>3.5346387789404914</v>
      </c>
      <c r="P506" s="44">
        <f t="shared" ca="1" si="164"/>
        <v>35.346387789404908</v>
      </c>
      <c r="Q506" s="44">
        <f t="shared" ca="1" si="165"/>
        <v>34.700360457357213</v>
      </c>
      <c r="R506" s="44">
        <f t="shared" ca="1" si="166"/>
        <v>3.5023374123381061</v>
      </c>
      <c r="S506" s="44">
        <f t="shared" ca="1" si="167"/>
        <v>3.532377683278324</v>
      </c>
      <c r="T506" s="4">
        <f t="shared" ca="1" si="168"/>
        <v>0</v>
      </c>
      <c r="U506" s="120">
        <f t="shared" ca="1" si="169"/>
        <v>2135.4497774977995</v>
      </c>
      <c r="V506" s="4">
        <f t="shared" ca="1" si="170"/>
        <v>0</v>
      </c>
      <c r="W506" s="13">
        <f t="shared" ca="1" si="171"/>
        <v>47995.641000000003</v>
      </c>
      <c r="X506" s="4">
        <f t="shared" ca="1" si="172"/>
        <v>0</v>
      </c>
      <c r="Y506" s="4">
        <f t="shared" si="173"/>
        <v>0</v>
      </c>
      <c r="Z506" s="13">
        <f t="shared" ca="1" si="174"/>
        <v>47995.641000000003</v>
      </c>
      <c r="AA506" s="4">
        <f t="shared" ca="1" si="175"/>
        <v>0</v>
      </c>
      <c r="AE506" s="4"/>
    </row>
    <row r="507" spans="1:31">
      <c r="A507">
        <v>3</v>
      </c>
      <c r="B507">
        <v>3</v>
      </c>
      <c r="C507">
        <f t="shared" ca="1" si="154"/>
        <v>7</v>
      </c>
      <c r="D507">
        <f t="shared" ca="1" si="155"/>
        <v>6</v>
      </c>
      <c r="E507">
        <f t="shared" ca="1" si="156"/>
        <v>3</v>
      </c>
      <c r="F507" s="110">
        <f t="shared" ca="1" si="157"/>
        <v>0</v>
      </c>
      <c r="G507">
        <v>1</v>
      </c>
      <c r="H507">
        <v>0</v>
      </c>
      <c r="I507">
        <v>6</v>
      </c>
      <c r="J507" s="1">
        <f t="shared" ca="1" si="158"/>
        <v>0.69833729609374984</v>
      </c>
      <c r="K507" s="1">
        <f t="shared" ca="1" si="159"/>
        <v>0</v>
      </c>
      <c r="L507" s="13">
        <f t="shared" ca="1" si="160"/>
        <v>345</v>
      </c>
      <c r="M507" s="7">
        <f t="shared" ca="1" si="161"/>
        <v>1155</v>
      </c>
      <c r="N507" s="26">
        <f t="shared" ca="1" si="162"/>
        <v>5</v>
      </c>
      <c r="O507" s="44">
        <f t="shared" ca="1" si="163"/>
        <v>3.5346387789404914</v>
      </c>
      <c r="P507" s="44">
        <f t="shared" ca="1" si="164"/>
        <v>35.346387789404908</v>
      </c>
      <c r="Q507" s="44">
        <f t="shared" ca="1" si="165"/>
        <v>35.346387789404908</v>
      </c>
      <c r="R507" s="44">
        <f t="shared" ca="1" si="166"/>
        <v>3.5346387789404909</v>
      </c>
      <c r="S507" s="44">
        <f t="shared" ca="1" si="167"/>
        <v>3.5346387789404914</v>
      </c>
      <c r="T507" s="4">
        <f t="shared" ca="1" si="168"/>
        <v>0</v>
      </c>
      <c r="U507" s="120">
        <f t="shared" ca="1" si="169"/>
        <v>2117.4426794074939</v>
      </c>
      <c r="V507" s="4">
        <f t="shared" ca="1" si="170"/>
        <v>0</v>
      </c>
      <c r="W507" s="13">
        <f t="shared" ca="1" si="171"/>
        <v>45566.766000000003</v>
      </c>
      <c r="X507" s="4">
        <f t="shared" ca="1" si="172"/>
        <v>0</v>
      </c>
      <c r="Y507" s="4">
        <f t="shared" si="173"/>
        <v>0</v>
      </c>
      <c r="Z507" s="13">
        <f t="shared" ca="1" si="174"/>
        <v>45566.766000000003</v>
      </c>
      <c r="AA507" s="4">
        <f t="shared" ca="1" si="175"/>
        <v>0</v>
      </c>
      <c r="AE507" s="4"/>
    </row>
    <row r="508" spans="1:31">
      <c r="A508">
        <v>3</v>
      </c>
      <c r="B508">
        <v>3</v>
      </c>
      <c r="C508">
        <f t="shared" ca="1" si="154"/>
        <v>7</v>
      </c>
      <c r="D508">
        <f t="shared" ca="1" si="155"/>
        <v>6</v>
      </c>
      <c r="E508">
        <f t="shared" ca="1" si="156"/>
        <v>3</v>
      </c>
      <c r="F508" s="110">
        <f t="shared" ca="1" si="157"/>
        <v>0</v>
      </c>
      <c r="G508">
        <v>1</v>
      </c>
      <c r="H508">
        <v>0</v>
      </c>
      <c r="I508">
        <v>5</v>
      </c>
      <c r="J508" s="1">
        <f t="shared" ca="1" si="158"/>
        <v>0.22052756718750019</v>
      </c>
      <c r="K508" s="1">
        <f t="shared" ca="1" si="159"/>
        <v>0</v>
      </c>
      <c r="L508" s="13">
        <f t="shared" ca="1" si="160"/>
        <v>326</v>
      </c>
      <c r="M508" s="7">
        <f t="shared" ca="1" si="161"/>
        <v>1174</v>
      </c>
      <c r="N508" s="26">
        <f t="shared" ca="1" si="162"/>
        <v>5</v>
      </c>
      <c r="O508" s="44">
        <f t="shared" ca="1" si="163"/>
        <v>3.5346387789404914</v>
      </c>
      <c r="P508" s="44">
        <f t="shared" ca="1" si="164"/>
        <v>35.346387789404908</v>
      </c>
      <c r="Q508" s="44">
        <f t="shared" ca="1" si="165"/>
        <v>35.346387789404908</v>
      </c>
      <c r="R508" s="44">
        <f t="shared" ca="1" si="166"/>
        <v>3.5346387789404909</v>
      </c>
      <c r="S508" s="44">
        <f t="shared" ca="1" si="167"/>
        <v>3.5346387789404914</v>
      </c>
      <c r="T508" s="4">
        <f t="shared" ca="1" si="168"/>
        <v>0</v>
      </c>
      <c r="U508" s="120">
        <f t="shared" ca="1" si="169"/>
        <v>2098.4426794074939</v>
      </c>
      <c r="V508" s="4">
        <f t="shared" ca="1" si="170"/>
        <v>0</v>
      </c>
      <c r="W508" s="13">
        <f t="shared" ca="1" si="171"/>
        <v>43137.891000000003</v>
      </c>
      <c r="X508" s="4">
        <f t="shared" ca="1" si="172"/>
        <v>0</v>
      </c>
      <c r="Y508" s="4">
        <f t="shared" si="173"/>
        <v>0</v>
      </c>
      <c r="Z508" s="13">
        <f t="shared" ca="1" si="174"/>
        <v>43137.891000000003</v>
      </c>
      <c r="AA508" s="4">
        <f t="shared" ca="1" si="175"/>
        <v>0</v>
      </c>
      <c r="AE508" s="4"/>
    </row>
    <row r="509" spans="1:31">
      <c r="A509">
        <v>3</v>
      </c>
      <c r="B509">
        <v>3</v>
      </c>
      <c r="C509">
        <f t="shared" ca="1" si="154"/>
        <v>7</v>
      </c>
      <c r="D509">
        <f t="shared" ca="1" si="155"/>
        <v>6</v>
      </c>
      <c r="E509">
        <f t="shared" ca="1" si="156"/>
        <v>3</v>
      </c>
      <c r="F509" s="110">
        <f t="shared" ca="1" si="157"/>
        <v>0</v>
      </c>
      <c r="G509">
        <v>1</v>
      </c>
      <c r="H509">
        <v>0</v>
      </c>
      <c r="I509">
        <v>4</v>
      </c>
      <c r="J509" s="1">
        <f t="shared" ca="1" si="158"/>
        <v>2.9016785156250047E-2</v>
      </c>
      <c r="K509" s="1">
        <f t="shared" ca="1" si="159"/>
        <v>0</v>
      </c>
      <c r="L509" s="13">
        <f t="shared" ca="1" si="160"/>
        <v>307</v>
      </c>
      <c r="M509" s="7">
        <f t="shared" ca="1" si="161"/>
        <v>1193</v>
      </c>
      <c r="N509" s="26">
        <f t="shared" ca="1" si="162"/>
        <v>5</v>
      </c>
      <c r="O509" s="44">
        <f t="shared" ca="1" si="163"/>
        <v>3.5346387789404914</v>
      </c>
      <c r="P509" s="44">
        <f t="shared" ca="1" si="164"/>
        <v>35.346387789404908</v>
      </c>
      <c r="Q509" s="44">
        <f t="shared" ca="1" si="165"/>
        <v>35.346387789404908</v>
      </c>
      <c r="R509" s="44">
        <f t="shared" ca="1" si="166"/>
        <v>3.5346387789404909</v>
      </c>
      <c r="S509" s="44">
        <f t="shared" ca="1" si="167"/>
        <v>3.5346387789404914</v>
      </c>
      <c r="T509" s="4">
        <f t="shared" ca="1" si="168"/>
        <v>0</v>
      </c>
      <c r="U509" s="120">
        <f t="shared" ca="1" si="169"/>
        <v>2079.4426794074939</v>
      </c>
      <c r="V509" s="4">
        <f t="shared" ca="1" si="170"/>
        <v>0</v>
      </c>
      <c r="W509" s="13">
        <f t="shared" ca="1" si="171"/>
        <v>40709.016000000003</v>
      </c>
      <c r="X509" s="4">
        <f t="shared" ca="1" si="172"/>
        <v>0</v>
      </c>
      <c r="Y509" s="4">
        <f t="shared" si="173"/>
        <v>0</v>
      </c>
      <c r="Z509" s="13">
        <f t="shared" ca="1" si="174"/>
        <v>40709.016000000003</v>
      </c>
      <c r="AA509" s="4">
        <f t="shared" ca="1" si="175"/>
        <v>0</v>
      </c>
      <c r="AE509" s="4"/>
    </row>
    <row r="510" spans="1:31">
      <c r="A510">
        <v>3</v>
      </c>
      <c r="B510">
        <v>3</v>
      </c>
      <c r="C510">
        <f t="shared" ca="1" si="154"/>
        <v>7</v>
      </c>
      <c r="D510">
        <f t="shared" ca="1" si="155"/>
        <v>6</v>
      </c>
      <c r="E510">
        <f t="shared" ca="1" si="156"/>
        <v>3</v>
      </c>
      <c r="F510" s="110">
        <f t="shared" ca="1" si="157"/>
        <v>0</v>
      </c>
      <c r="G510">
        <v>1</v>
      </c>
      <c r="H510">
        <v>0</v>
      </c>
      <c r="I510">
        <v>3</v>
      </c>
      <c r="J510" s="1">
        <f t="shared" ca="1" si="158"/>
        <v>2.0362656250000047E-3</v>
      </c>
      <c r="K510" s="1">
        <f t="shared" ca="1" si="159"/>
        <v>0</v>
      </c>
      <c r="L510" s="13">
        <f t="shared" ca="1" si="160"/>
        <v>288</v>
      </c>
      <c r="M510" s="7">
        <f t="shared" ca="1" si="161"/>
        <v>1212</v>
      </c>
      <c r="N510" s="26">
        <f t="shared" ca="1" si="162"/>
        <v>5</v>
      </c>
      <c r="O510" s="44">
        <f t="shared" ca="1" si="163"/>
        <v>3.5346387789404914</v>
      </c>
      <c r="P510" s="44">
        <f t="shared" ca="1" si="164"/>
        <v>35.346387789404908</v>
      </c>
      <c r="Q510" s="44">
        <f t="shared" ca="1" si="165"/>
        <v>35.346387789404908</v>
      </c>
      <c r="R510" s="44">
        <f t="shared" ca="1" si="166"/>
        <v>3.5346387789404909</v>
      </c>
      <c r="S510" s="44">
        <f t="shared" ca="1" si="167"/>
        <v>3.5346387789404914</v>
      </c>
      <c r="T510" s="4">
        <f t="shared" ca="1" si="168"/>
        <v>0</v>
      </c>
      <c r="U510" s="120">
        <f t="shared" ca="1" si="169"/>
        <v>2060.4426794074939</v>
      </c>
      <c r="V510" s="4">
        <f t="shared" ca="1" si="170"/>
        <v>0</v>
      </c>
      <c r="W510" s="13">
        <f t="shared" ca="1" si="171"/>
        <v>38280.141000000003</v>
      </c>
      <c r="X510" s="4">
        <f t="shared" ca="1" si="172"/>
        <v>0</v>
      </c>
      <c r="Y510" s="4">
        <f t="shared" si="173"/>
        <v>0</v>
      </c>
      <c r="Z510" s="13">
        <f t="shared" ca="1" si="174"/>
        <v>38280.141000000003</v>
      </c>
      <c r="AA510" s="4">
        <f t="shared" ca="1" si="175"/>
        <v>0</v>
      </c>
      <c r="AE510" s="4"/>
    </row>
    <row r="511" spans="1:31">
      <c r="A511">
        <v>3</v>
      </c>
      <c r="B511">
        <v>3</v>
      </c>
      <c r="C511">
        <f t="shared" ca="1" si="154"/>
        <v>7</v>
      </c>
      <c r="D511">
        <f t="shared" ca="1" si="155"/>
        <v>6</v>
      </c>
      <c r="E511">
        <f t="shared" ca="1" si="156"/>
        <v>3</v>
      </c>
      <c r="F511" s="110">
        <f t="shared" ca="1" si="157"/>
        <v>0</v>
      </c>
      <c r="G511">
        <v>1</v>
      </c>
      <c r="H511">
        <v>0</v>
      </c>
      <c r="I511">
        <v>2</v>
      </c>
      <c r="J511" s="1">
        <f t="shared" ca="1" si="158"/>
        <v>8.0378906250000291E-5</v>
      </c>
      <c r="K511" s="1">
        <f t="shared" ca="1" si="159"/>
        <v>0</v>
      </c>
      <c r="L511" s="13">
        <f t="shared" ca="1" si="160"/>
        <v>269</v>
      </c>
      <c r="M511" s="7">
        <f t="shared" ca="1" si="161"/>
        <v>1231</v>
      </c>
      <c r="N511" s="26">
        <f t="shared" ca="1" si="162"/>
        <v>5</v>
      </c>
      <c r="O511" s="44">
        <f t="shared" ca="1" si="163"/>
        <v>3.5346387789404914</v>
      </c>
      <c r="P511" s="44">
        <f t="shared" ca="1" si="164"/>
        <v>35.346387789404908</v>
      </c>
      <c r="Q511" s="44">
        <f t="shared" ca="1" si="165"/>
        <v>35.346387789404908</v>
      </c>
      <c r="R511" s="44">
        <f t="shared" ca="1" si="166"/>
        <v>3.5346387789404909</v>
      </c>
      <c r="S511" s="44">
        <f t="shared" ca="1" si="167"/>
        <v>3.5346387789404914</v>
      </c>
      <c r="T511" s="4">
        <f t="shared" ca="1" si="168"/>
        <v>0</v>
      </c>
      <c r="U511" s="120">
        <f t="shared" ca="1" si="169"/>
        <v>2041.4426794074936</v>
      </c>
      <c r="V511" s="4">
        <f t="shared" ca="1" si="170"/>
        <v>0</v>
      </c>
      <c r="W511" s="13">
        <f t="shared" ca="1" si="171"/>
        <v>35851.266000000003</v>
      </c>
      <c r="X511" s="4">
        <f t="shared" ca="1" si="172"/>
        <v>0</v>
      </c>
      <c r="Y511" s="4">
        <f t="shared" si="173"/>
        <v>0</v>
      </c>
      <c r="Z511" s="13">
        <f t="shared" ca="1" si="174"/>
        <v>35851.266000000003</v>
      </c>
      <c r="AA511" s="4">
        <f t="shared" ca="1" si="175"/>
        <v>0</v>
      </c>
      <c r="AE511" s="4"/>
    </row>
    <row r="512" spans="1:31">
      <c r="A512">
        <v>3</v>
      </c>
      <c r="B512">
        <v>3</v>
      </c>
      <c r="C512">
        <f t="shared" ca="1" si="154"/>
        <v>7</v>
      </c>
      <c r="D512">
        <f t="shared" ca="1" si="155"/>
        <v>6</v>
      </c>
      <c r="E512">
        <f t="shared" ca="1" si="156"/>
        <v>3</v>
      </c>
      <c r="F512" s="110">
        <f t="shared" ca="1" si="157"/>
        <v>0</v>
      </c>
      <c r="G512">
        <v>1</v>
      </c>
      <c r="H512">
        <v>0</v>
      </c>
      <c r="I512">
        <v>1</v>
      </c>
      <c r="J512" s="1">
        <f t="shared" ca="1" si="158"/>
        <v>1.6921875000000077E-6</v>
      </c>
      <c r="K512" s="1">
        <f t="shared" ca="1" si="159"/>
        <v>0</v>
      </c>
      <c r="L512" s="13">
        <f t="shared" ca="1" si="160"/>
        <v>250</v>
      </c>
      <c r="M512" s="7">
        <f t="shared" ca="1" si="161"/>
        <v>1250</v>
      </c>
      <c r="N512" s="26">
        <f t="shared" ca="1" si="162"/>
        <v>5</v>
      </c>
      <c r="O512" s="44">
        <f t="shared" ca="1" si="163"/>
        <v>3.5346387789404914</v>
      </c>
      <c r="P512" s="44">
        <f t="shared" ca="1" si="164"/>
        <v>35.346387789404908</v>
      </c>
      <c r="Q512" s="44">
        <f t="shared" ca="1" si="165"/>
        <v>35.346387789404908</v>
      </c>
      <c r="R512" s="44">
        <f t="shared" ca="1" si="166"/>
        <v>3.5346387789404909</v>
      </c>
      <c r="S512" s="44">
        <f t="shared" ca="1" si="167"/>
        <v>3.5346387789404914</v>
      </c>
      <c r="T512" s="4">
        <f t="shared" ca="1" si="168"/>
        <v>0</v>
      </c>
      <c r="U512" s="120">
        <f t="shared" ca="1" si="169"/>
        <v>2022.4426794074936</v>
      </c>
      <c r="V512" s="4">
        <f t="shared" ca="1" si="170"/>
        <v>0</v>
      </c>
      <c r="W512" s="13">
        <f t="shared" ca="1" si="171"/>
        <v>33422.391000000003</v>
      </c>
      <c r="X512" s="4">
        <f t="shared" ca="1" si="172"/>
        <v>0</v>
      </c>
      <c r="Y512" s="4">
        <f t="shared" si="173"/>
        <v>0</v>
      </c>
      <c r="Z512" s="13">
        <f t="shared" ca="1" si="174"/>
        <v>33422.391000000003</v>
      </c>
      <c r="AA512" s="4">
        <f t="shared" ca="1" si="175"/>
        <v>0</v>
      </c>
      <c r="AE512" s="4"/>
    </row>
    <row r="513" spans="1:31">
      <c r="A513">
        <v>3</v>
      </c>
      <c r="B513">
        <v>3</v>
      </c>
      <c r="C513">
        <f t="shared" ca="1" si="154"/>
        <v>7</v>
      </c>
      <c r="D513">
        <f t="shared" ca="1" si="155"/>
        <v>6</v>
      </c>
      <c r="E513">
        <f t="shared" ca="1" si="156"/>
        <v>3</v>
      </c>
      <c r="F513" s="110">
        <f t="shared" ca="1" si="157"/>
        <v>0</v>
      </c>
      <c r="G513">
        <v>1</v>
      </c>
      <c r="H513">
        <v>0</v>
      </c>
      <c r="I513">
        <v>0</v>
      </c>
      <c r="J513" s="1">
        <f t="shared" ca="1" si="158"/>
        <v>1.4843750000000078E-8</v>
      </c>
      <c r="K513" s="1">
        <f t="shared" ca="1" si="159"/>
        <v>0</v>
      </c>
      <c r="L513" s="13">
        <f t="shared" ca="1" si="160"/>
        <v>231</v>
      </c>
      <c r="M513" s="7">
        <f t="shared" ca="1" si="161"/>
        <v>1269</v>
      </c>
      <c r="N513" s="26">
        <f t="shared" ca="1" si="162"/>
        <v>5</v>
      </c>
      <c r="O513" s="44">
        <f t="shared" ca="1" si="163"/>
        <v>3.5346387789404914</v>
      </c>
      <c r="P513" s="44">
        <f t="shared" ca="1" si="164"/>
        <v>35.346387789404908</v>
      </c>
      <c r="Q513" s="44">
        <f t="shared" ca="1" si="165"/>
        <v>35.346387789404908</v>
      </c>
      <c r="R513" s="44">
        <f t="shared" ca="1" si="166"/>
        <v>3.5346387789404909</v>
      </c>
      <c r="S513" s="44">
        <f t="shared" ca="1" si="167"/>
        <v>3.5346387789404914</v>
      </c>
      <c r="T513" s="4">
        <f t="shared" ca="1" si="168"/>
        <v>0</v>
      </c>
      <c r="U513" s="120">
        <f t="shared" ca="1" si="169"/>
        <v>2003.4426794074936</v>
      </c>
      <c r="V513" s="4">
        <f t="shared" ca="1" si="170"/>
        <v>0</v>
      </c>
      <c r="W513" s="13">
        <f t="shared" ca="1" si="171"/>
        <v>30993.516000000003</v>
      </c>
      <c r="X513" s="4">
        <f t="shared" ca="1" si="172"/>
        <v>0</v>
      </c>
      <c r="Y513" s="4">
        <f t="shared" si="173"/>
        <v>0</v>
      </c>
      <c r="Z513" s="13">
        <f t="shared" ca="1" si="174"/>
        <v>30993.516000000003</v>
      </c>
      <c r="AA513" s="4">
        <f t="shared" ca="1" si="175"/>
        <v>0</v>
      </c>
      <c r="AE513" s="4"/>
    </row>
    <row r="514" spans="1:31">
      <c r="A514">
        <v>3</v>
      </c>
      <c r="B514">
        <v>3</v>
      </c>
      <c r="C514">
        <f t="shared" ca="1" si="154"/>
        <v>7</v>
      </c>
      <c r="D514">
        <f t="shared" ca="1" si="155"/>
        <v>6</v>
      </c>
      <c r="E514">
        <f t="shared" ca="1" si="156"/>
        <v>3</v>
      </c>
      <c r="F514" s="110">
        <f t="shared" ca="1" si="157"/>
        <v>0</v>
      </c>
      <c r="G514">
        <v>0</v>
      </c>
      <c r="H514">
        <v>1</v>
      </c>
      <c r="I514">
        <v>7</v>
      </c>
      <c r="J514" s="1">
        <f t="shared" ca="1" si="158"/>
        <v>0</v>
      </c>
      <c r="K514" s="1">
        <f t="shared" ca="1" si="159"/>
        <v>0</v>
      </c>
      <c r="L514" s="13">
        <f t="shared" ca="1" si="160"/>
        <v>364</v>
      </c>
      <c r="M514" s="7">
        <f t="shared" ca="1" si="161"/>
        <v>1136</v>
      </c>
      <c r="N514" s="26">
        <f t="shared" ca="1" si="162"/>
        <v>5</v>
      </c>
      <c r="O514" s="44">
        <f t="shared" ca="1" si="163"/>
        <v>3.5346387789404914</v>
      </c>
      <c r="P514" s="44">
        <f t="shared" ca="1" si="164"/>
        <v>35.346387789404908</v>
      </c>
      <c r="Q514" s="44">
        <f t="shared" ca="1" si="165"/>
        <v>34.700360457357213</v>
      </c>
      <c r="R514" s="44">
        <f t="shared" ca="1" si="166"/>
        <v>3.5023374123381061</v>
      </c>
      <c r="S514" s="44">
        <f t="shared" ca="1" si="167"/>
        <v>3.532377683278324</v>
      </c>
      <c r="T514" s="4">
        <f t="shared" ca="1" si="168"/>
        <v>0</v>
      </c>
      <c r="U514" s="120">
        <f t="shared" ca="1" si="169"/>
        <v>2135.4497774977995</v>
      </c>
      <c r="V514" s="4">
        <f t="shared" ca="1" si="170"/>
        <v>0</v>
      </c>
      <c r="W514" s="13">
        <f t="shared" ca="1" si="171"/>
        <v>17002.125</v>
      </c>
      <c r="X514" s="4">
        <f t="shared" ca="1" si="172"/>
        <v>0</v>
      </c>
      <c r="Y514" s="4">
        <f t="shared" si="173"/>
        <v>0</v>
      </c>
      <c r="Z514" s="13">
        <f t="shared" ca="1" si="174"/>
        <v>17002.125</v>
      </c>
      <c r="AA514" s="4">
        <f t="shared" ca="1" si="175"/>
        <v>0</v>
      </c>
      <c r="AE514" s="4"/>
    </row>
    <row r="515" spans="1:31">
      <c r="A515">
        <v>3</v>
      </c>
      <c r="B515">
        <v>3</v>
      </c>
      <c r="C515">
        <f t="shared" ca="1" si="154"/>
        <v>7</v>
      </c>
      <c r="D515">
        <f t="shared" ca="1" si="155"/>
        <v>6</v>
      </c>
      <c r="E515">
        <f t="shared" ca="1" si="156"/>
        <v>3</v>
      </c>
      <c r="F515" s="110">
        <f t="shared" ca="1" si="157"/>
        <v>0</v>
      </c>
      <c r="G515">
        <v>0</v>
      </c>
      <c r="H515">
        <v>1</v>
      </c>
      <c r="I515">
        <v>6</v>
      </c>
      <c r="J515" s="1">
        <f t="shared" ca="1" si="158"/>
        <v>0</v>
      </c>
      <c r="K515" s="1">
        <f t="shared" ca="1" si="159"/>
        <v>0</v>
      </c>
      <c r="L515" s="13">
        <f t="shared" ca="1" si="160"/>
        <v>345</v>
      </c>
      <c r="M515" s="7">
        <f t="shared" ca="1" si="161"/>
        <v>1155</v>
      </c>
      <c r="N515" s="26">
        <f t="shared" ca="1" si="162"/>
        <v>5</v>
      </c>
      <c r="O515" s="44">
        <f t="shared" ca="1" si="163"/>
        <v>3.5346387789404914</v>
      </c>
      <c r="P515" s="44">
        <f t="shared" ca="1" si="164"/>
        <v>35.346387789404908</v>
      </c>
      <c r="Q515" s="44">
        <f t="shared" ca="1" si="165"/>
        <v>35.346387789404908</v>
      </c>
      <c r="R515" s="44">
        <f t="shared" ca="1" si="166"/>
        <v>3.5346387789404909</v>
      </c>
      <c r="S515" s="44">
        <f t="shared" ca="1" si="167"/>
        <v>3.5346387789404914</v>
      </c>
      <c r="T515" s="4">
        <f t="shared" ca="1" si="168"/>
        <v>0</v>
      </c>
      <c r="U515" s="120">
        <f t="shared" ca="1" si="169"/>
        <v>2117.4426794074939</v>
      </c>
      <c r="V515" s="4">
        <f t="shared" ca="1" si="170"/>
        <v>0</v>
      </c>
      <c r="W515" s="13">
        <f t="shared" ca="1" si="171"/>
        <v>14573.25</v>
      </c>
      <c r="X515" s="4">
        <f t="shared" ca="1" si="172"/>
        <v>0</v>
      </c>
      <c r="Y515" s="4">
        <f t="shared" si="173"/>
        <v>0</v>
      </c>
      <c r="Z515" s="13">
        <f t="shared" ca="1" si="174"/>
        <v>14573.25</v>
      </c>
      <c r="AA515" s="4">
        <f t="shared" ca="1" si="175"/>
        <v>0</v>
      </c>
      <c r="AE515" s="4"/>
    </row>
    <row r="516" spans="1:31">
      <c r="A516">
        <v>3</v>
      </c>
      <c r="B516">
        <v>3</v>
      </c>
      <c r="C516">
        <f t="shared" ca="1" si="154"/>
        <v>7</v>
      </c>
      <c r="D516">
        <f t="shared" ca="1" si="155"/>
        <v>6</v>
      </c>
      <c r="E516">
        <f t="shared" ca="1" si="156"/>
        <v>3</v>
      </c>
      <c r="F516" s="110">
        <f t="shared" ca="1" si="157"/>
        <v>0</v>
      </c>
      <c r="G516">
        <v>0</v>
      </c>
      <c r="H516">
        <v>1</v>
      </c>
      <c r="I516">
        <v>5</v>
      </c>
      <c r="J516" s="1">
        <f t="shared" ca="1" si="158"/>
        <v>0</v>
      </c>
      <c r="K516" s="1">
        <f t="shared" ca="1" si="159"/>
        <v>0</v>
      </c>
      <c r="L516" s="13">
        <f t="shared" ca="1" si="160"/>
        <v>326</v>
      </c>
      <c r="M516" s="7">
        <f t="shared" ca="1" si="161"/>
        <v>1174</v>
      </c>
      <c r="N516" s="26">
        <f t="shared" ca="1" si="162"/>
        <v>5</v>
      </c>
      <c r="O516" s="44">
        <f t="shared" ca="1" si="163"/>
        <v>3.5346387789404914</v>
      </c>
      <c r="P516" s="44">
        <f t="shared" ca="1" si="164"/>
        <v>35.346387789404908</v>
      </c>
      <c r="Q516" s="44">
        <f t="shared" ca="1" si="165"/>
        <v>35.346387789404908</v>
      </c>
      <c r="R516" s="44">
        <f t="shared" ca="1" si="166"/>
        <v>3.5346387789404909</v>
      </c>
      <c r="S516" s="44">
        <f t="shared" ca="1" si="167"/>
        <v>3.5346387789404914</v>
      </c>
      <c r="T516" s="4">
        <f t="shared" ca="1" si="168"/>
        <v>0</v>
      </c>
      <c r="U516" s="120">
        <f t="shared" ca="1" si="169"/>
        <v>2098.4426794074939</v>
      </c>
      <c r="V516" s="4">
        <f t="shared" ca="1" si="170"/>
        <v>0</v>
      </c>
      <c r="W516" s="13">
        <f t="shared" ca="1" si="171"/>
        <v>12144.375</v>
      </c>
      <c r="X516" s="4">
        <f t="shared" ca="1" si="172"/>
        <v>0</v>
      </c>
      <c r="Y516" s="4">
        <f t="shared" si="173"/>
        <v>0</v>
      </c>
      <c r="Z516" s="13">
        <f t="shared" ca="1" si="174"/>
        <v>12144.375</v>
      </c>
      <c r="AA516" s="4">
        <f t="shared" ca="1" si="175"/>
        <v>0</v>
      </c>
      <c r="AE516" s="4"/>
    </row>
    <row r="517" spans="1:31">
      <c r="A517">
        <v>3</v>
      </c>
      <c r="B517">
        <v>3</v>
      </c>
      <c r="C517">
        <f t="shared" ca="1" si="154"/>
        <v>7</v>
      </c>
      <c r="D517">
        <f t="shared" ca="1" si="155"/>
        <v>6</v>
      </c>
      <c r="E517">
        <f t="shared" ca="1" si="156"/>
        <v>3</v>
      </c>
      <c r="F517" s="110">
        <f t="shared" ca="1" si="157"/>
        <v>0</v>
      </c>
      <c r="G517">
        <v>0</v>
      </c>
      <c r="H517">
        <v>1</v>
      </c>
      <c r="I517">
        <v>4</v>
      </c>
      <c r="J517" s="1">
        <f t="shared" ca="1" si="158"/>
        <v>0</v>
      </c>
      <c r="K517" s="1">
        <f t="shared" ca="1" si="159"/>
        <v>0</v>
      </c>
      <c r="L517" s="13">
        <f t="shared" ca="1" si="160"/>
        <v>307</v>
      </c>
      <c r="M517" s="7">
        <f t="shared" ca="1" si="161"/>
        <v>1193</v>
      </c>
      <c r="N517" s="26">
        <f t="shared" ca="1" si="162"/>
        <v>5</v>
      </c>
      <c r="O517" s="44">
        <f t="shared" ca="1" si="163"/>
        <v>3.5346387789404914</v>
      </c>
      <c r="P517" s="44">
        <f t="shared" ca="1" si="164"/>
        <v>35.346387789404908</v>
      </c>
      <c r="Q517" s="44">
        <f t="shared" ca="1" si="165"/>
        <v>35.346387789404908</v>
      </c>
      <c r="R517" s="44">
        <f t="shared" ca="1" si="166"/>
        <v>3.5346387789404909</v>
      </c>
      <c r="S517" s="44">
        <f t="shared" ca="1" si="167"/>
        <v>3.5346387789404914</v>
      </c>
      <c r="T517" s="4">
        <f t="shared" ca="1" si="168"/>
        <v>0</v>
      </c>
      <c r="U517" s="120">
        <f t="shared" ca="1" si="169"/>
        <v>2079.4426794074939</v>
      </c>
      <c r="V517" s="4">
        <f t="shared" ca="1" si="170"/>
        <v>0</v>
      </c>
      <c r="W517" s="13">
        <f t="shared" ca="1" si="171"/>
        <v>9715.5</v>
      </c>
      <c r="X517" s="4">
        <f t="shared" ca="1" si="172"/>
        <v>0</v>
      </c>
      <c r="Y517" s="4">
        <f t="shared" si="173"/>
        <v>0</v>
      </c>
      <c r="Z517" s="13">
        <f t="shared" ca="1" si="174"/>
        <v>9715.5</v>
      </c>
      <c r="AA517" s="4">
        <f t="shared" ca="1" si="175"/>
        <v>0</v>
      </c>
      <c r="AE517" s="4"/>
    </row>
    <row r="518" spans="1:31">
      <c r="A518">
        <v>3</v>
      </c>
      <c r="B518">
        <v>3</v>
      </c>
      <c r="C518">
        <f t="shared" ca="1" si="154"/>
        <v>7</v>
      </c>
      <c r="D518">
        <f t="shared" ca="1" si="155"/>
        <v>6</v>
      </c>
      <c r="E518">
        <f t="shared" ca="1" si="156"/>
        <v>3</v>
      </c>
      <c r="F518" s="110">
        <f t="shared" ca="1" si="157"/>
        <v>0</v>
      </c>
      <c r="G518">
        <v>0</v>
      </c>
      <c r="H518">
        <v>1</v>
      </c>
      <c r="I518">
        <v>3</v>
      </c>
      <c r="J518" s="1">
        <f t="shared" ca="1" si="158"/>
        <v>0</v>
      </c>
      <c r="K518" s="1">
        <f t="shared" ca="1" si="159"/>
        <v>0</v>
      </c>
      <c r="L518" s="13">
        <f t="shared" ca="1" si="160"/>
        <v>288</v>
      </c>
      <c r="M518" s="7">
        <f t="shared" ca="1" si="161"/>
        <v>1212</v>
      </c>
      <c r="N518" s="26">
        <f t="shared" ca="1" si="162"/>
        <v>5</v>
      </c>
      <c r="O518" s="44">
        <f t="shared" ca="1" si="163"/>
        <v>3.5346387789404914</v>
      </c>
      <c r="P518" s="44">
        <f t="shared" ca="1" si="164"/>
        <v>35.346387789404908</v>
      </c>
      <c r="Q518" s="44">
        <f t="shared" ca="1" si="165"/>
        <v>35.346387789404908</v>
      </c>
      <c r="R518" s="44">
        <f t="shared" ca="1" si="166"/>
        <v>3.5346387789404909</v>
      </c>
      <c r="S518" s="44">
        <f t="shared" ca="1" si="167"/>
        <v>3.5346387789404914</v>
      </c>
      <c r="T518" s="4">
        <f t="shared" ca="1" si="168"/>
        <v>0</v>
      </c>
      <c r="U518" s="120">
        <f t="shared" ca="1" si="169"/>
        <v>2060.4426794074939</v>
      </c>
      <c r="V518" s="4">
        <f t="shared" ca="1" si="170"/>
        <v>0</v>
      </c>
      <c r="W518" s="13">
        <f t="shared" ca="1" si="171"/>
        <v>7286.625</v>
      </c>
      <c r="X518" s="4">
        <f t="shared" ca="1" si="172"/>
        <v>0</v>
      </c>
      <c r="Y518" s="4">
        <f t="shared" si="173"/>
        <v>0</v>
      </c>
      <c r="Z518" s="13">
        <f t="shared" ca="1" si="174"/>
        <v>7286.625</v>
      </c>
      <c r="AA518" s="4">
        <f t="shared" ca="1" si="175"/>
        <v>0</v>
      </c>
      <c r="AE518" s="4"/>
    </row>
    <row r="519" spans="1:31">
      <c r="A519">
        <v>3</v>
      </c>
      <c r="B519">
        <v>3</v>
      </c>
      <c r="C519">
        <f t="shared" ca="1" si="154"/>
        <v>7</v>
      </c>
      <c r="D519">
        <f t="shared" ca="1" si="155"/>
        <v>6</v>
      </c>
      <c r="E519">
        <f t="shared" ca="1" si="156"/>
        <v>3</v>
      </c>
      <c r="F519" s="110">
        <f t="shared" ca="1" si="157"/>
        <v>0</v>
      </c>
      <c r="G519">
        <v>0</v>
      </c>
      <c r="H519">
        <v>1</v>
      </c>
      <c r="I519">
        <v>2</v>
      </c>
      <c r="J519" s="1">
        <f t="shared" ca="1" si="158"/>
        <v>0</v>
      </c>
      <c r="K519" s="1">
        <f t="shared" ca="1" si="159"/>
        <v>0</v>
      </c>
      <c r="L519" s="13">
        <f t="shared" ca="1" si="160"/>
        <v>269</v>
      </c>
      <c r="M519" s="7">
        <f t="shared" ca="1" si="161"/>
        <v>1231</v>
      </c>
      <c r="N519" s="26">
        <f t="shared" ca="1" si="162"/>
        <v>5</v>
      </c>
      <c r="O519" s="44">
        <f t="shared" ca="1" si="163"/>
        <v>3.5346387789404914</v>
      </c>
      <c r="P519" s="44">
        <f t="shared" ca="1" si="164"/>
        <v>35.346387789404908</v>
      </c>
      <c r="Q519" s="44">
        <f t="shared" ca="1" si="165"/>
        <v>35.346387789404908</v>
      </c>
      <c r="R519" s="44">
        <f t="shared" ca="1" si="166"/>
        <v>3.5346387789404909</v>
      </c>
      <c r="S519" s="44">
        <f t="shared" ca="1" si="167"/>
        <v>3.5346387789404914</v>
      </c>
      <c r="T519" s="4">
        <f t="shared" ca="1" si="168"/>
        <v>0</v>
      </c>
      <c r="U519" s="120">
        <f t="shared" ca="1" si="169"/>
        <v>2041.4426794074936</v>
      </c>
      <c r="V519" s="4">
        <f t="shared" ca="1" si="170"/>
        <v>0</v>
      </c>
      <c r="W519" s="13">
        <f t="shared" ca="1" si="171"/>
        <v>4857.75</v>
      </c>
      <c r="X519" s="4">
        <f t="shared" ca="1" si="172"/>
        <v>0</v>
      </c>
      <c r="Y519" s="4">
        <f t="shared" si="173"/>
        <v>0</v>
      </c>
      <c r="Z519" s="13">
        <f t="shared" ca="1" si="174"/>
        <v>4857.75</v>
      </c>
      <c r="AA519" s="4">
        <f t="shared" ca="1" si="175"/>
        <v>0</v>
      </c>
      <c r="AE519" s="4"/>
    </row>
    <row r="520" spans="1:31">
      <c r="A520">
        <v>3</v>
      </c>
      <c r="B520">
        <v>3</v>
      </c>
      <c r="C520">
        <f t="shared" ca="1" si="154"/>
        <v>7</v>
      </c>
      <c r="D520">
        <f t="shared" ca="1" si="155"/>
        <v>6</v>
      </c>
      <c r="E520">
        <f t="shared" ca="1" si="156"/>
        <v>3</v>
      </c>
      <c r="F520" s="110">
        <f t="shared" ca="1" si="157"/>
        <v>0</v>
      </c>
      <c r="G520">
        <v>0</v>
      </c>
      <c r="H520">
        <v>1</v>
      </c>
      <c r="I520">
        <v>1</v>
      </c>
      <c r="J520" s="1">
        <f t="shared" ca="1" si="158"/>
        <v>0</v>
      </c>
      <c r="K520" s="1">
        <f t="shared" ca="1" si="159"/>
        <v>0</v>
      </c>
      <c r="L520" s="13">
        <f t="shared" ca="1" si="160"/>
        <v>250</v>
      </c>
      <c r="M520" s="7">
        <f t="shared" ca="1" si="161"/>
        <v>1250</v>
      </c>
      <c r="N520" s="26">
        <f t="shared" ca="1" si="162"/>
        <v>5</v>
      </c>
      <c r="O520" s="44">
        <f t="shared" ca="1" si="163"/>
        <v>3.5346387789404914</v>
      </c>
      <c r="P520" s="44">
        <f t="shared" ca="1" si="164"/>
        <v>35.346387789404908</v>
      </c>
      <c r="Q520" s="44">
        <f t="shared" ca="1" si="165"/>
        <v>35.346387789404908</v>
      </c>
      <c r="R520" s="44">
        <f t="shared" ca="1" si="166"/>
        <v>3.5346387789404909</v>
      </c>
      <c r="S520" s="44">
        <f t="shared" ca="1" si="167"/>
        <v>3.5346387789404914</v>
      </c>
      <c r="T520" s="4">
        <f t="shared" ca="1" si="168"/>
        <v>0</v>
      </c>
      <c r="U520" s="120">
        <f t="shared" ca="1" si="169"/>
        <v>2022.4426794074936</v>
      </c>
      <c r="V520" s="4">
        <f t="shared" ca="1" si="170"/>
        <v>0</v>
      </c>
      <c r="W520" s="13">
        <f t="shared" ca="1" si="171"/>
        <v>2428.875</v>
      </c>
      <c r="X520" s="4">
        <f t="shared" ca="1" si="172"/>
        <v>0</v>
      </c>
      <c r="Y520" s="4">
        <f t="shared" si="173"/>
        <v>0</v>
      </c>
      <c r="Z520" s="13">
        <f t="shared" ca="1" si="174"/>
        <v>2428.875</v>
      </c>
      <c r="AA520" s="4">
        <f t="shared" ca="1" si="175"/>
        <v>0</v>
      </c>
      <c r="AE520" s="4"/>
    </row>
    <row r="521" spans="1:31">
      <c r="A521">
        <v>3</v>
      </c>
      <c r="B521">
        <v>3</v>
      </c>
      <c r="C521">
        <f t="shared" ca="1" si="154"/>
        <v>7</v>
      </c>
      <c r="D521">
        <f t="shared" ca="1" si="155"/>
        <v>6</v>
      </c>
      <c r="E521">
        <f t="shared" ca="1" si="156"/>
        <v>3</v>
      </c>
      <c r="F521" s="110">
        <f t="shared" ca="1" si="157"/>
        <v>0</v>
      </c>
      <c r="G521">
        <v>0</v>
      </c>
      <c r="H521">
        <v>1</v>
      </c>
      <c r="I521">
        <v>0</v>
      </c>
      <c r="J521" s="1">
        <f t="shared" ca="1" si="158"/>
        <v>0</v>
      </c>
      <c r="K521" s="1">
        <f t="shared" ca="1" si="159"/>
        <v>0</v>
      </c>
      <c r="L521" s="13">
        <f t="shared" ca="1" si="160"/>
        <v>231</v>
      </c>
      <c r="M521" s="7">
        <f t="shared" ca="1" si="161"/>
        <v>1269</v>
      </c>
      <c r="N521" s="26">
        <f t="shared" ca="1" si="162"/>
        <v>5</v>
      </c>
      <c r="O521" s="44">
        <f t="shared" ca="1" si="163"/>
        <v>3.5346387789404914</v>
      </c>
      <c r="P521" s="44">
        <f t="shared" ca="1" si="164"/>
        <v>35.346387789404908</v>
      </c>
      <c r="Q521" s="44">
        <f t="shared" ca="1" si="165"/>
        <v>35.346387789404908</v>
      </c>
      <c r="R521" s="44">
        <f t="shared" ca="1" si="166"/>
        <v>3.5346387789404909</v>
      </c>
      <c r="S521" s="44">
        <f t="shared" ca="1" si="167"/>
        <v>3.5346387789404914</v>
      </c>
      <c r="T521" s="4">
        <f t="shared" ca="1" si="168"/>
        <v>0</v>
      </c>
      <c r="U521" s="120">
        <f t="shared" ca="1" si="169"/>
        <v>2003.4426794074936</v>
      </c>
      <c r="V521" s="4">
        <f t="shared" ca="1" si="170"/>
        <v>0</v>
      </c>
      <c r="W521" s="13">
        <f t="shared" ca="1" si="171"/>
        <v>0</v>
      </c>
      <c r="X521" s="4">
        <f t="shared" ca="1" si="172"/>
        <v>0</v>
      </c>
      <c r="Y521" s="4">
        <f t="shared" si="173"/>
        <v>0</v>
      </c>
      <c r="Z521" s="13">
        <f t="shared" ca="1" si="174"/>
        <v>0</v>
      </c>
      <c r="AA521" s="4">
        <f t="shared" ca="1" si="175"/>
        <v>0</v>
      </c>
      <c r="AE521" s="4"/>
    </row>
    <row r="522" spans="1:31">
      <c r="A522">
        <v>3</v>
      </c>
      <c r="B522">
        <v>3</v>
      </c>
      <c r="C522">
        <f t="shared" ca="1" si="154"/>
        <v>7</v>
      </c>
      <c r="D522">
        <f t="shared" ca="1" si="155"/>
        <v>6</v>
      </c>
      <c r="E522">
        <f t="shared" ca="1" si="156"/>
        <v>3</v>
      </c>
      <c r="F522" s="110">
        <f t="shared" ca="1" si="157"/>
        <v>0</v>
      </c>
      <c r="G522">
        <v>0</v>
      </c>
      <c r="H522">
        <v>0</v>
      </c>
      <c r="I522">
        <v>7</v>
      </c>
      <c r="J522" s="1">
        <f t="shared" ca="1" si="158"/>
        <v>0</v>
      </c>
      <c r="K522" s="1">
        <f t="shared" ca="1" si="159"/>
        <v>0</v>
      </c>
      <c r="L522" s="13">
        <f t="shared" ca="1" si="160"/>
        <v>133</v>
      </c>
      <c r="M522" s="7">
        <f t="shared" ca="1" si="161"/>
        <v>1367</v>
      </c>
      <c r="N522" s="26">
        <f t="shared" ca="1" si="162"/>
        <v>5</v>
      </c>
      <c r="O522" s="44">
        <f t="shared" ca="1" si="163"/>
        <v>3.5346387789404914</v>
      </c>
      <c r="P522" s="44">
        <f t="shared" ca="1" si="164"/>
        <v>35.346387789404908</v>
      </c>
      <c r="Q522" s="44">
        <f t="shared" ca="1" si="165"/>
        <v>35.346387789404908</v>
      </c>
      <c r="R522" s="44">
        <f t="shared" ca="1" si="166"/>
        <v>3.5346387789404909</v>
      </c>
      <c r="S522" s="44">
        <f t="shared" ca="1" si="167"/>
        <v>3.5346387789404914</v>
      </c>
      <c r="T522" s="4">
        <f t="shared" ca="1" si="168"/>
        <v>0</v>
      </c>
      <c r="U522" s="120">
        <f t="shared" ca="1" si="169"/>
        <v>1905.4426794074936</v>
      </c>
      <c r="V522" s="4">
        <f t="shared" ca="1" si="170"/>
        <v>0</v>
      </c>
      <c r="W522" s="13">
        <f t="shared" ca="1" si="171"/>
        <v>17002.125</v>
      </c>
      <c r="X522" s="4">
        <f t="shared" ca="1" si="172"/>
        <v>0</v>
      </c>
      <c r="Y522" s="4">
        <f t="shared" si="173"/>
        <v>0</v>
      </c>
      <c r="Z522" s="13">
        <f t="shared" ca="1" si="174"/>
        <v>17002.125</v>
      </c>
      <c r="AA522" s="4">
        <f t="shared" ca="1" si="175"/>
        <v>0</v>
      </c>
      <c r="AE522" s="4"/>
    </row>
    <row r="523" spans="1:31">
      <c r="A523">
        <v>3</v>
      </c>
      <c r="B523">
        <v>3</v>
      </c>
      <c r="C523">
        <f t="shared" ca="1" si="154"/>
        <v>7</v>
      </c>
      <c r="D523">
        <f t="shared" ca="1" si="155"/>
        <v>6</v>
      </c>
      <c r="E523">
        <f t="shared" ca="1" si="156"/>
        <v>3</v>
      </c>
      <c r="F523" s="110">
        <f t="shared" ca="1" si="157"/>
        <v>0</v>
      </c>
      <c r="G523">
        <v>0</v>
      </c>
      <c r="H523">
        <v>0</v>
      </c>
      <c r="I523">
        <v>6</v>
      </c>
      <c r="J523" s="1">
        <f t="shared" ca="1" si="158"/>
        <v>3.6754594531249997E-2</v>
      </c>
      <c r="K523" s="1">
        <f t="shared" ca="1" si="159"/>
        <v>0</v>
      </c>
      <c r="L523" s="13">
        <f t="shared" ca="1" si="160"/>
        <v>114</v>
      </c>
      <c r="M523" s="7">
        <f t="shared" ca="1" si="161"/>
        <v>1386</v>
      </c>
      <c r="N523" s="26">
        <f t="shared" ca="1" si="162"/>
        <v>5</v>
      </c>
      <c r="O523" s="44">
        <f t="shared" ca="1" si="163"/>
        <v>3.5346387789404914</v>
      </c>
      <c r="P523" s="44">
        <f t="shared" ca="1" si="164"/>
        <v>35.346387789404908</v>
      </c>
      <c r="Q523" s="44">
        <f t="shared" ca="1" si="165"/>
        <v>35.346387789404908</v>
      </c>
      <c r="R523" s="44">
        <f t="shared" ca="1" si="166"/>
        <v>3.5346387789404909</v>
      </c>
      <c r="S523" s="44">
        <f t="shared" ca="1" si="167"/>
        <v>3.5346387789404914</v>
      </c>
      <c r="T523" s="4">
        <f t="shared" ca="1" si="168"/>
        <v>0</v>
      </c>
      <c r="U523" s="120">
        <f t="shared" ca="1" si="169"/>
        <v>1886.4426794074936</v>
      </c>
      <c r="V523" s="4">
        <f t="shared" ca="1" si="170"/>
        <v>0</v>
      </c>
      <c r="W523" s="13">
        <f t="shared" ca="1" si="171"/>
        <v>14573.25</v>
      </c>
      <c r="X523" s="4">
        <f t="shared" ca="1" si="172"/>
        <v>0</v>
      </c>
      <c r="Y523" s="4">
        <f t="shared" si="173"/>
        <v>0</v>
      </c>
      <c r="Z523" s="13">
        <f t="shared" ca="1" si="174"/>
        <v>14573.25</v>
      </c>
      <c r="AA523" s="4">
        <f t="shared" ca="1" si="175"/>
        <v>0</v>
      </c>
      <c r="AE523" s="4"/>
    </row>
    <row r="524" spans="1:31">
      <c r="A524">
        <v>3</v>
      </c>
      <c r="B524">
        <v>3</v>
      </c>
      <c r="C524">
        <f t="shared" ca="1" si="154"/>
        <v>7</v>
      </c>
      <c r="D524">
        <f t="shared" ca="1" si="155"/>
        <v>6</v>
      </c>
      <c r="E524">
        <f t="shared" ca="1" si="156"/>
        <v>3</v>
      </c>
      <c r="F524" s="110">
        <f t="shared" ca="1" si="157"/>
        <v>0</v>
      </c>
      <c r="G524">
        <v>0</v>
      </c>
      <c r="H524">
        <v>0</v>
      </c>
      <c r="I524">
        <v>5</v>
      </c>
      <c r="J524" s="1">
        <f t="shared" ca="1" si="158"/>
        <v>1.1606714062500011E-2</v>
      </c>
      <c r="K524" s="1">
        <f t="shared" ca="1" si="159"/>
        <v>0</v>
      </c>
      <c r="L524" s="13">
        <f t="shared" ca="1" si="160"/>
        <v>95</v>
      </c>
      <c r="M524" s="7">
        <f t="shared" ca="1" si="161"/>
        <v>1405</v>
      </c>
      <c r="N524" s="26">
        <f t="shared" ca="1" si="162"/>
        <v>6</v>
      </c>
      <c r="O524" s="44">
        <f t="shared" ca="1" si="163"/>
        <v>4.1694581524927896</v>
      </c>
      <c r="P524" s="44">
        <f t="shared" ca="1" si="164"/>
        <v>41.059762151375594</v>
      </c>
      <c r="Q524" s="44">
        <f t="shared" ca="1" si="165"/>
        <v>35.346387789404908</v>
      </c>
      <c r="R524" s="44">
        <f t="shared" ca="1" si="166"/>
        <v>3.8203074970390247</v>
      </c>
      <c r="S524" s="44">
        <f t="shared" ca="1" si="167"/>
        <v>4.1450176066110256</v>
      </c>
      <c r="T524" s="4">
        <f t="shared" ca="1" si="168"/>
        <v>0</v>
      </c>
      <c r="U524" s="120">
        <f t="shared" ca="1" si="169"/>
        <v>2135.4748169996506</v>
      </c>
      <c r="V524" s="4">
        <f t="shared" ca="1" si="170"/>
        <v>0</v>
      </c>
      <c r="W524" s="13">
        <f t="shared" ca="1" si="171"/>
        <v>12144.375</v>
      </c>
      <c r="X524" s="4">
        <f t="shared" ca="1" si="172"/>
        <v>0</v>
      </c>
      <c r="Y524" s="4">
        <f t="shared" si="173"/>
        <v>0</v>
      </c>
      <c r="Z524" s="13">
        <f t="shared" ca="1" si="174"/>
        <v>12144.375</v>
      </c>
      <c r="AA524" s="4">
        <f t="shared" ca="1" si="175"/>
        <v>0</v>
      </c>
      <c r="AE524" s="4"/>
    </row>
    <row r="525" spans="1:31">
      <c r="A525">
        <v>3</v>
      </c>
      <c r="B525">
        <v>3</v>
      </c>
      <c r="C525">
        <f t="shared" ca="1" si="154"/>
        <v>7</v>
      </c>
      <c r="D525">
        <f t="shared" ca="1" si="155"/>
        <v>6</v>
      </c>
      <c r="E525">
        <f t="shared" ca="1" si="156"/>
        <v>3</v>
      </c>
      <c r="F525" s="110">
        <f t="shared" ca="1" si="157"/>
        <v>0</v>
      </c>
      <c r="G525">
        <v>0</v>
      </c>
      <c r="H525">
        <v>0</v>
      </c>
      <c r="I525">
        <v>4</v>
      </c>
      <c r="J525" s="1">
        <f t="shared" ca="1" si="158"/>
        <v>1.5271992187500026E-3</v>
      </c>
      <c r="K525" s="1">
        <f t="shared" ca="1" si="159"/>
        <v>0</v>
      </c>
      <c r="L525" s="13">
        <f t="shared" ca="1" si="160"/>
        <v>76</v>
      </c>
      <c r="M525" s="7">
        <f t="shared" ca="1" si="161"/>
        <v>1424</v>
      </c>
      <c r="N525" s="26">
        <f t="shared" ca="1" si="162"/>
        <v>6</v>
      </c>
      <c r="O525" s="44">
        <f t="shared" ca="1" si="163"/>
        <v>4.1694581524927896</v>
      </c>
      <c r="P525" s="44">
        <f t="shared" ca="1" si="164"/>
        <v>41.694581524927891</v>
      </c>
      <c r="Q525" s="44">
        <f t="shared" ca="1" si="165"/>
        <v>41.694581524927891</v>
      </c>
      <c r="R525" s="44">
        <f t="shared" ca="1" si="166"/>
        <v>4.1694581524927887</v>
      </c>
      <c r="S525" s="44">
        <f t="shared" ca="1" si="167"/>
        <v>4.1694581524927896</v>
      </c>
      <c r="T525" s="4">
        <f t="shared" ca="1" si="168"/>
        <v>0</v>
      </c>
      <c r="U525" s="120">
        <f t="shared" ca="1" si="169"/>
        <v>2127.2072530862838</v>
      </c>
      <c r="V525" s="4">
        <f t="shared" ca="1" si="170"/>
        <v>0</v>
      </c>
      <c r="W525" s="13">
        <f t="shared" ca="1" si="171"/>
        <v>9715.5</v>
      </c>
      <c r="X525" s="4">
        <f t="shared" ca="1" si="172"/>
        <v>0</v>
      </c>
      <c r="Y525" s="4">
        <f t="shared" si="173"/>
        <v>0</v>
      </c>
      <c r="Z525" s="13">
        <f t="shared" ca="1" si="174"/>
        <v>9715.5</v>
      </c>
      <c r="AA525" s="4">
        <f t="shared" ca="1" si="175"/>
        <v>0</v>
      </c>
      <c r="AE525" s="4"/>
    </row>
    <row r="526" spans="1:31">
      <c r="A526">
        <v>3</v>
      </c>
      <c r="B526">
        <v>3</v>
      </c>
      <c r="C526">
        <f t="shared" ca="1" si="154"/>
        <v>7</v>
      </c>
      <c r="D526">
        <f t="shared" ca="1" si="155"/>
        <v>6</v>
      </c>
      <c r="E526">
        <f t="shared" ca="1" si="156"/>
        <v>3</v>
      </c>
      <c r="F526" s="110">
        <f t="shared" ca="1" si="157"/>
        <v>0</v>
      </c>
      <c r="G526">
        <v>0</v>
      </c>
      <c r="H526">
        <v>0</v>
      </c>
      <c r="I526">
        <v>3</v>
      </c>
      <c r="J526" s="1">
        <f t="shared" ca="1" si="158"/>
        <v>1.0717187500000027E-4</v>
      </c>
      <c r="K526" s="1">
        <f t="shared" ca="1" si="159"/>
        <v>0</v>
      </c>
      <c r="L526" s="13">
        <f t="shared" ca="1" si="160"/>
        <v>57</v>
      </c>
      <c r="M526" s="7">
        <f t="shared" ca="1" si="161"/>
        <v>1443</v>
      </c>
      <c r="N526" s="26">
        <f t="shared" ca="1" si="162"/>
        <v>6</v>
      </c>
      <c r="O526" s="44">
        <f t="shared" ca="1" si="163"/>
        <v>4.1694581524927896</v>
      </c>
      <c r="P526" s="44">
        <f t="shared" ca="1" si="164"/>
        <v>41.694581524927891</v>
      </c>
      <c r="Q526" s="44">
        <f t="shared" ca="1" si="165"/>
        <v>41.694581524927891</v>
      </c>
      <c r="R526" s="44">
        <f t="shared" ca="1" si="166"/>
        <v>4.1694581524927887</v>
      </c>
      <c r="S526" s="44">
        <f t="shared" ca="1" si="167"/>
        <v>4.1694581524927896</v>
      </c>
      <c r="T526" s="4">
        <f t="shared" ca="1" si="168"/>
        <v>0</v>
      </c>
      <c r="U526" s="120">
        <f t="shared" ca="1" si="169"/>
        <v>2108.2072530862838</v>
      </c>
      <c r="V526" s="4">
        <f t="shared" ca="1" si="170"/>
        <v>0</v>
      </c>
      <c r="W526" s="13">
        <f t="shared" ca="1" si="171"/>
        <v>7286.625</v>
      </c>
      <c r="X526" s="4">
        <f t="shared" ca="1" si="172"/>
        <v>0</v>
      </c>
      <c r="Y526" s="4">
        <f t="shared" si="173"/>
        <v>0</v>
      </c>
      <c r="Z526" s="13">
        <f t="shared" ca="1" si="174"/>
        <v>7286.625</v>
      </c>
      <c r="AA526" s="4">
        <f t="shared" ca="1" si="175"/>
        <v>0</v>
      </c>
      <c r="AE526" s="4"/>
    </row>
    <row r="527" spans="1:31">
      <c r="A527">
        <v>3</v>
      </c>
      <c r="B527">
        <v>3</v>
      </c>
      <c r="C527">
        <f t="shared" ca="1" si="154"/>
        <v>7</v>
      </c>
      <c r="D527">
        <f t="shared" ca="1" si="155"/>
        <v>6</v>
      </c>
      <c r="E527">
        <f t="shared" ca="1" si="156"/>
        <v>3</v>
      </c>
      <c r="F527" s="110">
        <f t="shared" ca="1" si="157"/>
        <v>0</v>
      </c>
      <c r="G527">
        <v>0</v>
      </c>
      <c r="H527">
        <v>0</v>
      </c>
      <c r="I527">
        <v>2</v>
      </c>
      <c r="J527" s="1">
        <f t="shared" ca="1" si="158"/>
        <v>4.2304687500000152E-6</v>
      </c>
      <c r="K527" s="1">
        <f t="shared" ca="1" si="159"/>
        <v>0</v>
      </c>
      <c r="L527" s="13">
        <f t="shared" ca="1" si="160"/>
        <v>38</v>
      </c>
      <c r="M527" s="7">
        <f t="shared" ca="1" si="161"/>
        <v>1462</v>
      </c>
      <c r="N527" s="26">
        <f t="shared" ca="1" si="162"/>
        <v>6</v>
      </c>
      <c r="O527" s="44">
        <f t="shared" ca="1" si="163"/>
        <v>4.1694581524927896</v>
      </c>
      <c r="P527" s="44">
        <f t="shared" ca="1" si="164"/>
        <v>41.694581524927891</v>
      </c>
      <c r="Q527" s="44">
        <f t="shared" ca="1" si="165"/>
        <v>41.694581524927891</v>
      </c>
      <c r="R527" s="44">
        <f t="shared" ca="1" si="166"/>
        <v>4.1694581524927887</v>
      </c>
      <c r="S527" s="44">
        <f t="shared" ca="1" si="167"/>
        <v>4.1694581524927896</v>
      </c>
      <c r="T527" s="4">
        <f t="shared" ca="1" si="168"/>
        <v>0</v>
      </c>
      <c r="U527" s="120">
        <f t="shared" ca="1" si="169"/>
        <v>2089.2072530862838</v>
      </c>
      <c r="V527" s="4">
        <f t="shared" ca="1" si="170"/>
        <v>0</v>
      </c>
      <c r="W527" s="13">
        <f t="shared" ca="1" si="171"/>
        <v>4857.75</v>
      </c>
      <c r="X527" s="4">
        <f t="shared" ca="1" si="172"/>
        <v>0</v>
      </c>
      <c r="Y527" s="4">
        <f t="shared" si="173"/>
        <v>0</v>
      </c>
      <c r="Z527" s="13">
        <f t="shared" ca="1" si="174"/>
        <v>4857.75</v>
      </c>
      <c r="AA527" s="4">
        <f t="shared" ca="1" si="175"/>
        <v>0</v>
      </c>
      <c r="AE527" s="4"/>
    </row>
    <row r="528" spans="1:31">
      <c r="A528">
        <v>3</v>
      </c>
      <c r="B528">
        <v>3</v>
      </c>
      <c r="C528">
        <f t="shared" ca="1" si="154"/>
        <v>7</v>
      </c>
      <c r="D528">
        <f t="shared" ca="1" si="155"/>
        <v>6</v>
      </c>
      <c r="E528">
        <f t="shared" ca="1" si="156"/>
        <v>3</v>
      </c>
      <c r="F528" s="110">
        <f t="shared" ca="1" si="157"/>
        <v>0</v>
      </c>
      <c r="G528">
        <v>0</v>
      </c>
      <c r="H528">
        <v>0</v>
      </c>
      <c r="I528">
        <v>1</v>
      </c>
      <c r="J528" s="1">
        <f t="shared" ca="1" si="158"/>
        <v>8.9062500000000418E-8</v>
      </c>
      <c r="K528" s="1">
        <f t="shared" ca="1" si="159"/>
        <v>0</v>
      </c>
      <c r="L528" s="13">
        <f t="shared" ca="1" si="160"/>
        <v>19</v>
      </c>
      <c r="M528" s="7">
        <f t="shared" ca="1" si="161"/>
        <v>1481</v>
      </c>
      <c r="N528" s="26">
        <f t="shared" ca="1" si="162"/>
        <v>6</v>
      </c>
      <c r="O528" s="44">
        <f t="shared" ca="1" si="163"/>
        <v>4.1694581524927896</v>
      </c>
      <c r="P528" s="44">
        <f t="shared" ca="1" si="164"/>
        <v>41.694581524927891</v>
      </c>
      <c r="Q528" s="44">
        <f t="shared" ca="1" si="165"/>
        <v>41.694581524927891</v>
      </c>
      <c r="R528" s="44">
        <f t="shared" ca="1" si="166"/>
        <v>4.1694581524927887</v>
      </c>
      <c r="S528" s="44">
        <f t="shared" ca="1" si="167"/>
        <v>4.1694581524927896</v>
      </c>
      <c r="T528" s="4">
        <f t="shared" ca="1" si="168"/>
        <v>0</v>
      </c>
      <c r="U528" s="120">
        <f t="shared" ca="1" si="169"/>
        <v>2070.2072530862838</v>
      </c>
      <c r="V528" s="4">
        <f t="shared" ca="1" si="170"/>
        <v>0</v>
      </c>
      <c r="W528" s="13">
        <f t="shared" ca="1" si="171"/>
        <v>2428.875</v>
      </c>
      <c r="X528" s="4">
        <f t="shared" ca="1" si="172"/>
        <v>0</v>
      </c>
      <c r="Y528" s="4">
        <f t="shared" si="173"/>
        <v>0</v>
      </c>
      <c r="Z528" s="13">
        <f t="shared" ca="1" si="174"/>
        <v>2428.875</v>
      </c>
      <c r="AA528" s="4">
        <f t="shared" ca="1" si="175"/>
        <v>0</v>
      </c>
      <c r="AE528" s="4"/>
    </row>
    <row r="529" spans="1:31">
      <c r="A529">
        <v>3</v>
      </c>
      <c r="B529">
        <v>3</v>
      </c>
      <c r="C529">
        <f t="shared" ca="1" si="154"/>
        <v>7</v>
      </c>
      <c r="D529">
        <f t="shared" ca="1" si="155"/>
        <v>6</v>
      </c>
      <c r="E529">
        <f t="shared" ca="1" si="156"/>
        <v>3</v>
      </c>
      <c r="F529" s="110">
        <f t="shared" ca="1" si="157"/>
        <v>0</v>
      </c>
      <c r="G529">
        <v>0</v>
      </c>
      <c r="H529">
        <v>0</v>
      </c>
      <c r="I529">
        <v>0</v>
      </c>
      <c r="J529" s="1">
        <f t="shared" ca="1" si="158"/>
        <v>7.812500000000041E-10</v>
      </c>
      <c r="K529" s="1">
        <f t="shared" ca="1" si="159"/>
        <v>0</v>
      </c>
      <c r="L529" s="13">
        <f t="shared" ca="1" si="160"/>
        <v>0</v>
      </c>
      <c r="M529" s="7">
        <f t="shared" ca="1" si="161"/>
        <v>1500</v>
      </c>
      <c r="N529" s="26">
        <f t="shared" ca="1" si="162"/>
        <v>6</v>
      </c>
      <c r="O529" s="44">
        <f t="shared" ca="1" si="163"/>
        <v>4.1694581524927896</v>
      </c>
      <c r="P529" s="44">
        <f t="shared" ca="1" si="164"/>
        <v>41.694581524927891</v>
      </c>
      <c r="Q529" s="44">
        <f t="shared" ca="1" si="165"/>
        <v>41.694581524927891</v>
      </c>
      <c r="R529" s="44">
        <f t="shared" ca="1" si="166"/>
        <v>4.1694581524927887</v>
      </c>
      <c r="S529" s="44">
        <f t="shared" ca="1" si="167"/>
        <v>4.1694581524927896</v>
      </c>
      <c r="T529" s="4">
        <f t="shared" ca="1" si="168"/>
        <v>0</v>
      </c>
      <c r="U529" s="120">
        <f t="shared" ca="1" si="169"/>
        <v>2051.2072530862838</v>
      </c>
      <c r="V529" s="4">
        <f t="shared" ca="1" si="170"/>
        <v>0</v>
      </c>
      <c r="W529" s="13">
        <f t="shared" ca="1" si="171"/>
        <v>0</v>
      </c>
      <c r="X529" s="4">
        <f t="shared" ca="1" si="172"/>
        <v>0</v>
      </c>
      <c r="Y529" s="4">
        <f t="shared" si="173"/>
        <v>0</v>
      </c>
      <c r="Z529" s="13">
        <f t="shared" ca="1" si="174"/>
        <v>0</v>
      </c>
      <c r="AA529" s="4">
        <f t="shared" ca="1" si="175"/>
        <v>0</v>
      </c>
      <c r="AE529" s="4"/>
    </row>
    <row r="531" spans="1:31">
      <c r="J531" s="2" t="s">
        <v>405</v>
      </c>
      <c r="K531" s="27">
        <f ca="1">SUM(K18:K529)</f>
        <v>0.99999999999999989</v>
      </c>
      <c r="O531" s="26"/>
      <c r="P531" s="26"/>
      <c r="Q531" s="26"/>
      <c r="R531" s="26"/>
      <c r="S531" s="26" t="s">
        <v>406</v>
      </c>
      <c r="T531" s="4">
        <f ca="1">SUM(T18:T529)</f>
        <v>3.5663797476181069</v>
      </c>
      <c r="U531" t="s">
        <v>158</v>
      </c>
      <c r="V531" s="4">
        <f ca="1">SUM(V18:V529)</f>
        <v>2008.3308330914329</v>
      </c>
      <c r="W531" t="s">
        <v>106</v>
      </c>
      <c r="X531" s="4">
        <f ca="1">SUM(X18:X529)</f>
        <v>29763.419428124995</v>
      </c>
      <c r="Z531" t="s">
        <v>426</v>
      </c>
      <c r="AA531" s="4">
        <f ca="1">SUM(AA18:AA529)</f>
        <v>29763.419428124995</v>
      </c>
      <c r="AE531" s="4"/>
    </row>
    <row r="534" spans="1:31">
      <c r="A534" t="s">
        <v>484</v>
      </c>
      <c r="Q534" s="26"/>
      <c r="R534" s="26"/>
    </row>
    <row r="535" spans="1:31">
      <c r="A535" s="9" t="str">
        <f>Entropy</f>
        <v>Cross Reaper</v>
      </c>
      <c r="F535" s="2"/>
      <c r="I535" t="str">
        <f>VLOOKUP($A$535, WeaponskillData, MATCH("WSC1 Name", WeaponskillDataCols, 0), 0)</f>
        <v>Str</v>
      </c>
      <c r="J535" s="7">
        <f ca="1">INDIRECT($A$534 &amp; "WS" &amp; I535)</f>
        <v>344</v>
      </c>
      <c r="K535" s="118">
        <f>VLOOKUP($A$535, WeaponskillData, MATCH("WSC1 Value", WeaponskillDataCols, 0), 0)</f>
        <v>0.6</v>
      </c>
      <c r="P535" s="26"/>
      <c r="Q535" s="119"/>
      <c r="R535" s="119"/>
    </row>
    <row r="536" spans="1:31">
      <c r="A536" t="s">
        <v>48</v>
      </c>
      <c r="B536" s="32">
        <f ca="1">Set2MeleeTP</f>
        <v>348</v>
      </c>
      <c r="D536" t="s">
        <v>44</v>
      </c>
      <c r="E536" s="2">
        <f ca="1">Set2DA</f>
        <v>0.06</v>
      </c>
      <c r="F536" s="2">
        <f ca="1">Set2DA</f>
        <v>0.06</v>
      </c>
      <c r="I536" t="str">
        <f>VLOOKUP($A$535, WeaponskillData, MATCH("WSC2 Name", WeaponskillDataCols, 0), 0)</f>
        <v>Mnd</v>
      </c>
      <c r="J536" s="7">
        <f ca="1">IF(I536&lt;&gt;"N/A", INDIRECT($A$534 &amp; "WS" &amp; I536), 0)</f>
        <v>173</v>
      </c>
      <c r="K536" s="118">
        <f>IF(I536&lt;&gt;"N/A", VLOOKUP($A$535, WeaponskillData, MATCH("WSC2 Value", WeaponskillDataCols, 0), 0), 0)</f>
        <v>0.6</v>
      </c>
      <c r="P536" s="26"/>
      <c r="Q536" s="120"/>
      <c r="R536" s="120"/>
    </row>
    <row r="537" spans="1:31">
      <c r="A537" t="s">
        <v>49</v>
      </c>
      <c r="B537">
        <f ca="1">Set2WSTP</f>
        <v>284</v>
      </c>
      <c r="D537" t="s">
        <v>153</v>
      </c>
      <c r="E537" s="2">
        <f ca="1">Set2TA</f>
        <v>0</v>
      </c>
      <c r="F537" s="2">
        <f ca="1">Set2TA</f>
        <v>0</v>
      </c>
      <c r="I537" t="s">
        <v>103</v>
      </c>
      <c r="J537">
        <f ca="1">TRUNC(J535*K535+J536*K536+IF(Gear!AB4="Utu",0.1,0)*Set2WSDex)</f>
        <v>336</v>
      </c>
    </row>
    <row r="538" spans="1:31">
      <c r="A538" t="s">
        <v>480</v>
      </c>
      <c r="B538">
        <f ca="1">Set2WSStoreTP</f>
        <v>95</v>
      </c>
      <c r="D538" t="s">
        <v>378</v>
      </c>
      <c r="E538" s="2">
        <f ca="1">Set2QA</f>
        <v>0.03</v>
      </c>
      <c r="F538" s="2">
        <f ca="1">Set2QA</f>
        <v>0.03</v>
      </c>
      <c r="I538" t="s">
        <v>104</v>
      </c>
      <c r="J538" s="3">
        <f>VLOOKUP($A$535, WeaponskillData, MATCH("FTP1", WeaponskillDataCols, 0), 0)</f>
        <v>2</v>
      </c>
      <c r="K538" s="3">
        <f>VLOOKUP($A$535, WeaponskillData, MATCH("FTP2", WeaponskillDataCols, 0), 0)</f>
        <v>4</v>
      </c>
      <c r="L538" s="3">
        <f>VLOOKUP($A$535, WeaponskillData, MATCH("FTP3", WeaponskillDataCols, 0), 0)</f>
        <v>7</v>
      </c>
      <c r="N538" t="s">
        <v>427</v>
      </c>
    </row>
    <row r="539" spans="1:31">
      <c r="A539" t="s">
        <v>379</v>
      </c>
      <c r="B539">
        <f ca="1">TRUNC(10*(1+B538/100))</f>
        <v>19</v>
      </c>
      <c r="D539" t="s">
        <v>546</v>
      </c>
      <c r="E539" s="2">
        <f ca="1">Melee!B65</f>
        <v>0</v>
      </c>
      <c r="F539" s="2">
        <v>0</v>
      </c>
      <c r="I539" s="28" t="s">
        <v>380</v>
      </c>
      <c r="J539" s="3">
        <f ca="1">J538+Set2FTP</f>
        <v>2.1953125</v>
      </c>
      <c r="K539" s="3">
        <f ca="1">K538+Set2FTP</f>
        <v>4.1953125</v>
      </c>
      <c r="L539" s="3">
        <f ca="1">L538+Set2FTP</f>
        <v>7.1953125</v>
      </c>
      <c r="N539" s="1">
        <f ca="1">VLOOKUP($A$535,WeaponskillData,MATCH("Def0",WeaponskillDataCols,0),0) + (MIN(MAX($J$540-1000, 0),1000)/1000)*VLOOKUP($A$535,WeaponskillData,MATCH("Def1",WeaponskillDataCols,0),0) + (MAX($J$540-2000,0)/1000)*VLOOKUP($A$535,WeaponskillData,MATCH("Def2",WeaponskillDataCols,0),0)</f>
        <v>0</v>
      </c>
    </row>
    <row r="540" spans="1:31">
      <c r="A540" t="s">
        <v>51</v>
      </c>
      <c r="B540" s="5">
        <f ca="1">Set2WSHitRate</f>
        <v>0.95</v>
      </c>
      <c r="D540" t="s">
        <v>547</v>
      </c>
      <c r="E540" s="2">
        <f ca="1">Melee!B66</f>
        <v>0</v>
      </c>
      <c r="F540" s="2">
        <v>0</v>
      </c>
      <c r="I540" t="s">
        <v>158</v>
      </c>
      <c r="J540" s="4">
        <f ca="1">MIN(TRUNC(V1064+Set2TPBonus), 3000)</f>
        <v>2912</v>
      </c>
      <c r="K540" t="s">
        <v>381</v>
      </c>
      <c r="L540" s="3">
        <f ca="1">IF(J540&lt;1000, 0, IF(J540&lt;2000, J539+(J540-1000)/1000*(K539-J539), K539+(J540-2000)/1000*(L539-K539)))</f>
        <v>6.9313125000000007</v>
      </c>
    </row>
    <row r="541" spans="1:31">
      <c r="D541" t="s">
        <v>548</v>
      </c>
      <c r="E541" s="2">
        <f ca="1">Melee!B67</f>
        <v>0</v>
      </c>
      <c r="F541" s="2">
        <v>0</v>
      </c>
      <c r="I541" t="s">
        <v>383</v>
      </c>
      <c r="J541" s="118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384</v>
      </c>
      <c r="Q541" s="4">
        <f>Set2OverTP</f>
        <v>0.5</v>
      </c>
    </row>
    <row r="542" spans="1:31">
      <c r="A542" t="s">
        <v>382</v>
      </c>
      <c r="B542">
        <f>VLOOKUP($A$535, WeaponskillData, MATCH("Extra Hits", WeaponskillDataCols, 0), 0)</f>
        <v>1</v>
      </c>
      <c r="K542" t="s">
        <v>337</v>
      </c>
      <c r="L542" t="s">
        <v>105</v>
      </c>
      <c r="M542" t="s">
        <v>114</v>
      </c>
      <c r="P542" t="s">
        <v>424</v>
      </c>
      <c r="Q542" s="2">
        <f ca="1">Set2ConserveTP</f>
        <v>7.0000000000000007E-2</v>
      </c>
    </row>
    <row r="543" spans="1:31">
      <c r="A543" t="s">
        <v>385</v>
      </c>
      <c r="B543">
        <f ca="1">IF(Data!H23&gt;0, 1, 0)</f>
        <v>0</v>
      </c>
      <c r="I543" t="s">
        <v>386</v>
      </c>
      <c r="J543">
        <f ca="1">Set2MainDmg</f>
        <v>389</v>
      </c>
      <c r="K543">
        <f ca="1">FLOOR((J543+J537)*L540, 1)</f>
        <v>5025</v>
      </c>
      <c r="L543" s="1">
        <f>IF(J541=0, 0, MIN($J$541+$K$541+Set2CritMain, 100%))</f>
        <v>0</v>
      </c>
      <c r="M543" s="2">
        <f ca="1">Set2CritDmg</f>
        <v>1.08</v>
      </c>
      <c r="P543" t="s">
        <v>412</v>
      </c>
      <c r="Q543">
        <f ca="1">Set2SaveTP</f>
        <v>0</v>
      </c>
    </row>
    <row r="544" spans="1:31">
      <c r="I544" t="s">
        <v>185</v>
      </c>
      <c r="J544">
        <f ca="1">Set2MainDmg</f>
        <v>389</v>
      </c>
      <c r="K544">
        <f ca="1">IF(J544&gt;0, FLOOR((J544+$J$537) * IF(VLOOKUP($A$535, WeaponskillData, MATCH("FTPCarry", WeaponskillDataCols, 0), 0)=1, $L$540, 1), 1), 0)</f>
        <v>725</v>
      </c>
      <c r="L544" s="1">
        <f>IF(J541=0, 0, MIN($J$541+$K$541+Set2CritMain, 100%))</f>
        <v>0</v>
      </c>
      <c r="M544" s="2">
        <f ca="1">Set2CritDmg</f>
        <v>1.08</v>
      </c>
      <c r="P544" t="s">
        <v>455</v>
      </c>
      <c r="Q544">
        <f>Set2MinTP</f>
        <v>1500</v>
      </c>
    </row>
    <row r="545" spans="1:27">
      <c r="A545" t="s">
        <v>306</v>
      </c>
      <c r="B545">
        <f>IF(OR(Setup!$G$5="WS Only", Setup!$G$5="On"), 1, 0)</f>
        <v>0</v>
      </c>
      <c r="I545" t="s">
        <v>387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MIN($J$541+$K$541+Set2CritMain, 100%))</f>
        <v>0</v>
      </c>
      <c r="P545" t="s">
        <v>494</v>
      </c>
      <c r="Q545" s="79">
        <f ca="1">Set2WSDmg</f>
        <v>1.57</v>
      </c>
      <c r="V545" s="32"/>
    </row>
    <row r="546" spans="1:27">
      <c r="A546" t="s">
        <v>307</v>
      </c>
      <c r="B546" s="2">
        <f>Data!$E$200</f>
        <v>0.1</v>
      </c>
      <c r="I546" t="s">
        <v>388</v>
      </c>
      <c r="J546">
        <f ca="1">Set2OffDmg</f>
        <v>0</v>
      </c>
      <c r="K546">
        <f ca="1">IF(J546&gt;0, FLOOR((J546+$J$537) * IF(VLOOKUP($A$535, WeaponskillData, MATCH("FTPCarry", WeaponskillDataCols, 0), 0)=1, $L$540, 1), 1), 0)</f>
        <v>0</v>
      </c>
      <c r="L546" s="1">
        <f>IF(J541=0, 0, MIN($J$541+$K$541+Set2CritOff, 100%))</f>
        <v>0</v>
      </c>
    </row>
    <row r="547" spans="1:27">
      <c r="A547" t="s">
        <v>217</v>
      </c>
      <c r="B547">
        <f ca="1">FLOOR(Setup!G$6*Data!$E$57, 1)</f>
        <v>1898</v>
      </c>
      <c r="I547" t="s">
        <v>37</v>
      </c>
      <c r="J547" s="6">
        <f ca="1">Set2CRatio</f>
        <v>4.125</v>
      </c>
      <c r="K547" s="29" t="s">
        <v>681</v>
      </c>
      <c r="L547" s="6">
        <f ca="1">Data!E96</f>
        <v>3.8250000000000002</v>
      </c>
      <c r="M547" s="6">
        <f ca="1">Data!E112</f>
        <v>4.8449999999999998</v>
      </c>
    </row>
    <row r="548" spans="1:27">
      <c r="I548" t="s">
        <v>123</v>
      </c>
      <c r="J548" s="7">
        <f ca="1">Set2Regain</f>
        <v>0</v>
      </c>
      <c r="K548" s="29" t="s">
        <v>682</v>
      </c>
      <c r="L548" s="6">
        <f ca="1">Data!E156</f>
        <v>2.3704139364919352</v>
      </c>
      <c r="M548" s="6">
        <f ca="1">Data!E172</f>
        <v>3.3972580645161292</v>
      </c>
    </row>
    <row r="550" spans="1:27">
      <c r="A550" t="s">
        <v>481</v>
      </c>
      <c r="B550" t="s">
        <v>482</v>
      </c>
      <c r="C550" t="s">
        <v>45</v>
      </c>
      <c r="D550" s="28" t="s">
        <v>390</v>
      </c>
      <c r="E550" t="s">
        <v>389</v>
      </c>
      <c r="F550" t="s">
        <v>483</v>
      </c>
      <c r="G550" t="s">
        <v>391</v>
      </c>
      <c r="H550" t="s">
        <v>392</v>
      </c>
      <c r="I550" t="s">
        <v>393</v>
      </c>
      <c r="J550" t="s">
        <v>394</v>
      </c>
      <c r="K550" s="2" t="s">
        <v>395</v>
      </c>
      <c r="L550" t="s">
        <v>396</v>
      </c>
      <c r="M550" t="s">
        <v>458</v>
      </c>
      <c r="N550" s="26" t="s">
        <v>459</v>
      </c>
      <c r="O550" s="16" t="s">
        <v>397</v>
      </c>
      <c r="P550" s="16" t="s">
        <v>398</v>
      </c>
      <c r="Q550" s="16" t="s">
        <v>399</v>
      </c>
      <c r="R550" s="16" t="s">
        <v>400</v>
      </c>
      <c r="S550" s="16" t="s">
        <v>401</v>
      </c>
      <c r="T550" s="20" t="s">
        <v>402</v>
      </c>
      <c r="U550" s="20" t="s">
        <v>148</v>
      </c>
      <c r="V550" s="20" t="s">
        <v>403</v>
      </c>
      <c r="W550" s="20" t="s">
        <v>61</v>
      </c>
      <c r="X550" s="20" t="s">
        <v>404</v>
      </c>
      <c r="Y550" s="16" t="s">
        <v>216</v>
      </c>
      <c r="Z550" s="16" t="s">
        <v>325</v>
      </c>
      <c r="AA550" t="s">
        <v>425</v>
      </c>
    </row>
    <row r="551" spans="1:27">
      <c r="A551">
        <v>0</v>
      </c>
      <c r="B551">
        <v>0</v>
      </c>
      <c r="C551">
        <f t="shared" ref="C551:C614" ca="1" si="176">MIN(8, 1+$B$543+$B$542+A551+B551)</f>
        <v>2</v>
      </c>
      <c r="D551">
        <f t="shared" ref="D551:D614" ca="1" si="177">C551-(1+$B$543)</f>
        <v>1</v>
      </c>
      <c r="E551">
        <f t="shared" ref="E551:E614" ca="1" si="178">MIN(A551, C551-(1+$B$543+$B$542))</f>
        <v>0</v>
      </c>
      <c r="F551" s="110">
        <f t="shared" ref="F551:F614" ca="1" si="179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0.83137923999999985</v>
      </c>
      <c r="G551">
        <v>1</v>
      </c>
      <c r="H551">
        <v>1</v>
      </c>
      <c r="I551">
        <v>7</v>
      </c>
      <c r="J551" s="1">
        <f t="shared" ref="J551:J614" ca="1" si="180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81">F551*J551</f>
        <v>0</v>
      </c>
      <c r="L551" s="13">
        <f t="shared" ref="L551:L614" ca="1" si="182">MAX((G551+H551)*Set2WSTP + I551*$B$539, Set2SaveTP)</f>
        <v>701</v>
      </c>
      <c r="M551" s="7">
        <f t="shared" ref="M551:M614" ca="1" si="183">MAX(Set2MinTP-(L551+Set2Regain), 0)</f>
        <v>799</v>
      </c>
      <c r="N551" s="26">
        <f t="shared" ref="N551:N614" ca="1" si="184">CEILING(M551/Set2MeleeTP, 1)</f>
        <v>3</v>
      </c>
      <c r="O551" s="44">
        <f t="shared" ref="O551:O614" ca="1" si="185">VLOOKUP(N551, AvgRoundsSet2, 2)</f>
        <v>2.2758855914378953</v>
      </c>
      <c r="P551" s="44">
        <f t="shared" ref="P551:P614" ca="1" si="186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22.758855914378952</v>
      </c>
      <c r="Q551" s="44">
        <f t="shared" ref="Q551:Q614" ca="1" si="187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22.758855914378952</v>
      </c>
      <c r="R551" s="44">
        <f t="shared" ref="R551:R614" ca="1" si="188">(P551+Q551)/20</f>
        <v>2.2758855914378953</v>
      </c>
      <c r="S551" s="44">
        <f t="shared" ref="S551:S614" ca="1" si="189">R551*Set2ConserveTP + O551*(1-Set2ConserveTP)</f>
        <v>2.2758855914378953</v>
      </c>
      <c r="T551" s="4">
        <f t="shared" ref="T551:T614" ca="1" si="190">K551*S551</f>
        <v>0</v>
      </c>
      <c r="U551" s="120">
        <f t="shared" ref="U551:U614" ca="1" si="191">MIN(L551+(S551+Set2OverTP)*AvgHitsPerRound2*Set2MeleeTP + Set2Regain + 10.5*Set2ConserveTP, 3000)</f>
        <v>2217.0063598009133</v>
      </c>
      <c r="V551" s="4">
        <f t="shared" ref="V551:V614" ca="1" si="192">U551*K551</f>
        <v>0</v>
      </c>
      <c r="W551" s="13">
        <f t="shared" ref="W551:W614" ca="1" si="193">G551*$K$543*((1-$L$543)*$L$547 + $L$543*$M$547*$M$543)*Set2WSDmg + H551*$K$546*((1-$L$546)*$L$548 + $L$546*$M$548*$M$544) + I551*$K$544*((1-$L$544)*$L$547 + $L$544*$M$547*$M$544) + E551*$K$545*$L$545*$M$543</f>
        <v>49588.256250000006</v>
      </c>
      <c r="X551" s="4">
        <f t="shared" ref="X551:X614" ca="1" si="194">K551*W551</f>
        <v>0</v>
      </c>
      <c r="Y551" s="4">
        <f t="shared" ref="Y551:Y614" si="195">IF($B$545=1, (VLOOKUP(C551, IF($B$546=10%,Souleater10,Souleater12), 6, FALSE) * $B$547), 0)</f>
        <v>0</v>
      </c>
      <c r="Z551" s="13">
        <f ca="1">Y551+W551</f>
        <v>49588.256250000006</v>
      </c>
      <c r="AA551" s="4">
        <f ca="1">Z551*K551</f>
        <v>0</v>
      </c>
    </row>
    <row r="552" spans="1:27">
      <c r="A552">
        <v>0</v>
      </c>
      <c r="B552">
        <v>0</v>
      </c>
      <c r="C552">
        <f t="shared" ca="1" si="176"/>
        <v>2</v>
      </c>
      <c r="D552">
        <f t="shared" ca="1" si="177"/>
        <v>1</v>
      </c>
      <c r="E552">
        <f t="shared" ca="1" si="178"/>
        <v>0</v>
      </c>
      <c r="F552" s="110">
        <f t="shared" ca="1" si="179"/>
        <v>0.83137923999999985</v>
      </c>
      <c r="G552">
        <v>1</v>
      </c>
      <c r="H552">
        <v>1</v>
      </c>
      <c r="I552">
        <v>6</v>
      </c>
      <c r="J552" s="1">
        <f t="shared" ca="1" si="180"/>
        <v>0</v>
      </c>
      <c r="K552" s="1">
        <f t="shared" ca="1" si="181"/>
        <v>0</v>
      </c>
      <c r="L552" s="13">
        <f t="shared" ca="1" si="182"/>
        <v>682</v>
      </c>
      <c r="M552" s="7">
        <f t="shared" ca="1" si="183"/>
        <v>818</v>
      </c>
      <c r="N552" s="26">
        <f t="shared" ca="1" si="184"/>
        <v>3</v>
      </c>
      <c r="O552" s="44">
        <f t="shared" ca="1" si="185"/>
        <v>2.2758855914378953</v>
      </c>
      <c r="P552" s="44">
        <f t="shared" ca="1" si="186"/>
        <v>22.758855914378952</v>
      </c>
      <c r="Q552" s="44">
        <f t="shared" ca="1" si="187"/>
        <v>22.758855914378952</v>
      </c>
      <c r="R552" s="44">
        <f t="shared" ca="1" si="188"/>
        <v>2.2758855914378953</v>
      </c>
      <c r="S552" s="44">
        <f t="shared" ca="1" si="189"/>
        <v>2.2758855914378953</v>
      </c>
      <c r="T552" s="4">
        <f t="shared" ca="1" si="190"/>
        <v>0</v>
      </c>
      <c r="U552" s="120">
        <f t="shared" ca="1" si="191"/>
        <v>2198.0063598009133</v>
      </c>
      <c r="V552" s="4">
        <f t="shared" ca="1" si="192"/>
        <v>0</v>
      </c>
      <c r="W552" s="13">
        <f t="shared" ca="1" si="193"/>
        <v>46815.131250000006</v>
      </c>
      <c r="X552" s="4">
        <f t="shared" ca="1" si="194"/>
        <v>0</v>
      </c>
      <c r="Y552" s="4">
        <f t="shared" si="195"/>
        <v>0</v>
      </c>
      <c r="Z552" s="13">
        <f t="shared" ref="Z552:Z615" ca="1" si="196">Y552+W552</f>
        <v>46815.131250000006</v>
      </c>
      <c r="AA552" s="4">
        <f t="shared" ref="AA552:AA615" ca="1" si="197">Z552*K552</f>
        <v>0</v>
      </c>
    </row>
    <row r="553" spans="1:27">
      <c r="A553">
        <v>0</v>
      </c>
      <c r="B553">
        <v>0</v>
      </c>
      <c r="C553">
        <f t="shared" ca="1" si="176"/>
        <v>2</v>
      </c>
      <c r="D553">
        <f t="shared" ca="1" si="177"/>
        <v>1</v>
      </c>
      <c r="E553">
        <f t="shared" ca="1" si="178"/>
        <v>0</v>
      </c>
      <c r="F553" s="110">
        <f t="shared" ca="1" si="179"/>
        <v>0.83137923999999985</v>
      </c>
      <c r="G553">
        <v>1</v>
      </c>
      <c r="H553">
        <v>1</v>
      </c>
      <c r="I553">
        <v>5</v>
      </c>
      <c r="J553" s="1">
        <f t="shared" ca="1" si="180"/>
        <v>0</v>
      </c>
      <c r="K553" s="1">
        <f t="shared" ca="1" si="181"/>
        <v>0</v>
      </c>
      <c r="L553" s="13">
        <f t="shared" ca="1" si="182"/>
        <v>663</v>
      </c>
      <c r="M553" s="7">
        <f t="shared" ca="1" si="183"/>
        <v>837</v>
      </c>
      <c r="N553" s="26">
        <f t="shared" ca="1" si="184"/>
        <v>3</v>
      </c>
      <c r="O553" s="44">
        <f t="shared" ca="1" si="185"/>
        <v>2.2758855914378953</v>
      </c>
      <c r="P553" s="44">
        <f t="shared" ca="1" si="186"/>
        <v>22.758855914378952</v>
      </c>
      <c r="Q553" s="44">
        <f t="shared" ca="1" si="187"/>
        <v>22.758855914378952</v>
      </c>
      <c r="R553" s="44">
        <f t="shared" ca="1" si="188"/>
        <v>2.2758855914378953</v>
      </c>
      <c r="S553" s="44">
        <f t="shared" ca="1" si="189"/>
        <v>2.2758855914378953</v>
      </c>
      <c r="T553" s="4">
        <f t="shared" ca="1" si="190"/>
        <v>0</v>
      </c>
      <c r="U553" s="120">
        <f t="shared" ca="1" si="191"/>
        <v>2179.0063598009133</v>
      </c>
      <c r="V553" s="4">
        <f t="shared" ca="1" si="192"/>
        <v>0</v>
      </c>
      <c r="W553" s="13">
        <f t="shared" ca="1" si="193"/>
        <v>44042.006250000006</v>
      </c>
      <c r="X553" s="4">
        <f t="shared" ca="1" si="194"/>
        <v>0</v>
      </c>
      <c r="Y553" s="4">
        <f t="shared" si="195"/>
        <v>0</v>
      </c>
      <c r="Z553" s="13">
        <f t="shared" ca="1" si="196"/>
        <v>44042.006250000006</v>
      </c>
      <c r="AA553" s="4">
        <f t="shared" ca="1" si="197"/>
        <v>0</v>
      </c>
    </row>
    <row r="554" spans="1:27">
      <c r="A554">
        <v>0</v>
      </c>
      <c r="B554">
        <v>0</v>
      </c>
      <c r="C554">
        <f t="shared" ca="1" si="176"/>
        <v>2</v>
      </c>
      <c r="D554">
        <f t="shared" ca="1" si="177"/>
        <v>1</v>
      </c>
      <c r="E554">
        <f t="shared" ca="1" si="178"/>
        <v>0</v>
      </c>
      <c r="F554" s="110">
        <f t="shared" ca="1" si="179"/>
        <v>0.83137923999999985</v>
      </c>
      <c r="G554">
        <v>1</v>
      </c>
      <c r="H554">
        <v>1</v>
      </c>
      <c r="I554">
        <v>4</v>
      </c>
      <c r="J554" s="1">
        <f t="shared" ca="1" si="180"/>
        <v>0</v>
      </c>
      <c r="K554" s="1">
        <f t="shared" ca="1" si="181"/>
        <v>0</v>
      </c>
      <c r="L554" s="13">
        <f t="shared" ca="1" si="182"/>
        <v>644</v>
      </c>
      <c r="M554" s="7">
        <f t="shared" ca="1" si="183"/>
        <v>856</v>
      </c>
      <c r="N554" s="26">
        <f t="shared" ca="1" si="184"/>
        <v>3</v>
      </c>
      <c r="O554" s="44">
        <f t="shared" ca="1" si="185"/>
        <v>2.2758855914378953</v>
      </c>
      <c r="P554" s="44">
        <f t="shared" ca="1" si="186"/>
        <v>22.758855914378952</v>
      </c>
      <c r="Q554" s="44">
        <f t="shared" ca="1" si="187"/>
        <v>22.758855914378952</v>
      </c>
      <c r="R554" s="44">
        <f t="shared" ca="1" si="188"/>
        <v>2.2758855914378953</v>
      </c>
      <c r="S554" s="44">
        <f t="shared" ca="1" si="189"/>
        <v>2.2758855914378953</v>
      </c>
      <c r="T554" s="4">
        <f t="shared" ca="1" si="190"/>
        <v>0</v>
      </c>
      <c r="U554" s="120">
        <f t="shared" ca="1" si="191"/>
        <v>2160.0063598009133</v>
      </c>
      <c r="V554" s="4">
        <f t="shared" ca="1" si="192"/>
        <v>0</v>
      </c>
      <c r="W554" s="13">
        <f t="shared" ca="1" si="193"/>
        <v>41268.881250000006</v>
      </c>
      <c r="X554" s="4">
        <f t="shared" ca="1" si="194"/>
        <v>0</v>
      </c>
      <c r="Y554" s="4">
        <f t="shared" si="195"/>
        <v>0</v>
      </c>
      <c r="Z554" s="13">
        <f t="shared" ca="1" si="196"/>
        <v>41268.881250000006</v>
      </c>
      <c r="AA554" s="4">
        <f t="shared" ca="1" si="197"/>
        <v>0</v>
      </c>
    </row>
    <row r="555" spans="1:27">
      <c r="A555">
        <v>0</v>
      </c>
      <c r="B555">
        <v>0</v>
      </c>
      <c r="C555">
        <f t="shared" ca="1" si="176"/>
        <v>2</v>
      </c>
      <c r="D555">
        <f t="shared" ca="1" si="177"/>
        <v>1</v>
      </c>
      <c r="E555">
        <f t="shared" ca="1" si="178"/>
        <v>0</v>
      </c>
      <c r="F555" s="110">
        <f t="shared" ca="1" si="179"/>
        <v>0.83137923999999985</v>
      </c>
      <c r="G555">
        <v>1</v>
      </c>
      <c r="H555">
        <v>1</v>
      </c>
      <c r="I555">
        <v>3</v>
      </c>
      <c r="J555" s="1">
        <f t="shared" ca="1" si="180"/>
        <v>0</v>
      </c>
      <c r="K555" s="1">
        <f t="shared" ca="1" si="181"/>
        <v>0</v>
      </c>
      <c r="L555" s="13">
        <f t="shared" ca="1" si="182"/>
        <v>625</v>
      </c>
      <c r="M555" s="7">
        <f t="shared" ca="1" si="183"/>
        <v>875</v>
      </c>
      <c r="N555" s="26">
        <f t="shared" ca="1" si="184"/>
        <v>3</v>
      </c>
      <c r="O555" s="44">
        <f t="shared" ca="1" si="185"/>
        <v>2.2758855914378953</v>
      </c>
      <c r="P555" s="44">
        <f t="shared" ca="1" si="186"/>
        <v>22.758855914378952</v>
      </c>
      <c r="Q555" s="44">
        <f t="shared" ca="1" si="187"/>
        <v>22.758855914378952</v>
      </c>
      <c r="R555" s="44">
        <f t="shared" ca="1" si="188"/>
        <v>2.2758855914378953</v>
      </c>
      <c r="S555" s="44">
        <f t="shared" ca="1" si="189"/>
        <v>2.2758855914378953</v>
      </c>
      <c r="T555" s="4">
        <f t="shared" ca="1" si="190"/>
        <v>0</v>
      </c>
      <c r="U555" s="120">
        <f t="shared" ca="1" si="191"/>
        <v>2141.0063598009133</v>
      </c>
      <c r="V555" s="4">
        <f t="shared" ca="1" si="192"/>
        <v>0</v>
      </c>
      <c r="W555" s="13">
        <f t="shared" ca="1" si="193"/>
        <v>38495.756250000006</v>
      </c>
      <c r="X555" s="4">
        <f t="shared" ca="1" si="194"/>
        <v>0</v>
      </c>
      <c r="Y555" s="4">
        <f t="shared" si="195"/>
        <v>0</v>
      </c>
      <c r="Z555" s="13">
        <f t="shared" ca="1" si="196"/>
        <v>38495.756250000006</v>
      </c>
      <c r="AA555" s="4">
        <f t="shared" ca="1" si="197"/>
        <v>0</v>
      </c>
    </row>
    <row r="556" spans="1:27">
      <c r="A556">
        <v>0</v>
      </c>
      <c r="B556">
        <v>0</v>
      </c>
      <c r="C556">
        <f t="shared" ca="1" si="176"/>
        <v>2</v>
      </c>
      <c r="D556">
        <f t="shared" ca="1" si="177"/>
        <v>1</v>
      </c>
      <c r="E556">
        <f t="shared" ca="1" si="178"/>
        <v>0</v>
      </c>
      <c r="F556" s="110">
        <f t="shared" ca="1" si="179"/>
        <v>0.83137923999999985</v>
      </c>
      <c r="G556">
        <v>1</v>
      </c>
      <c r="H556">
        <v>1</v>
      </c>
      <c r="I556">
        <v>2</v>
      </c>
      <c r="J556" s="1">
        <f t="shared" ca="1" si="180"/>
        <v>0</v>
      </c>
      <c r="K556" s="1">
        <f t="shared" ca="1" si="181"/>
        <v>0</v>
      </c>
      <c r="L556" s="13">
        <f t="shared" ca="1" si="182"/>
        <v>606</v>
      </c>
      <c r="M556" s="7">
        <f t="shared" ca="1" si="183"/>
        <v>894</v>
      </c>
      <c r="N556" s="26">
        <f t="shared" ca="1" si="184"/>
        <v>3</v>
      </c>
      <c r="O556" s="44">
        <f t="shared" ca="1" si="185"/>
        <v>2.2758855914378953</v>
      </c>
      <c r="P556" s="44">
        <f t="shared" ca="1" si="186"/>
        <v>22.758855914378952</v>
      </c>
      <c r="Q556" s="44">
        <f t="shared" ca="1" si="187"/>
        <v>22.758855914378952</v>
      </c>
      <c r="R556" s="44">
        <f t="shared" ca="1" si="188"/>
        <v>2.2758855914378953</v>
      </c>
      <c r="S556" s="44">
        <f t="shared" ca="1" si="189"/>
        <v>2.2758855914378953</v>
      </c>
      <c r="T556" s="4">
        <f t="shared" ca="1" si="190"/>
        <v>0</v>
      </c>
      <c r="U556" s="120">
        <f t="shared" ca="1" si="191"/>
        <v>2122.0063598009133</v>
      </c>
      <c r="V556" s="4">
        <f t="shared" ca="1" si="192"/>
        <v>0</v>
      </c>
      <c r="W556" s="13">
        <f t="shared" ca="1" si="193"/>
        <v>35722.631250000006</v>
      </c>
      <c r="X556" s="4">
        <f t="shared" ca="1" si="194"/>
        <v>0</v>
      </c>
      <c r="Y556" s="4">
        <f t="shared" si="195"/>
        <v>0</v>
      </c>
      <c r="Z556" s="13">
        <f t="shared" ca="1" si="196"/>
        <v>35722.631250000006</v>
      </c>
      <c r="AA556" s="4">
        <f t="shared" ca="1" si="197"/>
        <v>0</v>
      </c>
    </row>
    <row r="557" spans="1:27">
      <c r="A557">
        <v>0</v>
      </c>
      <c r="B557">
        <v>0</v>
      </c>
      <c r="C557">
        <f t="shared" ca="1" si="176"/>
        <v>2</v>
      </c>
      <c r="D557">
        <f t="shared" ca="1" si="177"/>
        <v>1</v>
      </c>
      <c r="E557">
        <f t="shared" ca="1" si="178"/>
        <v>0</v>
      </c>
      <c r="F557" s="110">
        <f t="shared" ca="1" si="179"/>
        <v>0.83137923999999985</v>
      </c>
      <c r="G557">
        <v>1</v>
      </c>
      <c r="H557">
        <v>1</v>
      </c>
      <c r="I557">
        <v>1</v>
      </c>
      <c r="J557" s="1">
        <f t="shared" ca="1" si="180"/>
        <v>0</v>
      </c>
      <c r="K557" s="1">
        <f t="shared" ca="1" si="181"/>
        <v>0</v>
      </c>
      <c r="L557" s="13">
        <f t="shared" ca="1" si="182"/>
        <v>587</v>
      </c>
      <c r="M557" s="7">
        <f t="shared" ca="1" si="183"/>
        <v>913</v>
      </c>
      <c r="N557" s="26">
        <f t="shared" ca="1" si="184"/>
        <v>3</v>
      </c>
      <c r="O557" s="44">
        <f t="shared" ca="1" si="185"/>
        <v>2.2758855914378953</v>
      </c>
      <c r="P557" s="44">
        <f t="shared" ca="1" si="186"/>
        <v>22.758855914378952</v>
      </c>
      <c r="Q557" s="44">
        <f t="shared" ca="1" si="187"/>
        <v>22.758855914378952</v>
      </c>
      <c r="R557" s="44">
        <f t="shared" ca="1" si="188"/>
        <v>2.2758855914378953</v>
      </c>
      <c r="S557" s="44">
        <f t="shared" ca="1" si="189"/>
        <v>2.2758855914378953</v>
      </c>
      <c r="T557" s="4">
        <f t="shared" ca="1" si="190"/>
        <v>0</v>
      </c>
      <c r="U557" s="120">
        <f t="shared" ca="1" si="191"/>
        <v>2103.0063598009133</v>
      </c>
      <c r="V557" s="4">
        <f t="shared" ca="1" si="192"/>
        <v>0</v>
      </c>
      <c r="W557" s="13">
        <f t="shared" ca="1" si="193"/>
        <v>32949.506250000006</v>
      </c>
      <c r="X557" s="4">
        <f t="shared" ca="1" si="194"/>
        <v>0</v>
      </c>
      <c r="Y557" s="4">
        <f t="shared" si="195"/>
        <v>0</v>
      </c>
      <c r="Z557" s="13">
        <f t="shared" ca="1" si="196"/>
        <v>32949.506250000006</v>
      </c>
      <c r="AA557" s="4">
        <f t="shared" ca="1" si="197"/>
        <v>0</v>
      </c>
    </row>
    <row r="558" spans="1:27">
      <c r="A558">
        <v>0</v>
      </c>
      <c r="B558">
        <v>0</v>
      </c>
      <c r="C558">
        <f t="shared" ca="1" si="176"/>
        <v>2</v>
      </c>
      <c r="D558">
        <f t="shared" ca="1" si="177"/>
        <v>1</v>
      </c>
      <c r="E558">
        <f t="shared" ca="1" si="178"/>
        <v>0</v>
      </c>
      <c r="F558" s="110">
        <f t="shared" ca="1" si="179"/>
        <v>0.83137923999999985</v>
      </c>
      <c r="G558">
        <v>1</v>
      </c>
      <c r="H558">
        <v>1</v>
      </c>
      <c r="I558">
        <v>0</v>
      </c>
      <c r="J558" s="1">
        <f t="shared" ca="1" si="180"/>
        <v>0</v>
      </c>
      <c r="K558" s="1">
        <f t="shared" ca="1" si="181"/>
        <v>0</v>
      </c>
      <c r="L558" s="13">
        <f t="shared" ca="1" si="182"/>
        <v>568</v>
      </c>
      <c r="M558" s="7">
        <f t="shared" ca="1" si="183"/>
        <v>932</v>
      </c>
      <c r="N558" s="26">
        <f t="shared" ca="1" si="184"/>
        <v>3</v>
      </c>
      <c r="O558" s="44">
        <f t="shared" ca="1" si="185"/>
        <v>2.2758855914378953</v>
      </c>
      <c r="P558" s="44">
        <f t="shared" ca="1" si="186"/>
        <v>22.758855914378952</v>
      </c>
      <c r="Q558" s="44">
        <f t="shared" ca="1" si="187"/>
        <v>22.758855914378952</v>
      </c>
      <c r="R558" s="44">
        <f t="shared" ca="1" si="188"/>
        <v>2.2758855914378953</v>
      </c>
      <c r="S558" s="44">
        <f t="shared" ca="1" si="189"/>
        <v>2.2758855914378953</v>
      </c>
      <c r="T558" s="4">
        <f t="shared" ca="1" si="190"/>
        <v>0</v>
      </c>
      <c r="U558" s="120">
        <f t="shared" ca="1" si="191"/>
        <v>2084.0063598009133</v>
      </c>
      <c r="V558" s="4">
        <f t="shared" ca="1" si="192"/>
        <v>0</v>
      </c>
      <c r="W558" s="13">
        <f t="shared" ca="1" si="193"/>
        <v>30176.381250000002</v>
      </c>
      <c r="X558" s="4">
        <f t="shared" ca="1" si="194"/>
        <v>0</v>
      </c>
      <c r="Y558" s="4">
        <f t="shared" si="195"/>
        <v>0</v>
      </c>
      <c r="Z558" s="13">
        <f t="shared" ca="1" si="196"/>
        <v>30176.381250000002</v>
      </c>
      <c r="AA558" s="4">
        <f t="shared" ca="1" si="197"/>
        <v>0</v>
      </c>
    </row>
    <row r="559" spans="1:27">
      <c r="A559">
        <v>0</v>
      </c>
      <c r="B559">
        <v>0</v>
      </c>
      <c r="C559">
        <f t="shared" ca="1" si="176"/>
        <v>2</v>
      </c>
      <c r="D559">
        <f t="shared" ca="1" si="177"/>
        <v>1</v>
      </c>
      <c r="E559">
        <f t="shared" ca="1" si="178"/>
        <v>0</v>
      </c>
      <c r="F559" s="110">
        <f t="shared" ca="1" si="179"/>
        <v>0.83137923999999985</v>
      </c>
      <c r="G559">
        <v>1</v>
      </c>
      <c r="H559">
        <v>0</v>
      </c>
      <c r="I559">
        <v>7</v>
      </c>
      <c r="J559" s="1">
        <f t="shared" ca="1" si="180"/>
        <v>0</v>
      </c>
      <c r="K559" s="1">
        <f t="shared" ca="1" si="181"/>
        <v>0</v>
      </c>
      <c r="L559" s="13">
        <f t="shared" ca="1" si="182"/>
        <v>417</v>
      </c>
      <c r="M559" s="7">
        <f t="shared" ca="1" si="183"/>
        <v>1083</v>
      </c>
      <c r="N559" s="26">
        <f t="shared" ca="1" si="184"/>
        <v>4</v>
      </c>
      <c r="O559" s="44">
        <f t="shared" ca="1" si="185"/>
        <v>2.8908103757121246</v>
      </c>
      <c r="P559" s="44">
        <f t="shared" ca="1" si="186"/>
        <v>28.908103757121246</v>
      </c>
      <c r="Q559" s="44">
        <f t="shared" ca="1" si="187"/>
        <v>28.908103757121246</v>
      </c>
      <c r="R559" s="44">
        <f t="shared" ca="1" si="188"/>
        <v>2.8908103757121246</v>
      </c>
      <c r="S559" s="44">
        <f t="shared" ca="1" si="189"/>
        <v>2.8908103757121246</v>
      </c>
      <c r="T559" s="4">
        <f t="shared" ca="1" si="190"/>
        <v>0</v>
      </c>
      <c r="U559" s="120">
        <f t="shared" ca="1" si="191"/>
        <v>2268.675062040129</v>
      </c>
      <c r="V559" s="4">
        <f t="shared" ca="1" si="192"/>
        <v>0</v>
      </c>
      <c r="W559" s="13">
        <f t="shared" ca="1" si="193"/>
        <v>49588.256250000006</v>
      </c>
      <c r="X559" s="4">
        <f t="shared" ca="1" si="194"/>
        <v>0</v>
      </c>
      <c r="Y559" s="4">
        <f t="shared" si="195"/>
        <v>0</v>
      </c>
      <c r="Z559" s="13">
        <f t="shared" ca="1" si="196"/>
        <v>49588.256250000006</v>
      </c>
      <c r="AA559" s="4">
        <f t="shared" ca="1" si="197"/>
        <v>0</v>
      </c>
    </row>
    <row r="560" spans="1:27">
      <c r="A560">
        <v>0</v>
      </c>
      <c r="B560">
        <v>0</v>
      </c>
      <c r="C560">
        <f t="shared" ca="1" si="176"/>
        <v>2</v>
      </c>
      <c r="D560">
        <f t="shared" ca="1" si="177"/>
        <v>1</v>
      </c>
      <c r="E560">
        <f t="shared" ca="1" si="178"/>
        <v>0</v>
      </c>
      <c r="F560" s="110">
        <f t="shared" ca="1" si="179"/>
        <v>0.83137923999999985</v>
      </c>
      <c r="G560">
        <v>1</v>
      </c>
      <c r="H560">
        <v>0</v>
      </c>
      <c r="I560">
        <v>6</v>
      </c>
      <c r="J560" s="1">
        <f t="shared" ca="1" si="180"/>
        <v>0</v>
      </c>
      <c r="K560" s="1">
        <f t="shared" ca="1" si="181"/>
        <v>0</v>
      </c>
      <c r="L560" s="13">
        <f t="shared" ca="1" si="182"/>
        <v>398</v>
      </c>
      <c r="M560" s="7">
        <f t="shared" ca="1" si="183"/>
        <v>1102</v>
      </c>
      <c r="N560" s="26">
        <f t="shared" ca="1" si="184"/>
        <v>4</v>
      </c>
      <c r="O560" s="44">
        <f t="shared" ca="1" si="185"/>
        <v>2.8908103757121246</v>
      </c>
      <c r="P560" s="44">
        <f t="shared" ca="1" si="186"/>
        <v>28.908103757121246</v>
      </c>
      <c r="Q560" s="44">
        <f t="shared" ca="1" si="187"/>
        <v>28.908103757121246</v>
      </c>
      <c r="R560" s="44">
        <f t="shared" ca="1" si="188"/>
        <v>2.8908103757121246</v>
      </c>
      <c r="S560" s="44">
        <f t="shared" ca="1" si="189"/>
        <v>2.8908103757121246</v>
      </c>
      <c r="T560" s="4">
        <f t="shared" ca="1" si="190"/>
        <v>0</v>
      </c>
      <c r="U560" s="120">
        <f t="shared" ca="1" si="191"/>
        <v>2249.675062040129</v>
      </c>
      <c r="V560" s="4">
        <f t="shared" ca="1" si="192"/>
        <v>0</v>
      </c>
      <c r="W560" s="13">
        <f t="shared" ca="1" si="193"/>
        <v>46815.131250000006</v>
      </c>
      <c r="X560" s="4">
        <f t="shared" ca="1" si="194"/>
        <v>0</v>
      </c>
      <c r="Y560" s="4">
        <f t="shared" si="195"/>
        <v>0</v>
      </c>
      <c r="Z560" s="13">
        <f t="shared" ca="1" si="196"/>
        <v>46815.131250000006</v>
      </c>
      <c r="AA560" s="4">
        <f t="shared" ca="1" si="197"/>
        <v>0</v>
      </c>
    </row>
    <row r="561" spans="1:27">
      <c r="A561">
        <v>0</v>
      </c>
      <c r="B561">
        <v>0</v>
      </c>
      <c r="C561">
        <f t="shared" ca="1" si="176"/>
        <v>2</v>
      </c>
      <c r="D561">
        <f t="shared" ca="1" si="177"/>
        <v>1</v>
      </c>
      <c r="E561">
        <f t="shared" ca="1" si="178"/>
        <v>0</v>
      </c>
      <c r="F561" s="110">
        <f t="shared" ca="1" si="179"/>
        <v>0.83137923999999985</v>
      </c>
      <c r="G561">
        <v>1</v>
      </c>
      <c r="H561">
        <v>0</v>
      </c>
      <c r="I561">
        <v>5</v>
      </c>
      <c r="J561" s="1">
        <f t="shared" ca="1" si="180"/>
        <v>0</v>
      </c>
      <c r="K561" s="1">
        <f t="shared" ca="1" si="181"/>
        <v>0</v>
      </c>
      <c r="L561" s="13">
        <f t="shared" ca="1" si="182"/>
        <v>379</v>
      </c>
      <c r="M561" s="7">
        <f t="shared" ca="1" si="183"/>
        <v>1121</v>
      </c>
      <c r="N561" s="26">
        <f t="shared" ca="1" si="184"/>
        <v>4</v>
      </c>
      <c r="O561" s="44">
        <f t="shared" ca="1" si="185"/>
        <v>2.8908103757121246</v>
      </c>
      <c r="P561" s="44">
        <f t="shared" ca="1" si="186"/>
        <v>28.908103757121246</v>
      </c>
      <c r="Q561" s="44">
        <f t="shared" ca="1" si="187"/>
        <v>28.908103757121246</v>
      </c>
      <c r="R561" s="44">
        <f t="shared" ca="1" si="188"/>
        <v>2.8908103757121246</v>
      </c>
      <c r="S561" s="44">
        <f t="shared" ca="1" si="189"/>
        <v>2.8908103757121246</v>
      </c>
      <c r="T561" s="4">
        <f t="shared" ca="1" si="190"/>
        <v>0</v>
      </c>
      <c r="U561" s="120">
        <f t="shared" ca="1" si="191"/>
        <v>2230.675062040129</v>
      </c>
      <c r="V561" s="4">
        <f t="shared" ca="1" si="192"/>
        <v>0</v>
      </c>
      <c r="W561" s="13">
        <f t="shared" ca="1" si="193"/>
        <v>44042.006250000006</v>
      </c>
      <c r="X561" s="4">
        <f t="shared" ca="1" si="194"/>
        <v>0</v>
      </c>
      <c r="Y561" s="4">
        <f t="shared" si="195"/>
        <v>0</v>
      </c>
      <c r="Z561" s="13">
        <f t="shared" ca="1" si="196"/>
        <v>44042.006250000006</v>
      </c>
      <c r="AA561" s="4">
        <f t="shared" ca="1" si="197"/>
        <v>0</v>
      </c>
    </row>
    <row r="562" spans="1:27">
      <c r="A562">
        <v>0</v>
      </c>
      <c r="B562">
        <v>0</v>
      </c>
      <c r="C562">
        <f t="shared" ca="1" si="176"/>
        <v>2</v>
      </c>
      <c r="D562">
        <f t="shared" ca="1" si="177"/>
        <v>1</v>
      </c>
      <c r="E562">
        <f t="shared" ca="1" si="178"/>
        <v>0</v>
      </c>
      <c r="F562" s="110">
        <f t="shared" ca="1" si="179"/>
        <v>0.83137923999999985</v>
      </c>
      <c r="G562">
        <v>1</v>
      </c>
      <c r="H562">
        <v>0</v>
      </c>
      <c r="I562">
        <v>4</v>
      </c>
      <c r="J562" s="1">
        <f t="shared" ca="1" si="180"/>
        <v>0</v>
      </c>
      <c r="K562" s="1">
        <f t="shared" ca="1" si="181"/>
        <v>0</v>
      </c>
      <c r="L562" s="13">
        <f t="shared" ca="1" si="182"/>
        <v>360</v>
      </c>
      <c r="M562" s="7">
        <f t="shared" ca="1" si="183"/>
        <v>1140</v>
      </c>
      <c r="N562" s="26">
        <f t="shared" ca="1" si="184"/>
        <v>4</v>
      </c>
      <c r="O562" s="44">
        <f t="shared" ca="1" si="185"/>
        <v>2.8908103757121246</v>
      </c>
      <c r="P562" s="44">
        <f t="shared" ca="1" si="186"/>
        <v>28.908103757121246</v>
      </c>
      <c r="Q562" s="44">
        <f t="shared" ca="1" si="187"/>
        <v>28.908103757121246</v>
      </c>
      <c r="R562" s="44">
        <f t="shared" ca="1" si="188"/>
        <v>2.8908103757121246</v>
      </c>
      <c r="S562" s="44">
        <f t="shared" ca="1" si="189"/>
        <v>2.8908103757121246</v>
      </c>
      <c r="T562" s="4">
        <f t="shared" ca="1" si="190"/>
        <v>0</v>
      </c>
      <c r="U562" s="120">
        <f t="shared" ca="1" si="191"/>
        <v>2211.675062040129</v>
      </c>
      <c r="V562" s="4">
        <f t="shared" ca="1" si="192"/>
        <v>0</v>
      </c>
      <c r="W562" s="13">
        <f t="shared" ca="1" si="193"/>
        <v>41268.881250000006</v>
      </c>
      <c r="X562" s="4">
        <f t="shared" ca="1" si="194"/>
        <v>0</v>
      </c>
      <c r="Y562" s="4">
        <f t="shared" si="195"/>
        <v>0</v>
      </c>
      <c r="Z562" s="13">
        <f t="shared" ca="1" si="196"/>
        <v>41268.881250000006</v>
      </c>
      <c r="AA562" s="4">
        <f t="shared" ca="1" si="197"/>
        <v>0</v>
      </c>
    </row>
    <row r="563" spans="1:27">
      <c r="A563">
        <v>0</v>
      </c>
      <c r="B563">
        <v>0</v>
      </c>
      <c r="C563">
        <f t="shared" ca="1" si="176"/>
        <v>2</v>
      </c>
      <c r="D563">
        <f t="shared" ca="1" si="177"/>
        <v>1</v>
      </c>
      <c r="E563">
        <f t="shared" ca="1" si="178"/>
        <v>0</v>
      </c>
      <c r="F563" s="110">
        <f t="shared" ca="1" si="179"/>
        <v>0.83137923999999985</v>
      </c>
      <c r="G563">
        <v>1</v>
      </c>
      <c r="H563">
        <v>0</v>
      </c>
      <c r="I563">
        <v>3</v>
      </c>
      <c r="J563" s="1">
        <f t="shared" ca="1" si="180"/>
        <v>0</v>
      </c>
      <c r="K563" s="1">
        <f t="shared" ca="1" si="181"/>
        <v>0</v>
      </c>
      <c r="L563" s="13">
        <f t="shared" ca="1" si="182"/>
        <v>341</v>
      </c>
      <c r="M563" s="7">
        <f t="shared" ca="1" si="183"/>
        <v>1159</v>
      </c>
      <c r="N563" s="26">
        <f t="shared" ca="1" si="184"/>
        <v>4</v>
      </c>
      <c r="O563" s="44">
        <f t="shared" ca="1" si="185"/>
        <v>2.8908103757121246</v>
      </c>
      <c r="P563" s="44">
        <f t="shared" ca="1" si="186"/>
        <v>28.908103757121246</v>
      </c>
      <c r="Q563" s="44">
        <f t="shared" ca="1" si="187"/>
        <v>28.908103757121246</v>
      </c>
      <c r="R563" s="44">
        <f t="shared" ca="1" si="188"/>
        <v>2.8908103757121246</v>
      </c>
      <c r="S563" s="44">
        <f t="shared" ca="1" si="189"/>
        <v>2.8908103757121246</v>
      </c>
      <c r="T563" s="4">
        <f t="shared" ca="1" si="190"/>
        <v>0</v>
      </c>
      <c r="U563" s="120">
        <f t="shared" ca="1" si="191"/>
        <v>2192.675062040129</v>
      </c>
      <c r="V563" s="4">
        <f t="shared" ca="1" si="192"/>
        <v>0</v>
      </c>
      <c r="W563" s="13">
        <f t="shared" ca="1" si="193"/>
        <v>38495.756250000006</v>
      </c>
      <c r="X563" s="4">
        <f t="shared" ca="1" si="194"/>
        <v>0</v>
      </c>
      <c r="Y563" s="4">
        <f t="shared" si="195"/>
        <v>0</v>
      </c>
      <c r="Z563" s="13">
        <f t="shared" ca="1" si="196"/>
        <v>38495.756250000006</v>
      </c>
      <c r="AA563" s="4">
        <f t="shared" ca="1" si="197"/>
        <v>0</v>
      </c>
    </row>
    <row r="564" spans="1:27">
      <c r="A564">
        <v>0</v>
      </c>
      <c r="B564">
        <v>0</v>
      </c>
      <c r="C564">
        <f t="shared" ca="1" si="176"/>
        <v>2</v>
      </c>
      <c r="D564">
        <f t="shared" ca="1" si="177"/>
        <v>1</v>
      </c>
      <c r="E564">
        <f t="shared" ca="1" si="178"/>
        <v>0</v>
      </c>
      <c r="F564" s="110">
        <f t="shared" ca="1" si="179"/>
        <v>0.83137923999999985</v>
      </c>
      <c r="G564">
        <v>1</v>
      </c>
      <c r="H564">
        <v>0</v>
      </c>
      <c r="I564">
        <v>2</v>
      </c>
      <c r="J564" s="1">
        <f t="shared" ca="1" si="180"/>
        <v>0</v>
      </c>
      <c r="K564" s="1">
        <f t="shared" ca="1" si="181"/>
        <v>0</v>
      </c>
      <c r="L564" s="13">
        <f t="shared" ca="1" si="182"/>
        <v>322</v>
      </c>
      <c r="M564" s="7">
        <f t="shared" ca="1" si="183"/>
        <v>1178</v>
      </c>
      <c r="N564" s="26">
        <f t="shared" ca="1" si="184"/>
        <v>4</v>
      </c>
      <c r="O564" s="44">
        <f t="shared" ca="1" si="185"/>
        <v>2.8908103757121246</v>
      </c>
      <c r="P564" s="44">
        <f t="shared" ca="1" si="186"/>
        <v>28.908103757121246</v>
      </c>
      <c r="Q564" s="44">
        <f t="shared" ca="1" si="187"/>
        <v>28.908103757121246</v>
      </c>
      <c r="R564" s="44">
        <f t="shared" ca="1" si="188"/>
        <v>2.8908103757121246</v>
      </c>
      <c r="S564" s="44">
        <f t="shared" ca="1" si="189"/>
        <v>2.8908103757121246</v>
      </c>
      <c r="T564" s="4">
        <f t="shared" ca="1" si="190"/>
        <v>0</v>
      </c>
      <c r="U564" s="120">
        <f t="shared" ca="1" si="191"/>
        <v>2173.675062040129</v>
      </c>
      <c r="V564" s="4">
        <f t="shared" ca="1" si="192"/>
        <v>0</v>
      </c>
      <c r="W564" s="13">
        <f t="shared" ca="1" si="193"/>
        <v>35722.631250000006</v>
      </c>
      <c r="X564" s="4">
        <f t="shared" ca="1" si="194"/>
        <v>0</v>
      </c>
      <c r="Y564" s="4">
        <f t="shared" si="195"/>
        <v>0</v>
      </c>
      <c r="Z564" s="13">
        <f t="shared" ca="1" si="196"/>
        <v>35722.631250000006</v>
      </c>
      <c r="AA564" s="4">
        <f t="shared" ca="1" si="197"/>
        <v>0</v>
      </c>
    </row>
    <row r="565" spans="1:27">
      <c r="A565">
        <v>0</v>
      </c>
      <c r="B565">
        <v>0</v>
      </c>
      <c r="C565">
        <f t="shared" ca="1" si="176"/>
        <v>2</v>
      </c>
      <c r="D565">
        <f t="shared" ca="1" si="177"/>
        <v>1</v>
      </c>
      <c r="E565">
        <f t="shared" ca="1" si="178"/>
        <v>0</v>
      </c>
      <c r="F565" s="110">
        <f t="shared" ca="1" si="179"/>
        <v>0.83137923999999985</v>
      </c>
      <c r="G565">
        <v>1</v>
      </c>
      <c r="H565">
        <v>0</v>
      </c>
      <c r="I565">
        <v>1</v>
      </c>
      <c r="J565" s="1">
        <f t="shared" ca="1" si="180"/>
        <v>0.90249999999999997</v>
      </c>
      <c r="K565" s="1">
        <f t="shared" ca="1" si="181"/>
        <v>0.75031976409999979</v>
      </c>
      <c r="L565" s="13">
        <f t="shared" ca="1" si="182"/>
        <v>303</v>
      </c>
      <c r="M565" s="7">
        <f t="shared" ca="1" si="183"/>
        <v>1197</v>
      </c>
      <c r="N565" s="26">
        <f t="shared" ca="1" si="184"/>
        <v>4</v>
      </c>
      <c r="O565" s="44">
        <f t="shared" ca="1" si="185"/>
        <v>2.8908103757121246</v>
      </c>
      <c r="P565" s="44">
        <f t="shared" ca="1" si="186"/>
        <v>28.908103757121246</v>
      </c>
      <c r="Q565" s="44">
        <f t="shared" ca="1" si="187"/>
        <v>28.908103757121246</v>
      </c>
      <c r="R565" s="44">
        <f t="shared" ca="1" si="188"/>
        <v>2.8908103757121246</v>
      </c>
      <c r="S565" s="44">
        <f t="shared" ca="1" si="189"/>
        <v>2.8908103757121246</v>
      </c>
      <c r="T565" s="4">
        <f t="shared" ca="1" si="190"/>
        <v>2.1690321591621533</v>
      </c>
      <c r="U565" s="120">
        <f t="shared" ca="1" si="191"/>
        <v>2154.675062040129</v>
      </c>
      <c r="V565" s="4">
        <f t="shared" ca="1" si="192"/>
        <v>1616.6952842621019</v>
      </c>
      <c r="W565" s="13">
        <f t="shared" ca="1" si="193"/>
        <v>32949.506250000006</v>
      </c>
      <c r="X565" s="4">
        <f t="shared" ca="1" si="194"/>
        <v>24722.665756711474</v>
      </c>
      <c r="Y565" s="4">
        <f t="shared" si="195"/>
        <v>0</v>
      </c>
      <c r="Z565" s="13">
        <f t="shared" ca="1" si="196"/>
        <v>32949.506250000006</v>
      </c>
      <c r="AA565" s="4">
        <f t="shared" ca="1" si="197"/>
        <v>24722.665756711474</v>
      </c>
    </row>
    <row r="566" spans="1:27">
      <c r="A566">
        <v>0</v>
      </c>
      <c r="B566">
        <v>0</v>
      </c>
      <c r="C566">
        <f t="shared" ca="1" si="176"/>
        <v>2</v>
      </c>
      <c r="D566">
        <f t="shared" ca="1" si="177"/>
        <v>1</v>
      </c>
      <c r="E566">
        <f t="shared" ca="1" si="178"/>
        <v>0</v>
      </c>
      <c r="F566" s="110">
        <f t="shared" ca="1" si="179"/>
        <v>0.83137923999999985</v>
      </c>
      <c r="G566">
        <v>1</v>
      </c>
      <c r="H566">
        <v>0</v>
      </c>
      <c r="I566">
        <v>0</v>
      </c>
      <c r="J566" s="1">
        <f t="shared" ca="1" si="180"/>
        <v>4.7500000000000042E-2</v>
      </c>
      <c r="K566" s="1">
        <f t="shared" ca="1" si="181"/>
        <v>3.9490513900000031E-2</v>
      </c>
      <c r="L566" s="13">
        <f t="shared" ca="1" si="182"/>
        <v>284</v>
      </c>
      <c r="M566" s="7">
        <f t="shared" ca="1" si="183"/>
        <v>1216</v>
      </c>
      <c r="N566" s="26">
        <f t="shared" ca="1" si="184"/>
        <v>4</v>
      </c>
      <c r="O566" s="44">
        <f t="shared" ca="1" si="185"/>
        <v>2.8908103757121246</v>
      </c>
      <c r="P566" s="44">
        <f t="shared" ca="1" si="186"/>
        <v>28.908103757121246</v>
      </c>
      <c r="Q566" s="44">
        <f t="shared" ca="1" si="187"/>
        <v>28.908103757121246</v>
      </c>
      <c r="R566" s="44">
        <f t="shared" ca="1" si="188"/>
        <v>2.8908103757121246</v>
      </c>
      <c r="S566" s="44">
        <f t="shared" ca="1" si="189"/>
        <v>2.8908103757121246</v>
      </c>
      <c r="T566" s="4">
        <f t="shared" ca="1" si="190"/>
        <v>0.11415958732432396</v>
      </c>
      <c r="U566" s="120">
        <f t="shared" ca="1" si="191"/>
        <v>2135.675062040129</v>
      </c>
      <c r="V566" s="4">
        <f t="shared" ca="1" si="192"/>
        <v>84.338905723379142</v>
      </c>
      <c r="W566" s="13">
        <f t="shared" ca="1" si="193"/>
        <v>30176.381250000002</v>
      </c>
      <c r="X566" s="4">
        <f t="shared" ca="1" si="194"/>
        <v>1191.6808032048255</v>
      </c>
      <c r="Y566" s="4">
        <f t="shared" si="195"/>
        <v>0</v>
      </c>
      <c r="Z566" s="13">
        <f t="shared" ca="1" si="196"/>
        <v>30176.381250000002</v>
      </c>
      <c r="AA566" s="4">
        <f t="shared" ca="1" si="197"/>
        <v>1191.6808032048255</v>
      </c>
    </row>
    <row r="567" spans="1:27">
      <c r="A567">
        <v>0</v>
      </c>
      <c r="B567">
        <v>0</v>
      </c>
      <c r="C567">
        <f t="shared" ca="1" si="176"/>
        <v>2</v>
      </c>
      <c r="D567">
        <f t="shared" ca="1" si="177"/>
        <v>1</v>
      </c>
      <c r="E567">
        <f t="shared" ca="1" si="178"/>
        <v>0</v>
      </c>
      <c r="F567" s="110">
        <f t="shared" ca="1" si="179"/>
        <v>0.83137923999999985</v>
      </c>
      <c r="G567">
        <v>0</v>
      </c>
      <c r="H567">
        <v>1</v>
      </c>
      <c r="I567">
        <v>7</v>
      </c>
      <c r="J567" s="1">
        <f t="shared" ca="1" si="180"/>
        <v>0</v>
      </c>
      <c r="K567" s="1">
        <f t="shared" ca="1" si="181"/>
        <v>0</v>
      </c>
      <c r="L567" s="13">
        <f t="shared" ca="1" si="182"/>
        <v>417</v>
      </c>
      <c r="M567" s="7">
        <f t="shared" ca="1" si="183"/>
        <v>1083</v>
      </c>
      <c r="N567" s="26">
        <f t="shared" ca="1" si="184"/>
        <v>4</v>
      </c>
      <c r="O567" s="44">
        <f t="shared" ca="1" si="185"/>
        <v>2.8908103757121246</v>
      </c>
      <c r="P567" s="44">
        <f t="shared" ca="1" si="186"/>
        <v>28.908103757121246</v>
      </c>
      <c r="Q567" s="44">
        <f t="shared" ca="1" si="187"/>
        <v>28.908103757121246</v>
      </c>
      <c r="R567" s="44">
        <f t="shared" ca="1" si="188"/>
        <v>2.8908103757121246</v>
      </c>
      <c r="S567" s="44">
        <f t="shared" ca="1" si="189"/>
        <v>2.8908103757121246</v>
      </c>
      <c r="T567" s="4">
        <f t="shared" ca="1" si="190"/>
        <v>0</v>
      </c>
      <c r="U567" s="120">
        <f t="shared" ca="1" si="191"/>
        <v>2268.675062040129</v>
      </c>
      <c r="V567" s="4">
        <f t="shared" ca="1" si="192"/>
        <v>0</v>
      </c>
      <c r="W567" s="13">
        <f t="shared" ca="1" si="193"/>
        <v>19411.875</v>
      </c>
      <c r="X567" s="4">
        <f t="shared" ca="1" si="194"/>
        <v>0</v>
      </c>
      <c r="Y567" s="4">
        <f t="shared" si="195"/>
        <v>0</v>
      </c>
      <c r="Z567" s="13">
        <f t="shared" ca="1" si="196"/>
        <v>19411.875</v>
      </c>
      <c r="AA567" s="4">
        <f t="shared" ca="1" si="197"/>
        <v>0</v>
      </c>
    </row>
    <row r="568" spans="1:27">
      <c r="A568">
        <v>0</v>
      </c>
      <c r="B568">
        <v>0</v>
      </c>
      <c r="C568">
        <f t="shared" ca="1" si="176"/>
        <v>2</v>
      </c>
      <c r="D568">
        <f t="shared" ca="1" si="177"/>
        <v>1</v>
      </c>
      <c r="E568">
        <f t="shared" ca="1" si="178"/>
        <v>0</v>
      </c>
      <c r="F568" s="110">
        <f t="shared" ca="1" si="179"/>
        <v>0.83137923999999985</v>
      </c>
      <c r="G568">
        <v>0</v>
      </c>
      <c r="H568">
        <v>1</v>
      </c>
      <c r="I568">
        <v>6</v>
      </c>
      <c r="J568" s="1">
        <f t="shared" ca="1" si="180"/>
        <v>0</v>
      </c>
      <c r="K568" s="1">
        <f t="shared" ca="1" si="181"/>
        <v>0</v>
      </c>
      <c r="L568" s="13">
        <f t="shared" ca="1" si="182"/>
        <v>398</v>
      </c>
      <c r="M568" s="7">
        <f t="shared" ca="1" si="183"/>
        <v>1102</v>
      </c>
      <c r="N568" s="26">
        <f t="shared" ca="1" si="184"/>
        <v>4</v>
      </c>
      <c r="O568" s="44">
        <f t="shared" ca="1" si="185"/>
        <v>2.8908103757121246</v>
      </c>
      <c r="P568" s="44">
        <f t="shared" ca="1" si="186"/>
        <v>28.908103757121246</v>
      </c>
      <c r="Q568" s="44">
        <f t="shared" ca="1" si="187"/>
        <v>28.908103757121246</v>
      </c>
      <c r="R568" s="44">
        <f t="shared" ca="1" si="188"/>
        <v>2.8908103757121246</v>
      </c>
      <c r="S568" s="44">
        <f t="shared" ca="1" si="189"/>
        <v>2.8908103757121246</v>
      </c>
      <c r="T568" s="4">
        <f t="shared" ca="1" si="190"/>
        <v>0</v>
      </c>
      <c r="U568" s="120">
        <f t="shared" ca="1" si="191"/>
        <v>2249.675062040129</v>
      </c>
      <c r="V568" s="4">
        <f t="shared" ca="1" si="192"/>
        <v>0</v>
      </c>
      <c r="W568" s="13">
        <f t="shared" ca="1" si="193"/>
        <v>16638.75</v>
      </c>
      <c r="X568" s="4">
        <f t="shared" ca="1" si="194"/>
        <v>0</v>
      </c>
      <c r="Y568" s="4">
        <f t="shared" si="195"/>
        <v>0</v>
      </c>
      <c r="Z568" s="13">
        <f t="shared" ca="1" si="196"/>
        <v>16638.75</v>
      </c>
      <c r="AA568" s="4">
        <f t="shared" ca="1" si="197"/>
        <v>0</v>
      </c>
    </row>
    <row r="569" spans="1:27">
      <c r="A569">
        <v>0</v>
      </c>
      <c r="B569">
        <v>0</v>
      </c>
      <c r="C569">
        <f t="shared" ca="1" si="176"/>
        <v>2</v>
      </c>
      <c r="D569">
        <f t="shared" ca="1" si="177"/>
        <v>1</v>
      </c>
      <c r="E569">
        <f t="shared" ca="1" si="178"/>
        <v>0</v>
      </c>
      <c r="F569" s="110">
        <f t="shared" ca="1" si="179"/>
        <v>0.83137923999999985</v>
      </c>
      <c r="G569">
        <v>0</v>
      </c>
      <c r="H569">
        <v>1</v>
      </c>
      <c r="I569">
        <v>5</v>
      </c>
      <c r="J569" s="1">
        <f t="shared" ca="1" si="180"/>
        <v>0</v>
      </c>
      <c r="K569" s="1">
        <f t="shared" ca="1" si="181"/>
        <v>0</v>
      </c>
      <c r="L569" s="13">
        <f t="shared" ca="1" si="182"/>
        <v>379</v>
      </c>
      <c r="M569" s="7">
        <f t="shared" ca="1" si="183"/>
        <v>1121</v>
      </c>
      <c r="N569" s="26">
        <f t="shared" ca="1" si="184"/>
        <v>4</v>
      </c>
      <c r="O569" s="44">
        <f t="shared" ca="1" si="185"/>
        <v>2.8908103757121246</v>
      </c>
      <c r="P569" s="44">
        <f t="shared" ca="1" si="186"/>
        <v>28.908103757121246</v>
      </c>
      <c r="Q569" s="44">
        <f t="shared" ca="1" si="187"/>
        <v>28.908103757121246</v>
      </c>
      <c r="R569" s="44">
        <f t="shared" ca="1" si="188"/>
        <v>2.8908103757121246</v>
      </c>
      <c r="S569" s="44">
        <f t="shared" ca="1" si="189"/>
        <v>2.8908103757121246</v>
      </c>
      <c r="T569" s="4">
        <f t="shared" ca="1" si="190"/>
        <v>0</v>
      </c>
      <c r="U569" s="120">
        <f t="shared" ca="1" si="191"/>
        <v>2230.675062040129</v>
      </c>
      <c r="V569" s="4">
        <f t="shared" ca="1" si="192"/>
        <v>0</v>
      </c>
      <c r="W569" s="13">
        <f t="shared" ca="1" si="193"/>
        <v>13865.625</v>
      </c>
      <c r="X569" s="4">
        <f t="shared" ca="1" si="194"/>
        <v>0</v>
      </c>
      <c r="Y569" s="4">
        <f t="shared" si="195"/>
        <v>0</v>
      </c>
      <c r="Z569" s="13">
        <f t="shared" ca="1" si="196"/>
        <v>13865.625</v>
      </c>
      <c r="AA569" s="4">
        <f t="shared" ca="1" si="197"/>
        <v>0</v>
      </c>
    </row>
    <row r="570" spans="1:27">
      <c r="A570">
        <v>0</v>
      </c>
      <c r="B570">
        <v>0</v>
      </c>
      <c r="C570">
        <f t="shared" ca="1" si="176"/>
        <v>2</v>
      </c>
      <c r="D570">
        <f t="shared" ca="1" si="177"/>
        <v>1</v>
      </c>
      <c r="E570">
        <f t="shared" ca="1" si="178"/>
        <v>0</v>
      </c>
      <c r="F570" s="110">
        <f t="shared" ca="1" si="179"/>
        <v>0.83137923999999985</v>
      </c>
      <c r="G570">
        <v>0</v>
      </c>
      <c r="H570">
        <v>1</v>
      </c>
      <c r="I570">
        <v>4</v>
      </c>
      <c r="J570" s="1">
        <f t="shared" ca="1" si="180"/>
        <v>0</v>
      </c>
      <c r="K570" s="1">
        <f t="shared" ca="1" si="181"/>
        <v>0</v>
      </c>
      <c r="L570" s="13">
        <f t="shared" ca="1" si="182"/>
        <v>360</v>
      </c>
      <c r="M570" s="7">
        <f t="shared" ca="1" si="183"/>
        <v>1140</v>
      </c>
      <c r="N570" s="26">
        <f t="shared" ca="1" si="184"/>
        <v>4</v>
      </c>
      <c r="O570" s="44">
        <f t="shared" ca="1" si="185"/>
        <v>2.8908103757121246</v>
      </c>
      <c r="P570" s="44">
        <f t="shared" ca="1" si="186"/>
        <v>28.908103757121246</v>
      </c>
      <c r="Q570" s="44">
        <f t="shared" ca="1" si="187"/>
        <v>28.908103757121246</v>
      </c>
      <c r="R570" s="44">
        <f t="shared" ca="1" si="188"/>
        <v>2.8908103757121246</v>
      </c>
      <c r="S570" s="44">
        <f t="shared" ca="1" si="189"/>
        <v>2.8908103757121246</v>
      </c>
      <c r="T570" s="4">
        <f t="shared" ca="1" si="190"/>
        <v>0</v>
      </c>
      <c r="U570" s="120">
        <f t="shared" ca="1" si="191"/>
        <v>2211.675062040129</v>
      </c>
      <c r="V570" s="4">
        <f t="shared" ca="1" si="192"/>
        <v>0</v>
      </c>
      <c r="W570" s="13">
        <f t="shared" ca="1" si="193"/>
        <v>11092.5</v>
      </c>
      <c r="X570" s="4">
        <f t="shared" ca="1" si="194"/>
        <v>0</v>
      </c>
      <c r="Y570" s="4">
        <f t="shared" si="195"/>
        <v>0</v>
      </c>
      <c r="Z570" s="13">
        <f t="shared" ca="1" si="196"/>
        <v>11092.5</v>
      </c>
      <c r="AA570" s="4">
        <f t="shared" ca="1" si="197"/>
        <v>0</v>
      </c>
    </row>
    <row r="571" spans="1:27">
      <c r="A571">
        <v>0</v>
      </c>
      <c r="B571">
        <v>0</v>
      </c>
      <c r="C571">
        <f t="shared" ca="1" si="176"/>
        <v>2</v>
      </c>
      <c r="D571">
        <f t="shared" ca="1" si="177"/>
        <v>1</v>
      </c>
      <c r="E571">
        <f t="shared" ca="1" si="178"/>
        <v>0</v>
      </c>
      <c r="F571" s="110">
        <f t="shared" ca="1" si="179"/>
        <v>0.83137923999999985</v>
      </c>
      <c r="G571">
        <v>0</v>
      </c>
      <c r="H571">
        <v>1</v>
      </c>
      <c r="I571">
        <v>3</v>
      </c>
      <c r="J571" s="1">
        <f t="shared" ca="1" si="180"/>
        <v>0</v>
      </c>
      <c r="K571" s="1">
        <f t="shared" ca="1" si="181"/>
        <v>0</v>
      </c>
      <c r="L571" s="13">
        <f t="shared" ca="1" si="182"/>
        <v>341</v>
      </c>
      <c r="M571" s="7">
        <f t="shared" ca="1" si="183"/>
        <v>1159</v>
      </c>
      <c r="N571" s="26">
        <f t="shared" ca="1" si="184"/>
        <v>4</v>
      </c>
      <c r="O571" s="44">
        <f t="shared" ca="1" si="185"/>
        <v>2.8908103757121246</v>
      </c>
      <c r="P571" s="44">
        <f t="shared" ca="1" si="186"/>
        <v>28.908103757121246</v>
      </c>
      <c r="Q571" s="44">
        <f t="shared" ca="1" si="187"/>
        <v>28.908103757121246</v>
      </c>
      <c r="R571" s="44">
        <f t="shared" ca="1" si="188"/>
        <v>2.8908103757121246</v>
      </c>
      <c r="S571" s="44">
        <f t="shared" ca="1" si="189"/>
        <v>2.8908103757121246</v>
      </c>
      <c r="T571" s="4">
        <f t="shared" ca="1" si="190"/>
        <v>0</v>
      </c>
      <c r="U571" s="120">
        <f t="shared" ca="1" si="191"/>
        <v>2192.675062040129</v>
      </c>
      <c r="V571" s="4">
        <f t="shared" ca="1" si="192"/>
        <v>0</v>
      </c>
      <c r="W571" s="13">
        <f t="shared" ca="1" si="193"/>
        <v>8319.375</v>
      </c>
      <c r="X571" s="4">
        <f t="shared" ca="1" si="194"/>
        <v>0</v>
      </c>
      <c r="Y571" s="4">
        <f t="shared" si="195"/>
        <v>0</v>
      </c>
      <c r="Z571" s="13">
        <f t="shared" ca="1" si="196"/>
        <v>8319.375</v>
      </c>
      <c r="AA571" s="4">
        <f t="shared" ca="1" si="197"/>
        <v>0</v>
      </c>
    </row>
    <row r="572" spans="1:27">
      <c r="A572">
        <v>0</v>
      </c>
      <c r="B572">
        <v>0</v>
      </c>
      <c r="C572">
        <f t="shared" ca="1" si="176"/>
        <v>2</v>
      </c>
      <c r="D572">
        <f t="shared" ca="1" si="177"/>
        <v>1</v>
      </c>
      <c r="E572">
        <f t="shared" ca="1" si="178"/>
        <v>0</v>
      </c>
      <c r="F572" s="110">
        <f t="shared" ca="1" si="179"/>
        <v>0.83137923999999985</v>
      </c>
      <c r="G572">
        <v>0</v>
      </c>
      <c r="H572">
        <v>1</v>
      </c>
      <c r="I572">
        <v>2</v>
      </c>
      <c r="J572" s="1">
        <f t="shared" ca="1" si="180"/>
        <v>0</v>
      </c>
      <c r="K572" s="1">
        <f t="shared" ca="1" si="181"/>
        <v>0</v>
      </c>
      <c r="L572" s="13">
        <f t="shared" ca="1" si="182"/>
        <v>322</v>
      </c>
      <c r="M572" s="7">
        <f t="shared" ca="1" si="183"/>
        <v>1178</v>
      </c>
      <c r="N572" s="26">
        <f t="shared" ca="1" si="184"/>
        <v>4</v>
      </c>
      <c r="O572" s="44">
        <f t="shared" ca="1" si="185"/>
        <v>2.8908103757121246</v>
      </c>
      <c r="P572" s="44">
        <f t="shared" ca="1" si="186"/>
        <v>28.908103757121246</v>
      </c>
      <c r="Q572" s="44">
        <f t="shared" ca="1" si="187"/>
        <v>28.908103757121246</v>
      </c>
      <c r="R572" s="44">
        <f t="shared" ca="1" si="188"/>
        <v>2.8908103757121246</v>
      </c>
      <c r="S572" s="44">
        <f t="shared" ca="1" si="189"/>
        <v>2.8908103757121246</v>
      </c>
      <c r="T572" s="4">
        <f t="shared" ca="1" si="190"/>
        <v>0</v>
      </c>
      <c r="U572" s="120">
        <f t="shared" ca="1" si="191"/>
        <v>2173.675062040129</v>
      </c>
      <c r="V572" s="4">
        <f t="shared" ca="1" si="192"/>
        <v>0</v>
      </c>
      <c r="W572" s="13">
        <f t="shared" ca="1" si="193"/>
        <v>5546.25</v>
      </c>
      <c r="X572" s="4">
        <f t="shared" ca="1" si="194"/>
        <v>0</v>
      </c>
      <c r="Y572" s="4">
        <f t="shared" si="195"/>
        <v>0</v>
      </c>
      <c r="Z572" s="13">
        <f t="shared" ca="1" si="196"/>
        <v>5546.25</v>
      </c>
      <c r="AA572" s="4">
        <f t="shared" ca="1" si="197"/>
        <v>0</v>
      </c>
    </row>
    <row r="573" spans="1:27">
      <c r="A573">
        <v>0</v>
      </c>
      <c r="B573">
        <v>0</v>
      </c>
      <c r="C573">
        <f t="shared" ca="1" si="176"/>
        <v>2</v>
      </c>
      <c r="D573">
        <f t="shared" ca="1" si="177"/>
        <v>1</v>
      </c>
      <c r="E573">
        <f t="shared" ca="1" si="178"/>
        <v>0</v>
      </c>
      <c r="F573" s="110">
        <f t="shared" ca="1" si="179"/>
        <v>0.83137923999999985</v>
      </c>
      <c r="G573">
        <v>0</v>
      </c>
      <c r="H573">
        <v>1</v>
      </c>
      <c r="I573">
        <v>1</v>
      </c>
      <c r="J573" s="1">
        <f t="shared" ca="1" si="180"/>
        <v>0</v>
      </c>
      <c r="K573" s="1">
        <f t="shared" ca="1" si="181"/>
        <v>0</v>
      </c>
      <c r="L573" s="13">
        <f t="shared" ca="1" si="182"/>
        <v>303</v>
      </c>
      <c r="M573" s="7">
        <f t="shared" ca="1" si="183"/>
        <v>1197</v>
      </c>
      <c r="N573" s="26">
        <f t="shared" ca="1" si="184"/>
        <v>4</v>
      </c>
      <c r="O573" s="44">
        <f t="shared" ca="1" si="185"/>
        <v>2.8908103757121246</v>
      </c>
      <c r="P573" s="44">
        <f t="shared" ca="1" si="186"/>
        <v>28.908103757121246</v>
      </c>
      <c r="Q573" s="44">
        <f t="shared" ca="1" si="187"/>
        <v>28.908103757121246</v>
      </c>
      <c r="R573" s="44">
        <f t="shared" ca="1" si="188"/>
        <v>2.8908103757121246</v>
      </c>
      <c r="S573" s="44">
        <f t="shared" ca="1" si="189"/>
        <v>2.8908103757121246</v>
      </c>
      <c r="T573" s="4">
        <f t="shared" ca="1" si="190"/>
        <v>0</v>
      </c>
      <c r="U573" s="120">
        <f t="shared" ca="1" si="191"/>
        <v>2154.675062040129</v>
      </c>
      <c r="V573" s="4">
        <f t="shared" ca="1" si="192"/>
        <v>0</v>
      </c>
      <c r="W573" s="13">
        <f t="shared" ca="1" si="193"/>
        <v>2773.125</v>
      </c>
      <c r="X573" s="4">
        <f t="shared" ca="1" si="194"/>
        <v>0</v>
      </c>
      <c r="Y573" s="4">
        <f t="shared" si="195"/>
        <v>0</v>
      </c>
      <c r="Z573" s="13">
        <f t="shared" ca="1" si="196"/>
        <v>2773.125</v>
      </c>
      <c r="AA573" s="4">
        <f t="shared" ca="1" si="197"/>
        <v>0</v>
      </c>
    </row>
    <row r="574" spans="1:27">
      <c r="A574">
        <v>0</v>
      </c>
      <c r="B574">
        <v>0</v>
      </c>
      <c r="C574">
        <f t="shared" ca="1" si="176"/>
        <v>2</v>
      </c>
      <c r="D574">
        <f t="shared" ca="1" si="177"/>
        <v>1</v>
      </c>
      <c r="E574">
        <f t="shared" ca="1" si="178"/>
        <v>0</v>
      </c>
      <c r="F574" s="110">
        <f t="shared" ca="1" si="179"/>
        <v>0.83137923999999985</v>
      </c>
      <c r="G574">
        <v>0</v>
      </c>
      <c r="H574">
        <v>1</v>
      </c>
      <c r="I574">
        <v>0</v>
      </c>
      <c r="J574" s="1">
        <f t="shared" ca="1" si="180"/>
        <v>0</v>
      </c>
      <c r="K574" s="1">
        <f t="shared" ca="1" si="181"/>
        <v>0</v>
      </c>
      <c r="L574" s="13">
        <f t="shared" ca="1" si="182"/>
        <v>284</v>
      </c>
      <c r="M574" s="7">
        <f t="shared" ca="1" si="183"/>
        <v>1216</v>
      </c>
      <c r="N574" s="26">
        <f t="shared" ca="1" si="184"/>
        <v>4</v>
      </c>
      <c r="O574" s="44">
        <f t="shared" ca="1" si="185"/>
        <v>2.8908103757121246</v>
      </c>
      <c r="P574" s="44">
        <f t="shared" ca="1" si="186"/>
        <v>28.908103757121246</v>
      </c>
      <c r="Q574" s="44">
        <f t="shared" ca="1" si="187"/>
        <v>28.908103757121246</v>
      </c>
      <c r="R574" s="44">
        <f t="shared" ca="1" si="188"/>
        <v>2.8908103757121246</v>
      </c>
      <c r="S574" s="44">
        <f t="shared" ca="1" si="189"/>
        <v>2.8908103757121246</v>
      </c>
      <c r="T574" s="4">
        <f t="shared" ca="1" si="190"/>
        <v>0</v>
      </c>
      <c r="U574" s="120">
        <f t="shared" ca="1" si="191"/>
        <v>2135.675062040129</v>
      </c>
      <c r="V574" s="4">
        <f t="shared" ca="1" si="192"/>
        <v>0</v>
      </c>
      <c r="W574" s="13">
        <f t="shared" ca="1" si="193"/>
        <v>0</v>
      </c>
      <c r="X574" s="4">
        <f t="shared" ca="1" si="194"/>
        <v>0</v>
      </c>
      <c r="Y574" s="4">
        <f t="shared" si="195"/>
        <v>0</v>
      </c>
      <c r="Z574" s="13">
        <f t="shared" ca="1" si="196"/>
        <v>0</v>
      </c>
      <c r="AA574" s="4">
        <f t="shared" ca="1" si="197"/>
        <v>0</v>
      </c>
    </row>
    <row r="575" spans="1:27">
      <c r="A575">
        <v>0</v>
      </c>
      <c r="B575">
        <v>0</v>
      </c>
      <c r="C575">
        <f t="shared" ca="1" si="176"/>
        <v>2</v>
      </c>
      <c r="D575">
        <f t="shared" ca="1" si="177"/>
        <v>1</v>
      </c>
      <c r="E575">
        <f t="shared" ca="1" si="178"/>
        <v>0</v>
      </c>
      <c r="F575" s="110">
        <f t="shared" ca="1" si="179"/>
        <v>0.83137923999999985</v>
      </c>
      <c r="G575">
        <v>0</v>
      </c>
      <c r="H575">
        <v>0</v>
      </c>
      <c r="I575">
        <v>7</v>
      </c>
      <c r="J575" s="1">
        <f t="shared" ca="1" si="180"/>
        <v>0</v>
      </c>
      <c r="K575" s="1">
        <f t="shared" ca="1" si="181"/>
        <v>0</v>
      </c>
      <c r="L575" s="13">
        <f t="shared" ca="1" si="182"/>
        <v>133</v>
      </c>
      <c r="M575" s="7">
        <f t="shared" ca="1" si="183"/>
        <v>1367</v>
      </c>
      <c r="N575" s="26">
        <f t="shared" ca="1" si="184"/>
        <v>4</v>
      </c>
      <c r="O575" s="44">
        <f t="shared" ca="1" si="185"/>
        <v>2.8908103757121246</v>
      </c>
      <c r="P575" s="44">
        <f t="shared" ca="1" si="186"/>
        <v>28.908103757121246</v>
      </c>
      <c r="Q575" s="44">
        <f t="shared" ca="1" si="187"/>
        <v>28.908103757121246</v>
      </c>
      <c r="R575" s="44">
        <f t="shared" ca="1" si="188"/>
        <v>2.8908103757121246</v>
      </c>
      <c r="S575" s="44">
        <f t="shared" ca="1" si="189"/>
        <v>2.8908103757121246</v>
      </c>
      <c r="T575" s="4">
        <f t="shared" ca="1" si="190"/>
        <v>0</v>
      </c>
      <c r="U575" s="120">
        <f t="shared" ca="1" si="191"/>
        <v>1984.6750620401288</v>
      </c>
      <c r="V575" s="4">
        <f t="shared" ca="1" si="192"/>
        <v>0</v>
      </c>
      <c r="W575" s="13">
        <f t="shared" ca="1" si="193"/>
        <v>19411.875</v>
      </c>
      <c r="X575" s="4">
        <f t="shared" ca="1" si="194"/>
        <v>0</v>
      </c>
      <c r="Y575" s="4">
        <f t="shared" si="195"/>
        <v>0</v>
      </c>
      <c r="Z575" s="13">
        <f t="shared" ca="1" si="196"/>
        <v>19411.875</v>
      </c>
      <c r="AA575" s="4">
        <f t="shared" ca="1" si="197"/>
        <v>0</v>
      </c>
    </row>
    <row r="576" spans="1:27">
      <c r="A576">
        <v>0</v>
      </c>
      <c r="B576">
        <v>0</v>
      </c>
      <c r="C576">
        <f t="shared" ca="1" si="176"/>
        <v>2</v>
      </c>
      <c r="D576">
        <f t="shared" ca="1" si="177"/>
        <v>1</v>
      </c>
      <c r="E576">
        <f t="shared" ca="1" si="178"/>
        <v>0</v>
      </c>
      <c r="F576" s="110">
        <f t="shared" ca="1" si="179"/>
        <v>0.83137923999999985</v>
      </c>
      <c r="G576">
        <v>0</v>
      </c>
      <c r="H576">
        <v>0</v>
      </c>
      <c r="I576">
        <v>6</v>
      </c>
      <c r="J576" s="1">
        <f t="shared" ca="1" si="180"/>
        <v>0</v>
      </c>
      <c r="K576" s="1">
        <f t="shared" ca="1" si="181"/>
        <v>0</v>
      </c>
      <c r="L576" s="13">
        <f t="shared" ca="1" si="182"/>
        <v>114</v>
      </c>
      <c r="M576" s="7">
        <f t="shared" ca="1" si="183"/>
        <v>1386</v>
      </c>
      <c r="N576" s="26">
        <f t="shared" ca="1" si="184"/>
        <v>4</v>
      </c>
      <c r="O576" s="44">
        <f t="shared" ca="1" si="185"/>
        <v>2.8908103757121246</v>
      </c>
      <c r="P576" s="44">
        <f t="shared" ca="1" si="186"/>
        <v>28.908103757121246</v>
      </c>
      <c r="Q576" s="44">
        <f t="shared" ca="1" si="187"/>
        <v>28.908103757121246</v>
      </c>
      <c r="R576" s="44">
        <f t="shared" ca="1" si="188"/>
        <v>2.8908103757121246</v>
      </c>
      <c r="S576" s="44">
        <f t="shared" ca="1" si="189"/>
        <v>2.8908103757121246</v>
      </c>
      <c r="T576" s="4">
        <f t="shared" ca="1" si="190"/>
        <v>0</v>
      </c>
      <c r="U576" s="120">
        <f t="shared" ca="1" si="191"/>
        <v>1965.6750620401288</v>
      </c>
      <c r="V576" s="4">
        <f t="shared" ca="1" si="192"/>
        <v>0</v>
      </c>
      <c r="W576" s="13">
        <f t="shared" ca="1" si="193"/>
        <v>16638.75</v>
      </c>
      <c r="X576" s="4">
        <f t="shared" ca="1" si="194"/>
        <v>0</v>
      </c>
      <c r="Y576" s="4">
        <f t="shared" si="195"/>
        <v>0</v>
      </c>
      <c r="Z576" s="13">
        <f t="shared" ca="1" si="196"/>
        <v>16638.75</v>
      </c>
      <c r="AA576" s="4">
        <f t="shared" ca="1" si="197"/>
        <v>0</v>
      </c>
    </row>
    <row r="577" spans="1:27">
      <c r="A577">
        <v>0</v>
      </c>
      <c r="B577">
        <v>0</v>
      </c>
      <c r="C577">
        <f t="shared" ca="1" si="176"/>
        <v>2</v>
      </c>
      <c r="D577">
        <f t="shared" ca="1" si="177"/>
        <v>1</v>
      </c>
      <c r="E577">
        <f t="shared" ca="1" si="178"/>
        <v>0</v>
      </c>
      <c r="F577" s="110">
        <f t="shared" ca="1" si="179"/>
        <v>0.83137923999999985</v>
      </c>
      <c r="G577">
        <v>0</v>
      </c>
      <c r="H577">
        <v>0</v>
      </c>
      <c r="I577">
        <v>5</v>
      </c>
      <c r="J577" s="1">
        <f t="shared" ca="1" si="180"/>
        <v>0</v>
      </c>
      <c r="K577" s="1">
        <f t="shared" ca="1" si="181"/>
        <v>0</v>
      </c>
      <c r="L577" s="13">
        <f t="shared" ca="1" si="182"/>
        <v>95</v>
      </c>
      <c r="M577" s="7">
        <f t="shared" ca="1" si="183"/>
        <v>1405</v>
      </c>
      <c r="N577" s="26">
        <f t="shared" ca="1" si="184"/>
        <v>5</v>
      </c>
      <c r="O577" s="44">
        <f t="shared" ca="1" si="185"/>
        <v>3.5395046525977252</v>
      </c>
      <c r="P577" s="44">
        <f t="shared" ca="1" si="186"/>
        <v>35.39504652597725</v>
      </c>
      <c r="Q577" s="44">
        <f t="shared" ca="1" si="187"/>
        <v>30.205492310892446</v>
      </c>
      <c r="R577" s="44">
        <f t="shared" ca="1" si="188"/>
        <v>3.2800269418434853</v>
      </c>
      <c r="S577" s="44">
        <f t="shared" ca="1" si="189"/>
        <v>3.5213412128449284</v>
      </c>
      <c r="T577" s="4">
        <f t="shared" ca="1" si="190"/>
        <v>0</v>
      </c>
      <c r="U577" s="120">
        <f t="shared" ca="1" si="191"/>
        <v>2290.8626329996823</v>
      </c>
      <c r="V577" s="4">
        <f t="shared" ca="1" si="192"/>
        <v>0</v>
      </c>
      <c r="W577" s="13">
        <f t="shared" ca="1" si="193"/>
        <v>13865.625</v>
      </c>
      <c r="X577" s="4">
        <f t="shared" ca="1" si="194"/>
        <v>0</v>
      </c>
      <c r="Y577" s="4">
        <f t="shared" si="195"/>
        <v>0</v>
      </c>
      <c r="Z577" s="13">
        <f t="shared" ca="1" si="196"/>
        <v>13865.625</v>
      </c>
      <c r="AA577" s="4">
        <f t="shared" ca="1" si="197"/>
        <v>0</v>
      </c>
    </row>
    <row r="578" spans="1:27">
      <c r="A578">
        <v>0</v>
      </c>
      <c r="B578">
        <v>0</v>
      </c>
      <c r="C578">
        <f t="shared" ca="1" si="176"/>
        <v>2</v>
      </c>
      <c r="D578">
        <f t="shared" ca="1" si="177"/>
        <v>1</v>
      </c>
      <c r="E578">
        <f t="shared" ca="1" si="178"/>
        <v>0</v>
      </c>
      <c r="F578" s="110">
        <f t="shared" ca="1" si="179"/>
        <v>0.83137923999999985</v>
      </c>
      <c r="G578">
        <v>0</v>
      </c>
      <c r="H578">
        <v>0</v>
      </c>
      <c r="I578">
        <v>4</v>
      </c>
      <c r="J578" s="1">
        <f t="shared" ca="1" si="180"/>
        <v>0</v>
      </c>
      <c r="K578" s="1">
        <f t="shared" ca="1" si="181"/>
        <v>0</v>
      </c>
      <c r="L578" s="13">
        <f t="shared" ca="1" si="182"/>
        <v>76</v>
      </c>
      <c r="M578" s="7">
        <f t="shared" ca="1" si="183"/>
        <v>1424</v>
      </c>
      <c r="N578" s="26">
        <f t="shared" ca="1" si="184"/>
        <v>5</v>
      </c>
      <c r="O578" s="44">
        <f t="shared" ca="1" si="185"/>
        <v>3.5395046525977252</v>
      </c>
      <c r="P578" s="44">
        <f t="shared" ca="1" si="186"/>
        <v>35.39504652597725</v>
      </c>
      <c r="Q578" s="44">
        <f t="shared" ca="1" si="187"/>
        <v>35.39504652597725</v>
      </c>
      <c r="R578" s="44">
        <f t="shared" ca="1" si="188"/>
        <v>3.5395046525977252</v>
      </c>
      <c r="S578" s="44">
        <f t="shared" ca="1" si="189"/>
        <v>3.5395046525977252</v>
      </c>
      <c r="T578" s="4">
        <f t="shared" ca="1" si="190"/>
        <v>0</v>
      </c>
      <c r="U578" s="120">
        <f t="shared" ca="1" si="191"/>
        <v>2281.7775012989287</v>
      </c>
      <c r="V578" s="4">
        <f t="shared" ca="1" si="192"/>
        <v>0</v>
      </c>
      <c r="W578" s="13">
        <f t="shared" ca="1" si="193"/>
        <v>11092.5</v>
      </c>
      <c r="X578" s="4">
        <f t="shared" ca="1" si="194"/>
        <v>0</v>
      </c>
      <c r="Y578" s="4">
        <f t="shared" si="195"/>
        <v>0</v>
      </c>
      <c r="Z578" s="13">
        <f t="shared" ca="1" si="196"/>
        <v>11092.5</v>
      </c>
      <c r="AA578" s="4">
        <f t="shared" ca="1" si="197"/>
        <v>0</v>
      </c>
    </row>
    <row r="579" spans="1:27">
      <c r="A579">
        <v>0</v>
      </c>
      <c r="B579">
        <v>0</v>
      </c>
      <c r="C579">
        <f t="shared" ca="1" si="176"/>
        <v>2</v>
      </c>
      <c r="D579">
        <f t="shared" ca="1" si="177"/>
        <v>1</v>
      </c>
      <c r="E579">
        <f t="shared" ca="1" si="178"/>
        <v>0</v>
      </c>
      <c r="F579" s="110">
        <f t="shared" ca="1" si="179"/>
        <v>0.83137923999999985</v>
      </c>
      <c r="G579">
        <v>0</v>
      </c>
      <c r="H579">
        <v>0</v>
      </c>
      <c r="I579">
        <v>3</v>
      </c>
      <c r="J579" s="1">
        <f t="shared" ca="1" si="180"/>
        <v>0</v>
      </c>
      <c r="K579" s="1">
        <f t="shared" ca="1" si="181"/>
        <v>0</v>
      </c>
      <c r="L579" s="13">
        <f t="shared" ca="1" si="182"/>
        <v>57</v>
      </c>
      <c r="M579" s="7">
        <f t="shared" ca="1" si="183"/>
        <v>1443</v>
      </c>
      <c r="N579" s="26">
        <f t="shared" ca="1" si="184"/>
        <v>5</v>
      </c>
      <c r="O579" s="44">
        <f t="shared" ca="1" si="185"/>
        <v>3.5395046525977252</v>
      </c>
      <c r="P579" s="44">
        <f t="shared" ca="1" si="186"/>
        <v>35.39504652597725</v>
      </c>
      <c r="Q579" s="44">
        <f t="shared" ca="1" si="187"/>
        <v>35.39504652597725</v>
      </c>
      <c r="R579" s="44">
        <f t="shared" ca="1" si="188"/>
        <v>3.5395046525977252</v>
      </c>
      <c r="S579" s="44">
        <f t="shared" ca="1" si="189"/>
        <v>3.5395046525977252</v>
      </c>
      <c r="T579" s="4">
        <f t="shared" ca="1" si="190"/>
        <v>0</v>
      </c>
      <c r="U579" s="120">
        <f t="shared" ca="1" si="191"/>
        <v>2262.7775012989287</v>
      </c>
      <c r="V579" s="4">
        <f t="shared" ca="1" si="192"/>
        <v>0</v>
      </c>
      <c r="W579" s="13">
        <f t="shared" ca="1" si="193"/>
        <v>8319.375</v>
      </c>
      <c r="X579" s="4">
        <f t="shared" ca="1" si="194"/>
        <v>0</v>
      </c>
      <c r="Y579" s="4">
        <f t="shared" si="195"/>
        <v>0</v>
      </c>
      <c r="Z579" s="13">
        <f t="shared" ca="1" si="196"/>
        <v>8319.375</v>
      </c>
      <c r="AA579" s="4">
        <f t="shared" ca="1" si="197"/>
        <v>0</v>
      </c>
    </row>
    <row r="580" spans="1:27">
      <c r="A580">
        <v>0</v>
      </c>
      <c r="B580">
        <v>0</v>
      </c>
      <c r="C580">
        <f t="shared" ca="1" si="176"/>
        <v>2</v>
      </c>
      <c r="D580">
        <f t="shared" ca="1" si="177"/>
        <v>1</v>
      </c>
      <c r="E580">
        <f t="shared" ca="1" si="178"/>
        <v>0</v>
      </c>
      <c r="F580" s="110">
        <f t="shared" ca="1" si="179"/>
        <v>0.83137923999999985</v>
      </c>
      <c r="G580">
        <v>0</v>
      </c>
      <c r="H580">
        <v>0</v>
      </c>
      <c r="I580">
        <v>2</v>
      </c>
      <c r="J580" s="1">
        <f t="shared" ca="1" si="180"/>
        <v>0</v>
      </c>
      <c r="K580" s="1">
        <f t="shared" ca="1" si="181"/>
        <v>0</v>
      </c>
      <c r="L580" s="13">
        <f t="shared" ca="1" si="182"/>
        <v>38</v>
      </c>
      <c r="M580" s="7">
        <f t="shared" ca="1" si="183"/>
        <v>1462</v>
      </c>
      <c r="N580" s="26">
        <f t="shared" ca="1" si="184"/>
        <v>5</v>
      </c>
      <c r="O580" s="44">
        <f t="shared" ca="1" si="185"/>
        <v>3.5395046525977252</v>
      </c>
      <c r="P580" s="44">
        <f t="shared" ca="1" si="186"/>
        <v>35.39504652597725</v>
      </c>
      <c r="Q580" s="44">
        <f t="shared" ca="1" si="187"/>
        <v>35.39504652597725</v>
      </c>
      <c r="R580" s="44">
        <f t="shared" ca="1" si="188"/>
        <v>3.5395046525977252</v>
      </c>
      <c r="S580" s="44">
        <f t="shared" ca="1" si="189"/>
        <v>3.5395046525977252</v>
      </c>
      <c r="T580" s="4">
        <f t="shared" ca="1" si="190"/>
        <v>0</v>
      </c>
      <c r="U580" s="120">
        <f t="shared" ca="1" si="191"/>
        <v>2243.7775012989287</v>
      </c>
      <c r="V580" s="4">
        <f t="shared" ca="1" si="192"/>
        <v>0</v>
      </c>
      <c r="W580" s="13">
        <f t="shared" ca="1" si="193"/>
        <v>5546.25</v>
      </c>
      <c r="X580" s="4">
        <f t="shared" ca="1" si="194"/>
        <v>0</v>
      </c>
      <c r="Y580" s="4">
        <f t="shared" si="195"/>
        <v>0</v>
      </c>
      <c r="Z580" s="13">
        <f t="shared" ca="1" si="196"/>
        <v>5546.25</v>
      </c>
      <c r="AA580" s="4">
        <f t="shared" ca="1" si="197"/>
        <v>0</v>
      </c>
    </row>
    <row r="581" spans="1:27">
      <c r="A581">
        <v>0</v>
      </c>
      <c r="B581">
        <v>0</v>
      </c>
      <c r="C581">
        <f t="shared" ca="1" si="176"/>
        <v>2</v>
      </c>
      <c r="D581">
        <f t="shared" ca="1" si="177"/>
        <v>1</v>
      </c>
      <c r="E581">
        <f t="shared" ca="1" si="178"/>
        <v>0</v>
      </c>
      <c r="F581" s="110">
        <f t="shared" ca="1" si="179"/>
        <v>0.83137923999999985</v>
      </c>
      <c r="G581">
        <v>0</v>
      </c>
      <c r="H581">
        <v>0</v>
      </c>
      <c r="I581">
        <v>1</v>
      </c>
      <c r="J581" s="1">
        <f t="shared" ca="1" si="180"/>
        <v>4.7500000000000001E-2</v>
      </c>
      <c r="K581" s="1">
        <f t="shared" ca="1" si="181"/>
        <v>3.9490513899999996E-2</v>
      </c>
      <c r="L581" s="13">
        <f t="shared" ca="1" si="182"/>
        <v>19</v>
      </c>
      <c r="M581" s="7">
        <f t="shared" ca="1" si="183"/>
        <v>1481</v>
      </c>
      <c r="N581" s="26">
        <f t="shared" ca="1" si="184"/>
        <v>5</v>
      </c>
      <c r="O581" s="44">
        <f t="shared" ca="1" si="185"/>
        <v>3.5395046525977252</v>
      </c>
      <c r="P581" s="44">
        <f t="shared" ca="1" si="186"/>
        <v>35.39504652597725</v>
      </c>
      <c r="Q581" s="44">
        <f t="shared" ca="1" si="187"/>
        <v>35.39504652597725</v>
      </c>
      <c r="R581" s="44">
        <f t="shared" ca="1" si="188"/>
        <v>3.5395046525977252</v>
      </c>
      <c r="S581" s="44">
        <f t="shared" ca="1" si="189"/>
        <v>3.5395046525977252</v>
      </c>
      <c r="T581" s="4">
        <f t="shared" ca="1" si="190"/>
        <v>0.13977685768252512</v>
      </c>
      <c r="U581" s="120">
        <f t="shared" ca="1" si="191"/>
        <v>2224.7775012989287</v>
      </c>
      <c r="V581" s="4">
        <f t="shared" ca="1" si="192"/>
        <v>87.8576068394526</v>
      </c>
      <c r="W581" s="13">
        <f t="shared" ca="1" si="193"/>
        <v>2773.125</v>
      </c>
      <c r="X581" s="4">
        <f t="shared" ca="1" si="194"/>
        <v>109.51213135893749</v>
      </c>
      <c r="Y581" s="4">
        <f t="shared" si="195"/>
        <v>0</v>
      </c>
      <c r="Z581" s="13">
        <f t="shared" ca="1" si="196"/>
        <v>2773.125</v>
      </c>
      <c r="AA581" s="4">
        <f t="shared" ca="1" si="197"/>
        <v>109.51213135893749</v>
      </c>
    </row>
    <row r="582" spans="1:27">
      <c r="A582">
        <v>0</v>
      </c>
      <c r="B582">
        <v>0</v>
      </c>
      <c r="C582">
        <f t="shared" ca="1" si="176"/>
        <v>2</v>
      </c>
      <c r="D582">
        <f t="shared" ca="1" si="177"/>
        <v>1</v>
      </c>
      <c r="E582">
        <f t="shared" ca="1" si="178"/>
        <v>0</v>
      </c>
      <c r="F582" s="110">
        <f t="shared" ca="1" si="179"/>
        <v>0.83137923999999985</v>
      </c>
      <c r="G582">
        <v>0</v>
      </c>
      <c r="H582">
        <v>0</v>
      </c>
      <c r="I582">
        <v>0</v>
      </c>
      <c r="J582" s="1">
        <f t="shared" ca="1" si="180"/>
        <v>2.5000000000000022E-3</v>
      </c>
      <c r="K582" s="1">
        <f t="shared" ca="1" si="181"/>
        <v>2.0784481000000014E-3</v>
      </c>
      <c r="L582" s="13">
        <f t="shared" ca="1" si="182"/>
        <v>0</v>
      </c>
      <c r="M582" s="7">
        <f t="shared" ca="1" si="183"/>
        <v>1500</v>
      </c>
      <c r="N582" s="26">
        <f t="shared" ca="1" si="184"/>
        <v>5</v>
      </c>
      <c r="O582" s="44">
        <f t="shared" ca="1" si="185"/>
        <v>3.5395046525977252</v>
      </c>
      <c r="P582" s="44">
        <f t="shared" ca="1" si="186"/>
        <v>35.39504652597725</v>
      </c>
      <c r="Q582" s="44">
        <f t="shared" ca="1" si="187"/>
        <v>35.39504652597725</v>
      </c>
      <c r="R582" s="44">
        <f t="shared" ca="1" si="188"/>
        <v>3.5395046525977252</v>
      </c>
      <c r="S582" s="44">
        <f t="shared" ca="1" si="189"/>
        <v>3.5395046525977252</v>
      </c>
      <c r="T582" s="4">
        <f t="shared" ca="1" si="190"/>
        <v>7.3566767201329068E-3</v>
      </c>
      <c r="U582" s="120">
        <f t="shared" ca="1" si="191"/>
        <v>2205.7775012989287</v>
      </c>
      <c r="V582" s="4">
        <f t="shared" ca="1" si="192"/>
        <v>4.584594056597509</v>
      </c>
      <c r="W582" s="13">
        <f t="shared" ca="1" si="193"/>
        <v>0</v>
      </c>
      <c r="X582" s="4">
        <f t="shared" ca="1" si="194"/>
        <v>0</v>
      </c>
      <c r="Y582" s="4">
        <f t="shared" si="195"/>
        <v>0</v>
      </c>
      <c r="Z582" s="13">
        <f t="shared" ca="1" si="196"/>
        <v>0</v>
      </c>
      <c r="AA582" s="4">
        <f t="shared" ca="1" si="197"/>
        <v>0</v>
      </c>
    </row>
    <row r="583" spans="1:27">
      <c r="A583">
        <v>0</v>
      </c>
      <c r="B583">
        <v>1</v>
      </c>
      <c r="C583">
        <f t="shared" ca="1" si="176"/>
        <v>3</v>
      </c>
      <c r="D583">
        <f t="shared" ca="1" si="177"/>
        <v>2</v>
      </c>
      <c r="E583">
        <f t="shared" ca="1" si="178"/>
        <v>0</v>
      </c>
      <c r="F583" s="110">
        <f t="shared" ca="1" si="179"/>
        <v>5.3066759999999991E-2</v>
      </c>
      <c r="G583">
        <v>1</v>
      </c>
      <c r="H583">
        <v>1</v>
      </c>
      <c r="I583">
        <v>7</v>
      </c>
      <c r="J583" s="1">
        <f t="shared" ca="1" si="180"/>
        <v>0</v>
      </c>
      <c r="K583" s="1">
        <f t="shared" ca="1" si="181"/>
        <v>0</v>
      </c>
      <c r="L583" s="13">
        <f t="shared" ca="1" si="182"/>
        <v>701</v>
      </c>
      <c r="M583" s="7">
        <f t="shared" ca="1" si="183"/>
        <v>799</v>
      </c>
      <c r="N583" s="26">
        <f t="shared" ca="1" si="184"/>
        <v>3</v>
      </c>
      <c r="O583" s="44">
        <f t="shared" ca="1" si="185"/>
        <v>2.2758855914378953</v>
      </c>
      <c r="P583" s="44">
        <f t="shared" ca="1" si="186"/>
        <v>22.758855914378952</v>
      </c>
      <c r="Q583" s="44">
        <f t="shared" ca="1" si="187"/>
        <v>22.758855914378952</v>
      </c>
      <c r="R583" s="44">
        <f t="shared" ca="1" si="188"/>
        <v>2.2758855914378953</v>
      </c>
      <c r="S583" s="44">
        <f t="shared" ca="1" si="189"/>
        <v>2.2758855914378953</v>
      </c>
      <c r="T583" s="4">
        <f t="shared" ca="1" si="190"/>
        <v>0</v>
      </c>
      <c r="U583" s="120">
        <f t="shared" ca="1" si="191"/>
        <v>2217.0063598009133</v>
      </c>
      <c r="V583" s="4">
        <f t="shared" ca="1" si="192"/>
        <v>0</v>
      </c>
      <c r="W583" s="13">
        <f t="shared" ca="1" si="193"/>
        <v>49588.256250000006</v>
      </c>
      <c r="X583" s="4">
        <f t="shared" ca="1" si="194"/>
        <v>0</v>
      </c>
      <c r="Y583" s="4">
        <f t="shared" si="195"/>
        <v>0</v>
      </c>
      <c r="Z583" s="13">
        <f t="shared" ca="1" si="196"/>
        <v>49588.256250000006</v>
      </c>
      <c r="AA583" s="4">
        <f t="shared" ca="1" si="197"/>
        <v>0</v>
      </c>
    </row>
    <row r="584" spans="1:27">
      <c r="A584">
        <v>0</v>
      </c>
      <c r="B584">
        <v>1</v>
      </c>
      <c r="C584">
        <f t="shared" ca="1" si="176"/>
        <v>3</v>
      </c>
      <c r="D584">
        <f t="shared" ca="1" si="177"/>
        <v>2</v>
      </c>
      <c r="E584">
        <f t="shared" ca="1" si="178"/>
        <v>0</v>
      </c>
      <c r="F584" s="110">
        <f t="shared" ca="1" si="179"/>
        <v>5.3066759999999991E-2</v>
      </c>
      <c r="G584">
        <v>1</v>
      </c>
      <c r="H584">
        <v>1</v>
      </c>
      <c r="I584">
        <v>6</v>
      </c>
      <c r="J584" s="1">
        <f t="shared" ca="1" si="180"/>
        <v>0</v>
      </c>
      <c r="K584" s="1">
        <f t="shared" ca="1" si="181"/>
        <v>0</v>
      </c>
      <c r="L584" s="13">
        <f t="shared" ca="1" si="182"/>
        <v>682</v>
      </c>
      <c r="M584" s="7">
        <f t="shared" ca="1" si="183"/>
        <v>818</v>
      </c>
      <c r="N584" s="26">
        <f t="shared" ca="1" si="184"/>
        <v>3</v>
      </c>
      <c r="O584" s="44">
        <f t="shared" ca="1" si="185"/>
        <v>2.2758855914378953</v>
      </c>
      <c r="P584" s="44">
        <f t="shared" ca="1" si="186"/>
        <v>22.758855914378952</v>
      </c>
      <c r="Q584" s="44">
        <f t="shared" ca="1" si="187"/>
        <v>22.758855914378952</v>
      </c>
      <c r="R584" s="44">
        <f t="shared" ca="1" si="188"/>
        <v>2.2758855914378953</v>
      </c>
      <c r="S584" s="44">
        <f t="shared" ca="1" si="189"/>
        <v>2.2758855914378953</v>
      </c>
      <c r="T584" s="4">
        <f t="shared" ca="1" si="190"/>
        <v>0</v>
      </c>
      <c r="U584" s="120">
        <f t="shared" ca="1" si="191"/>
        <v>2198.0063598009133</v>
      </c>
      <c r="V584" s="4">
        <f t="shared" ca="1" si="192"/>
        <v>0</v>
      </c>
      <c r="W584" s="13">
        <f t="shared" ca="1" si="193"/>
        <v>46815.131250000006</v>
      </c>
      <c r="X584" s="4">
        <f t="shared" ca="1" si="194"/>
        <v>0</v>
      </c>
      <c r="Y584" s="4">
        <f t="shared" si="195"/>
        <v>0</v>
      </c>
      <c r="Z584" s="13">
        <f t="shared" ca="1" si="196"/>
        <v>46815.131250000006</v>
      </c>
      <c r="AA584" s="4">
        <f t="shared" ca="1" si="197"/>
        <v>0</v>
      </c>
    </row>
    <row r="585" spans="1:27">
      <c r="A585">
        <v>0</v>
      </c>
      <c r="B585">
        <v>1</v>
      </c>
      <c r="C585">
        <f t="shared" ca="1" si="176"/>
        <v>3</v>
      </c>
      <c r="D585">
        <f t="shared" ca="1" si="177"/>
        <v>2</v>
      </c>
      <c r="E585">
        <f t="shared" ca="1" si="178"/>
        <v>0</v>
      </c>
      <c r="F585" s="110">
        <f t="shared" ca="1" si="179"/>
        <v>5.3066759999999991E-2</v>
      </c>
      <c r="G585">
        <v>1</v>
      </c>
      <c r="H585">
        <v>1</v>
      </c>
      <c r="I585">
        <v>5</v>
      </c>
      <c r="J585" s="1">
        <f t="shared" ca="1" si="180"/>
        <v>0</v>
      </c>
      <c r="K585" s="1">
        <f t="shared" ca="1" si="181"/>
        <v>0</v>
      </c>
      <c r="L585" s="13">
        <f t="shared" ca="1" si="182"/>
        <v>663</v>
      </c>
      <c r="M585" s="7">
        <f t="shared" ca="1" si="183"/>
        <v>837</v>
      </c>
      <c r="N585" s="26">
        <f t="shared" ca="1" si="184"/>
        <v>3</v>
      </c>
      <c r="O585" s="44">
        <f t="shared" ca="1" si="185"/>
        <v>2.2758855914378953</v>
      </c>
      <c r="P585" s="44">
        <f t="shared" ca="1" si="186"/>
        <v>22.758855914378952</v>
      </c>
      <c r="Q585" s="44">
        <f t="shared" ca="1" si="187"/>
        <v>22.758855914378952</v>
      </c>
      <c r="R585" s="44">
        <f t="shared" ca="1" si="188"/>
        <v>2.2758855914378953</v>
      </c>
      <c r="S585" s="44">
        <f t="shared" ca="1" si="189"/>
        <v>2.2758855914378953</v>
      </c>
      <c r="T585" s="4">
        <f t="shared" ca="1" si="190"/>
        <v>0</v>
      </c>
      <c r="U585" s="120">
        <f t="shared" ca="1" si="191"/>
        <v>2179.0063598009133</v>
      </c>
      <c r="V585" s="4">
        <f t="shared" ca="1" si="192"/>
        <v>0</v>
      </c>
      <c r="W585" s="13">
        <f t="shared" ca="1" si="193"/>
        <v>44042.006250000006</v>
      </c>
      <c r="X585" s="4">
        <f t="shared" ca="1" si="194"/>
        <v>0</v>
      </c>
      <c r="Y585" s="4">
        <f t="shared" si="195"/>
        <v>0</v>
      </c>
      <c r="Z585" s="13">
        <f t="shared" ca="1" si="196"/>
        <v>44042.006250000006</v>
      </c>
      <c r="AA585" s="4">
        <f t="shared" ca="1" si="197"/>
        <v>0</v>
      </c>
    </row>
    <row r="586" spans="1:27">
      <c r="A586">
        <v>0</v>
      </c>
      <c r="B586">
        <v>1</v>
      </c>
      <c r="C586">
        <f t="shared" ca="1" si="176"/>
        <v>3</v>
      </c>
      <c r="D586">
        <f t="shared" ca="1" si="177"/>
        <v>2</v>
      </c>
      <c r="E586">
        <f t="shared" ca="1" si="178"/>
        <v>0</v>
      </c>
      <c r="F586" s="110">
        <f t="shared" ca="1" si="179"/>
        <v>5.3066759999999991E-2</v>
      </c>
      <c r="G586">
        <v>1</v>
      </c>
      <c r="H586">
        <v>1</v>
      </c>
      <c r="I586">
        <v>4</v>
      </c>
      <c r="J586" s="1">
        <f t="shared" ca="1" si="180"/>
        <v>0</v>
      </c>
      <c r="K586" s="1">
        <f t="shared" ca="1" si="181"/>
        <v>0</v>
      </c>
      <c r="L586" s="13">
        <f t="shared" ca="1" si="182"/>
        <v>644</v>
      </c>
      <c r="M586" s="7">
        <f t="shared" ca="1" si="183"/>
        <v>856</v>
      </c>
      <c r="N586" s="26">
        <f t="shared" ca="1" si="184"/>
        <v>3</v>
      </c>
      <c r="O586" s="44">
        <f t="shared" ca="1" si="185"/>
        <v>2.2758855914378953</v>
      </c>
      <c r="P586" s="44">
        <f t="shared" ca="1" si="186"/>
        <v>22.758855914378952</v>
      </c>
      <c r="Q586" s="44">
        <f t="shared" ca="1" si="187"/>
        <v>22.758855914378952</v>
      </c>
      <c r="R586" s="44">
        <f t="shared" ca="1" si="188"/>
        <v>2.2758855914378953</v>
      </c>
      <c r="S586" s="44">
        <f t="shared" ca="1" si="189"/>
        <v>2.2758855914378953</v>
      </c>
      <c r="T586" s="4">
        <f t="shared" ca="1" si="190"/>
        <v>0</v>
      </c>
      <c r="U586" s="120">
        <f t="shared" ca="1" si="191"/>
        <v>2160.0063598009133</v>
      </c>
      <c r="V586" s="4">
        <f t="shared" ca="1" si="192"/>
        <v>0</v>
      </c>
      <c r="W586" s="13">
        <f t="shared" ca="1" si="193"/>
        <v>41268.881250000006</v>
      </c>
      <c r="X586" s="4">
        <f t="shared" ca="1" si="194"/>
        <v>0</v>
      </c>
      <c r="Y586" s="4">
        <f t="shared" si="195"/>
        <v>0</v>
      </c>
      <c r="Z586" s="13">
        <f t="shared" ca="1" si="196"/>
        <v>41268.881250000006</v>
      </c>
      <c r="AA586" s="4">
        <f t="shared" ca="1" si="197"/>
        <v>0</v>
      </c>
    </row>
    <row r="587" spans="1:27">
      <c r="A587">
        <v>0</v>
      </c>
      <c r="B587">
        <v>1</v>
      </c>
      <c r="C587">
        <f t="shared" ca="1" si="176"/>
        <v>3</v>
      </c>
      <c r="D587">
        <f t="shared" ca="1" si="177"/>
        <v>2</v>
      </c>
      <c r="E587">
        <f t="shared" ca="1" si="178"/>
        <v>0</v>
      </c>
      <c r="F587" s="110">
        <f t="shared" ca="1" si="179"/>
        <v>5.3066759999999991E-2</v>
      </c>
      <c r="G587">
        <v>1</v>
      </c>
      <c r="H587">
        <v>1</v>
      </c>
      <c r="I587">
        <v>3</v>
      </c>
      <c r="J587" s="1">
        <f t="shared" ca="1" si="180"/>
        <v>0</v>
      </c>
      <c r="K587" s="1">
        <f t="shared" ca="1" si="181"/>
        <v>0</v>
      </c>
      <c r="L587" s="13">
        <f t="shared" ca="1" si="182"/>
        <v>625</v>
      </c>
      <c r="M587" s="7">
        <f t="shared" ca="1" si="183"/>
        <v>875</v>
      </c>
      <c r="N587" s="26">
        <f t="shared" ca="1" si="184"/>
        <v>3</v>
      </c>
      <c r="O587" s="44">
        <f t="shared" ca="1" si="185"/>
        <v>2.2758855914378953</v>
      </c>
      <c r="P587" s="44">
        <f t="shared" ca="1" si="186"/>
        <v>22.758855914378952</v>
      </c>
      <c r="Q587" s="44">
        <f t="shared" ca="1" si="187"/>
        <v>22.758855914378952</v>
      </c>
      <c r="R587" s="44">
        <f t="shared" ca="1" si="188"/>
        <v>2.2758855914378953</v>
      </c>
      <c r="S587" s="44">
        <f t="shared" ca="1" si="189"/>
        <v>2.2758855914378953</v>
      </c>
      <c r="T587" s="4">
        <f t="shared" ca="1" si="190"/>
        <v>0</v>
      </c>
      <c r="U587" s="120">
        <f t="shared" ca="1" si="191"/>
        <v>2141.0063598009133</v>
      </c>
      <c r="V587" s="4">
        <f t="shared" ca="1" si="192"/>
        <v>0</v>
      </c>
      <c r="W587" s="13">
        <f t="shared" ca="1" si="193"/>
        <v>38495.756250000006</v>
      </c>
      <c r="X587" s="4">
        <f t="shared" ca="1" si="194"/>
        <v>0</v>
      </c>
      <c r="Y587" s="4">
        <f t="shared" si="195"/>
        <v>0</v>
      </c>
      <c r="Z587" s="13">
        <f t="shared" ca="1" si="196"/>
        <v>38495.756250000006</v>
      </c>
      <c r="AA587" s="4">
        <f t="shared" ca="1" si="197"/>
        <v>0</v>
      </c>
    </row>
    <row r="588" spans="1:27">
      <c r="A588">
        <v>0</v>
      </c>
      <c r="B588">
        <v>1</v>
      </c>
      <c r="C588">
        <f t="shared" ca="1" si="176"/>
        <v>3</v>
      </c>
      <c r="D588">
        <f t="shared" ca="1" si="177"/>
        <v>2</v>
      </c>
      <c r="E588">
        <f t="shared" ca="1" si="178"/>
        <v>0</v>
      </c>
      <c r="F588" s="110">
        <f t="shared" ca="1" si="179"/>
        <v>5.3066759999999991E-2</v>
      </c>
      <c r="G588">
        <v>1</v>
      </c>
      <c r="H588">
        <v>1</v>
      </c>
      <c r="I588">
        <v>2</v>
      </c>
      <c r="J588" s="1">
        <f t="shared" ca="1" si="180"/>
        <v>0</v>
      </c>
      <c r="K588" s="1">
        <f t="shared" ca="1" si="181"/>
        <v>0</v>
      </c>
      <c r="L588" s="13">
        <f t="shared" ca="1" si="182"/>
        <v>606</v>
      </c>
      <c r="M588" s="7">
        <f t="shared" ca="1" si="183"/>
        <v>894</v>
      </c>
      <c r="N588" s="26">
        <f t="shared" ca="1" si="184"/>
        <v>3</v>
      </c>
      <c r="O588" s="44">
        <f t="shared" ca="1" si="185"/>
        <v>2.2758855914378953</v>
      </c>
      <c r="P588" s="44">
        <f t="shared" ca="1" si="186"/>
        <v>22.758855914378952</v>
      </c>
      <c r="Q588" s="44">
        <f t="shared" ca="1" si="187"/>
        <v>22.758855914378952</v>
      </c>
      <c r="R588" s="44">
        <f t="shared" ca="1" si="188"/>
        <v>2.2758855914378953</v>
      </c>
      <c r="S588" s="44">
        <f t="shared" ca="1" si="189"/>
        <v>2.2758855914378953</v>
      </c>
      <c r="T588" s="4">
        <f t="shared" ca="1" si="190"/>
        <v>0</v>
      </c>
      <c r="U588" s="120">
        <f t="shared" ca="1" si="191"/>
        <v>2122.0063598009133</v>
      </c>
      <c r="V588" s="4">
        <f t="shared" ca="1" si="192"/>
        <v>0</v>
      </c>
      <c r="W588" s="13">
        <f t="shared" ca="1" si="193"/>
        <v>35722.631250000006</v>
      </c>
      <c r="X588" s="4">
        <f t="shared" ca="1" si="194"/>
        <v>0</v>
      </c>
      <c r="Y588" s="4">
        <f t="shared" si="195"/>
        <v>0</v>
      </c>
      <c r="Z588" s="13">
        <f t="shared" ca="1" si="196"/>
        <v>35722.631250000006</v>
      </c>
      <c r="AA588" s="4">
        <f t="shared" ca="1" si="197"/>
        <v>0</v>
      </c>
    </row>
    <row r="589" spans="1:27">
      <c r="A589">
        <v>0</v>
      </c>
      <c r="B589">
        <v>1</v>
      </c>
      <c r="C589">
        <f t="shared" ca="1" si="176"/>
        <v>3</v>
      </c>
      <c r="D589">
        <f t="shared" ca="1" si="177"/>
        <v>2</v>
      </c>
      <c r="E589">
        <f t="shared" ca="1" si="178"/>
        <v>0</v>
      </c>
      <c r="F589" s="110">
        <f t="shared" ca="1" si="179"/>
        <v>5.3066759999999991E-2</v>
      </c>
      <c r="G589">
        <v>1</v>
      </c>
      <c r="H589">
        <v>1</v>
      </c>
      <c r="I589">
        <v>1</v>
      </c>
      <c r="J589" s="1">
        <f t="shared" ca="1" si="180"/>
        <v>0</v>
      </c>
      <c r="K589" s="1">
        <f t="shared" ca="1" si="181"/>
        <v>0</v>
      </c>
      <c r="L589" s="13">
        <f t="shared" ca="1" si="182"/>
        <v>587</v>
      </c>
      <c r="M589" s="7">
        <f t="shared" ca="1" si="183"/>
        <v>913</v>
      </c>
      <c r="N589" s="26">
        <f t="shared" ca="1" si="184"/>
        <v>3</v>
      </c>
      <c r="O589" s="44">
        <f t="shared" ca="1" si="185"/>
        <v>2.2758855914378953</v>
      </c>
      <c r="P589" s="44">
        <f t="shared" ca="1" si="186"/>
        <v>22.758855914378952</v>
      </c>
      <c r="Q589" s="44">
        <f t="shared" ca="1" si="187"/>
        <v>22.758855914378952</v>
      </c>
      <c r="R589" s="44">
        <f t="shared" ca="1" si="188"/>
        <v>2.2758855914378953</v>
      </c>
      <c r="S589" s="44">
        <f t="shared" ca="1" si="189"/>
        <v>2.2758855914378953</v>
      </c>
      <c r="T589" s="4">
        <f t="shared" ca="1" si="190"/>
        <v>0</v>
      </c>
      <c r="U589" s="120">
        <f t="shared" ca="1" si="191"/>
        <v>2103.0063598009133</v>
      </c>
      <c r="V589" s="4">
        <f t="shared" ca="1" si="192"/>
        <v>0</v>
      </c>
      <c r="W589" s="13">
        <f t="shared" ca="1" si="193"/>
        <v>32949.506250000006</v>
      </c>
      <c r="X589" s="4">
        <f t="shared" ca="1" si="194"/>
        <v>0</v>
      </c>
      <c r="Y589" s="4">
        <f t="shared" si="195"/>
        <v>0</v>
      </c>
      <c r="Z589" s="13">
        <f t="shared" ca="1" si="196"/>
        <v>32949.506250000006</v>
      </c>
      <c r="AA589" s="4">
        <f t="shared" ca="1" si="197"/>
        <v>0</v>
      </c>
    </row>
    <row r="590" spans="1:27">
      <c r="A590">
        <v>0</v>
      </c>
      <c r="B590">
        <v>1</v>
      </c>
      <c r="C590">
        <f t="shared" ca="1" si="176"/>
        <v>3</v>
      </c>
      <c r="D590">
        <f t="shared" ca="1" si="177"/>
        <v>2</v>
      </c>
      <c r="E590">
        <f t="shared" ca="1" si="178"/>
        <v>0</v>
      </c>
      <c r="F590" s="110">
        <f t="shared" ca="1" si="179"/>
        <v>5.3066759999999991E-2</v>
      </c>
      <c r="G590">
        <v>1</v>
      </c>
      <c r="H590">
        <v>1</v>
      </c>
      <c r="I590">
        <v>0</v>
      </c>
      <c r="J590" s="1">
        <f t="shared" ca="1" si="180"/>
        <v>0</v>
      </c>
      <c r="K590" s="1">
        <f t="shared" ca="1" si="181"/>
        <v>0</v>
      </c>
      <c r="L590" s="13">
        <f t="shared" ca="1" si="182"/>
        <v>568</v>
      </c>
      <c r="M590" s="7">
        <f t="shared" ca="1" si="183"/>
        <v>932</v>
      </c>
      <c r="N590" s="26">
        <f t="shared" ca="1" si="184"/>
        <v>3</v>
      </c>
      <c r="O590" s="44">
        <f t="shared" ca="1" si="185"/>
        <v>2.2758855914378953</v>
      </c>
      <c r="P590" s="44">
        <f t="shared" ca="1" si="186"/>
        <v>22.758855914378952</v>
      </c>
      <c r="Q590" s="44">
        <f t="shared" ca="1" si="187"/>
        <v>22.758855914378952</v>
      </c>
      <c r="R590" s="44">
        <f t="shared" ca="1" si="188"/>
        <v>2.2758855914378953</v>
      </c>
      <c r="S590" s="44">
        <f t="shared" ca="1" si="189"/>
        <v>2.2758855914378953</v>
      </c>
      <c r="T590" s="4">
        <f t="shared" ca="1" si="190"/>
        <v>0</v>
      </c>
      <c r="U590" s="120">
        <f t="shared" ca="1" si="191"/>
        <v>2084.0063598009133</v>
      </c>
      <c r="V590" s="4">
        <f t="shared" ca="1" si="192"/>
        <v>0</v>
      </c>
      <c r="W590" s="13">
        <f t="shared" ca="1" si="193"/>
        <v>30176.381250000002</v>
      </c>
      <c r="X590" s="4">
        <f t="shared" ca="1" si="194"/>
        <v>0</v>
      </c>
      <c r="Y590" s="4">
        <f t="shared" si="195"/>
        <v>0</v>
      </c>
      <c r="Z590" s="13">
        <f t="shared" ca="1" si="196"/>
        <v>30176.381250000002</v>
      </c>
      <c r="AA590" s="4">
        <f t="shared" ca="1" si="197"/>
        <v>0</v>
      </c>
    </row>
    <row r="591" spans="1:27">
      <c r="A591">
        <v>0</v>
      </c>
      <c r="B591">
        <v>1</v>
      </c>
      <c r="C591">
        <f t="shared" ca="1" si="176"/>
        <v>3</v>
      </c>
      <c r="D591">
        <f t="shared" ca="1" si="177"/>
        <v>2</v>
      </c>
      <c r="E591">
        <f t="shared" ca="1" si="178"/>
        <v>0</v>
      </c>
      <c r="F591" s="110">
        <f t="shared" ca="1" si="179"/>
        <v>5.3066759999999991E-2</v>
      </c>
      <c r="G591">
        <v>1</v>
      </c>
      <c r="H591">
        <v>0</v>
      </c>
      <c r="I591">
        <v>7</v>
      </c>
      <c r="J591" s="1">
        <f t="shared" ca="1" si="180"/>
        <v>0</v>
      </c>
      <c r="K591" s="1">
        <f t="shared" ca="1" si="181"/>
        <v>0</v>
      </c>
      <c r="L591" s="13">
        <f t="shared" ca="1" si="182"/>
        <v>417</v>
      </c>
      <c r="M591" s="7">
        <f t="shared" ca="1" si="183"/>
        <v>1083</v>
      </c>
      <c r="N591" s="26">
        <f t="shared" ca="1" si="184"/>
        <v>4</v>
      </c>
      <c r="O591" s="44">
        <f t="shared" ca="1" si="185"/>
        <v>2.8908103757121246</v>
      </c>
      <c r="P591" s="44">
        <f t="shared" ca="1" si="186"/>
        <v>28.908103757121246</v>
      </c>
      <c r="Q591" s="44">
        <f t="shared" ca="1" si="187"/>
        <v>28.908103757121246</v>
      </c>
      <c r="R591" s="44">
        <f t="shared" ca="1" si="188"/>
        <v>2.8908103757121246</v>
      </c>
      <c r="S591" s="44">
        <f t="shared" ca="1" si="189"/>
        <v>2.8908103757121246</v>
      </c>
      <c r="T591" s="4">
        <f t="shared" ca="1" si="190"/>
        <v>0</v>
      </c>
      <c r="U591" s="120">
        <f t="shared" ca="1" si="191"/>
        <v>2268.675062040129</v>
      </c>
      <c r="V591" s="4">
        <f t="shared" ca="1" si="192"/>
        <v>0</v>
      </c>
      <c r="W591" s="13">
        <f t="shared" ca="1" si="193"/>
        <v>49588.256250000006</v>
      </c>
      <c r="X591" s="4">
        <f t="shared" ca="1" si="194"/>
        <v>0</v>
      </c>
      <c r="Y591" s="4">
        <f t="shared" si="195"/>
        <v>0</v>
      </c>
      <c r="Z591" s="13">
        <f t="shared" ca="1" si="196"/>
        <v>49588.256250000006</v>
      </c>
      <c r="AA591" s="4">
        <f t="shared" ca="1" si="197"/>
        <v>0</v>
      </c>
    </row>
    <row r="592" spans="1:27">
      <c r="A592">
        <v>0</v>
      </c>
      <c r="B592">
        <v>1</v>
      </c>
      <c r="C592">
        <f t="shared" ca="1" si="176"/>
        <v>3</v>
      </c>
      <c r="D592">
        <f t="shared" ca="1" si="177"/>
        <v>2</v>
      </c>
      <c r="E592">
        <f t="shared" ca="1" si="178"/>
        <v>0</v>
      </c>
      <c r="F592" s="110">
        <f t="shared" ca="1" si="179"/>
        <v>5.3066759999999991E-2</v>
      </c>
      <c r="G592">
        <v>1</v>
      </c>
      <c r="H592">
        <v>0</v>
      </c>
      <c r="I592">
        <v>6</v>
      </c>
      <c r="J592" s="1">
        <f t="shared" ca="1" si="180"/>
        <v>0</v>
      </c>
      <c r="K592" s="1">
        <f t="shared" ca="1" si="181"/>
        <v>0</v>
      </c>
      <c r="L592" s="13">
        <f t="shared" ca="1" si="182"/>
        <v>398</v>
      </c>
      <c r="M592" s="7">
        <f t="shared" ca="1" si="183"/>
        <v>1102</v>
      </c>
      <c r="N592" s="26">
        <f t="shared" ca="1" si="184"/>
        <v>4</v>
      </c>
      <c r="O592" s="44">
        <f t="shared" ca="1" si="185"/>
        <v>2.8908103757121246</v>
      </c>
      <c r="P592" s="44">
        <f t="shared" ca="1" si="186"/>
        <v>28.908103757121246</v>
      </c>
      <c r="Q592" s="44">
        <f t="shared" ca="1" si="187"/>
        <v>28.908103757121246</v>
      </c>
      <c r="R592" s="44">
        <f t="shared" ca="1" si="188"/>
        <v>2.8908103757121246</v>
      </c>
      <c r="S592" s="44">
        <f t="shared" ca="1" si="189"/>
        <v>2.8908103757121246</v>
      </c>
      <c r="T592" s="4">
        <f t="shared" ca="1" si="190"/>
        <v>0</v>
      </c>
      <c r="U592" s="120">
        <f t="shared" ca="1" si="191"/>
        <v>2249.675062040129</v>
      </c>
      <c r="V592" s="4">
        <f t="shared" ca="1" si="192"/>
        <v>0</v>
      </c>
      <c r="W592" s="13">
        <f t="shared" ca="1" si="193"/>
        <v>46815.131250000006</v>
      </c>
      <c r="X592" s="4">
        <f t="shared" ca="1" si="194"/>
        <v>0</v>
      </c>
      <c r="Y592" s="4">
        <f t="shared" si="195"/>
        <v>0</v>
      </c>
      <c r="Z592" s="13">
        <f t="shared" ca="1" si="196"/>
        <v>46815.131250000006</v>
      </c>
      <c r="AA592" s="4">
        <f t="shared" ca="1" si="197"/>
        <v>0</v>
      </c>
    </row>
    <row r="593" spans="1:27">
      <c r="A593">
        <v>0</v>
      </c>
      <c r="B593">
        <v>1</v>
      </c>
      <c r="C593">
        <f t="shared" ca="1" si="176"/>
        <v>3</v>
      </c>
      <c r="D593">
        <f t="shared" ca="1" si="177"/>
        <v>2</v>
      </c>
      <c r="E593">
        <f t="shared" ca="1" si="178"/>
        <v>0</v>
      </c>
      <c r="F593" s="110">
        <f t="shared" ca="1" si="179"/>
        <v>5.3066759999999991E-2</v>
      </c>
      <c r="G593">
        <v>1</v>
      </c>
      <c r="H593">
        <v>0</v>
      </c>
      <c r="I593">
        <v>5</v>
      </c>
      <c r="J593" s="1">
        <f t="shared" ca="1" si="180"/>
        <v>0</v>
      </c>
      <c r="K593" s="1">
        <f t="shared" ca="1" si="181"/>
        <v>0</v>
      </c>
      <c r="L593" s="13">
        <f t="shared" ca="1" si="182"/>
        <v>379</v>
      </c>
      <c r="M593" s="7">
        <f t="shared" ca="1" si="183"/>
        <v>1121</v>
      </c>
      <c r="N593" s="26">
        <f t="shared" ca="1" si="184"/>
        <v>4</v>
      </c>
      <c r="O593" s="44">
        <f t="shared" ca="1" si="185"/>
        <v>2.8908103757121246</v>
      </c>
      <c r="P593" s="44">
        <f t="shared" ca="1" si="186"/>
        <v>28.908103757121246</v>
      </c>
      <c r="Q593" s="44">
        <f t="shared" ca="1" si="187"/>
        <v>28.908103757121246</v>
      </c>
      <c r="R593" s="44">
        <f t="shared" ca="1" si="188"/>
        <v>2.8908103757121246</v>
      </c>
      <c r="S593" s="44">
        <f t="shared" ca="1" si="189"/>
        <v>2.8908103757121246</v>
      </c>
      <c r="T593" s="4">
        <f t="shared" ca="1" si="190"/>
        <v>0</v>
      </c>
      <c r="U593" s="120">
        <f t="shared" ca="1" si="191"/>
        <v>2230.675062040129</v>
      </c>
      <c r="V593" s="4">
        <f t="shared" ca="1" si="192"/>
        <v>0</v>
      </c>
      <c r="W593" s="13">
        <f t="shared" ca="1" si="193"/>
        <v>44042.006250000006</v>
      </c>
      <c r="X593" s="4">
        <f t="shared" ca="1" si="194"/>
        <v>0</v>
      </c>
      <c r="Y593" s="4">
        <f t="shared" si="195"/>
        <v>0</v>
      </c>
      <c r="Z593" s="13">
        <f t="shared" ca="1" si="196"/>
        <v>44042.006250000006</v>
      </c>
      <c r="AA593" s="4">
        <f t="shared" ca="1" si="197"/>
        <v>0</v>
      </c>
    </row>
    <row r="594" spans="1:27">
      <c r="A594">
        <v>0</v>
      </c>
      <c r="B594">
        <v>1</v>
      </c>
      <c r="C594">
        <f t="shared" ca="1" si="176"/>
        <v>3</v>
      </c>
      <c r="D594">
        <f t="shared" ca="1" si="177"/>
        <v>2</v>
      </c>
      <c r="E594">
        <f t="shared" ca="1" si="178"/>
        <v>0</v>
      </c>
      <c r="F594" s="110">
        <f t="shared" ca="1" si="179"/>
        <v>5.3066759999999991E-2</v>
      </c>
      <c r="G594">
        <v>1</v>
      </c>
      <c r="H594">
        <v>0</v>
      </c>
      <c r="I594">
        <v>4</v>
      </c>
      <c r="J594" s="1">
        <f t="shared" ca="1" si="180"/>
        <v>0</v>
      </c>
      <c r="K594" s="1">
        <f t="shared" ca="1" si="181"/>
        <v>0</v>
      </c>
      <c r="L594" s="13">
        <f t="shared" ca="1" si="182"/>
        <v>360</v>
      </c>
      <c r="M594" s="7">
        <f t="shared" ca="1" si="183"/>
        <v>1140</v>
      </c>
      <c r="N594" s="26">
        <f t="shared" ca="1" si="184"/>
        <v>4</v>
      </c>
      <c r="O594" s="44">
        <f t="shared" ca="1" si="185"/>
        <v>2.8908103757121246</v>
      </c>
      <c r="P594" s="44">
        <f t="shared" ca="1" si="186"/>
        <v>28.908103757121246</v>
      </c>
      <c r="Q594" s="44">
        <f t="shared" ca="1" si="187"/>
        <v>28.908103757121246</v>
      </c>
      <c r="R594" s="44">
        <f t="shared" ca="1" si="188"/>
        <v>2.8908103757121246</v>
      </c>
      <c r="S594" s="44">
        <f t="shared" ca="1" si="189"/>
        <v>2.8908103757121246</v>
      </c>
      <c r="T594" s="4">
        <f t="shared" ca="1" si="190"/>
        <v>0</v>
      </c>
      <c r="U594" s="120">
        <f t="shared" ca="1" si="191"/>
        <v>2211.675062040129</v>
      </c>
      <c r="V594" s="4">
        <f t="shared" ca="1" si="192"/>
        <v>0</v>
      </c>
      <c r="W594" s="13">
        <f t="shared" ca="1" si="193"/>
        <v>41268.881250000006</v>
      </c>
      <c r="X594" s="4">
        <f t="shared" ca="1" si="194"/>
        <v>0</v>
      </c>
      <c r="Y594" s="4">
        <f t="shared" si="195"/>
        <v>0</v>
      </c>
      <c r="Z594" s="13">
        <f t="shared" ca="1" si="196"/>
        <v>41268.881250000006</v>
      </c>
      <c r="AA594" s="4">
        <f t="shared" ca="1" si="197"/>
        <v>0</v>
      </c>
    </row>
    <row r="595" spans="1:27">
      <c r="A595">
        <v>0</v>
      </c>
      <c r="B595">
        <v>1</v>
      </c>
      <c r="C595">
        <f t="shared" ca="1" si="176"/>
        <v>3</v>
      </c>
      <c r="D595">
        <f t="shared" ca="1" si="177"/>
        <v>2</v>
      </c>
      <c r="E595">
        <f t="shared" ca="1" si="178"/>
        <v>0</v>
      </c>
      <c r="F595" s="110">
        <f t="shared" ca="1" si="179"/>
        <v>5.3066759999999991E-2</v>
      </c>
      <c r="G595">
        <v>1</v>
      </c>
      <c r="H595">
        <v>0</v>
      </c>
      <c r="I595">
        <v>3</v>
      </c>
      <c r="J595" s="1">
        <f t="shared" ca="1" si="180"/>
        <v>0</v>
      </c>
      <c r="K595" s="1">
        <f t="shared" ca="1" si="181"/>
        <v>0</v>
      </c>
      <c r="L595" s="13">
        <f t="shared" ca="1" si="182"/>
        <v>341</v>
      </c>
      <c r="M595" s="7">
        <f t="shared" ca="1" si="183"/>
        <v>1159</v>
      </c>
      <c r="N595" s="26">
        <f t="shared" ca="1" si="184"/>
        <v>4</v>
      </c>
      <c r="O595" s="44">
        <f t="shared" ca="1" si="185"/>
        <v>2.8908103757121246</v>
      </c>
      <c r="P595" s="44">
        <f t="shared" ca="1" si="186"/>
        <v>28.908103757121246</v>
      </c>
      <c r="Q595" s="44">
        <f t="shared" ca="1" si="187"/>
        <v>28.908103757121246</v>
      </c>
      <c r="R595" s="44">
        <f t="shared" ca="1" si="188"/>
        <v>2.8908103757121246</v>
      </c>
      <c r="S595" s="44">
        <f t="shared" ca="1" si="189"/>
        <v>2.8908103757121246</v>
      </c>
      <c r="T595" s="4">
        <f t="shared" ca="1" si="190"/>
        <v>0</v>
      </c>
      <c r="U595" s="120">
        <f t="shared" ca="1" si="191"/>
        <v>2192.675062040129</v>
      </c>
      <c r="V595" s="4">
        <f t="shared" ca="1" si="192"/>
        <v>0</v>
      </c>
      <c r="W595" s="13">
        <f t="shared" ca="1" si="193"/>
        <v>38495.756250000006</v>
      </c>
      <c r="X595" s="4">
        <f t="shared" ca="1" si="194"/>
        <v>0</v>
      </c>
      <c r="Y595" s="4">
        <f t="shared" si="195"/>
        <v>0</v>
      </c>
      <c r="Z595" s="13">
        <f t="shared" ca="1" si="196"/>
        <v>38495.756250000006</v>
      </c>
      <c r="AA595" s="4">
        <f t="shared" ca="1" si="197"/>
        <v>0</v>
      </c>
    </row>
    <row r="596" spans="1:27">
      <c r="A596">
        <v>0</v>
      </c>
      <c r="B596">
        <v>1</v>
      </c>
      <c r="C596">
        <f t="shared" ca="1" si="176"/>
        <v>3</v>
      </c>
      <c r="D596">
        <f t="shared" ca="1" si="177"/>
        <v>2</v>
      </c>
      <c r="E596">
        <f t="shared" ca="1" si="178"/>
        <v>0</v>
      </c>
      <c r="F596" s="110">
        <f t="shared" ca="1" si="179"/>
        <v>5.3066759999999991E-2</v>
      </c>
      <c r="G596">
        <v>1</v>
      </c>
      <c r="H596">
        <v>0</v>
      </c>
      <c r="I596">
        <v>2</v>
      </c>
      <c r="J596" s="1">
        <f t="shared" ca="1" si="180"/>
        <v>0.85737499999999989</v>
      </c>
      <c r="K596" s="1">
        <f t="shared" ca="1" si="181"/>
        <v>4.5498113354999987E-2</v>
      </c>
      <c r="L596" s="13">
        <f t="shared" ca="1" si="182"/>
        <v>322</v>
      </c>
      <c r="M596" s="7">
        <f t="shared" ca="1" si="183"/>
        <v>1178</v>
      </c>
      <c r="N596" s="26">
        <f t="shared" ca="1" si="184"/>
        <v>4</v>
      </c>
      <c r="O596" s="44">
        <f t="shared" ca="1" si="185"/>
        <v>2.8908103757121246</v>
      </c>
      <c r="P596" s="44">
        <f t="shared" ca="1" si="186"/>
        <v>28.908103757121246</v>
      </c>
      <c r="Q596" s="44">
        <f t="shared" ca="1" si="187"/>
        <v>28.908103757121246</v>
      </c>
      <c r="R596" s="44">
        <f t="shared" ca="1" si="188"/>
        <v>2.8908103757121246</v>
      </c>
      <c r="S596" s="44">
        <f t="shared" ca="1" si="189"/>
        <v>2.8908103757121246</v>
      </c>
      <c r="T596" s="4">
        <f t="shared" ca="1" si="190"/>
        <v>0.13152641816196034</v>
      </c>
      <c r="U596" s="120">
        <f t="shared" ca="1" si="191"/>
        <v>2173.675062040129</v>
      </c>
      <c r="V596" s="4">
        <f t="shared" ca="1" si="192"/>
        <v>98.898114369638421</v>
      </c>
      <c r="W596" s="13">
        <f t="shared" ca="1" si="193"/>
        <v>35722.631250000006</v>
      </c>
      <c r="X596" s="4">
        <f t="shared" ca="1" si="194"/>
        <v>1625.3123259513652</v>
      </c>
      <c r="Y596" s="4">
        <f t="shared" si="195"/>
        <v>0</v>
      </c>
      <c r="Z596" s="13">
        <f t="shared" ca="1" si="196"/>
        <v>35722.631250000006</v>
      </c>
      <c r="AA596" s="4">
        <f t="shared" ca="1" si="197"/>
        <v>1625.3123259513652</v>
      </c>
    </row>
    <row r="597" spans="1:27">
      <c r="A597">
        <v>0</v>
      </c>
      <c r="B597">
        <v>1</v>
      </c>
      <c r="C597">
        <f t="shared" ca="1" si="176"/>
        <v>3</v>
      </c>
      <c r="D597">
        <f t="shared" ca="1" si="177"/>
        <v>2</v>
      </c>
      <c r="E597">
        <f t="shared" ca="1" si="178"/>
        <v>0</v>
      </c>
      <c r="F597" s="110">
        <f t="shared" ca="1" si="179"/>
        <v>5.3066759999999991E-2</v>
      </c>
      <c r="G597">
        <v>1</v>
      </c>
      <c r="H597">
        <v>0</v>
      </c>
      <c r="I597">
        <v>1</v>
      </c>
      <c r="J597" s="1">
        <f t="shared" ca="1" si="180"/>
        <v>9.025000000000008E-2</v>
      </c>
      <c r="K597" s="1">
        <f t="shared" ca="1" si="181"/>
        <v>4.7892750900000031E-3</v>
      </c>
      <c r="L597" s="13">
        <f t="shared" ca="1" si="182"/>
        <v>303</v>
      </c>
      <c r="M597" s="7">
        <f t="shared" ca="1" si="183"/>
        <v>1197</v>
      </c>
      <c r="N597" s="26">
        <f t="shared" ca="1" si="184"/>
        <v>4</v>
      </c>
      <c r="O597" s="44">
        <f t="shared" ca="1" si="185"/>
        <v>2.8908103757121246</v>
      </c>
      <c r="P597" s="44">
        <f t="shared" ca="1" si="186"/>
        <v>28.908103757121246</v>
      </c>
      <c r="Q597" s="44">
        <f t="shared" ca="1" si="187"/>
        <v>28.908103757121246</v>
      </c>
      <c r="R597" s="44">
        <f t="shared" ca="1" si="188"/>
        <v>2.8908103757121246</v>
      </c>
      <c r="S597" s="44">
        <f t="shared" ca="1" si="189"/>
        <v>2.8908103757121246</v>
      </c>
      <c r="T597" s="4">
        <f t="shared" ca="1" si="190"/>
        <v>1.3844886122311629E-2</v>
      </c>
      <c r="U597" s="120">
        <f t="shared" ca="1" si="191"/>
        <v>2154.675062040129</v>
      </c>
      <c r="V597" s="4">
        <f t="shared" ca="1" si="192"/>
        <v>10.319331601673001</v>
      </c>
      <c r="W597" s="13">
        <f t="shared" ca="1" si="193"/>
        <v>32949.506250000006</v>
      </c>
      <c r="X597" s="4">
        <f t="shared" ca="1" si="194"/>
        <v>157.80424951092445</v>
      </c>
      <c r="Y597" s="4">
        <f t="shared" si="195"/>
        <v>0</v>
      </c>
      <c r="Z597" s="13">
        <f t="shared" ca="1" si="196"/>
        <v>32949.506250000006</v>
      </c>
      <c r="AA597" s="4">
        <f t="shared" ca="1" si="197"/>
        <v>157.80424951092445</v>
      </c>
    </row>
    <row r="598" spans="1:27">
      <c r="A598">
        <v>0</v>
      </c>
      <c r="B598">
        <v>1</v>
      </c>
      <c r="C598">
        <f t="shared" ca="1" si="176"/>
        <v>3</v>
      </c>
      <c r="D598">
        <f t="shared" ca="1" si="177"/>
        <v>2</v>
      </c>
      <c r="E598">
        <f t="shared" ca="1" si="178"/>
        <v>0</v>
      </c>
      <c r="F598" s="110">
        <f t="shared" ca="1" si="179"/>
        <v>5.3066759999999991E-2</v>
      </c>
      <c r="G598">
        <v>1</v>
      </c>
      <c r="H598">
        <v>0</v>
      </c>
      <c r="I598">
        <v>0</v>
      </c>
      <c r="J598" s="1">
        <f t="shared" ca="1" si="180"/>
        <v>2.3750000000000038E-3</v>
      </c>
      <c r="K598" s="1">
        <f t="shared" ca="1" si="181"/>
        <v>1.2603355500000017E-4</v>
      </c>
      <c r="L598" s="13">
        <f t="shared" ca="1" si="182"/>
        <v>284</v>
      </c>
      <c r="M598" s="7">
        <f t="shared" ca="1" si="183"/>
        <v>1216</v>
      </c>
      <c r="N598" s="26">
        <f t="shared" ca="1" si="184"/>
        <v>4</v>
      </c>
      <c r="O598" s="44">
        <f t="shared" ca="1" si="185"/>
        <v>2.8908103757121246</v>
      </c>
      <c r="P598" s="44">
        <f t="shared" ca="1" si="186"/>
        <v>28.908103757121246</v>
      </c>
      <c r="Q598" s="44">
        <f t="shared" ca="1" si="187"/>
        <v>28.908103757121246</v>
      </c>
      <c r="R598" s="44">
        <f t="shared" ca="1" si="188"/>
        <v>2.8908103757121246</v>
      </c>
      <c r="S598" s="44">
        <f t="shared" ca="1" si="189"/>
        <v>2.8908103757121246</v>
      </c>
      <c r="T598" s="4">
        <f t="shared" ca="1" si="190"/>
        <v>3.6433910848188524E-4</v>
      </c>
      <c r="U598" s="120">
        <f t="shared" ca="1" si="191"/>
        <v>2135.675062040129</v>
      </c>
      <c r="V598" s="4">
        <f t="shared" ca="1" si="192"/>
        <v>0.26916672039376338</v>
      </c>
      <c r="W598" s="13">
        <f t="shared" ca="1" si="193"/>
        <v>30176.381250000002</v>
      </c>
      <c r="X598" s="4">
        <f t="shared" ca="1" si="194"/>
        <v>3.8032366059728493</v>
      </c>
      <c r="Y598" s="4">
        <f t="shared" si="195"/>
        <v>0</v>
      </c>
      <c r="Z598" s="13">
        <f t="shared" ca="1" si="196"/>
        <v>30176.381250000002</v>
      </c>
      <c r="AA598" s="4">
        <f t="shared" ca="1" si="197"/>
        <v>3.8032366059728493</v>
      </c>
    </row>
    <row r="599" spans="1:27">
      <c r="A599">
        <v>0</v>
      </c>
      <c r="B599">
        <v>1</v>
      </c>
      <c r="C599">
        <f t="shared" ca="1" si="176"/>
        <v>3</v>
      </c>
      <c r="D599">
        <f t="shared" ca="1" si="177"/>
        <v>2</v>
      </c>
      <c r="E599">
        <f t="shared" ca="1" si="178"/>
        <v>0</v>
      </c>
      <c r="F599" s="110">
        <f t="shared" ca="1" si="179"/>
        <v>5.3066759999999991E-2</v>
      </c>
      <c r="G599">
        <v>0</v>
      </c>
      <c r="H599">
        <v>1</v>
      </c>
      <c r="I599">
        <v>7</v>
      </c>
      <c r="J599" s="1">
        <f t="shared" ca="1" si="180"/>
        <v>0</v>
      </c>
      <c r="K599" s="1">
        <f t="shared" ca="1" si="181"/>
        <v>0</v>
      </c>
      <c r="L599" s="13">
        <f t="shared" ca="1" si="182"/>
        <v>417</v>
      </c>
      <c r="M599" s="7">
        <f t="shared" ca="1" si="183"/>
        <v>1083</v>
      </c>
      <c r="N599" s="26">
        <f t="shared" ca="1" si="184"/>
        <v>4</v>
      </c>
      <c r="O599" s="44">
        <f t="shared" ca="1" si="185"/>
        <v>2.8908103757121246</v>
      </c>
      <c r="P599" s="44">
        <f t="shared" ca="1" si="186"/>
        <v>28.908103757121246</v>
      </c>
      <c r="Q599" s="44">
        <f t="shared" ca="1" si="187"/>
        <v>28.908103757121246</v>
      </c>
      <c r="R599" s="44">
        <f t="shared" ca="1" si="188"/>
        <v>2.8908103757121246</v>
      </c>
      <c r="S599" s="44">
        <f t="shared" ca="1" si="189"/>
        <v>2.8908103757121246</v>
      </c>
      <c r="T599" s="4">
        <f t="shared" ca="1" si="190"/>
        <v>0</v>
      </c>
      <c r="U599" s="120">
        <f t="shared" ca="1" si="191"/>
        <v>2268.675062040129</v>
      </c>
      <c r="V599" s="4">
        <f t="shared" ca="1" si="192"/>
        <v>0</v>
      </c>
      <c r="W599" s="13">
        <f t="shared" ca="1" si="193"/>
        <v>19411.875</v>
      </c>
      <c r="X599" s="4">
        <f t="shared" ca="1" si="194"/>
        <v>0</v>
      </c>
      <c r="Y599" s="4">
        <f t="shared" si="195"/>
        <v>0</v>
      </c>
      <c r="Z599" s="13">
        <f t="shared" ca="1" si="196"/>
        <v>19411.875</v>
      </c>
      <c r="AA599" s="4">
        <f t="shared" ca="1" si="197"/>
        <v>0</v>
      </c>
    </row>
    <row r="600" spans="1:27">
      <c r="A600">
        <v>0</v>
      </c>
      <c r="B600">
        <v>1</v>
      </c>
      <c r="C600">
        <f t="shared" ca="1" si="176"/>
        <v>3</v>
      </c>
      <c r="D600">
        <f t="shared" ca="1" si="177"/>
        <v>2</v>
      </c>
      <c r="E600">
        <f t="shared" ca="1" si="178"/>
        <v>0</v>
      </c>
      <c r="F600" s="110">
        <f t="shared" ca="1" si="179"/>
        <v>5.3066759999999991E-2</v>
      </c>
      <c r="G600">
        <v>0</v>
      </c>
      <c r="H600">
        <v>1</v>
      </c>
      <c r="I600">
        <v>6</v>
      </c>
      <c r="J600" s="1">
        <f t="shared" ca="1" si="180"/>
        <v>0</v>
      </c>
      <c r="K600" s="1">
        <f t="shared" ca="1" si="181"/>
        <v>0</v>
      </c>
      <c r="L600" s="13">
        <f t="shared" ca="1" si="182"/>
        <v>398</v>
      </c>
      <c r="M600" s="7">
        <f t="shared" ca="1" si="183"/>
        <v>1102</v>
      </c>
      <c r="N600" s="26">
        <f t="shared" ca="1" si="184"/>
        <v>4</v>
      </c>
      <c r="O600" s="44">
        <f t="shared" ca="1" si="185"/>
        <v>2.8908103757121246</v>
      </c>
      <c r="P600" s="44">
        <f t="shared" ca="1" si="186"/>
        <v>28.908103757121246</v>
      </c>
      <c r="Q600" s="44">
        <f t="shared" ca="1" si="187"/>
        <v>28.908103757121246</v>
      </c>
      <c r="R600" s="44">
        <f t="shared" ca="1" si="188"/>
        <v>2.8908103757121246</v>
      </c>
      <c r="S600" s="44">
        <f t="shared" ca="1" si="189"/>
        <v>2.8908103757121246</v>
      </c>
      <c r="T600" s="4">
        <f t="shared" ca="1" si="190"/>
        <v>0</v>
      </c>
      <c r="U600" s="120">
        <f t="shared" ca="1" si="191"/>
        <v>2249.675062040129</v>
      </c>
      <c r="V600" s="4">
        <f t="shared" ca="1" si="192"/>
        <v>0</v>
      </c>
      <c r="W600" s="13">
        <f t="shared" ca="1" si="193"/>
        <v>16638.75</v>
      </c>
      <c r="X600" s="4">
        <f t="shared" ca="1" si="194"/>
        <v>0</v>
      </c>
      <c r="Y600" s="4">
        <f t="shared" si="195"/>
        <v>0</v>
      </c>
      <c r="Z600" s="13">
        <f t="shared" ca="1" si="196"/>
        <v>16638.75</v>
      </c>
      <c r="AA600" s="4">
        <f t="shared" ca="1" si="197"/>
        <v>0</v>
      </c>
    </row>
    <row r="601" spans="1:27">
      <c r="A601">
        <v>0</v>
      </c>
      <c r="B601">
        <v>1</v>
      </c>
      <c r="C601">
        <f t="shared" ca="1" si="176"/>
        <v>3</v>
      </c>
      <c r="D601">
        <f t="shared" ca="1" si="177"/>
        <v>2</v>
      </c>
      <c r="E601">
        <f t="shared" ca="1" si="178"/>
        <v>0</v>
      </c>
      <c r="F601" s="110">
        <f t="shared" ca="1" si="179"/>
        <v>5.3066759999999991E-2</v>
      </c>
      <c r="G601">
        <v>0</v>
      </c>
      <c r="H601">
        <v>1</v>
      </c>
      <c r="I601">
        <v>5</v>
      </c>
      <c r="J601" s="1">
        <f t="shared" ca="1" si="180"/>
        <v>0</v>
      </c>
      <c r="K601" s="1">
        <f t="shared" ca="1" si="181"/>
        <v>0</v>
      </c>
      <c r="L601" s="13">
        <f t="shared" ca="1" si="182"/>
        <v>379</v>
      </c>
      <c r="M601" s="7">
        <f t="shared" ca="1" si="183"/>
        <v>1121</v>
      </c>
      <c r="N601" s="26">
        <f t="shared" ca="1" si="184"/>
        <v>4</v>
      </c>
      <c r="O601" s="44">
        <f t="shared" ca="1" si="185"/>
        <v>2.8908103757121246</v>
      </c>
      <c r="P601" s="44">
        <f t="shared" ca="1" si="186"/>
        <v>28.908103757121246</v>
      </c>
      <c r="Q601" s="44">
        <f t="shared" ca="1" si="187"/>
        <v>28.908103757121246</v>
      </c>
      <c r="R601" s="44">
        <f t="shared" ca="1" si="188"/>
        <v>2.8908103757121246</v>
      </c>
      <c r="S601" s="44">
        <f t="shared" ca="1" si="189"/>
        <v>2.8908103757121246</v>
      </c>
      <c r="T601" s="4">
        <f t="shared" ca="1" si="190"/>
        <v>0</v>
      </c>
      <c r="U601" s="120">
        <f t="shared" ca="1" si="191"/>
        <v>2230.675062040129</v>
      </c>
      <c r="V601" s="4">
        <f t="shared" ca="1" si="192"/>
        <v>0</v>
      </c>
      <c r="W601" s="13">
        <f t="shared" ca="1" si="193"/>
        <v>13865.625</v>
      </c>
      <c r="X601" s="4">
        <f t="shared" ca="1" si="194"/>
        <v>0</v>
      </c>
      <c r="Y601" s="4">
        <f t="shared" si="195"/>
        <v>0</v>
      </c>
      <c r="Z601" s="13">
        <f t="shared" ca="1" si="196"/>
        <v>13865.625</v>
      </c>
      <c r="AA601" s="4">
        <f t="shared" ca="1" si="197"/>
        <v>0</v>
      </c>
    </row>
    <row r="602" spans="1:27">
      <c r="A602">
        <v>0</v>
      </c>
      <c r="B602">
        <v>1</v>
      </c>
      <c r="C602">
        <f t="shared" ca="1" si="176"/>
        <v>3</v>
      </c>
      <c r="D602">
        <f t="shared" ca="1" si="177"/>
        <v>2</v>
      </c>
      <c r="E602">
        <f t="shared" ca="1" si="178"/>
        <v>0</v>
      </c>
      <c r="F602" s="110">
        <f t="shared" ca="1" si="179"/>
        <v>5.3066759999999991E-2</v>
      </c>
      <c r="G602">
        <v>0</v>
      </c>
      <c r="H602">
        <v>1</v>
      </c>
      <c r="I602">
        <v>4</v>
      </c>
      <c r="J602" s="1">
        <f t="shared" ca="1" si="180"/>
        <v>0</v>
      </c>
      <c r="K602" s="1">
        <f t="shared" ca="1" si="181"/>
        <v>0</v>
      </c>
      <c r="L602" s="13">
        <f t="shared" ca="1" si="182"/>
        <v>360</v>
      </c>
      <c r="M602" s="7">
        <f t="shared" ca="1" si="183"/>
        <v>1140</v>
      </c>
      <c r="N602" s="26">
        <f t="shared" ca="1" si="184"/>
        <v>4</v>
      </c>
      <c r="O602" s="44">
        <f t="shared" ca="1" si="185"/>
        <v>2.8908103757121246</v>
      </c>
      <c r="P602" s="44">
        <f t="shared" ca="1" si="186"/>
        <v>28.908103757121246</v>
      </c>
      <c r="Q602" s="44">
        <f t="shared" ca="1" si="187"/>
        <v>28.908103757121246</v>
      </c>
      <c r="R602" s="44">
        <f t="shared" ca="1" si="188"/>
        <v>2.8908103757121246</v>
      </c>
      <c r="S602" s="44">
        <f t="shared" ca="1" si="189"/>
        <v>2.8908103757121246</v>
      </c>
      <c r="T602" s="4">
        <f t="shared" ca="1" si="190"/>
        <v>0</v>
      </c>
      <c r="U602" s="120">
        <f t="shared" ca="1" si="191"/>
        <v>2211.675062040129</v>
      </c>
      <c r="V602" s="4">
        <f t="shared" ca="1" si="192"/>
        <v>0</v>
      </c>
      <c r="W602" s="13">
        <f t="shared" ca="1" si="193"/>
        <v>11092.5</v>
      </c>
      <c r="X602" s="4">
        <f t="shared" ca="1" si="194"/>
        <v>0</v>
      </c>
      <c r="Y602" s="4">
        <f t="shared" si="195"/>
        <v>0</v>
      </c>
      <c r="Z602" s="13">
        <f t="shared" ca="1" si="196"/>
        <v>11092.5</v>
      </c>
      <c r="AA602" s="4">
        <f t="shared" ca="1" si="197"/>
        <v>0</v>
      </c>
    </row>
    <row r="603" spans="1:27">
      <c r="A603">
        <v>0</v>
      </c>
      <c r="B603">
        <v>1</v>
      </c>
      <c r="C603">
        <f t="shared" ca="1" si="176"/>
        <v>3</v>
      </c>
      <c r="D603">
        <f t="shared" ca="1" si="177"/>
        <v>2</v>
      </c>
      <c r="E603">
        <f t="shared" ca="1" si="178"/>
        <v>0</v>
      </c>
      <c r="F603" s="110">
        <f t="shared" ca="1" si="179"/>
        <v>5.3066759999999991E-2</v>
      </c>
      <c r="G603">
        <v>0</v>
      </c>
      <c r="H603">
        <v>1</v>
      </c>
      <c r="I603">
        <v>3</v>
      </c>
      <c r="J603" s="1">
        <f t="shared" ca="1" si="180"/>
        <v>0</v>
      </c>
      <c r="K603" s="1">
        <f t="shared" ca="1" si="181"/>
        <v>0</v>
      </c>
      <c r="L603" s="13">
        <f t="shared" ca="1" si="182"/>
        <v>341</v>
      </c>
      <c r="M603" s="7">
        <f t="shared" ca="1" si="183"/>
        <v>1159</v>
      </c>
      <c r="N603" s="26">
        <f t="shared" ca="1" si="184"/>
        <v>4</v>
      </c>
      <c r="O603" s="44">
        <f t="shared" ca="1" si="185"/>
        <v>2.8908103757121246</v>
      </c>
      <c r="P603" s="44">
        <f t="shared" ca="1" si="186"/>
        <v>28.908103757121246</v>
      </c>
      <c r="Q603" s="44">
        <f t="shared" ca="1" si="187"/>
        <v>28.908103757121246</v>
      </c>
      <c r="R603" s="44">
        <f t="shared" ca="1" si="188"/>
        <v>2.8908103757121246</v>
      </c>
      <c r="S603" s="44">
        <f t="shared" ca="1" si="189"/>
        <v>2.8908103757121246</v>
      </c>
      <c r="T603" s="4">
        <f t="shared" ca="1" si="190"/>
        <v>0</v>
      </c>
      <c r="U603" s="120">
        <f t="shared" ca="1" si="191"/>
        <v>2192.675062040129</v>
      </c>
      <c r="V603" s="4">
        <f t="shared" ca="1" si="192"/>
        <v>0</v>
      </c>
      <c r="W603" s="13">
        <f t="shared" ca="1" si="193"/>
        <v>8319.375</v>
      </c>
      <c r="X603" s="4">
        <f t="shared" ca="1" si="194"/>
        <v>0</v>
      </c>
      <c r="Y603" s="4">
        <f t="shared" si="195"/>
        <v>0</v>
      </c>
      <c r="Z603" s="13">
        <f t="shared" ca="1" si="196"/>
        <v>8319.375</v>
      </c>
      <c r="AA603" s="4">
        <f t="shared" ca="1" si="197"/>
        <v>0</v>
      </c>
    </row>
    <row r="604" spans="1:27">
      <c r="A604">
        <v>0</v>
      </c>
      <c r="B604">
        <v>1</v>
      </c>
      <c r="C604">
        <f t="shared" ca="1" si="176"/>
        <v>3</v>
      </c>
      <c r="D604">
        <f t="shared" ca="1" si="177"/>
        <v>2</v>
      </c>
      <c r="E604">
        <f t="shared" ca="1" si="178"/>
        <v>0</v>
      </c>
      <c r="F604" s="110">
        <f t="shared" ca="1" si="179"/>
        <v>5.3066759999999991E-2</v>
      </c>
      <c r="G604">
        <v>0</v>
      </c>
      <c r="H604">
        <v>1</v>
      </c>
      <c r="I604">
        <v>2</v>
      </c>
      <c r="J604" s="1">
        <f t="shared" ca="1" si="180"/>
        <v>0</v>
      </c>
      <c r="K604" s="1">
        <f t="shared" ca="1" si="181"/>
        <v>0</v>
      </c>
      <c r="L604" s="13">
        <f t="shared" ca="1" si="182"/>
        <v>322</v>
      </c>
      <c r="M604" s="7">
        <f t="shared" ca="1" si="183"/>
        <v>1178</v>
      </c>
      <c r="N604" s="26">
        <f t="shared" ca="1" si="184"/>
        <v>4</v>
      </c>
      <c r="O604" s="44">
        <f t="shared" ca="1" si="185"/>
        <v>2.8908103757121246</v>
      </c>
      <c r="P604" s="44">
        <f t="shared" ca="1" si="186"/>
        <v>28.908103757121246</v>
      </c>
      <c r="Q604" s="44">
        <f t="shared" ca="1" si="187"/>
        <v>28.908103757121246</v>
      </c>
      <c r="R604" s="44">
        <f t="shared" ca="1" si="188"/>
        <v>2.8908103757121246</v>
      </c>
      <c r="S604" s="44">
        <f t="shared" ca="1" si="189"/>
        <v>2.8908103757121246</v>
      </c>
      <c r="T604" s="4">
        <f t="shared" ca="1" si="190"/>
        <v>0</v>
      </c>
      <c r="U604" s="120">
        <f t="shared" ca="1" si="191"/>
        <v>2173.675062040129</v>
      </c>
      <c r="V604" s="4">
        <f t="shared" ca="1" si="192"/>
        <v>0</v>
      </c>
      <c r="W604" s="13">
        <f t="shared" ca="1" si="193"/>
        <v>5546.25</v>
      </c>
      <c r="X604" s="4">
        <f t="shared" ca="1" si="194"/>
        <v>0</v>
      </c>
      <c r="Y604" s="4">
        <f t="shared" si="195"/>
        <v>0</v>
      </c>
      <c r="Z604" s="13">
        <f t="shared" ca="1" si="196"/>
        <v>5546.25</v>
      </c>
      <c r="AA604" s="4">
        <f t="shared" ca="1" si="197"/>
        <v>0</v>
      </c>
    </row>
    <row r="605" spans="1:27">
      <c r="A605">
        <v>0</v>
      </c>
      <c r="B605">
        <v>1</v>
      </c>
      <c r="C605">
        <f t="shared" ca="1" si="176"/>
        <v>3</v>
      </c>
      <c r="D605">
        <f t="shared" ca="1" si="177"/>
        <v>2</v>
      </c>
      <c r="E605">
        <f t="shared" ca="1" si="178"/>
        <v>0</v>
      </c>
      <c r="F605" s="110">
        <f t="shared" ca="1" si="179"/>
        <v>5.3066759999999991E-2</v>
      </c>
      <c r="G605">
        <v>0</v>
      </c>
      <c r="H605">
        <v>1</v>
      </c>
      <c r="I605">
        <v>1</v>
      </c>
      <c r="J605" s="1">
        <f t="shared" ca="1" si="180"/>
        <v>0</v>
      </c>
      <c r="K605" s="1">
        <f t="shared" ca="1" si="181"/>
        <v>0</v>
      </c>
      <c r="L605" s="13">
        <f t="shared" ca="1" si="182"/>
        <v>303</v>
      </c>
      <c r="M605" s="7">
        <f t="shared" ca="1" si="183"/>
        <v>1197</v>
      </c>
      <c r="N605" s="26">
        <f t="shared" ca="1" si="184"/>
        <v>4</v>
      </c>
      <c r="O605" s="44">
        <f t="shared" ca="1" si="185"/>
        <v>2.8908103757121246</v>
      </c>
      <c r="P605" s="44">
        <f t="shared" ca="1" si="186"/>
        <v>28.908103757121246</v>
      </c>
      <c r="Q605" s="44">
        <f t="shared" ca="1" si="187"/>
        <v>28.908103757121246</v>
      </c>
      <c r="R605" s="44">
        <f t="shared" ca="1" si="188"/>
        <v>2.8908103757121246</v>
      </c>
      <c r="S605" s="44">
        <f t="shared" ca="1" si="189"/>
        <v>2.8908103757121246</v>
      </c>
      <c r="T605" s="4">
        <f t="shared" ca="1" si="190"/>
        <v>0</v>
      </c>
      <c r="U605" s="120">
        <f t="shared" ca="1" si="191"/>
        <v>2154.675062040129</v>
      </c>
      <c r="V605" s="4">
        <f t="shared" ca="1" si="192"/>
        <v>0</v>
      </c>
      <c r="W605" s="13">
        <f t="shared" ca="1" si="193"/>
        <v>2773.125</v>
      </c>
      <c r="X605" s="4">
        <f t="shared" ca="1" si="194"/>
        <v>0</v>
      </c>
      <c r="Y605" s="4">
        <f t="shared" si="195"/>
        <v>0</v>
      </c>
      <c r="Z605" s="13">
        <f t="shared" ca="1" si="196"/>
        <v>2773.125</v>
      </c>
      <c r="AA605" s="4">
        <f t="shared" ca="1" si="197"/>
        <v>0</v>
      </c>
    </row>
    <row r="606" spans="1:27">
      <c r="A606">
        <v>0</v>
      </c>
      <c r="B606">
        <v>1</v>
      </c>
      <c r="C606">
        <f t="shared" ca="1" si="176"/>
        <v>3</v>
      </c>
      <c r="D606">
        <f t="shared" ca="1" si="177"/>
        <v>2</v>
      </c>
      <c r="E606">
        <f t="shared" ca="1" si="178"/>
        <v>0</v>
      </c>
      <c r="F606" s="110">
        <f t="shared" ca="1" si="179"/>
        <v>5.3066759999999991E-2</v>
      </c>
      <c r="G606">
        <v>0</v>
      </c>
      <c r="H606">
        <v>1</v>
      </c>
      <c r="I606">
        <v>0</v>
      </c>
      <c r="J606" s="1">
        <f t="shared" ca="1" si="180"/>
        <v>0</v>
      </c>
      <c r="K606" s="1">
        <f t="shared" ca="1" si="181"/>
        <v>0</v>
      </c>
      <c r="L606" s="13">
        <f t="shared" ca="1" si="182"/>
        <v>284</v>
      </c>
      <c r="M606" s="7">
        <f t="shared" ca="1" si="183"/>
        <v>1216</v>
      </c>
      <c r="N606" s="26">
        <f t="shared" ca="1" si="184"/>
        <v>4</v>
      </c>
      <c r="O606" s="44">
        <f t="shared" ca="1" si="185"/>
        <v>2.8908103757121246</v>
      </c>
      <c r="P606" s="44">
        <f t="shared" ca="1" si="186"/>
        <v>28.908103757121246</v>
      </c>
      <c r="Q606" s="44">
        <f t="shared" ca="1" si="187"/>
        <v>28.908103757121246</v>
      </c>
      <c r="R606" s="44">
        <f t="shared" ca="1" si="188"/>
        <v>2.8908103757121246</v>
      </c>
      <c r="S606" s="44">
        <f t="shared" ca="1" si="189"/>
        <v>2.8908103757121246</v>
      </c>
      <c r="T606" s="4">
        <f t="shared" ca="1" si="190"/>
        <v>0</v>
      </c>
      <c r="U606" s="120">
        <f t="shared" ca="1" si="191"/>
        <v>2135.675062040129</v>
      </c>
      <c r="V606" s="4">
        <f t="shared" ca="1" si="192"/>
        <v>0</v>
      </c>
      <c r="W606" s="13">
        <f t="shared" ca="1" si="193"/>
        <v>0</v>
      </c>
      <c r="X606" s="4">
        <f t="shared" ca="1" si="194"/>
        <v>0</v>
      </c>
      <c r="Y606" s="4">
        <f t="shared" si="195"/>
        <v>0</v>
      </c>
      <c r="Z606" s="13">
        <f t="shared" ca="1" si="196"/>
        <v>0</v>
      </c>
      <c r="AA606" s="4">
        <f t="shared" ca="1" si="197"/>
        <v>0</v>
      </c>
    </row>
    <row r="607" spans="1:27">
      <c r="A607">
        <v>0</v>
      </c>
      <c r="B607">
        <v>1</v>
      </c>
      <c r="C607">
        <f t="shared" ca="1" si="176"/>
        <v>3</v>
      </c>
      <c r="D607">
        <f t="shared" ca="1" si="177"/>
        <v>2</v>
      </c>
      <c r="E607">
        <f t="shared" ca="1" si="178"/>
        <v>0</v>
      </c>
      <c r="F607" s="110">
        <f t="shared" ca="1" si="179"/>
        <v>5.3066759999999991E-2</v>
      </c>
      <c r="G607">
        <v>0</v>
      </c>
      <c r="H607">
        <v>0</v>
      </c>
      <c r="I607">
        <v>7</v>
      </c>
      <c r="J607" s="1">
        <f t="shared" ca="1" si="180"/>
        <v>0</v>
      </c>
      <c r="K607" s="1">
        <f t="shared" ca="1" si="181"/>
        <v>0</v>
      </c>
      <c r="L607" s="13">
        <f t="shared" ca="1" si="182"/>
        <v>133</v>
      </c>
      <c r="M607" s="7">
        <f t="shared" ca="1" si="183"/>
        <v>1367</v>
      </c>
      <c r="N607" s="26">
        <f t="shared" ca="1" si="184"/>
        <v>4</v>
      </c>
      <c r="O607" s="44">
        <f t="shared" ca="1" si="185"/>
        <v>2.8908103757121246</v>
      </c>
      <c r="P607" s="44">
        <f t="shared" ca="1" si="186"/>
        <v>28.908103757121246</v>
      </c>
      <c r="Q607" s="44">
        <f t="shared" ca="1" si="187"/>
        <v>28.908103757121246</v>
      </c>
      <c r="R607" s="44">
        <f t="shared" ca="1" si="188"/>
        <v>2.8908103757121246</v>
      </c>
      <c r="S607" s="44">
        <f t="shared" ca="1" si="189"/>
        <v>2.8908103757121246</v>
      </c>
      <c r="T607" s="4">
        <f t="shared" ca="1" si="190"/>
        <v>0</v>
      </c>
      <c r="U607" s="120">
        <f t="shared" ca="1" si="191"/>
        <v>1984.6750620401288</v>
      </c>
      <c r="V607" s="4">
        <f t="shared" ca="1" si="192"/>
        <v>0</v>
      </c>
      <c r="W607" s="13">
        <f t="shared" ca="1" si="193"/>
        <v>19411.875</v>
      </c>
      <c r="X607" s="4">
        <f t="shared" ca="1" si="194"/>
        <v>0</v>
      </c>
      <c r="Y607" s="4">
        <f t="shared" si="195"/>
        <v>0</v>
      </c>
      <c r="Z607" s="13">
        <f t="shared" ca="1" si="196"/>
        <v>19411.875</v>
      </c>
      <c r="AA607" s="4">
        <f t="shared" ca="1" si="197"/>
        <v>0</v>
      </c>
    </row>
    <row r="608" spans="1:27">
      <c r="A608">
        <v>0</v>
      </c>
      <c r="B608">
        <v>1</v>
      </c>
      <c r="C608">
        <f t="shared" ca="1" si="176"/>
        <v>3</v>
      </c>
      <c r="D608">
        <f t="shared" ca="1" si="177"/>
        <v>2</v>
      </c>
      <c r="E608">
        <f t="shared" ca="1" si="178"/>
        <v>0</v>
      </c>
      <c r="F608" s="110">
        <f t="shared" ca="1" si="179"/>
        <v>5.3066759999999991E-2</v>
      </c>
      <c r="G608">
        <v>0</v>
      </c>
      <c r="H608">
        <v>0</v>
      </c>
      <c r="I608">
        <v>6</v>
      </c>
      <c r="J608" s="1">
        <f t="shared" ca="1" si="180"/>
        <v>0</v>
      </c>
      <c r="K608" s="1">
        <f t="shared" ca="1" si="181"/>
        <v>0</v>
      </c>
      <c r="L608" s="13">
        <f t="shared" ca="1" si="182"/>
        <v>114</v>
      </c>
      <c r="M608" s="7">
        <f t="shared" ca="1" si="183"/>
        <v>1386</v>
      </c>
      <c r="N608" s="26">
        <f t="shared" ca="1" si="184"/>
        <v>4</v>
      </c>
      <c r="O608" s="44">
        <f t="shared" ca="1" si="185"/>
        <v>2.8908103757121246</v>
      </c>
      <c r="P608" s="44">
        <f t="shared" ca="1" si="186"/>
        <v>28.908103757121246</v>
      </c>
      <c r="Q608" s="44">
        <f t="shared" ca="1" si="187"/>
        <v>28.908103757121246</v>
      </c>
      <c r="R608" s="44">
        <f t="shared" ca="1" si="188"/>
        <v>2.8908103757121246</v>
      </c>
      <c r="S608" s="44">
        <f t="shared" ca="1" si="189"/>
        <v>2.8908103757121246</v>
      </c>
      <c r="T608" s="4">
        <f t="shared" ca="1" si="190"/>
        <v>0</v>
      </c>
      <c r="U608" s="120">
        <f t="shared" ca="1" si="191"/>
        <v>1965.6750620401288</v>
      </c>
      <c r="V608" s="4">
        <f t="shared" ca="1" si="192"/>
        <v>0</v>
      </c>
      <c r="W608" s="13">
        <f t="shared" ca="1" si="193"/>
        <v>16638.75</v>
      </c>
      <c r="X608" s="4">
        <f t="shared" ca="1" si="194"/>
        <v>0</v>
      </c>
      <c r="Y608" s="4">
        <f t="shared" si="195"/>
        <v>0</v>
      </c>
      <c r="Z608" s="13">
        <f t="shared" ca="1" si="196"/>
        <v>16638.75</v>
      </c>
      <c r="AA608" s="4">
        <f t="shared" ca="1" si="197"/>
        <v>0</v>
      </c>
    </row>
    <row r="609" spans="1:27">
      <c r="A609">
        <v>0</v>
      </c>
      <c r="B609">
        <v>1</v>
      </c>
      <c r="C609">
        <f t="shared" ca="1" si="176"/>
        <v>3</v>
      </c>
      <c r="D609">
        <f t="shared" ca="1" si="177"/>
        <v>2</v>
      </c>
      <c r="E609">
        <f t="shared" ca="1" si="178"/>
        <v>0</v>
      </c>
      <c r="F609" s="110">
        <f t="shared" ca="1" si="179"/>
        <v>5.3066759999999991E-2</v>
      </c>
      <c r="G609">
        <v>0</v>
      </c>
      <c r="H609">
        <v>0</v>
      </c>
      <c r="I609">
        <v>5</v>
      </c>
      <c r="J609" s="1">
        <f t="shared" ca="1" si="180"/>
        <v>0</v>
      </c>
      <c r="K609" s="1">
        <f t="shared" ca="1" si="181"/>
        <v>0</v>
      </c>
      <c r="L609" s="13">
        <f t="shared" ca="1" si="182"/>
        <v>95</v>
      </c>
      <c r="M609" s="7">
        <f t="shared" ca="1" si="183"/>
        <v>1405</v>
      </c>
      <c r="N609" s="26">
        <f t="shared" ca="1" si="184"/>
        <v>5</v>
      </c>
      <c r="O609" s="44">
        <f t="shared" ca="1" si="185"/>
        <v>3.5395046525977252</v>
      </c>
      <c r="P609" s="44">
        <f t="shared" ca="1" si="186"/>
        <v>35.39504652597725</v>
      </c>
      <c r="Q609" s="44">
        <f t="shared" ca="1" si="187"/>
        <v>30.205492310892446</v>
      </c>
      <c r="R609" s="44">
        <f t="shared" ca="1" si="188"/>
        <v>3.2800269418434853</v>
      </c>
      <c r="S609" s="44">
        <f t="shared" ca="1" si="189"/>
        <v>3.5213412128449284</v>
      </c>
      <c r="T609" s="4">
        <f t="shared" ca="1" si="190"/>
        <v>0</v>
      </c>
      <c r="U609" s="120">
        <f t="shared" ca="1" si="191"/>
        <v>2290.8626329996823</v>
      </c>
      <c r="V609" s="4">
        <f t="shared" ca="1" si="192"/>
        <v>0</v>
      </c>
      <c r="W609" s="13">
        <f t="shared" ca="1" si="193"/>
        <v>13865.625</v>
      </c>
      <c r="X609" s="4">
        <f t="shared" ca="1" si="194"/>
        <v>0</v>
      </c>
      <c r="Y609" s="4">
        <f t="shared" si="195"/>
        <v>0</v>
      </c>
      <c r="Z609" s="13">
        <f t="shared" ca="1" si="196"/>
        <v>13865.625</v>
      </c>
      <c r="AA609" s="4">
        <f t="shared" ca="1" si="197"/>
        <v>0</v>
      </c>
    </row>
    <row r="610" spans="1:27">
      <c r="A610">
        <v>0</v>
      </c>
      <c r="B610">
        <v>1</v>
      </c>
      <c r="C610">
        <f t="shared" ca="1" si="176"/>
        <v>3</v>
      </c>
      <c r="D610">
        <f t="shared" ca="1" si="177"/>
        <v>2</v>
      </c>
      <c r="E610">
        <f t="shared" ca="1" si="178"/>
        <v>0</v>
      </c>
      <c r="F610" s="110">
        <f t="shared" ca="1" si="179"/>
        <v>5.3066759999999991E-2</v>
      </c>
      <c r="G610">
        <v>0</v>
      </c>
      <c r="H610">
        <v>0</v>
      </c>
      <c r="I610">
        <v>4</v>
      </c>
      <c r="J610" s="1">
        <f t="shared" ca="1" si="180"/>
        <v>0</v>
      </c>
      <c r="K610" s="1">
        <f t="shared" ca="1" si="181"/>
        <v>0</v>
      </c>
      <c r="L610" s="13">
        <f t="shared" ca="1" si="182"/>
        <v>76</v>
      </c>
      <c r="M610" s="7">
        <f t="shared" ca="1" si="183"/>
        <v>1424</v>
      </c>
      <c r="N610" s="26">
        <f t="shared" ca="1" si="184"/>
        <v>5</v>
      </c>
      <c r="O610" s="44">
        <f t="shared" ca="1" si="185"/>
        <v>3.5395046525977252</v>
      </c>
      <c r="P610" s="44">
        <f t="shared" ca="1" si="186"/>
        <v>35.39504652597725</v>
      </c>
      <c r="Q610" s="44">
        <f t="shared" ca="1" si="187"/>
        <v>35.39504652597725</v>
      </c>
      <c r="R610" s="44">
        <f t="shared" ca="1" si="188"/>
        <v>3.5395046525977252</v>
      </c>
      <c r="S610" s="44">
        <f t="shared" ca="1" si="189"/>
        <v>3.5395046525977252</v>
      </c>
      <c r="T610" s="4">
        <f t="shared" ca="1" si="190"/>
        <v>0</v>
      </c>
      <c r="U610" s="120">
        <f t="shared" ca="1" si="191"/>
        <v>2281.7775012989287</v>
      </c>
      <c r="V610" s="4">
        <f t="shared" ca="1" si="192"/>
        <v>0</v>
      </c>
      <c r="W610" s="13">
        <f t="shared" ca="1" si="193"/>
        <v>11092.5</v>
      </c>
      <c r="X610" s="4">
        <f t="shared" ca="1" si="194"/>
        <v>0</v>
      </c>
      <c r="Y610" s="4">
        <f t="shared" si="195"/>
        <v>0</v>
      </c>
      <c r="Z610" s="13">
        <f t="shared" ca="1" si="196"/>
        <v>11092.5</v>
      </c>
      <c r="AA610" s="4">
        <f t="shared" ca="1" si="197"/>
        <v>0</v>
      </c>
    </row>
    <row r="611" spans="1:27">
      <c r="A611">
        <v>0</v>
      </c>
      <c r="B611">
        <v>1</v>
      </c>
      <c r="C611">
        <f t="shared" ca="1" si="176"/>
        <v>3</v>
      </c>
      <c r="D611">
        <f t="shared" ca="1" si="177"/>
        <v>2</v>
      </c>
      <c r="E611">
        <f t="shared" ca="1" si="178"/>
        <v>0</v>
      </c>
      <c r="F611" s="110">
        <f t="shared" ca="1" si="179"/>
        <v>5.3066759999999991E-2</v>
      </c>
      <c r="G611">
        <v>0</v>
      </c>
      <c r="H611">
        <v>0</v>
      </c>
      <c r="I611">
        <v>3</v>
      </c>
      <c r="J611" s="1">
        <f t="shared" ca="1" si="180"/>
        <v>0</v>
      </c>
      <c r="K611" s="1">
        <f t="shared" ca="1" si="181"/>
        <v>0</v>
      </c>
      <c r="L611" s="13">
        <f t="shared" ca="1" si="182"/>
        <v>57</v>
      </c>
      <c r="M611" s="7">
        <f t="shared" ca="1" si="183"/>
        <v>1443</v>
      </c>
      <c r="N611" s="26">
        <f t="shared" ca="1" si="184"/>
        <v>5</v>
      </c>
      <c r="O611" s="44">
        <f t="shared" ca="1" si="185"/>
        <v>3.5395046525977252</v>
      </c>
      <c r="P611" s="44">
        <f t="shared" ca="1" si="186"/>
        <v>35.39504652597725</v>
      </c>
      <c r="Q611" s="44">
        <f t="shared" ca="1" si="187"/>
        <v>35.39504652597725</v>
      </c>
      <c r="R611" s="44">
        <f t="shared" ca="1" si="188"/>
        <v>3.5395046525977252</v>
      </c>
      <c r="S611" s="44">
        <f t="shared" ca="1" si="189"/>
        <v>3.5395046525977252</v>
      </c>
      <c r="T611" s="4">
        <f t="shared" ca="1" si="190"/>
        <v>0</v>
      </c>
      <c r="U611" s="120">
        <f t="shared" ca="1" si="191"/>
        <v>2262.7775012989287</v>
      </c>
      <c r="V611" s="4">
        <f t="shared" ca="1" si="192"/>
        <v>0</v>
      </c>
      <c r="W611" s="13">
        <f t="shared" ca="1" si="193"/>
        <v>8319.375</v>
      </c>
      <c r="X611" s="4">
        <f t="shared" ca="1" si="194"/>
        <v>0</v>
      </c>
      <c r="Y611" s="4">
        <f t="shared" si="195"/>
        <v>0</v>
      </c>
      <c r="Z611" s="13">
        <f t="shared" ca="1" si="196"/>
        <v>8319.375</v>
      </c>
      <c r="AA611" s="4">
        <f t="shared" ca="1" si="197"/>
        <v>0</v>
      </c>
    </row>
    <row r="612" spans="1:27">
      <c r="A612">
        <v>0</v>
      </c>
      <c r="B612">
        <v>1</v>
      </c>
      <c r="C612">
        <f t="shared" ca="1" si="176"/>
        <v>3</v>
      </c>
      <c r="D612">
        <f t="shared" ca="1" si="177"/>
        <v>2</v>
      </c>
      <c r="E612">
        <f t="shared" ca="1" si="178"/>
        <v>0</v>
      </c>
      <c r="F612" s="110">
        <f t="shared" ca="1" si="179"/>
        <v>5.3066759999999991E-2</v>
      </c>
      <c r="G612">
        <v>0</v>
      </c>
      <c r="H612">
        <v>0</v>
      </c>
      <c r="I612">
        <v>2</v>
      </c>
      <c r="J612" s="1">
        <f t="shared" ca="1" si="180"/>
        <v>4.5124999999999998E-2</v>
      </c>
      <c r="K612" s="1">
        <f t="shared" ca="1" si="181"/>
        <v>2.3946375449999994E-3</v>
      </c>
      <c r="L612" s="13">
        <f t="shared" ca="1" si="182"/>
        <v>38</v>
      </c>
      <c r="M612" s="7">
        <f t="shared" ca="1" si="183"/>
        <v>1462</v>
      </c>
      <c r="N612" s="26">
        <f t="shared" ca="1" si="184"/>
        <v>5</v>
      </c>
      <c r="O612" s="44">
        <f t="shared" ca="1" si="185"/>
        <v>3.5395046525977252</v>
      </c>
      <c r="P612" s="44">
        <f t="shared" ca="1" si="186"/>
        <v>35.39504652597725</v>
      </c>
      <c r="Q612" s="44">
        <f t="shared" ca="1" si="187"/>
        <v>35.39504652597725</v>
      </c>
      <c r="R612" s="44">
        <f t="shared" ca="1" si="188"/>
        <v>3.5395046525977252</v>
      </c>
      <c r="S612" s="44">
        <f t="shared" ca="1" si="189"/>
        <v>3.5395046525977252</v>
      </c>
      <c r="T612" s="4">
        <f t="shared" ca="1" si="190"/>
        <v>8.4758307318126922E-3</v>
      </c>
      <c r="U612" s="120">
        <f t="shared" ca="1" si="191"/>
        <v>2243.7775012989287</v>
      </c>
      <c r="V612" s="4">
        <f t="shared" ca="1" si="192"/>
        <v>5.373033847236699</v>
      </c>
      <c r="W612" s="13">
        <f t="shared" ca="1" si="193"/>
        <v>5546.25</v>
      </c>
      <c r="X612" s="4">
        <f t="shared" ca="1" si="194"/>
        <v>13.281258483956247</v>
      </c>
      <c r="Y612" s="4">
        <f t="shared" si="195"/>
        <v>0</v>
      </c>
      <c r="Z612" s="13">
        <f t="shared" ca="1" si="196"/>
        <v>5546.25</v>
      </c>
      <c r="AA612" s="4">
        <f t="shared" ca="1" si="197"/>
        <v>13.281258483956247</v>
      </c>
    </row>
    <row r="613" spans="1:27">
      <c r="A613">
        <v>0</v>
      </c>
      <c r="B613">
        <v>1</v>
      </c>
      <c r="C613">
        <f t="shared" ca="1" si="176"/>
        <v>3</v>
      </c>
      <c r="D613">
        <f t="shared" ca="1" si="177"/>
        <v>2</v>
      </c>
      <c r="E613">
        <f t="shared" ca="1" si="178"/>
        <v>0</v>
      </c>
      <c r="F613" s="110">
        <f t="shared" ca="1" si="179"/>
        <v>5.3066759999999991E-2</v>
      </c>
      <c r="G613">
        <v>0</v>
      </c>
      <c r="H613">
        <v>0</v>
      </c>
      <c r="I613">
        <v>1</v>
      </c>
      <c r="J613" s="1">
        <f t="shared" ca="1" si="180"/>
        <v>4.7500000000000042E-3</v>
      </c>
      <c r="K613" s="1">
        <f t="shared" ca="1" si="181"/>
        <v>2.5206711000000018E-4</v>
      </c>
      <c r="L613" s="13">
        <f t="shared" ca="1" si="182"/>
        <v>19</v>
      </c>
      <c r="M613" s="7">
        <f t="shared" ca="1" si="183"/>
        <v>1481</v>
      </c>
      <c r="N613" s="26">
        <f t="shared" ca="1" si="184"/>
        <v>5</v>
      </c>
      <c r="O613" s="44">
        <f t="shared" ca="1" si="185"/>
        <v>3.5395046525977252</v>
      </c>
      <c r="P613" s="44">
        <f t="shared" ca="1" si="186"/>
        <v>35.39504652597725</v>
      </c>
      <c r="Q613" s="44">
        <f t="shared" ca="1" si="187"/>
        <v>35.39504652597725</v>
      </c>
      <c r="R613" s="44">
        <f t="shared" ca="1" si="188"/>
        <v>3.5395046525977252</v>
      </c>
      <c r="S613" s="44">
        <f t="shared" ca="1" si="189"/>
        <v>3.5395046525977252</v>
      </c>
      <c r="T613" s="4">
        <f t="shared" ca="1" si="190"/>
        <v>8.9219270861186318E-4</v>
      </c>
      <c r="U613" s="120">
        <f t="shared" ca="1" si="191"/>
        <v>2224.7775012989287</v>
      </c>
      <c r="V613" s="4">
        <f t="shared" ca="1" si="192"/>
        <v>0.56079323514544255</v>
      </c>
      <c r="W613" s="13">
        <f t="shared" ca="1" si="193"/>
        <v>2773.125</v>
      </c>
      <c r="X613" s="4">
        <f t="shared" ca="1" si="194"/>
        <v>0.69901360441875049</v>
      </c>
      <c r="Y613" s="4">
        <f t="shared" si="195"/>
        <v>0</v>
      </c>
      <c r="Z613" s="13">
        <f t="shared" ca="1" si="196"/>
        <v>2773.125</v>
      </c>
      <c r="AA613" s="4">
        <f t="shared" ca="1" si="197"/>
        <v>0.69901360441875049</v>
      </c>
    </row>
    <row r="614" spans="1:27">
      <c r="A614">
        <v>0</v>
      </c>
      <c r="B614">
        <v>1</v>
      </c>
      <c r="C614">
        <f t="shared" ca="1" si="176"/>
        <v>3</v>
      </c>
      <c r="D614">
        <f t="shared" ca="1" si="177"/>
        <v>2</v>
      </c>
      <c r="E614">
        <f t="shared" ca="1" si="178"/>
        <v>0</v>
      </c>
      <c r="F614" s="110">
        <f t="shared" ca="1" si="179"/>
        <v>5.3066759999999991E-2</v>
      </c>
      <c r="G614">
        <v>0</v>
      </c>
      <c r="H614">
        <v>0</v>
      </c>
      <c r="I614">
        <v>0</v>
      </c>
      <c r="J614" s="1">
        <f t="shared" ca="1" si="180"/>
        <v>1.2500000000000022E-4</v>
      </c>
      <c r="K614" s="1">
        <f t="shared" ca="1" si="181"/>
        <v>6.6333450000000104E-6</v>
      </c>
      <c r="L614" s="13">
        <f t="shared" ca="1" si="182"/>
        <v>0</v>
      </c>
      <c r="M614" s="7">
        <f t="shared" ca="1" si="183"/>
        <v>1500</v>
      </c>
      <c r="N614" s="26">
        <f t="shared" ca="1" si="184"/>
        <v>5</v>
      </c>
      <c r="O614" s="44">
        <f t="shared" ca="1" si="185"/>
        <v>3.5395046525977252</v>
      </c>
      <c r="P614" s="44">
        <f t="shared" ca="1" si="186"/>
        <v>35.39504652597725</v>
      </c>
      <c r="Q614" s="44">
        <f t="shared" ca="1" si="187"/>
        <v>35.39504652597725</v>
      </c>
      <c r="R614" s="44">
        <f t="shared" ca="1" si="188"/>
        <v>3.5395046525977252</v>
      </c>
      <c r="S614" s="44">
        <f t="shared" ca="1" si="189"/>
        <v>3.5395046525977252</v>
      </c>
      <c r="T614" s="4">
        <f t="shared" ca="1" si="190"/>
        <v>2.3478755489785895E-5</v>
      </c>
      <c r="U614" s="120">
        <f t="shared" ca="1" si="191"/>
        <v>2205.7775012989287</v>
      </c>
      <c r="V614" s="4">
        <f t="shared" ca="1" si="192"/>
        <v>1.4631683159353764E-2</v>
      </c>
      <c r="W614" s="13">
        <f t="shared" ca="1" si="193"/>
        <v>0</v>
      </c>
      <c r="X614" s="4">
        <f t="shared" ca="1" si="194"/>
        <v>0</v>
      </c>
      <c r="Y614" s="4">
        <f t="shared" si="195"/>
        <v>0</v>
      </c>
      <c r="Z614" s="13">
        <f t="shared" ca="1" si="196"/>
        <v>0</v>
      </c>
      <c r="AA614" s="4">
        <f t="shared" ca="1" si="197"/>
        <v>0</v>
      </c>
    </row>
    <row r="615" spans="1:27">
      <c r="A615">
        <v>0</v>
      </c>
      <c r="B615">
        <v>2</v>
      </c>
      <c r="C615">
        <f t="shared" ref="C615:C678" ca="1" si="198">MIN(8, 1+$B$543+$B$542+A615+B615)</f>
        <v>4</v>
      </c>
      <c r="D615">
        <f t="shared" ref="D615:D678" ca="1" si="199">C615-(1+$B$543)</f>
        <v>3</v>
      </c>
      <c r="E615">
        <f t="shared" ref="E615:E678" ca="1" si="200">MIN(A615, C615-(1+$B$543+$B$542))</f>
        <v>0</v>
      </c>
      <c r="F615" s="110">
        <f t="shared" ref="F615:F678" ca="1" si="201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0</v>
      </c>
      <c r="G615">
        <v>1</v>
      </c>
      <c r="H615">
        <v>1</v>
      </c>
      <c r="I615">
        <v>7</v>
      </c>
      <c r="J615" s="1">
        <f t="shared" ref="J615:J678" ca="1" si="202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203">F615*J615</f>
        <v>0</v>
      </c>
      <c r="L615" s="13">
        <f t="shared" ref="L615:L678" ca="1" si="204">MAX((G615+H615)*Set2WSTP + I615*$B$539, Set2SaveTP)</f>
        <v>701</v>
      </c>
      <c r="M615" s="7">
        <f t="shared" ref="M615:M678" ca="1" si="205">MAX(Set2MinTP-(L615+Set2Regain), 0)</f>
        <v>799</v>
      </c>
      <c r="N615" s="26">
        <f t="shared" ref="N615:N678" ca="1" si="206">CEILING(M615/Set2MeleeTP, 1)</f>
        <v>3</v>
      </c>
      <c r="O615" s="44">
        <f t="shared" ref="O615:O678" ca="1" si="207">VLOOKUP(N615, AvgRoundsSet2, 2)</f>
        <v>2.2758855914378953</v>
      </c>
      <c r="P615" s="44">
        <f t="shared" ref="P615:P678" ca="1" si="208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22.758855914378952</v>
      </c>
      <c r="Q615" s="44">
        <f t="shared" ref="Q615:Q678" ca="1" si="209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22.758855914378952</v>
      </c>
      <c r="R615" s="44">
        <f t="shared" ref="R615:R678" ca="1" si="210">(P615+Q615)/20</f>
        <v>2.2758855914378953</v>
      </c>
      <c r="S615" s="44">
        <f t="shared" ref="S615:S678" ca="1" si="211">R615*Set2ConserveTP + O615*(1-Set2ConserveTP)</f>
        <v>2.2758855914378953</v>
      </c>
      <c r="T615" s="4">
        <f t="shared" ref="T615:T678" ca="1" si="212">K615*S615</f>
        <v>0</v>
      </c>
      <c r="U615" s="120">
        <f t="shared" ref="U615:U678" ca="1" si="213">MIN(L615+(S615+Set2OverTP)*AvgHitsPerRound2*Set2MeleeTP + Set2Regain + 10.5*Set2ConserveTP, 3000)</f>
        <v>2217.0063598009133</v>
      </c>
      <c r="V615" s="4">
        <f t="shared" ref="V615:V678" ca="1" si="214">U615*K615</f>
        <v>0</v>
      </c>
      <c r="W615" s="13">
        <f t="shared" ref="W615:W678" ca="1" si="215">G615*$K$543*((1-$L$543)*$L$547 + $L$543*$M$547*$M$543)*Set2WSDmg + H615*$K$546*((1-$L$546)*$L$548 + $L$546*$M$548*$M$544) + I615*$K$544*((1-$L$544)*$L$547 + $L$544*$M$547*$M$544) + E615*$K$545*$L$545*$M$543</f>
        <v>49588.256250000006</v>
      </c>
      <c r="X615" s="4">
        <f t="shared" ref="X615:X678" ca="1" si="216">K615*W615</f>
        <v>0</v>
      </c>
      <c r="Y615" s="4">
        <f t="shared" ref="Y615:Y678" si="217">IF($B$545=1, (VLOOKUP(C615, IF($B$546=10%,Souleater10,Souleater12), 6, FALSE) * $B$547), 0)</f>
        <v>0</v>
      </c>
      <c r="Z615" s="13">
        <f t="shared" ca="1" si="196"/>
        <v>49588.256250000006</v>
      </c>
      <c r="AA615" s="4">
        <f t="shared" ca="1" si="197"/>
        <v>0</v>
      </c>
    </row>
    <row r="616" spans="1:27">
      <c r="A616">
        <v>0</v>
      </c>
      <c r="B616">
        <v>2</v>
      </c>
      <c r="C616">
        <f t="shared" ca="1" si="198"/>
        <v>4</v>
      </c>
      <c r="D616">
        <f t="shared" ca="1" si="199"/>
        <v>3</v>
      </c>
      <c r="E616">
        <f t="shared" ca="1" si="200"/>
        <v>0</v>
      </c>
      <c r="F616" s="110">
        <f t="shared" ca="1" si="201"/>
        <v>0</v>
      </c>
      <c r="G616">
        <v>1</v>
      </c>
      <c r="H616">
        <v>1</v>
      </c>
      <c r="I616">
        <v>6</v>
      </c>
      <c r="J616" s="1">
        <f t="shared" ca="1" si="202"/>
        <v>0</v>
      </c>
      <c r="K616" s="1">
        <f t="shared" ca="1" si="203"/>
        <v>0</v>
      </c>
      <c r="L616" s="13">
        <f t="shared" ca="1" si="204"/>
        <v>682</v>
      </c>
      <c r="M616" s="7">
        <f t="shared" ca="1" si="205"/>
        <v>818</v>
      </c>
      <c r="N616" s="26">
        <f t="shared" ca="1" si="206"/>
        <v>3</v>
      </c>
      <c r="O616" s="44">
        <f t="shared" ca="1" si="207"/>
        <v>2.2758855914378953</v>
      </c>
      <c r="P616" s="44">
        <f t="shared" ca="1" si="208"/>
        <v>22.758855914378952</v>
      </c>
      <c r="Q616" s="44">
        <f t="shared" ca="1" si="209"/>
        <v>22.758855914378952</v>
      </c>
      <c r="R616" s="44">
        <f t="shared" ca="1" si="210"/>
        <v>2.2758855914378953</v>
      </c>
      <c r="S616" s="44">
        <f t="shared" ca="1" si="211"/>
        <v>2.2758855914378953</v>
      </c>
      <c r="T616" s="4">
        <f t="shared" ca="1" si="212"/>
        <v>0</v>
      </c>
      <c r="U616" s="120">
        <f t="shared" ca="1" si="213"/>
        <v>2198.0063598009133</v>
      </c>
      <c r="V616" s="4">
        <f t="shared" ca="1" si="214"/>
        <v>0</v>
      </c>
      <c r="W616" s="13">
        <f t="shared" ca="1" si="215"/>
        <v>46815.131250000006</v>
      </c>
      <c r="X616" s="4">
        <f t="shared" ca="1" si="216"/>
        <v>0</v>
      </c>
      <c r="Y616" s="4">
        <f t="shared" si="217"/>
        <v>0</v>
      </c>
      <c r="Z616" s="13">
        <f t="shared" ref="Z616:Z679" ca="1" si="218">Y616+W616</f>
        <v>46815.131250000006</v>
      </c>
      <c r="AA616" s="4">
        <f t="shared" ref="AA616:AA679" ca="1" si="219">Z616*K616</f>
        <v>0</v>
      </c>
    </row>
    <row r="617" spans="1:27">
      <c r="A617">
        <v>0</v>
      </c>
      <c r="B617">
        <v>2</v>
      </c>
      <c r="C617">
        <f t="shared" ca="1" si="198"/>
        <v>4</v>
      </c>
      <c r="D617">
        <f t="shared" ca="1" si="199"/>
        <v>3</v>
      </c>
      <c r="E617">
        <f t="shared" ca="1" si="200"/>
        <v>0</v>
      </c>
      <c r="F617" s="110">
        <f t="shared" ca="1" si="201"/>
        <v>0</v>
      </c>
      <c r="G617">
        <v>1</v>
      </c>
      <c r="H617">
        <v>1</v>
      </c>
      <c r="I617">
        <v>5</v>
      </c>
      <c r="J617" s="1">
        <f t="shared" ca="1" si="202"/>
        <v>0</v>
      </c>
      <c r="K617" s="1">
        <f t="shared" ca="1" si="203"/>
        <v>0</v>
      </c>
      <c r="L617" s="13">
        <f t="shared" ca="1" si="204"/>
        <v>663</v>
      </c>
      <c r="M617" s="7">
        <f t="shared" ca="1" si="205"/>
        <v>837</v>
      </c>
      <c r="N617" s="26">
        <f t="shared" ca="1" si="206"/>
        <v>3</v>
      </c>
      <c r="O617" s="44">
        <f t="shared" ca="1" si="207"/>
        <v>2.2758855914378953</v>
      </c>
      <c r="P617" s="44">
        <f t="shared" ca="1" si="208"/>
        <v>22.758855914378952</v>
      </c>
      <c r="Q617" s="44">
        <f t="shared" ca="1" si="209"/>
        <v>22.758855914378952</v>
      </c>
      <c r="R617" s="44">
        <f t="shared" ca="1" si="210"/>
        <v>2.2758855914378953</v>
      </c>
      <c r="S617" s="44">
        <f t="shared" ca="1" si="211"/>
        <v>2.2758855914378953</v>
      </c>
      <c r="T617" s="4">
        <f t="shared" ca="1" si="212"/>
        <v>0</v>
      </c>
      <c r="U617" s="120">
        <f t="shared" ca="1" si="213"/>
        <v>2179.0063598009133</v>
      </c>
      <c r="V617" s="4">
        <f t="shared" ca="1" si="214"/>
        <v>0</v>
      </c>
      <c r="W617" s="13">
        <f t="shared" ca="1" si="215"/>
        <v>44042.006250000006</v>
      </c>
      <c r="X617" s="4">
        <f t="shared" ca="1" si="216"/>
        <v>0</v>
      </c>
      <c r="Y617" s="4">
        <f t="shared" si="217"/>
        <v>0</v>
      </c>
      <c r="Z617" s="13">
        <f t="shared" ca="1" si="218"/>
        <v>44042.006250000006</v>
      </c>
      <c r="AA617" s="4">
        <f t="shared" ca="1" si="219"/>
        <v>0</v>
      </c>
    </row>
    <row r="618" spans="1:27">
      <c r="A618">
        <v>0</v>
      </c>
      <c r="B618">
        <v>2</v>
      </c>
      <c r="C618">
        <f t="shared" ca="1" si="198"/>
        <v>4</v>
      </c>
      <c r="D618">
        <f t="shared" ca="1" si="199"/>
        <v>3</v>
      </c>
      <c r="E618">
        <f t="shared" ca="1" si="200"/>
        <v>0</v>
      </c>
      <c r="F618" s="110">
        <f t="shared" ca="1" si="201"/>
        <v>0</v>
      </c>
      <c r="G618">
        <v>1</v>
      </c>
      <c r="H618">
        <v>1</v>
      </c>
      <c r="I618">
        <v>4</v>
      </c>
      <c r="J618" s="1">
        <f t="shared" ca="1" si="202"/>
        <v>0</v>
      </c>
      <c r="K618" s="1">
        <f t="shared" ca="1" si="203"/>
        <v>0</v>
      </c>
      <c r="L618" s="13">
        <f t="shared" ca="1" si="204"/>
        <v>644</v>
      </c>
      <c r="M618" s="7">
        <f t="shared" ca="1" si="205"/>
        <v>856</v>
      </c>
      <c r="N618" s="26">
        <f t="shared" ca="1" si="206"/>
        <v>3</v>
      </c>
      <c r="O618" s="44">
        <f t="shared" ca="1" si="207"/>
        <v>2.2758855914378953</v>
      </c>
      <c r="P618" s="44">
        <f t="shared" ca="1" si="208"/>
        <v>22.758855914378952</v>
      </c>
      <c r="Q618" s="44">
        <f t="shared" ca="1" si="209"/>
        <v>22.758855914378952</v>
      </c>
      <c r="R618" s="44">
        <f t="shared" ca="1" si="210"/>
        <v>2.2758855914378953</v>
      </c>
      <c r="S618" s="44">
        <f t="shared" ca="1" si="211"/>
        <v>2.2758855914378953</v>
      </c>
      <c r="T618" s="4">
        <f t="shared" ca="1" si="212"/>
        <v>0</v>
      </c>
      <c r="U618" s="120">
        <f t="shared" ca="1" si="213"/>
        <v>2160.0063598009133</v>
      </c>
      <c r="V618" s="4">
        <f t="shared" ca="1" si="214"/>
        <v>0</v>
      </c>
      <c r="W618" s="13">
        <f t="shared" ca="1" si="215"/>
        <v>41268.881250000006</v>
      </c>
      <c r="X618" s="4">
        <f t="shared" ca="1" si="216"/>
        <v>0</v>
      </c>
      <c r="Y618" s="4">
        <f t="shared" si="217"/>
        <v>0</v>
      </c>
      <c r="Z618" s="13">
        <f t="shared" ca="1" si="218"/>
        <v>41268.881250000006</v>
      </c>
      <c r="AA618" s="4">
        <f t="shared" ca="1" si="219"/>
        <v>0</v>
      </c>
    </row>
    <row r="619" spans="1:27">
      <c r="A619">
        <v>0</v>
      </c>
      <c r="B619">
        <v>2</v>
      </c>
      <c r="C619">
        <f t="shared" ca="1" si="198"/>
        <v>4</v>
      </c>
      <c r="D619">
        <f t="shared" ca="1" si="199"/>
        <v>3</v>
      </c>
      <c r="E619">
        <f t="shared" ca="1" si="200"/>
        <v>0</v>
      </c>
      <c r="F619" s="110">
        <f t="shared" ca="1" si="201"/>
        <v>0</v>
      </c>
      <c r="G619">
        <v>1</v>
      </c>
      <c r="H619">
        <v>1</v>
      </c>
      <c r="I619">
        <v>3</v>
      </c>
      <c r="J619" s="1">
        <f t="shared" ca="1" si="202"/>
        <v>0</v>
      </c>
      <c r="K619" s="1">
        <f t="shared" ca="1" si="203"/>
        <v>0</v>
      </c>
      <c r="L619" s="13">
        <f t="shared" ca="1" si="204"/>
        <v>625</v>
      </c>
      <c r="M619" s="7">
        <f t="shared" ca="1" si="205"/>
        <v>875</v>
      </c>
      <c r="N619" s="26">
        <f t="shared" ca="1" si="206"/>
        <v>3</v>
      </c>
      <c r="O619" s="44">
        <f t="shared" ca="1" si="207"/>
        <v>2.2758855914378953</v>
      </c>
      <c r="P619" s="44">
        <f t="shared" ca="1" si="208"/>
        <v>22.758855914378952</v>
      </c>
      <c r="Q619" s="44">
        <f t="shared" ca="1" si="209"/>
        <v>22.758855914378952</v>
      </c>
      <c r="R619" s="44">
        <f t="shared" ca="1" si="210"/>
        <v>2.2758855914378953</v>
      </c>
      <c r="S619" s="44">
        <f t="shared" ca="1" si="211"/>
        <v>2.2758855914378953</v>
      </c>
      <c r="T619" s="4">
        <f t="shared" ca="1" si="212"/>
        <v>0</v>
      </c>
      <c r="U619" s="120">
        <f t="shared" ca="1" si="213"/>
        <v>2141.0063598009133</v>
      </c>
      <c r="V619" s="4">
        <f t="shared" ca="1" si="214"/>
        <v>0</v>
      </c>
      <c r="W619" s="13">
        <f t="shared" ca="1" si="215"/>
        <v>38495.756250000006</v>
      </c>
      <c r="X619" s="4">
        <f t="shared" ca="1" si="216"/>
        <v>0</v>
      </c>
      <c r="Y619" s="4">
        <f t="shared" si="217"/>
        <v>0</v>
      </c>
      <c r="Z619" s="13">
        <f t="shared" ca="1" si="218"/>
        <v>38495.756250000006</v>
      </c>
      <c r="AA619" s="4">
        <f t="shared" ca="1" si="219"/>
        <v>0</v>
      </c>
    </row>
    <row r="620" spans="1:27">
      <c r="A620">
        <v>0</v>
      </c>
      <c r="B620">
        <v>2</v>
      </c>
      <c r="C620">
        <f t="shared" ca="1" si="198"/>
        <v>4</v>
      </c>
      <c r="D620">
        <f t="shared" ca="1" si="199"/>
        <v>3</v>
      </c>
      <c r="E620">
        <f t="shared" ca="1" si="200"/>
        <v>0</v>
      </c>
      <c r="F620" s="110">
        <f t="shared" ca="1" si="201"/>
        <v>0</v>
      </c>
      <c r="G620">
        <v>1</v>
      </c>
      <c r="H620">
        <v>1</v>
      </c>
      <c r="I620">
        <v>2</v>
      </c>
      <c r="J620" s="1">
        <f t="shared" ca="1" si="202"/>
        <v>0</v>
      </c>
      <c r="K620" s="1">
        <f t="shared" ca="1" si="203"/>
        <v>0</v>
      </c>
      <c r="L620" s="13">
        <f t="shared" ca="1" si="204"/>
        <v>606</v>
      </c>
      <c r="M620" s="7">
        <f t="shared" ca="1" si="205"/>
        <v>894</v>
      </c>
      <c r="N620" s="26">
        <f t="shared" ca="1" si="206"/>
        <v>3</v>
      </c>
      <c r="O620" s="44">
        <f t="shared" ca="1" si="207"/>
        <v>2.2758855914378953</v>
      </c>
      <c r="P620" s="44">
        <f t="shared" ca="1" si="208"/>
        <v>22.758855914378952</v>
      </c>
      <c r="Q620" s="44">
        <f t="shared" ca="1" si="209"/>
        <v>22.758855914378952</v>
      </c>
      <c r="R620" s="44">
        <f t="shared" ca="1" si="210"/>
        <v>2.2758855914378953</v>
      </c>
      <c r="S620" s="44">
        <f t="shared" ca="1" si="211"/>
        <v>2.2758855914378953</v>
      </c>
      <c r="T620" s="4">
        <f t="shared" ca="1" si="212"/>
        <v>0</v>
      </c>
      <c r="U620" s="120">
        <f t="shared" ca="1" si="213"/>
        <v>2122.0063598009133</v>
      </c>
      <c r="V620" s="4">
        <f t="shared" ca="1" si="214"/>
        <v>0</v>
      </c>
      <c r="W620" s="13">
        <f t="shared" ca="1" si="215"/>
        <v>35722.631250000006</v>
      </c>
      <c r="X620" s="4">
        <f t="shared" ca="1" si="216"/>
        <v>0</v>
      </c>
      <c r="Y620" s="4">
        <f t="shared" si="217"/>
        <v>0</v>
      </c>
      <c r="Z620" s="13">
        <f t="shared" ca="1" si="218"/>
        <v>35722.631250000006</v>
      </c>
      <c r="AA620" s="4">
        <f t="shared" ca="1" si="219"/>
        <v>0</v>
      </c>
    </row>
    <row r="621" spans="1:27">
      <c r="A621">
        <v>0</v>
      </c>
      <c r="B621">
        <v>2</v>
      </c>
      <c r="C621">
        <f t="shared" ca="1" si="198"/>
        <v>4</v>
      </c>
      <c r="D621">
        <f t="shared" ca="1" si="199"/>
        <v>3</v>
      </c>
      <c r="E621">
        <f t="shared" ca="1" si="200"/>
        <v>0</v>
      </c>
      <c r="F621" s="110">
        <f t="shared" ca="1" si="201"/>
        <v>0</v>
      </c>
      <c r="G621">
        <v>1</v>
      </c>
      <c r="H621">
        <v>1</v>
      </c>
      <c r="I621">
        <v>1</v>
      </c>
      <c r="J621" s="1">
        <f t="shared" ca="1" si="202"/>
        <v>0</v>
      </c>
      <c r="K621" s="1">
        <f t="shared" ca="1" si="203"/>
        <v>0</v>
      </c>
      <c r="L621" s="13">
        <f t="shared" ca="1" si="204"/>
        <v>587</v>
      </c>
      <c r="M621" s="7">
        <f t="shared" ca="1" si="205"/>
        <v>913</v>
      </c>
      <c r="N621" s="26">
        <f t="shared" ca="1" si="206"/>
        <v>3</v>
      </c>
      <c r="O621" s="44">
        <f t="shared" ca="1" si="207"/>
        <v>2.2758855914378953</v>
      </c>
      <c r="P621" s="44">
        <f t="shared" ca="1" si="208"/>
        <v>22.758855914378952</v>
      </c>
      <c r="Q621" s="44">
        <f t="shared" ca="1" si="209"/>
        <v>22.758855914378952</v>
      </c>
      <c r="R621" s="44">
        <f t="shared" ca="1" si="210"/>
        <v>2.2758855914378953</v>
      </c>
      <c r="S621" s="44">
        <f t="shared" ca="1" si="211"/>
        <v>2.2758855914378953</v>
      </c>
      <c r="T621" s="4">
        <f t="shared" ca="1" si="212"/>
        <v>0</v>
      </c>
      <c r="U621" s="120">
        <f t="shared" ca="1" si="213"/>
        <v>2103.0063598009133</v>
      </c>
      <c r="V621" s="4">
        <f t="shared" ca="1" si="214"/>
        <v>0</v>
      </c>
      <c r="W621" s="13">
        <f t="shared" ca="1" si="215"/>
        <v>32949.506250000006</v>
      </c>
      <c r="X621" s="4">
        <f t="shared" ca="1" si="216"/>
        <v>0</v>
      </c>
      <c r="Y621" s="4">
        <f t="shared" si="217"/>
        <v>0</v>
      </c>
      <c r="Z621" s="13">
        <f t="shared" ca="1" si="218"/>
        <v>32949.506250000006</v>
      </c>
      <c r="AA621" s="4">
        <f t="shared" ca="1" si="219"/>
        <v>0</v>
      </c>
    </row>
    <row r="622" spans="1:27">
      <c r="A622">
        <v>0</v>
      </c>
      <c r="B622">
        <v>2</v>
      </c>
      <c r="C622">
        <f t="shared" ca="1" si="198"/>
        <v>4</v>
      </c>
      <c r="D622">
        <f t="shared" ca="1" si="199"/>
        <v>3</v>
      </c>
      <c r="E622">
        <f t="shared" ca="1" si="200"/>
        <v>0</v>
      </c>
      <c r="F622" s="110">
        <f t="shared" ca="1" si="201"/>
        <v>0</v>
      </c>
      <c r="G622">
        <v>1</v>
      </c>
      <c r="H622">
        <v>1</v>
      </c>
      <c r="I622">
        <v>0</v>
      </c>
      <c r="J622" s="1">
        <f t="shared" ca="1" si="202"/>
        <v>0</v>
      </c>
      <c r="K622" s="1">
        <f t="shared" ca="1" si="203"/>
        <v>0</v>
      </c>
      <c r="L622" s="13">
        <f t="shared" ca="1" si="204"/>
        <v>568</v>
      </c>
      <c r="M622" s="7">
        <f t="shared" ca="1" si="205"/>
        <v>932</v>
      </c>
      <c r="N622" s="26">
        <f t="shared" ca="1" si="206"/>
        <v>3</v>
      </c>
      <c r="O622" s="44">
        <f t="shared" ca="1" si="207"/>
        <v>2.2758855914378953</v>
      </c>
      <c r="P622" s="44">
        <f t="shared" ca="1" si="208"/>
        <v>22.758855914378952</v>
      </c>
      <c r="Q622" s="44">
        <f t="shared" ca="1" si="209"/>
        <v>22.758855914378952</v>
      </c>
      <c r="R622" s="44">
        <f t="shared" ca="1" si="210"/>
        <v>2.2758855914378953</v>
      </c>
      <c r="S622" s="44">
        <f t="shared" ca="1" si="211"/>
        <v>2.2758855914378953</v>
      </c>
      <c r="T622" s="4">
        <f t="shared" ca="1" si="212"/>
        <v>0</v>
      </c>
      <c r="U622" s="120">
        <f t="shared" ca="1" si="213"/>
        <v>2084.0063598009133</v>
      </c>
      <c r="V622" s="4">
        <f t="shared" ca="1" si="214"/>
        <v>0</v>
      </c>
      <c r="W622" s="13">
        <f t="shared" ca="1" si="215"/>
        <v>30176.381250000002</v>
      </c>
      <c r="X622" s="4">
        <f t="shared" ca="1" si="216"/>
        <v>0</v>
      </c>
      <c r="Y622" s="4">
        <f t="shared" si="217"/>
        <v>0</v>
      </c>
      <c r="Z622" s="13">
        <f t="shared" ca="1" si="218"/>
        <v>30176.381250000002</v>
      </c>
      <c r="AA622" s="4">
        <f t="shared" ca="1" si="219"/>
        <v>0</v>
      </c>
    </row>
    <row r="623" spans="1:27">
      <c r="A623">
        <v>0</v>
      </c>
      <c r="B623">
        <v>2</v>
      </c>
      <c r="C623">
        <f t="shared" ca="1" si="198"/>
        <v>4</v>
      </c>
      <c r="D623">
        <f t="shared" ca="1" si="199"/>
        <v>3</v>
      </c>
      <c r="E623">
        <f t="shared" ca="1" si="200"/>
        <v>0</v>
      </c>
      <c r="F623" s="110">
        <f t="shared" ca="1" si="201"/>
        <v>0</v>
      </c>
      <c r="G623">
        <v>1</v>
      </c>
      <c r="H623">
        <v>0</v>
      </c>
      <c r="I623">
        <v>7</v>
      </c>
      <c r="J623" s="1">
        <f t="shared" ca="1" si="202"/>
        <v>0</v>
      </c>
      <c r="K623" s="1">
        <f t="shared" ca="1" si="203"/>
        <v>0</v>
      </c>
      <c r="L623" s="13">
        <f t="shared" ca="1" si="204"/>
        <v>417</v>
      </c>
      <c r="M623" s="7">
        <f t="shared" ca="1" si="205"/>
        <v>1083</v>
      </c>
      <c r="N623" s="26">
        <f t="shared" ca="1" si="206"/>
        <v>4</v>
      </c>
      <c r="O623" s="44">
        <f t="shared" ca="1" si="207"/>
        <v>2.8908103757121246</v>
      </c>
      <c r="P623" s="44">
        <f t="shared" ca="1" si="208"/>
        <v>28.908103757121246</v>
      </c>
      <c r="Q623" s="44">
        <f t="shared" ca="1" si="209"/>
        <v>28.908103757121246</v>
      </c>
      <c r="R623" s="44">
        <f t="shared" ca="1" si="210"/>
        <v>2.8908103757121246</v>
      </c>
      <c r="S623" s="44">
        <f t="shared" ca="1" si="211"/>
        <v>2.8908103757121246</v>
      </c>
      <c r="T623" s="4">
        <f t="shared" ca="1" si="212"/>
        <v>0</v>
      </c>
      <c r="U623" s="120">
        <f t="shared" ca="1" si="213"/>
        <v>2268.675062040129</v>
      </c>
      <c r="V623" s="4">
        <f t="shared" ca="1" si="214"/>
        <v>0</v>
      </c>
      <c r="W623" s="13">
        <f t="shared" ca="1" si="215"/>
        <v>49588.256250000006</v>
      </c>
      <c r="X623" s="4">
        <f t="shared" ca="1" si="216"/>
        <v>0</v>
      </c>
      <c r="Y623" s="4">
        <f t="shared" si="217"/>
        <v>0</v>
      </c>
      <c r="Z623" s="13">
        <f t="shared" ca="1" si="218"/>
        <v>49588.256250000006</v>
      </c>
      <c r="AA623" s="4">
        <f t="shared" ca="1" si="219"/>
        <v>0</v>
      </c>
    </row>
    <row r="624" spans="1:27">
      <c r="A624">
        <v>0</v>
      </c>
      <c r="B624">
        <v>2</v>
      </c>
      <c r="C624">
        <f t="shared" ca="1" si="198"/>
        <v>4</v>
      </c>
      <c r="D624">
        <f t="shared" ca="1" si="199"/>
        <v>3</v>
      </c>
      <c r="E624">
        <f t="shared" ca="1" si="200"/>
        <v>0</v>
      </c>
      <c r="F624" s="110">
        <f t="shared" ca="1" si="201"/>
        <v>0</v>
      </c>
      <c r="G624">
        <v>1</v>
      </c>
      <c r="H624">
        <v>0</v>
      </c>
      <c r="I624">
        <v>6</v>
      </c>
      <c r="J624" s="1">
        <f t="shared" ca="1" si="202"/>
        <v>0</v>
      </c>
      <c r="K624" s="1">
        <f t="shared" ca="1" si="203"/>
        <v>0</v>
      </c>
      <c r="L624" s="13">
        <f t="shared" ca="1" si="204"/>
        <v>398</v>
      </c>
      <c r="M624" s="7">
        <f t="shared" ca="1" si="205"/>
        <v>1102</v>
      </c>
      <c r="N624" s="26">
        <f t="shared" ca="1" si="206"/>
        <v>4</v>
      </c>
      <c r="O624" s="44">
        <f t="shared" ca="1" si="207"/>
        <v>2.8908103757121246</v>
      </c>
      <c r="P624" s="44">
        <f t="shared" ca="1" si="208"/>
        <v>28.908103757121246</v>
      </c>
      <c r="Q624" s="44">
        <f t="shared" ca="1" si="209"/>
        <v>28.908103757121246</v>
      </c>
      <c r="R624" s="44">
        <f t="shared" ca="1" si="210"/>
        <v>2.8908103757121246</v>
      </c>
      <c r="S624" s="44">
        <f t="shared" ca="1" si="211"/>
        <v>2.8908103757121246</v>
      </c>
      <c r="T624" s="4">
        <f t="shared" ca="1" si="212"/>
        <v>0</v>
      </c>
      <c r="U624" s="120">
        <f t="shared" ca="1" si="213"/>
        <v>2249.675062040129</v>
      </c>
      <c r="V624" s="4">
        <f t="shared" ca="1" si="214"/>
        <v>0</v>
      </c>
      <c r="W624" s="13">
        <f t="shared" ca="1" si="215"/>
        <v>46815.131250000006</v>
      </c>
      <c r="X624" s="4">
        <f t="shared" ca="1" si="216"/>
        <v>0</v>
      </c>
      <c r="Y624" s="4">
        <f t="shared" si="217"/>
        <v>0</v>
      </c>
      <c r="Z624" s="13">
        <f t="shared" ca="1" si="218"/>
        <v>46815.131250000006</v>
      </c>
      <c r="AA624" s="4">
        <f t="shared" ca="1" si="219"/>
        <v>0</v>
      </c>
    </row>
    <row r="625" spans="1:27">
      <c r="A625">
        <v>0</v>
      </c>
      <c r="B625">
        <v>2</v>
      </c>
      <c r="C625">
        <f t="shared" ca="1" si="198"/>
        <v>4</v>
      </c>
      <c r="D625">
        <f t="shared" ca="1" si="199"/>
        <v>3</v>
      </c>
      <c r="E625">
        <f t="shared" ca="1" si="200"/>
        <v>0</v>
      </c>
      <c r="F625" s="110">
        <f t="shared" ca="1" si="201"/>
        <v>0</v>
      </c>
      <c r="G625">
        <v>1</v>
      </c>
      <c r="H625">
        <v>0</v>
      </c>
      <c r="I625">
        <v>5</v>
      </c>
      <c r="J625" s="1">
        <f t="shared" ca="1" si="202"/>
        <v>0</v>
      </c>
      <c r="K625" s="1">
        <f t="shared" ca="1" si="203"/>
        <v>0</v>
      </c>
      <c r="L625" s="13">
        <f t="shared" ca="1" si="204"/>
        <v>379</v>
      </c>
      <c r="M625" s="7">
        <f t="shared" ca="1" si="205"/>
        <v>1121</v>
      </c>
      <c r="N625" s="26">
        <f t="shared" ca="1" si="206"/>
        <v>4</v>
      </c>
      <c r="O625" s="44">
        <f t="shared" ca="1" si="207"/>
        <v>2.8908103757121246</v>
      </c>
      <c r="P625" s="44">
        <f t="shared" ca="1" si="208"/>
        <v>28.908103757121246</v>
      </c>
      <c r="Q625" s="44">
        <f t="shared" ca="1" si="209"/>
        <v>28.908103757121246</v>
      </c>
      <c r="R625" s="44">
        <f t="shared" ca="1" si="210"/>
        <v>2.8908103757121246</v>
      </c>
      <c r="S625" s="44">
        <f t="shared" ca="1" si="211"/>
        <v>2.8908103757121246</v>
      </c>
      <c r="T625" s="4">
        <f t="shared" ca="1" si="212"/>
        <v>0</v>
      </c>
      <c r="U625" s="120">
        <f t="shared" ca="1" si="213"/>
        <v>2230.675062040129</v>
      </c>
      <c r="V625" s="4">
        <f t="shared" ca="1" si="214"/>
        <v>0</v>
      </c>
      <c r="W625" s="13">
        <f t="shared" ca="1" si="215"/>
        <v>44042.006250000006</v>
      </c>
      <c r="X625" s="4">
        <f t="shared" ca="1" si="216"/>
        <v>0</v>
      </c>
      <c r="Y625" s="4">
        <f t="shared" si="217"/>
        <v>0</v>
      </c>
      <c r="Z625" s="13">
        <f t="shared" ca="1" si="218"/>
        <v>44042.006250000006</v>
      </c>
      <c r="AA625" s="4">
        <f t="shared" ca="1" si="219"/>
        <v>0</v>
      </c>
    </row>
    <row r="626" spans="1:27">
      <c r="A626">
        <v>0</v>
      </c>
      <c r="B626">
        <v>2</v>
      </c>
      <c r="C626">
        <f t="shared" ca="1" si="198"/>
        <v>4</v>
      </c>
      <c r="D626">
        <f t="shared" ca="1" si="199"/>
        <v>3</v>
      </c>
      <c r="E626">
        <f t="shared" ca="1" si="200"/>
        <v>0</v>
      </c>
      <c r="F626" s="110">
        <f t="shared" ca="1" si="201"/>
        <v>0</v>
      </c>
      <c r="G626">
        <v>1</v>
      </c>
      <c r="H626">
        <v>0</v>
      </c>
      <c r="I626">
        <v>4</v>
      </c>
      <c r="J626" s="1">
        <f t="shared" ca="1" si="202"/>
        <v>0</v>
      </c>
      <c r="K626" s="1">
        <f t="shared" ca="1" si="203"/>
        <v>0</v>
      </c>
      <c r="L626" s="13">
        <f t="shared" ca="1" si="204"/>
        <v>360</v>
      </c>
      <c r="M626" s="7">
        <f t="shared" ca="1" si="205"/>
        <v>1140</v>
      </c>
      <c r="N626" s="26">
        <f t="shared" ca="1" si="206"/>
        <v>4</v>
      </c>
      <c r="O626" s="44">
        <f t="shared" ca="1" si="207"/>
        <v>2.8908103757121246</v>
      </c>
      <c r="P626" s="44">
        <f t="shared" ca="1" si="208"/>
        <v>28.908103757121246</v>
      </c>
      <c r="Q626" s="44">
        <f t="shared" ca="1" si="209"/>
        <v>28.908103757121246</v>
      </c>
      <c r="R626" s="44">
        <f t="shared" ca="1" si="210"/>
        <v>2.8908103757121246</v>
      </c>
      <c r="S626" s="44">
        <f t="shared" ca="1" si="211"/>
        <v>2.8908103757121246</v>
      </c>
      <c r="T626" s="4">
        <f t="shared" ca="1" si="212"/>
        <v>0</v>
      </c>
      <c r="U626" s="120">
        <f t="shared" ca="1" si="213"/>
        <v>2211.675062040129</v>
      </c>
      <c r="V626" s="4">
        <f t="shared" ca="1" si="214"/>
        <v>0</v>
      </c>
      <c r="W626" s="13">
        <f t="shared" ca="1" si="215"/>
        <v>41268.881250000006</v>
      </c>
      <c r="X626" s="4">
        <f t="shared" ca="1" si="216"/>
        <v>0</v>
      </c>
      <c r="Y626" s="4">
        <f t="shared" si="217"/>
        <v>0</v>
      </c>
      <c r="Z626" s="13">
        <f t="shared" ca="1" si="218"/>
        <v>41268.881250000006</v>
      </c>
      <c r="AA626" s="4">
        <f t="shared" ca="1" si="219"/>
        <v>0</v>
      </c>
    </row>
    <row r="627" spans="1:27">
      <c r="A627">
        <v>0</v>
      </c>
      <c r="B627">
        <v>2</v>
      </c>
      <c r="C627">
        <f t="shared" ca="1" si="198"/>
        <v>4</v>
      </c>
      <c r="D627">
        <f t="shared" ca="1" si="199"/>
        <v>3</v>
      </c>
      <c r="E627">
        <f t="shared" ca="1" si="200"/>
        <v>0</v>
      </c>
      <c r="F627" s="110">
        <f t="shared" ca="1" si="201"/>
        <v>0</v>
      </c>
      <c r="G627">
        <v>1</v>
      </c>
      <c r="H627">
        <v>0</v>
      </c>
      <c r="I627">
        <v>3</v>
      </c>
      <c r="J627" s="1">
        <f t="shared" ca="1" si="202"/>
        <v>0.81450624999999988</v>
      </c>
      <c r="K627" s="1">
        <f t="shared" ca="1" si="203"/>
        <v>0</v>
      </c>
      <c r="L627" s="13">
        <f t="shared" ca="1" si="204"/>
        <v>341</v>
      </c>
      <c r="M627" s="7">
        <f t="shared" ca="1" si="205"/>
        <v>1159</v>
      </c>
      <c r="N627" s="26">
        <f t="shared" ca="1" si="206"/>
        <v>4</v>
      </c>
      <c r="O627" s="44">
        <f t="shared" ca="1" si="207"/>
        <v>2.8908103757121246</v>
      </c>
      <c r="P627" s="44">
        <f t="shared" ca="1" si="208"/>
        <v>28.908103757121246</v>
      </c>
      <c r="Q627" s="44">
        <f t="shared" ca="1" si="209"/>
        <v>28.908103757121246</v>
      </c>
      <c r="R627" s="44">
        <f t="shared" ca="1" si="210"/>
        <v>2.8908103757121246</v>
      </c>
      <c r="S627" s="44">
        <f t="shared" ca="1" si="211"/>
        <v>2.8908103757121246</v>
      </c>
      <c r="T627" s="4">
        <f t="shared" ca="1" si="212"/>
        <v>0</v>
      </c>
      <c r="U627" s="120">
        <f t="shared" ca="1" si="213"/>
        <v>2192.675062040129</v>
      </c>
      <c r="V627" s="4">
        <f t="shared" ca="1" si="214"/>
        <v>0</v>
      </c>
      <c r="W627" s="13">
        <f t="shared" ca="1" si="215"/>
        <v>38495.756250000006</v>
      </c>
      <c r="X627" s="4">
        <f t="shared" ca="1" si="216"/>
        <v>0</v>
      </c>
      <c r="Y627" s="4">
        <f t="shared" si="217"/>
        <v>0</v>
      </c>
      <c r="Z627" s="13">
        <f t="shared" ca="1" si="218"/>
        <v>38495.756250000006</v>
      </c>
      <c r="AA627" s="4">
        <f t="shared" ca="1" si="219"/>
        <v>0</v>
      </c>
    </row>
    <row r="628" spans="1:27">
      <c r="A628">
        <v>0</v>
      </c>
      <c r="B628">
        <v>2</v>
      </c>
      <c r="C628">
        <f t="shared" ca="1" si="198"/>
        <v>4</v>
      </c>
      <c r="D628">
        <f t="shared" ca="1" si="199"/>
        <v>3</v>
      </c>
      <c r="E628">
        <f t="shared" ca="1" si="200"/>
        <v>0</v>
      </c>
      <c r="F628" s="110">
        <f t="shared" ca="1" si="201"/>
        <v>0</v>
      </c>
      <c r="G628">
        <v>1</v>
      </c>
      <c r="H628">
        <v>0</v>
      </c>
      <c r="I628">
        <v>2</v>
      </c>
      <c r="J628" s="1">
        <f t="shared" ca="1" si="202"/>
        <v>0.12860625000000012</v>
      </c>
      <c r="K628" s="1">
        <f t="shared" ca="1" si="203"/>
        <v>0</v>
      </c>
      <c r="L628" s="13">
        <f t="shared" ca="1" si="204"/>
        <v>322</v>
      </c>
      <c r="M628" s="7">
        <f t="shared" ca="1" si="205"/>
        <v>1178</v>
      </c>
      <c r="N628" s="26">
        <f t="shared" ca="1" si="206"/>
        <v>4</v>
      </c>
      <c r="O628" s="44">
        <f t="shared" ca="1" si="207"/>
        <v>2.8908103757121246</v>
      </c>
      <c r="P628" s="44">
        <f t="shared" ca="1" si="208"/>
        <v>28.908103757121246</v>
      </c>
      <c r="Q628" s="44">
        <f t="shared" ca="1" si="209"/>
        <v>28.908103757121246</v>
      </c>
      <c r="R628" s="44">
        <f t="shared" ca="1" si="210"/>
        <v>2.8908103757121246</v>
      </c>
      <c r="S628" s="44">
        <f t="shared" ca="1" si="211"/>
        <v>2.8908103757121246</v>
      </c>
      <c r="T628" s="4">
        <f t="shared" ca="1" si="212"/>
        <v>0</v>
      </c>
      <c r="U628" s="120">
        <f t="shared" ca="1" si="213"/>
        <v>2173.675062040129</v>
      </c>
      <c r="V628" s="4">
        <f t="shared" ca="1" si="214"/>
        <v>0</v>
      </c>
      <c r="W628" s="13">
        <f t="shared" ca="1" si="215"/>
        <v>35722.631250000006</v>
      </c>
      <c r="X628" s="4">
        <f t="shared" ca="1" si="216"/>
        <v>0</v>
      </c>
      <c r="Y628" s="4">
        <f t="shared" si="217"/>
        <v>0</v>
      </c>
      <c r="Z628" s="13">
        <f t="shared" ca="1" si="218"/>
        <v>35722.631250000006</v>
      </c>
      <c r="AA628" s="4">
        <f t="shared" ca="1" si="219"/>
        <v>0</v>
      </c>
    </row>
    <row r="629" spans="1:27">
      <c r="A629">
        <v>0</v>
      </c>
      <c r="B629">
        <v>2</v>
      </c>
      <c r="C629">
        <f t="shared" ca="1" si="198"/>
        <v>4</v>
      </c>
      <c r="D629">
        <f t="shared" ca="1" si="199"/>
        <v>3</v>
      </c>
      <c r="E629">
        <f t="shared" ca="1" si="200"/>
        <v>0</v>
      </c>
      <c r="F629" s="110">
        <f t="shared" ca="1" si="201"/>
        <v>0</v>
      </c>
      <c r="G629">
        <v>1</v>
      </c>
      <c r="H629">
        <v>0</v>
      </c>
      <c r="I629">
        <v>1</v>
      </c>
      <c r="J629" s="1">
        <f t="shared" ca="1" si="202"/>
        <v>6.7687500000000109E-3</v>
      </c>
      <c r="K629" s="1">
        <f t="shared" ca="1" si="203"/>
        <v>0</v>
      </c>
      <c r="L629" s="13">
        <f t="shared" ca="1" si="204"/>
        <v>303</v>
      </c>
      <c r="M629" s="7">
        <f t="shared" ca="1" si="205"/>
        <v>1197</v>
      </c>
      <c r="N629" s="26">
        <f t="shared" ca="1" si="206"/>
        <v>4</v>
      </c>
      <c r="O629" s="44">
        <f t="shared" ca="1" si="207"/>
        <v>2.8908103757121246</v>
      </c>
      <c r="P629" s="44">
        <f t="shared" ca="1" si="208"/>
        <v>28.908103757121246</v>
      </c>
      <c r="Q629" s="44">
        <f t="shared" ca="1" si="209"/>
        <v>28.908103757121246</v>
      </c>
      <c r="R629" s="44">
        <f t="shared" ca="1" si="210"/>
        <v>2.8908103757121246</v>
      </c>
      <c r="S629" s="44">
        <f t="shared" ca="1" si="211"/>
        <v>2.8908103757121246</v>
      </c>
      <c r="T629" s="4">
        <f t="shared" ca="1" si="212"/>
        <v>0</v>
      </c>
      <c r="U629" s="120">
        <f t="shared" ca="1" si="213"/>
        <v>2154.675062040129</v>
      </c>
      <c r="V629" s="4">
        <f t="shared" ca="1" si="214"/>
        <v>0</v>
      </c>
      <c r="W629" s="13">
        <f t="shared" ca="1" si="215"/>
        <v>32949.506250000006</v>
      </c>
      <c r="X629" s="4">
        <f t="shared" ca="1" si="216"/>
        <v>0</v>
      </c>
      <c r="Y629" s="4">
        <f t="shared" si="217"/>
        <v>0</v>
      </c>
      <c r="Z629" s="13">
        <f t="shared" ca="1" si="218"/>
        <v>32949.506250000006</v>
      </c>
      <c r="AA629" s="4">
        <f t="shared" ca="1" si="219"/>
        <v>0</v>
      </c>
    </row>
    <row r="630" spans="1:27">
      <c r="A630">
        <v>0</v>
      </c>
      <c r="B630">
        <v>2</v>
      </c>
      <c r="C630">
        <f t="shared" ca="1" si="198"/>
        <v>4</v>
      </c>
      <c r="D630">
        <f t="shared" ca="1" si="199"/>
        <v>3</v>
      </c>
      <c r="E630">
        <f t="shared" ca="1" si="200"/>
        <v>0</v>
      </c>
      <c r="F630" s="110">
        <f t="shared" ca="1" si="201"/>
        <v>0</v>
      </c>
      <c r="G630">
        <v>1</v>
      </c>
      <c r="H630">
        <v>0</v>
      </c>
      <c r="I630">
        <v>0</v>
      </c>
      <c r="J630" s="1">
        <f t="shared" ca="1" si="202"/>
        <v>1.1875000000000031E-4</v>
      </c>
      <c r="K630" s="1">
        <f t="shared" ca="1" si="203"/>
        <v>0</v>
      </c>
      <c r="L630" s="13">
        <f t="shared" ca="1" si="204"/>
        <v>284</v>
      </c>
      <c r="M630" s="7">
        <f t="shared" ca="1" si="205"/>
        <v>1216</v>
      </c>
      <c r="N630" s="26">
        <f t="shared" ca="1" si="206"/>
        <v>4</v>
      </c>
      <c r="O630" s="44">
        <f t="shared" ca="1" si="207"/>
        <v>2.8908103757121246</v>
      </c>
      <c r="P630" s="44">
        <f t="shared" ca="1" si="208"/>
        <v>28.908103757121246</v>
      </c>
      <c r="Q630" s="44">
        <f t="shared" ca="1" si="209"/>
        <v>28.908103757121246</v>
      </c>
      <c r="R630" s="44">
        <f t="shared" ca="1" si="210"/>
        <v>2.8908103757121246</v>
      </c>
      <c r="S630" s="44">
        <f t="shared" ca="1" si="211"/>
        <v>2.8908103757121246</v>
      </c>
      <c r="T630" s="4">
        <f t="shared" ca="1" si="212"/>
        <v>0</v>
      </c>
      <c r="U630" s="120">
        <f t="shared" ca="1" si="213"/>
        <v>2135.675062040129</v>
      </c>
      <c r="V630" s="4">
        <f t="shared" ca="1" si="214"/>
        <v>0</v>
      </c>
      <c r="W630" s="13">
        <f t="shared" ca="1" si="215"/>
        <v>30176.381250000002</v>
      </c>
      <c r="X630" s="4">
        <f t="shared" ca="1" si="216"/>
        <v>0</v>
      </c>
      <c r="Y630" s="4">
        <f t="shared" si="217"/>
        <v>0</v>
      </c>
      <c r="Z630" s="13">
        <f t="shared" ca="1" si="218"/>
        <v>30176.381250000002</v>
      </c>
      <c r="AA630" s="4">
        <f t="shared" ca="1" si="219"/>
        <v>0</v>
      </c>
    </row>
    <row r="631" spans="1:27">
      <c r="A631">
        <v>0</v>
      </c>
      <c r="B631">
        <v>2</v>
      </c>
      <c r="C631">
        <f t="shared" ca="1" si="198"/>
        <v>4</v>
      </c>
      <c r="D631">
        <f t="shared" ca="1" si="199"/>
        <v>3</v>
      </c>
      <c r="E631">
        <f t="shared" ca="1" si="200"/>
        <v>0</v>
      </c>
      <c r="F631" s="110">
        <f t="shared" ca="1" si="201"/>
        <v>0</v>
      </c>
      <c r="G631">
        <v>0</v>
      </c>
      <c r="H631">
        <v>1</v>
      </c>
      <c r="I631">
        <v>7</v>
      </c>
      <c r="J631" s="1">
        <f t="shared" ca="1" si="202"/>
        <v>0</v>
      </c>
      <c r="K631" s="1">
        <f t="shared" ca="1" si="203"/>
        <v>0</v>
      </c>
      <c r="L631" s="13">
        <f t="shared" ca="1" si="204"/>
        <v>417</v>
      </c>
      <c r="M631" s="7">
        <f t="shared" ca="1" si="205"/>
        <v>1083</v>
      </c>
      <c r="N631" s="26">
        <f t="shared" ca="1" si="206"/>
        <v>4</v>
      </c>
      <c r="O631" s="44">
        <f t="shared" ca="1" si="207"/>
        <v>2.8908103757121246</v>
      </c>
      <c r="P631" s="44">
        <f t="shared" ca="1" si="208"/>
        <v>28.908103757121246</v>
      </c>
      <c r="Q631" s="44">
        <f t="shared" ca="1" si="209"/>
        <v>28.908103757121246</v>
      </c>
      <c r="R631" s="44">
        <f t="shared" ca="1" si="210"/>
        <v>2.8908103757121246</v>
      </c>
      <c r="S631" s="44">
        <f t="shared" ca="1" si="211"/>
        <v>2.8908103757121246</v>
      </c>
      <c r="T631" s="4">
        <f t="shared" ca="1" si="212"/>
        <v>0</v>
      </c>
      <c r="U631" s="120">
        <f t="shared" ca="1" si="213"/>
        <v>2268.675062040129</v>
      </c>
      <c r="V631" s="4">
        <f t="shared" ca="1" si="214"/>
        <v>0</v>
      </c>
      <c r="W631" s="13">
        <f t="shared" ca="1" si="215"/>
        <v>19411.875</v>
      </c>
      <c r="X631" s="4">
        <f t="shared" ca="1" si="216"/>
        <v>0</v>
      </c>
      <c r="Y631" s="4">
        <f t="shared" si="217"/>
        <v>0</v>
      </c>
      <c r="Z631" s="13">
        <f t="shared" ca="1" si="218"/>
        <v>19411.875</v>
      </c>
      <c r="AA631" s="4">
        <f t="shared" ca="1" si="219"/>
        <v>0</v>
      </c>
    </row>
    <row r="632" spans="1:27">
      <c r="A632">
        <v>0</v>
      </c>
      <c r="B632">
        <v>2</v>
      </c>
      <c r="C632">
        <f t="shared" ca="1" si="198"/>
        <v>4</v>
      </c>
      <c r="D632">
        <f t="shared" ca="1" si="199"/>
        <v>3</v>
      </c>
      <c r="E632">
        <f t="shared" ca="1" si="200"/>
        <v>0</v>
      </c>
      <c r="F632" s="110">
        <f t="shared" ca="1" si="201"/>
        <v>0</v>
      </c>
      <c r="G632">
        <v>0</v>
      </c>
      <c r="H632">
        <v>1</v>
      </c>
      <c r="I632">
        <v>6</v>
      </c>
      <c r="J632" s="1">
        <f t="shared" ca="1" si="202"/>
        <v>0</v>
      </c>
      <c r="K632" s="1">
        <f t="shared" ca="1" si="203"/>
        <v>0</v>
      </c>
      <c r="L632" s="13">
        <f t="shared" ca="1" si="204"/>
        <v>398</v>
      </c>
      <c r="M632" s="7">
        <f t="shared" ca="1" si="205"/>
        <v>1102</v>
      </c>
      <c r="N632" s="26">
        <f t="shared" ca="1" si="206"/>
        <v>4</v>
      </c>
      <c r="O632" s="44">
        <f t="shared" ca="1" si="207"/>
        <v>2.8908103757121246</v>
      </c>
      <c r="P632" s="44">
        <f t="shared" ca="1" si="208"/>
        <v>28.908103757121246</v>
      </c>
      <c r="Q632" s="44">
        <f t="shared" ca="1" si="209"/>
        <v>28.908103757121246</v>
      </c>
      <c r="R632" s="44">
        <f t="shared" ca="1" si="210"/>
        <v>2.8908103757121246</v>
      </c>
      <c r="S632" s="44">
        <f t="shared" ca="1" si="211"/>
        <v>2.8908103757121246</v>
      </c>
      <c r="T632" s="4">
        <f t="shared" ca="1" si="212"/>
        <v>0</v>
      </c>
      <c r="U632" s="120">
        <f t="shared" ca="1" si="213"/>
        <v>2249.675062040129</v>
      </c>
      <c r="V632" s="4">
        <f t="shared" ca="1" si="214"/>
        <v>0</v>
      </c>
      <c r="W632" s="13">
        <f t="shared" ca="1" si="215"/>
        <v>16638.75</v>
      </c>
      <c r="X632" s="4">
        <f t="shared" ca="1" si="216"/>
        <v>0</v>
      </c>
      <c r="Y632" s="4">
        <f t="shared" si="217"/>
        <v>0</v>
      </c>
      <c r="Z632" s="13">
        <f t="shared" ca="1" si="218"/>
        <v>16638.75</v>
      </c>
      <c r="AA632" s="4">
        <f t="shared" ca="1" si="219"/>
        <v>0</v>
      </c>
    </row>
    <row r="633" spans="1:27">
      <c r="A633">
        <v>0</v>
      </c>
      <c r="B633">
        <v>2</v>
      </c>
      <c r="C633">
        <f t="shared" ca="1" si="198"/>
        <v>4</v>
      </c>
      <c r="D633">
        <f t="shared" ca="1" si="199"/>
        <v>3</v>
      </c>
      <c r="E633">
        <f t="shared" ca="1" si="200"/>
        <v>0</v>
      </c>
      <c r="F633" s="110">
        <f t="shared" ca="1" si="201"/>
        <v>0</v>
      </c>
      <c r="G633">
        <v>0</v>
      </c>
      <c r="H633">
        <v>1</v>
      </c>
      <c r="I633">
        <v>5</v>
      </c>
      <c r="J633" s="1">
        <f t="shared" ca="1" si="202"/>
        <v>0</v>
      </c>
      <c r="K633" s="1">
        <f t="shared" ca="1" si="203"/>
        <v>0</v>
      </c>
      <c r="L633" s="13">
        <f t="shared" ca="1" si="204"/>
        <v>379</v>
      </c>
      <c r="M633" s="7">
        <f t="shared" ca="1" si="205"/>
        <v>1121</v>
      </c>
      <c r="N633" s="26">
        <f t="shared" ca="1" si="206"/>
        <v>4</v>
      </c>
      <c r="O633" s="44">
        <f t="shared" ca="1" si="207"/>
        <v>2.8908103757121246</v>
      </c>
      <c r="P633" s="44">
        <f t="shared" ca="1" si="208"/>
        <v>28.908103757121246</v>
      </c>
      <c r="Q633" s="44">
        <f t="shared" ca="1" si="209"/>
        <v>28.908103757121246</v>
      </c>
      <c r="R633" s="44">
        <f t="shared" ca="1" si="210"/>
        <v>2.8908103757121246</v>
      </c>
      <c r="S633" s="44">
        <f t="shared" ca="1" si="211"/>
        <v>2.8908103757121246</v>
      </c>
      <c r="T633" s="4">
        <f t="shared" ca="1" si="212"/>
        <v>0</v>
      </c>
      <c r="U633" s="120">
        <f t="shared" ca="1" si="213"/>
        <v>2230.675062040129</v>
      </c>
      <c r="V633" s="4">
        <f t="shared" ca="1" si="214"/>
        <v>0</v>
      </c>
      <c r="W633" s="13">
        <f t="shared" ca="1" si="215"/>
        <v>13865.625</v>
      </c>
      <c r="X633" s="4">
        <f t="shared" ca="1" si="216"/>
        <v>0</v>
      </c>
      <c r="Y633" s="4">
        <f t="shared" si="217"/>
        <v>0</v>
      </c>
      <c r="Z633" s="13">
        <f t="shared" ca="1" si="218"/>
        <v>13865.625</v>
      </c>
      <c r="AA633" s="4">
        <f t="shared" ca="1" si="219"/>
        <v>0</v>
      </c>
    </row>
    <row r="634" spans="1:27">
      <c r="A634">
        <v>0</v>
      </c>
      <c r="B634">
        <v>2</v>
      </c>
      <c r="C634">
        <f t="shared" ca="1" si="198"/>
        <v>4</v>
      </c>
      <c r="D634">
        <f t="shared" ca="1" si="199"/>
        <v>3</v>
      </c>
      <c r="E634">
        <f t="shared" ca="1" si="200"/>
        <v>0</v>
      </c>
      <c r="F634" s="110">
        <f t="shared" ca="1" si="201"/>
        <v>0</v>
      </c>
      <c r="G634">
        <v>0</v>
      </c>
      <c r="H634">
        <v>1</v>
      </c>
      <c r="I634">
        <v>4</v>
      </c>
      <c r="J634" s="1">
        <f t="shared" ca="1" si="202"/>
        <v>0</v>
      </c>
      <c r="K634" s="1">
        <f t="shared" ca="1" si="203"/>
        <v>0</v>
      </c>
      <c r="L634" s="13">
        <f t="shared" ca="1" si="204"/>
        <v>360</v>
      </c>
      <c r="M634" s="7">
        <f t="shared" ca="1" si="205"/>
        <v>1140</v>
      </c>
      <c r="N634" s="26">
        <f t="shared" ca="1" si="206"/>
        <v>4</v>
      </c>
      <c r="O634" s="44">
        <f t="shared" ca="1" si="207"/>
        <v>2.8908103757121246</v>
      </c>
      <c r="P634" s="44">
        <f t="shared" ca="1" si="208"/>
        <v>28.908103757121246</v>
      </c>
      <c r="Q634" s="44">
        <f t="shared" ca="1" si="209"/>
        <v>28.908103757121246</v>
      </c>
      <c r="R634" s="44">
        <f t="shared" ca="1" si="210"/>
        <v>2.8908103757121246</v>
      </c>
      <c r="S634" s="44">
        <f t="shared" ca="1" si="211"/>
        <v>2.8908103757121246</v>
      </c>
      <c r="T634" s="4">
        <f t="shared" ca="1" si="212"/>
        <v>0</v>
      </c>
      <c r="U634" s="120">
        <f t="shared" ca="1" si="213"/>
        <v>2211.675062040129</v>
      </c>
      <c r="V634" s="4">
        <f t="shared" ca="1" si="214"/>
        <v>0</v>
      </c>
      <c r="W634" s="13">
        <f t="shared" ca="1" si="215"/>
        <v>11092.5</v>
      </c>
      <c r="X634" s="4">
        <f t="shared" ca="1" si="216"/>
        <v>0</v>
      </c>
      <c r="Y634" s="4">
        <f t="shared" si="217"/>
        <v>0</v>
      </c>
      <c r="Z634" s="13">
        <f t="shared" ca="1" si="218"/>
        <v>11092.5</v>
      </c>
      <c r="AA634" s="4">
        <f t="shared" ca="1" si="219"/>
        <v>0</v>
      </c>
    </row>
    <row r="635" spans="1:27">
      <c r="A635">
        <v>0</v>
      </c>
      <c r="B635">
        <v>2</v>
      </c>
      <c r="C635">
        <f t="shared" ca="1" si="198"/>
        <v>4</v>
      </c>
      <c r="D635">
        <f t="shared" ca="1" si="199"/>
        <v>3</v>
      </c>
      <c r="E635">
        <f t="shared" ca="1" si="200"/>
        <v>0</v>
      </c>
      <c r="F635" s="110">
        <f t="shared" ca="1" si="201"/>
        <v>0</v>
      </c>
      <c r="G635">
        <v>0</v>
      </c>
      <c r="H635">
        <v>1</v>
      </c>
      <c r="I635">
        <v>3</v>
      </c>
      <c r="J635" s="1">
        <f t="shared" ca="1" si="202"/>
        <v>0</v>
      </c>
      <c r="K635" s="1">
        <f t="shared" ca="1" si="203"/>
        <v>0</v>
      </c>
      <c r="L635" s="13">
        <f t="shared" ca="1" si="204"/>
        <v>341</v>
      </c>
      <c r="M635" s="7">
        <f t="shared" ca="1" si="205"/>
        <v>1159</v>
      </c>
      <c r="N635" s="26">
        <f t="shared" ca="1" si="206"/>
        <v>4</v>
      </c>
      <c r="O635" s="44">
        <f t="shared" ca="1" si="207"/>
        <v>2.8908103757121246</v>
      </c>
      <c r="P635" s="44">
        <f t="shared" ca="1" si="208"/>
        <v>28.908103757121246</v>
      </c>
      <c r="Q635" s="44">
        <f t="shared" ca="1" si="209"/>
        <v>28.908103757121246</v>
      </c>
      <c r="R635" s="44">
        <f t="shared" ca="1" si="210"/>
        <v>2.8908103757121246</v>
      </c>
      <c r="S635" s="44">
        <f t="shared" ca="1" si="211"/>
        <v>2.8908103757121246</v>
      </c>
      <c r="T635" s="4">
        <f t="shared" ca="1" si="212"/>
        <v>0</v>
      </c>
      <c r="U635" s="120">
        <f t="shared" ca="1" si="213"/>
        <v>2192.675062040129</v>
      </c>
      <c r="V635" s="4">
        <f t="shared" ca="1" si="214"/>
        <v>0</v>
      </c>
      <c r="W635" s="13">
        <f t="shared" ca="1" si="215"/>
        <v>8319.375</v>
      </c>
      <c r="X635" s="4">
        <f t="shared" ca="1" si="216"/>
        <v>0</v>
      </c>
      <c r="Y635" s="4">
        <f t="shared" si="217"/>
        <v>0</v>
      </c>
      <c r="Z635" s="13">
        <f t="shared" ca="1" si="218"/>
        <v>8319.375</v>
      </c>
      <c r="AA635" s="4">
        <f t="shared" ca="1" si="219"/>
        <v>0</v>
      </c>
    </row>
    <row r="636" spans="1:27">
      <c r="A636">
        <v>0</v>
      </c>
      <c r="B636">
        <v>2</v>
      </c>
      <c r="C636">
        <f t="shared" ca="1" si="198"/>
        <v>4</v>
      </c>
      <c r="D636">
        <f t="shared" ca="1" si="199"/>
        <v>3</v>
      </c>
      <c r="E636">
        <f t="shared" ca="1" si="200"/>
        <v>0</v>
      </c>
      <c r="F636" s="110">
        <f t="shared" ca="1" si="201"/>
        <v>0</v>
      </c>
      <c r="G636">
        <v>0</v>
      </c>
      <c r="H636">
        <v>1</v>
      </c>
      <c r="I636">
        <v>2</v>
      </c>
      <c r="J636" s="1">
        <f t="shared" ca="1" si="202"/>
        <v>0</v>
      </c>
      <c r="K636" s="1">
        <f t="shared" ca="1" si="203"/>
        <v>0</v>
      </c>
      <c r="L636" s="13">
        <f t="shared" ca="1" si="204"/>
        <v>322</v>
      </c>
      <c r="M636" s="7">
        <f t="shared" ca="1" si="205"/>
        <v>1178</v>
      </c>
      <c r="N636" s="26">
        <f t="shared" ca="1" si="206"/>
        <v>4</v>
      </c>
      <c r="O636" s="44">
        <f t="shared" ca="1" si="207"/>
        <v>2.8908103757121246</v>
      </c>
      <c r="P636" s="44">
        <f t="shared" ca="1" si="208"/>
        <v>28.908103757121246</v>
      </c>
      <c r="Q636" s="44">
        <f t="shared" ca="1" si="209"/>
        <v>28.908103757121246</v>
      </c>
      <c r="R636" s="44">
        <f t="shared" ca="1" si="210"/>
        <v>2.8908103757121246</v>
      </c>
      <c r="S636" s="44">
        <f t="shared" ca="1" si="211"/>
        <v>2.8908103757121246</v>
      </c>
      <c r="T636" s="4">
        <f t="shared" ca="1" si="212"/>
        <v>0</v>
      </c>
      <c r="U636" s="120">
        <f t="shared" ca="1" si="213"/>
        <v>2173.675062040129</v>
      </c>
      <c r="V636" s="4">
        <f t="shared" ca="1" si="214"/>
        <v>0</v>
      </c>
      <c r="W636" s="13">
        <f t="shared" ca="1" si="215"/>
        <v>5546.25</v>
      </c>
      <c r="X636" s="4">
        <f t="shared" ca="1" si="216"/>
        <v>0</v>
      </c>
      <c r="Y636" s="4">
        <f t="shared" si="217"/>
        <v>0</v>
      </c>
      <c r="Z636" s="13">
        <f t="shared" ca="1" si="218"/>
        <v>5546.25</v>
      </c>
      <c r="AA636" s="4">
        <f t="shared" ca="1" si="219"/>
        <v>0</v>
      </c>
    </row>
    <row r="637" spans="1:27">
      <c r="A637">
        <v>0</v>
      </c>
      <c r="B637">
        <v>2</v>
      </c>
      <c r="C637">
        <f t="shared" ca="1" si="198"/>
        <v>4</v>
      </c>
      <c r="D637">
        <f t="shared" ca="1" si="199"/>
        <v>3</v>
      </c>
      <c r="E637">
        <f t="shared" ca="1" si="200"/>
        <v>0</v>
      </c>
      <c r="F637" s="110">
        <f t="shared" ca="1" si="201"/>
        <v>0</v>
      </c>
      <c r="G637">
        <v>0</v>
      </c>
      <c r="H637">
        <v>1</v>
      </c>
      <c r="I637">
        <v>1</v>
      </c>
      <c r="J637" s="1">
        <f t="shared" ca="1" si="202"/>
        <v>0</v>
      </c>
      <c r="K637" s="1">
        <f t="shared" ca="1" si="203"/>
        <v>0</v>
      </c>
      <c r="L637" s="13">
        <f t="shared" ca="1" si="204"/>
        <v>303</v>
      </c>
      <c r="M637" s="7">
        <f t="shared" ca="1" si="205"/>
        <v>1197</v>
      </c>
      <c r="N637" s="26">
        <f t="shared" ca="1" si="206"/>
        <v>4</v>
      </c>
      <c r="O637" s="44">
        <f t="shared" ca="1" si="207"/>
        <v>2.8908103757121246</v>
      </c>
      <c r="P637" s="44">
        <f t="shared" ca="1" si="208"/>
        <v>28.908103757121246</v>
      </c>
      <c r="Q637" s="44">
        <f t="shared" ca="1" si="209"/>
        <v>28.908103757121246</v>
      </c>
      <c r="R637" s="44">
        <f t="shared" ca="1" si="210"/>
        <v>2.8908103757121246</v>
      </c>
      <c r="S637" s="44">
        <f t="shared" ca="1" si="211"/>
        <v>2.8908103757121246</v>
      </c>
      <c r="T637" s="4">
        <f t="shared" ca="1" si="212"/>
        <v>0</v>
      </c>
      <c r="U637" s="120">
        <f t="shared" ca="1" si="213"/>
        <v>2154.675062040129</v>
      </c>
      <c r="V637" s="4">
        <f t="shared" ca="1" si="214"/>
        <v>0</v>
      </c>
      <c r="W637" s="13">
        <f t="shared" ca="1" si="215"/>
        <v>2773.125</v>
      </c>
      <c r="X637" s="4">
        <f t="shared" ca="1" si="216"/>
        <v>0</v>
      </c>
      <c r="Y637" s="4">
        <f t="shared" si="217"/>
        <v>0</v>
      </c>
      <c r="Z637" s="13">
        <f t="shared" ca="1" si="218"/>
        <v>2773.125</v>
      </c>
      <c r="AA637" s="4">
        <f t="shared" ca="1" si="219"/>
        <v>0</v>
      </c>
    </row>
    <row r="638" spans="1:27">
      <c r="A638">
        <v>0</v>
      </c>
      <c r="B638">
        <v>2</v>
      </c>
      <c r="C638">
        <f t="shared" ca="1" si="198"/>
        <v>4</v>
      </c>
      <c r="D638">
        <f t="shared" ca="1" si="199"/>
        <v>3</v>
      </c>
      <c r="E638">
        <f t="shared" ca="1" si="200"/>
        <v>0</v>
      </c>
      <c r="F638" s="110">
        <f t="shared" ca="1" si="201"/>
        <v>0</v>
      </c>
      <c r="G638">
        <v>0</v>
      </c>
      <c r="H638">
        <v>1</v>
      </c>
      <c r="I638">
        <v>0</v>
      </c>
      <c r="J638" s="1">
        <f t="shared" ca="1" si="202"/>
        <v>0</v>
      </c>
      <c r="K638" s="1">
        <f t="shared" ca="1" si="203"/>
        <v>0</v>
      </c>
      <c r="L638" s="13">
        <f t="shared" ca="1" si="204"/>
        <v>284</v>
      </c>
      <c r="M638" s="7">
        <f t="shared" ca="1" si="205"/>
        <v>1216</v>
      </c>
      <c r="N638" s="26">
        <f t="shared" ca="1" si="206"/>
        <v>4</v>
      </c>
      <c r="O638" s="44">
        <f t="shared" ca="1" si="207"/>
        <v>2.8908103757121246</v>
      </c>
      <c r="P638" s="44">
        <f t="shared" ca="1" si="208"/>
        <v>28.908103757121246</v>
      </c>
      <c r="Q638" s="44">
        <f t="shared" ca="1" si="209"/>
        <v>28.908103757121246</v>
      </c>
      <c r="R638" s="44">
        <f t="shared" ca="1" si="210"/>
        <v>2.8908103757121246</v>
      </c>
      <c r="S638" s="44">
        <f t="shared" ca="1" si="211"/>
        <v>2.8908103757121246</v>
      </c>
      <c r="T638" s="4">
        <f t="shared" ca="1" si="212"/>
        <v>0</v>
      </c>
      <c r="U638" s="120">
        <f t="shared" ca="1" si="213"/>
        <v>2135.675062040129</v>
      </c>
      <c r="V638" s="4">
        <f t="shared" ca="1" si="214"/>
        <v>0</v>
      </c>
      <c r="W638" s="13">
        <f t="shared" ca="1" si="215"/>
        <v>0</v>
      </c>
      <c r="X638" s="4">
        <f t="shared" ca="1" si="216"/>
        <v>0</v>
      </c>
      <c r="Y638" s="4">
        <f t="shared" si="217"/>
        <v>0</v>
      </c>
      <c r="Z638" s="13">
        <f t="shared" ca="1" si="218"/>
        <v>0</v>
      </c>
      <c r="AA638" s="4">
        <f t="shared" ca="1" si="219"/>
        <v>0</v>
      </c>
    </row>
    <row r="639" spans="1:27">
      <c r="A639">
        <v>0</v>
      </c>
      <c r="B639">
        <v>2</v>
      </c>
      <c r="C639">
        <f t="shared" ca="1" si="198"/>
        <v>4</v>
      </c>
      <c r="D639">
        <f t="shared" ca="1" si="199"/>
        <v>3</v>
      </c>
      <c r="E639">
        <f t="shared" ca="1" si="200"/>
        <v>0</v>
      </c>
      <c r="F639" s="110">
        <f t="shared" ca="1" si="201"/>
        <v>0</v>
      </c>
      <c r="G639">
        <v>0</v>
      </c>
      <c r="H639">
        <v>0</v>
      </c>
      <c r="I639">
        <v>7</v>
      </c>
      <c r="J639" s="1">
        <f t="shared" ca="1" si="202"/>
        <v>0</v>
      </c>
      <c r="K639" s="1">
        <f t="shared" ca="1" si="203"/>
        <v>0</v>
      </c>
      <c r="L639" s="13">
        <f t="shared" ca="1" si="204"/>
        <v>133</v>
      </c>
      <c r="M639" s="7">
        <f t="shared" ca="1" si="205"/>
        <v>1367</v>
      </c>
      <c r="N639" s="26">
        <f t="shared" ca="1" si="206"/>
        <v>4</v>
      </c>
      <c r="O639" s="44">
        <f t="shared" ca="1" si="207"/>
        <v>2.8908103757121246</v>
      </c>
      <c r="P639" s="44">
        <f t="shared" ca="1" si="208"/>
        <v>28.908103757121246</v>
      </c>
      <c r="Q639" s="44">
        <f t="shared" ca="1" si="209"/>
        <v>28.908103757121246</v>
      </c>
      <c r="R639" s="44">
        <f t="shared" ca="1" si="210"/>
        <v>2.8908103757121246</v>
      </c>
      <c r="S639" s="44">
        <f t="shared" ca="1" si="211"/>
        <v>2.8908103757121246</v>
      </c>
      <c r="T639" s="4">
        <f t="shared" ca="1" si="212"/>
        <v>0</v>
      </c>
      <c r="U639" s="120">
        <f t="shared" ca="1" si="213"/>
        <v>1984.6750620401288</v>
      </c>
      <c r="V639" s="4">
        <f t="shared" ca="1" si="214"/>
        <v>0</v>
      </c>
      <c r="W639" s="13">
        <f t="shared" ca="1" si="215"/>
        <v>19411.875</v>
      </c>
      <c r="X639" s="4">
        <f t="shared" ca="1" si="216"/>
        <v>0</v>
      </c>
      <c r="Y639" s="4">
        <f t="shared" si="217"/>
        <v>0</v>
      </c>
      <c r="Z639" s="13">
        <f t="shared" ca="1" si="218"/>
        <v>19411.875</v>
      </c>
      <c r="AA639" s="4">
        <f t="shared" ca="1" si="219"/>
        <v>0</v>
      </c>
    </row>
    <row r="640" spans="1:27">
      <c r="A640">
        <v>0</v>
      </c>
      <c r="B640">
        <v>2</v>
      </c>
      <c r="C640">
        <f t="shared" ca="1" si="198"/>
        <v>4</v>
      </c>
      <c r="D640">
        <f t="shared" ca="1" si="199"/>
        <v>3</v>
      </c>
      <c r="E640">
        <f t="shared" ca="1" si="200"/>
        <v>0</v>
      </c>
      <c r="F640" s="110">
        <f t="shared" ca="1" si="201"/>
        <v>0</v>
      </c>
      <c r="G640">
        <v>0</v>
      </c>
      <c r="H640">
        <v>0</v>
      </c>
      <c r="I640">
        <v>6</v>
      </c>
      <c r="J640" s="1">
        <f t="shared" ca="1" si="202"/>
        <v>0</v>
      </c>
      <c r="K640" s="1">
        <f t="shared" ca="1" si="203"/>
        <v>0</v>
      </c>
      <c r="L640" s="13">
        <f t="shared" ca="1" si="204"/>
        <v>114</v>
      </c>
      <c r="M640" s="7">
        <f t="shared" ca="1" si="205"/>
        <v>1386</v>
      </c>
      <c r="N640" s="26">
        <f t="shared" ca="1" si="206"/>
        <v>4</v>
      </c>
      <c r="O640" s="44">
        <f t="shared" ca="1" si="207"/>
        <v>2.8908103757121246</v>
      </c>
      <c r="P640" s="44">
        <f t="shared" ca="1" si="208"/>
        <v>28.908103757121246</v>
      </c>
      <c r="Q640" s="44">
        <f t="shared" ca="1" si="209"/>
        <v>28.908103757121246</v>
      </c>
      <c r="R640" s="44">
        <f t="shared" ca="1" si="210"/>
        <v>2.8908103757121246</v>
      </c>
      <c r="S640" s="44">
        <f t="shared" ca="1" si="211"/>
        <v>2.8908103757121246</v>
      </c>
      <c r="T640" s="4">
        <f t="shared" ca="1" si="212"/>
        <v>0</v>
      </c>
      <c r="U640" s="120">
        <f t="shared" ca="1" si="213"/>
        <v>1965.6750620401288</v>
      </c>
      <c r="V640" s="4">
        <f t="shared" ca="1" si="214"/>
        <v>0</v>
      </c>
      <c r="W640" s="13">
        <f t="shared" ca="1" si="215"/>
        <v>16638.75</v>
      </c>
      <c r="X640" s="4">
        <f t="shared" ca="1" si="216"/>
        <v>0</v>
      </c>
      <c r="Y640" s="4">
        <f t="shared" si="217"/>
        <v>0</v>
      </c>
      <c r="Z640" s="13">
        <f t="shared" ca="1" si="218"/>
        <v>16638.75</v>
      </c>
      <c r="AA640" s="4">
        <f t="shared" ca="1" si="219"/>
        <v>0</v>
      </c>
    </row>
    <row r="641" spans="1:27">
      <c r="A641">
        <v>0</v>
      </c>
      <c r="B641">
        <v>2</v>
      </c>
      <c r="C641">
        <f t="shared" ca="1" si="198"/>
        <v>4</v>
      </c>
      <c r="D641">
        <f t="shared" ca="1" si="199"/>
        <v>3</v>
      </c>
      <c r="E641">
        <f t="shared" ca="1" si="200"/>
        <v>0</v>
      </c>
      <c r="F641" s="110">
        <f t="shared" ca="1" si="201"/>
        <v>0</v>
      </c>
      <c r="G641">
        <v>0</v>
      </c>
      <c r="H641">
        <v>0</v>
      </c>
      <c r="I641">
        <v>5</v>
      </c>
      <c r="J641" s="1">
        <f t="shared" ca="1" si="202"/>
        <v>0</v>
      </c>
      <c r="K641" s="1">
        <f t="shared" ca="1" si="203"/>
        <v>0</v>
      </c>
      <c r="L641" s="13">
        <f t="shared" ca="1" si="204"/>
        <v>95</v>
      </c>
      <c r="M641" s="7">
        <f t="shared" ca="1" si="205"/>
        <v>1405</v>
      </c>
      <c r="N641" s="26">
        <f t="shared" ca="1" si="206"/>
        <v>5</v>
      </c>
      <c r="O641" s="44">
        <f t="shared" ca="1" si="207"/>
        <v>3.5395046525977252</v>
      </c>
      <c r="P641" s="44">
        <f t="shared" ca="1" si="208"/>
        <v>35.39504652597725</v>
      </c>
      <c r="Q641" s="44">
        <f t="shared" ca="1" si="209"/>
        <v>30.205492310892446</v>
      </c>
      <c r="R641" s="44">
        <f t="shared" ca="1" si="210"/>
        <v>3.2800269418434853</v>
      </c>
      <c r="S641" s="44">
        <f t="shared" ca="1" si="211"/>
        <v>3.5213412128449284</v>
      </c>
      <c r="T641" s="4">
        <f t="shared" ca="1" si="212"/>
        <v>0</v>
      </c>
      <c r="U641" s="120">
        <f t="shared" ca="1" si="213"/>
        <v>2290.8626329996823</v>
      </c>
      <c r="V641" s="4">
        <f t="shared" ca="1" si="214"/>
        <v>0</v>
      </c>
      <c r="W641" s="13">
        <f t="shared" ca="1" si="215"/>
        <v>13865.625</v>
      </c>
      <c r="X641" s="4">
        <f t="shared" ca="1" si="216"/>
        <v>0</v>
      </c>
      <c r="Y641" s="4">
        <f t="shared" si="217"/>
        <v>0</v>
      </c>
      <c r="Z641" s="13">
        <f t="shared" ca="1" si="218"/>
        <v>13865.625</v>
      </c>
      <c r="AA641" s="4">
        <f t="shared" ca="1" si="219"/>
        <v>0</v>
      </c>
    </row>
    <row r="642" spans="1:27">
      <c r="A642">
        <v>0</v>
      </c>
      <c r="B642">
        <v>2</v>
      </c>
      <c r="C642">
        <f t="shared" ca="1" si="198"/>
        <v>4</v>
      </c>
      <c r="D642">
        <f t="shared" ca="1" si="199"/>
        <v>3</v>
      </c>
      <c r="E642">
        <f t="shared" ca="1" si="200"/>
        <v>0</v>
      </c>
      <c r="F642" s="110">
        <f t="shared" ca="1" si="201"/>
        <v>0</v>
      </c>
      <c r="G642">
        <v>0</v>
      </c>
      <c r="H642">
        <v>0</v>
      </c>
      <c r="I642">
        <v>4</v>
      </c>
      <c r="J642" s="1">
        <f t="shared" ca="1" si="202"/>
        <v>0</v>
      </c>
      <c r="K642" s="1">
        <f t="shared" ca="1" si="203"/>
        <v>0</v>
      </c>
      <c r="L642" s="13">
        <f t="shared" ca="1" si="204"/>
        <v>76</v>
      </c>
      <c r="M642" s="7">
        <f t="shared" ca="1" si="205"/>
        <v>1424</v>
      </c>
      <c r="N642" s="26">
        <f t="shared" ca="1" si="206"/>
        <v>5</v>
      </c>
      <c r="O642" s="44">
        <f t="shared" ca="1" si="207"/>
        <v>3.5395046525977252</v>
      </c>
      <c r="P642" s="44">
        <f t="shared" ca="1" si="208"/>
        <v>35.39504652597725</v>
      </c>
      <c r="Q642" s="44">
        <f t="shared" ca="1" si="209"/>
        <v>35.39504652597725</v>
      </c>
      <c r="R642" s="44">
        <f t="shared" ca="1" si="210"/>
        <v>3.5395046525977252</v>
      </c>
      <c r="S642" s="44">
        <f t="shared" ca="1" si="211"/>
        <v>3.5395046525977252</v>
      </c>
      <c r="T642" s="4">
        <f t="shared" ca="1" si="212"/>
        <v>0</v>
      </c>
      <c r="U642" s="120">
        <f t="shared" ca="1" si="213"/>
        <v>2281.7775012989287</v>
      </c>
      <c r="V642" s="4">
        <f t="shared" ca="1" si="214"/>
        <v>0</v>
      </c>
      <c r="W642" s="13">
        <f t="shared" ca="1" si="215"/>
        <v>11092.5</v>
      </c>
      <c r="X642" s="4">
        <f t="shared" ca="1" si="216"/>
        <v>0</v>
      </c>
      <c r="Y642" s="4">
        <f t="shared" si="217"/>
        <v>0</v>
      </c>
      <c r="Z642" s="13">
        <f t="shared" ca="1" si="218"/>
        <v>11092.5</v>
      </c>
      <c r="AA642" s="4">
        <f t="shared" ca="1" si="219"/>
        <v>0</v>
      </c>
    </row>
    <row r="643" spans="1:27">
      <c r="A643">
        <v>0</v>
      </c>
      <c r="B643">
        <v>2</v>
      </c>
      <c r="C643">
        <f t="shared" ca="1" si="198"/>
        <v>4</v>
      </c>
      <c r="D643">
        <f t="shared" ca="1" si="199"/>
        <v>3</v>
      </c>
      <c r="E643">
        <f t="shared" ca="1" si="200"/>
        <v>0</v>
      </c>
      <c r="F643" s="110">
        <f t="shared" ca="1" si="201"/>
        <v>0</v>
      </c>
      <c r="G643">
        <v>0</v>
      </c>
      <c r="H643">
        <v>0</v>
      </c>
      <c r="I643">
        <v>3</v>
      </c>
      <c r="J643" s="1">
        <f t="shared" ca="1" si="202"/>
        <v>4.2868749999999997E-2</v>
      </c>
      <c r="K643" s="1">
        <f t="shared" ca="1" si="203"/>
        <v>0</v>
      </c>
      <c r="L643" s="13">
        <f t="shared" ca="1" si="204"/>
        <v>57</v>
      </c>
      <c r="M643" s="7">
        <f t="shared" ca="1" si="205"/>
        <v>1443</v>
      </c>
      <c r="N643" s="26">
        <f t="shared" ca="1" si="206"/>
        <v>5</v>
      </c>
      <c r="O643" s="44">
        <f t="shared" ca="1" si="207"/>
        <v>3.5395046525977252</v>
      </c>
      <c r="P643" s="44">
        <f t="shared" ca="1" si="208"/>
        <v>35.39504652597725</v>
      </c>
      <c r="Q643" s="44">
        <f t="shared" ca="1" si="209"/>
        <v>35.39504652597725</v>
      </c>
      <c r="R643" s="44">
        <f t="shared" ca="1" si="210"/>
        <v>3.5395046525977252</v>
      </c>
      <c r="S643" s="44">
        <f t="shared" ca="1" si="211"/>
        <v>3.5395046525977252</v>
      </c>
      <c r="T643" s="4">
        <f t="shared" ca="1" si="212"/>
        <v>0</v>
      </c>
      <c r="U643" s="120">
        <f t="shared" ca="1" si="213"/>
        <v>2262.7775012989287</v>
      </c>
      <c r="V643" s="4">
        <f t="shared" ca="1" si="214"/>
        <v>0</v>
      </c>
      <c r="W643" s="13">
        <f t="shared" ca="1" si="215"/>
        <v>8319.375</v>
      </c>
      <c r="X643" s="4">
        <f t="shared" ca="1" si="216"/>
        <v>0</v>
      </c>
      <c r="Y643" s="4">
        <f t="shared" si="217"/>
        <v>0</v>
      </c>
      <c r="Z643" s="13">
        <f t="shared" ca="1" si="218"/>
        <v>8319.375</v>
      </c>
      <c r="AA643" s="4">
        <f t="shared" ca="1" si="219"/>
        <v>0</v>
      </c>
    </row>
    <row r="644" spans="1:27">
      <c r="A644">
        <v>0</v>
      </c>
      <c r="B644">
        <v>2</v>
      </c>
      <c r="C644">
        <f t="shared" ca="1" si="198"/>
        <v>4</v>
      </c>
      <c r="D644">
        <f t="shared" ca="1" si="199"/>
        <v>3</v>
      </c>
      <c r="E644">
        <f t="shared" ca="1" si="200"/>
        <v>0</v>
      </c>
      <c r="F644" s="110">
        <f t="shared" ca="1" si="201"/>
        <v>0</v>
      </c>
      <c r="G644">
        <v>0</v>
      </c>
      <c r="H644">
        <v>0</v>
      </c>
      <c r="I644">
        <v>2</v>
      </c>
      <c r="J644" s="1">
        <f t="shared" ca="1" si="202"/>
        <v>6.7687500000000074E-3</v>
      </c>
      <c r="K644" s="1">
        <f t="shared" ca="1" si="203"/>
        <v>0</v>
      </c>
      <c r="L644" s="13">
        <f t="shared" ca="1" si="204"/>
        <v>38</v>
      </c>
      <c r="M644" s="7">
        <f t="shared" ca="1" si="205"/>
        <v>1462</v>
      </c>
      <c r="N644" s="26">
        <f t="shared" ca="1" si="206"/>
        <v>5</v>
      </c>
      <c r="O644" s="44">
        <f t="shared" ca="1" si="207"/>
        <v>3.5395046525977252</v>
      </c>
      <c r="P644" s="44">
        <f t="shared" ca="1" si="208"/>
        <v>35.39504652597725</v>
      </c>
      <c r="Q644" s="44">
        <f t="shared" ca="1" si="209"/>
        <v>35.39504652597725</v>
      </c>
      <c r="R644" s="44">
        <f t="shared" ca="1" si="210"/>
        <v>3.5395046525977252</v>
      </c>
      <c r="S644" s="44">
        <f t="shared" ca="1" si="211"/>
        <v>3.5395046525977252</v>
      </c>
      <c r="T644" s="4">
        <f t="shared" ca="1" si="212"/>
        <v>0</v>
      </c>
      <c r="U644" s="120">
        <f t="shared" ca="1" si="213"/>
        <v>2243.7775012989287</v>
      </c>
      <c r="V644" s="4">
        <f t="shared" ca="1" si="214"/>
        <v>0</v>
      </c>
      <c r="W644" s="13">
        <f t="shared" ca="1" si="215"/>
        <v>5546.25</v>
      </c>
      <c r="X644" s="4">
        <f t="shared" ca="1" si="216"/>
        <v>0</v>
      </c>
      <c r="Y644" s="4">
        <f t="shared" si="217"/>
        <v>0</v>
      </c>
      <c r="Z644" s="13">
        <f t="shared" ca="1" si="218"/>
        <v>5546.25</v>
      </c>
      <c r="AA644" s="4">
        <f t="shared" ca="1" si="219"/>
        <v>0</v>
      </c>
    </row>
    <row r="645" spans="1:27">
      <c r="A645">
        <v>0</v>
      </c>
      <c r="B645">
        <v>2</v>
      </c>
      <c r="C645">
        <f t="shared" ca="1" si="198"/>
        <v>4</v>
      </c>
      <c r="D645">
        <f t="shared" ca="1" si="199"/>
        <v>3</v>
      </c>
      <c r="E645">
        <f t="shared" ca="1" si="200"/>
        <v>0</v>
      </c>
      <c r="F645" s="110">
        <f t="shared" ca="1" si="201"/>
        <v>0</v>
      </c>
      <c r="G645">
        <v>0</v>
      </c>
      <c r="H645">
        <v>0</v>
      </c>
      <c r="I645">
        <v>1</v>
      </c>
      <c r="J645" s="1">
        <f t="shared" ca="1" si="202"/>
        <v>3.5625000000000061E-4</v>
      </c>
      <c r="K645" s="1">
        <f t="shared" ca="1" si="203"/>
        <v>0</v>
      </c>
      <c r="L645" s="13">
        <f t="shared" ca="1" si="204"/>
        <v>19</v>
      </c>
      <c r="M645" s="7">
        <f t="shared" ca="1" si="205"/>
        <v>1481</v>
      </c>
      <c r="N645" s="26">
        <f t="shared" ca="1" si="206"/>
        <v>5</v>
      </c>
      <c r="O645" s="44">
        <f t="shared" ca="1" si="207"/>
        <v>3.5395046525977252</v>
      </c>
      <c r="P645" s="44">
        <f t="shared" ca="1" si="208"/>
        <v>35.39504652597725</v>
      </c>
      <c r="Q645" s="44">
        <f t="shared" ca="1" si="209"/>
        <v>35.39504652597725</v>
      </c>
      <c r="R645" s="44">
        <f t="shared" ca="1" si="210"/>
        <v>3.5395046525977252</v>
      </c>
      <c r="S645" s="44">
        <f t="shared" ca="1" si="211"/>
        <v>3.5395046525977252</v>
      </c>
      <c r="T645" s="4">
        <f t="shared" ca="1" si="212"/>
        <v>0</v>
      </c>
      <c r="U645" s="120">
        <f t="shared" ca="1" si="213"/>
        <v>2224.7775012989287</v>
      </c>
      <c r="V645" s="4">
        <f t="shared" ca="1" si="214"/>
        <v>0</v>
      </c>
      <c r="W645" s="13">
        <f t="shared" ca="1" si="215"/>
        <v>2773.125</v>
      </c>
      <c r="X645" s="4">
        <f t="shared" ca="1" si="216"/>
        <v>0</v>
      </c>
      <c r="Y645" s="4">
        <f t="shared" si="217"/>
        <v>0</v>
      </c>
      <c r="Z645" s="13">
        <f t="shared" ca="1" si="218"/>
        <v>2773.125</v>
      </c>
      <c r="AA645" s="4">
        <f t="shared" ca="1" si="219"/>
        <v>0</v>
      </c>
    </row>
    <row r="646" spans="1:27">
      <c r="A646">
        <v>0</v>
      </c>
      <c r="B646">
        <v>2</v>
      </c>
      <c r="C646">
        <f t="shared" ca="1" si="198"/>
        <v>4</v>
      </c>
      <c r="D646">
        <f t="shared" ca="1" si="199"/>
        <v>3</v>
      </c>
      <c r="E646">
        <f t="shared" ca="1" si="200"/>
        <v>0</v>
      </c>
      <c r="F646" s="110">
        <f t="shared" ca="1" si="201"/>
        <v>0</v>
      </c>
      <c r="G646">
        <v>0</v>
      </c>
      <c r="H646">
        <v>0</v>
      </c>
      <c r="I646">
        <v>0</v>
      </c>
      <c r="J646" s="1">
        <f t="shared" ca="1" si="202"/>
        <v>6.2500000000000164E-6</v>
      </c>
      <c r="K646" s="1">
        <f t="shared" ca="1" si="203"/>
        <v>0</v>
      </c>
      <c r="L646" s="13">
        <f t="shared" ca="1" si="204"/>
        <v>0</v>
      </c>
      <c r="M646" s="7">
        <f t="shared" ca="1" si="205"/>
        <v>1500</v>
      </c>
      <c r="N646" s="26">
        <f t="shared" ca="1" si="206"/>
        <v>5</v>
      </c>
      <c r="O646" s="44">
        <f t="shared" ca="1" si="207"/>
        <v>3.5395046525977252</v>
      </c>
      <c r="P646" s="44">
        <f t="shared" ca="1" si="208"/>
        <v>35.39504652597725</v>
      </c>
      <c r="Q646" s="44">
        <f t="shared" ca="1" si="209"/>
        <v>35.39504652597725</v>
      </c>
      <c r="R646" s="44">
        <f t="shared" ca="1" si="210"/>
        <v>3.5395046525977252</v>
      </c>
      <c r="S646" s="44">
        <f t="shared" ca="1" si="211"/>
        <v>3.5395046525977252</v>
      </c>
      <c r="T646" s="4">
        <f t="shared" ca="1" si="212"/>
        <v>0</v>
      </c>
      <c r="U646" s="120">
        <f t="shared" ca="1" si="213"/>
        <v>2205.7775012989287</v>
      </c>
      <c r="V646" s="4">
        <f t="shared" ca="1" si="214"/>
        <v>0</v>
      </c>
      <c r="W646" s="13">
        <f t="shared" ca="1" si="215"/>
        <v>0</v>
      </c>
      <c r="X646" s="4">
        <f t="shared" ca="1" si="216"/>
        <v>0</v>
      </c>
      <c r="Y646" s="4">
        <f t="shared" si="217"/>
        <v>0</v>
      </c>
      <c r="Z646" s="13">
        <f t="shared" ca="1" si="218"/>
        <v>0</v>
      </c>
      <c r="AA646" s="4">
        <f t="shared" ca="1" si="219"/>
        <v>0</v>
      </c>
    </row>
    <row r="647" spans="1:27">
      <c r="A647">
        <v>0</v>
      </c>
      <c r="B647">
        <v>3</v>
      </c>
      <c r="C647">
        <f t="shared" ca="1" si="198"/>
        <v>5</v>
      </c>
      <c r="D647">
        <f t="shared" ca="1" si="199"/>
        <v>4</v>
      </c>
      <c r="E647">
        <f t="shared" ca="1" si="200"/>
        <v>0</v>
      </c>
      <c r="F647" s="110">
        <f t="shared" ca="1" si="201"/>
        <v>2.7353999999999996E-2</v>
      </c>
      <c r="G647">
        <v>1</v>
      </c>
      <c r="H647">
        <v>1</v>
      </c>
      <c r="I647">
        <v>7</v>
      </c>
      <c r="J647" s="1">
        <f t="shared" ca="1" si="202"/>
        <v>0</v>
      </c>
      <c r="K647" s="1">
        <f t="shared" ca="1" si="203"/>
        <v>0</v>
      </c>
      <c r="L647" s="13">
        <f t="shared" ca="1" si="204"/>
        <v>701</v>
      </c>
      <c r="M647" s="7">
        <f t="shared" ca="1" si="205"/>
        <v>799</v>
      </c>
      <c r="N647" s="26">
        <f t="shared" ca="1" si="206"/>
        <v>3</v>
      </c>
      <c r="O647" s="44">
        <f t="shared" ca="1" si="207"/>
        <v>2.2758855914378953</v>
      </c>
      <c r="P647" s="44">
        <f t="shared" ca="1" si="208"/>
        <v>22.758855914378952</v>
      </c>
      <c r="Q647" s="44">
        <f t="shared" ca="1" si="209"/>
        <v>22.758855914378952</v>
      </c>
      <c r="R647" s="44">
        <f t="shared" ca="1" si="210"/>
        <v>2.2758855914378953</v>
      </c>
      <c r="S647" s="44">
        <f t="shared" ca="1" si="211"/>
        <v>2.2758855914378953</v>
      </c>
      <c r="T647" s="4">
        <f t="shared" ca="1" si="212"/>
        <v>0</v>
      </c>
      <c r="U647" s="120">
        <f t="shared" ca="1" si="213"/>
        <v>2217.0063598009133</v>
      </c>
      <c r="V647" s="4">
        <f t="shared" ca="1" si="214"/>
        <v>0</v>
      </c>
      <c r="W647" s="13">
        <f t="shared" ca="1" si="215"/>
        <v>49588.256250000006</v>
      </c>
      <c r="X647" s="4">
        <f t="shared" ca="1" si="216"/>
        <v>0</v>
      </c>
      <c r="Y647" s="4">
        <f t="shared" si="217"/>
        <v>0</v>
      </c>
      <c r="Z647" s="13">
        <f t="shared" ca="1" si="218"/>
        <v>49588.256250000006</v>
      </c>
      <c r="AA647" s="4">
        <f t="shared" ca="1" si="219"/>
        <v>0</v>
      </c>
    </row>
    <row r="648" spans="1:27">
      <c r="A648">
        <v>0</v>
      </c>
      <c r="B648">
        <v>3</v>
      </c>
      <c r="C648">
        <f t="shared" ca="1" si="198"/>
        <v>5</v>
      </c>
      <c r="D648">
        <f t="shared" ca="1" si="199"/>
        <v>4</v>
      </c>
      <c r="E648">
        <f t="shared" ca="1" si="200"/>
        <v>0</v>
      </c>
      <c r="F648" s="110">
        <f t="shared" ca="1" si="201"/>
        <v>2.7353999999999996E-2</v>
      </c>
      <c r="G648">
        <v>1</v>
      </c>
      <c r="H648">
        <v>1</v>
      </c>
      <c r="I648">
        <v>6</v>
      </c>
      <c r="J648" s="1">
        <f t="shared" ca="1" si="202"/>
        <v>0</v>
      </c>
      <c r="K648" s="1">
        <f t="shared" ca="1" si="203"/>
        <v>0</v>
      </c>
      <c r="L648" s="13">
        <f t="shared" ca="1" si="204"/>
        <v>682</v>
      </c>
      <c r="M648" s="7">
        <f t="shared" ca="1" si="205"/>
        <v>818</v>
      </c>
      <c r="N648" s="26">
        <f t="shared" ca="1" si="206"/>
        <v>3</v>
      </c>
      <c r="O648" s="44">
        <f t="shared" ca="1" si="207"/>
        <v>2.2758855914378953</v>
      </c>
      <c r="P648" s="44">
        <f t="shared" ca="1" si="208"/>
        <v>22.758855914378952</v>
      </c>
      <c r="Q648" s="44">
        <f t="shared" ca="1" si="209"/>
        <v>22.758855914378952</v>
      </c>
      <c r="R648" s="44">
        <f t="shared" ca="1" si="210"/>
        <v>2.2758855914378953</v>
      </c>
      <c r="S648" s="44">
        <f t="shared" ca="1" si="211"/>
        <v>2.2758855914378953</v>
      </c>
      <c r="T648" s="4">
        <f t="shared" ca="1" si="212"/>
        <v>0</v>
      </c>
      <c r="U648" s="120">
        <f t="shared" ca="1" si="213"/>
        <v>2198.0063598009133</v>
      </c>
      <c r="V648" s="4">
        <f t="shared" ca="1" si="214"/>
        <v>0</v>
      </c>
      <c r="W648" s="13">
        <f t="shared" ca="1" si="215"/>
        <v>46815.131250000006</v>
      </c>
      <c r="X648" s="4">
        <f t="shared" ca="1" si="216"/>
        <v>0</v>
      </c>
      <c r="Y648" s="4">
        <f t="shared" si="217"/>
        <v>0</v>
      </c>
      <c r="Z648" s="13">
        <f t="shared" ca="1" si="218"/>
        <v>46815.131250000006</v>
      </c>
      <c r="AA648" s="4">
        <f t="shared" ca="1" si="219"/>
        <v>0</v>
      </c>
    </row>
    <row r="649" spans="1:27">
      <c r="A649">
        <v>0</v>
      </c>
      <c r="B649">
        <v>3</v>
      </c>
      <c r="C649">
        <f t="shared" ca="1" si="198"/>
        <v>5</v>
      </c>
      <c r="D649">
        <f t="shared" ca="1" si="199"/>
        <v>4</v>
      </c>
      <c r="E649">
        <f t="shared" ca="1" si="200"/>
        <v>0</v>
      </c>
      <c r="F649" s="110">
        <f t="shared" ca="1" si="201"/>
        <v>2.7353999999999996E-2</v>
      </c>
      <c r="G649">
        <v>1</v>
      </c>
      <c r="H649">
        <v>1</v>
      </c>
      <c r="I649">
        <v>5</v>
      </c>
      <c r="J649" s="1">
        <f t="shared" ca="1" si="202"/>
        <v>0</v>
      </c>
      <c r="K649" s="1">
        <f t="shared" ca="1" si="203"/>
        <v>0</v>
      </c>
      <c r="L649" s="13">
        <f t="shared" ca="1" si="204"/>
        <v>663</v>
      </c>
      <c r="M649" s="7">
        <f t="shared" ca="1" si="205"/>
        <v>837</v>
      </c>
      <c r="N649" s="26">
        <f t="shared" ca="1" si="206"/>
        <v>3</v>
      </c>
      <c r="O649" s="44">
        <f t="shared" ca="1" si="207"/>
        <v>2.2758855914378953</v>
      </c>
      <c r="P649" s="44">
        <f t="shared" ca="1" si="208"/>
        <v>22.758855914378952</v>
      </c>
      <c r="Q649" s="44">
        <f t="shared" ca="1" si="209"/>
        <v>22.758855914378952</v>
      </c>
      <c r="R649" s="44">
        <f t="shared" ca="1" si="210"/>
        <v>2.2758855914378953</v>
      </c>
      <c r="S649" s="44">
        <f t="shared" ca="1" si="211"/>
        <v>2.2758855914378953</v>
      </c>
      <c r="T649" s="4">
        <f t="shared" ca="1" si="212"/>
        <v>0</v>
      </c>
      <c r="U649" s="120">
        <f t="shared" ca="1" si="213"/>
        <v>2179.0063598009133</v>
      </c>
      <c r="V649" s="4">
        <f t="shared" ca="1" si="214"/>
        <v>0</v>
      </c>
      <c r="W649" s="13">
        <f t="shared" ca="1" si="215"/>
        <v>44042.006250000006</v>
      </c>
      <c r="X649" s="4">
        <f t="shared" ca="1" si="216"/>
        <v>0</v>
      </c>
      <c r="Y649" s="4">
        <f t="shared" si="217"/>
        <v>0</v>
      </c>
      <c r="Z649" s="13">
        <f t="shared" ca="1" si="218"/>
        <v>44042.006250000006</v>
      </c>
      <c r="AA649" s="4">
        <f t="shared" ca="1" si="219"/>
        <v>0</v>
      </c>
    </row>
    <row r="650" spans="1:27">
      <c r="A650">
        <v>0</v>
      </c>
      <c r="B650">
        <v>3</v>
      </c>
      <c r="C650">
        <f t="shared" ca="1" si="198"/>
        <v>5</v>
      </c>
      <c r="D650">
        <f t="shared" ca="1" si="199"/>
        <v>4</v>
      </c>
      <c r="E650">
        <f t="shared" ca="1" si="200"/>
        <v>0</v>
      </c>
      <c r="F650" s="110">
        <f t="shared" ca="1" si="201"/>
        <v>2.7353999999999996E-2</v>
      </c>
      <c r="G650">
        <v>1</v>
      </c>
      <c r="H650">
        <v>1</v>
      </c>
      <c r="I650">
        <v>4</v>
      </c>
      <c r="J650" s="1">
        <f t="shared" ca="1" si="202"/>
        <v>0</v>
      </c>
      <c r="K650" s="1">
        <f t="shared" ca="1" si="203"/>
        <v>0</v>
      </c>
      <c r="L650" s="13">
        <f t="shared" ca="1" si="204"/>
        <v>644</v>
      </c>
      <c r="M650" s="7">
        <f t="shared" ca="1" si="205"/>
        <v>856</v>
      </c>
      <c r="N650" s="26">
        <f t="shared" ca="1" si="206"/>
        <v>3</v>
      </c>
      <c r="O650" s="44">
        <f t="shared" ca="1" si="207"/>
        <v>2.2758855914378953</v>
      </c>
      <c r="P650" s="44">
        <f t="shared" ca="1" si="208"/>
        <v>22.758855914378952</v>
      </c>
      <c r="Q650" s="44">
        <f t="shared" ca="1" si="209"/>
        <v>22.758855914378952</v>
      </c>
      <c r="R650" s="44">
        <f t="shared" ca="1" si="210"/>
        <v>2.2758855914378953</v>
      </c>
      <c r="S650" s="44">
        <f t="shared" ca="1" si="211"/>
        <v>2.2758855914378953</v>
      </c>
      <c r="T650" s="4">
        <f t="shared" ca="1" si="212"/>
        <v>0</v>
      </c>
      <c r="U650" s="120">
        <f t="shared" ca="1" si="213"/>
        <v>2160.0063598009133</v>
      </c>
      <c r="V650" s="4">
        <f t="shared" ca="1" si="214"/>
        <v>0</v>
      </c>
      <c r="W650" s="13">
        <f t="shared" ca="1" si="215"/>
        <v>41268.881250000006</v>
      </c>
      <c r="X650" s="4">
        <f t="shared" ca="1" si="216"/>
        <v>0</v>
      </c>
      <c r="Y650" s="4">
        <f t="shared" si="217"/>
        <v>0</v>
      </c>
      <c r="Z650" s="13">
        <f t="shared" ca="1" si="218"/>
        <v>41268.881250000006</v>
      </c>
      <c r="AA650" s="4">
        <f t="shared" ca="1" si="219"/>
        <v>0</v>
      </c>
    </row>
    <row r="651" spans="1:27">
      <c r="A651">
        <v>0</v>
      </c>
      <c r="B651">
        <v>3</v>
      </c>
      <c r="C651">
        <f t="shared" ca="1" si="198"/>
        <v>5</v>
      </c>
      <c r="D651">
        <f t="shared" ca="1" si="199"/>
        <v>4</v>
      </c>
      <c r="E651">
        <f t="shared" ca="1" si="200"/>
        <v>0</v>
      </c>
      <c r="F651" s="110">
        <f t="shared" ca="1" si="201"/>
        <v>2.7353999999999996E-2</v>
      </c>
      <c r="G651">
        <v>1</v>
      </c>
      <c r="H651">
        <v>1</v>
      </c>
      <c r="I651">
        <v>3</v>
      </c>
      <c r="J651" s="1">
        <f t="shared" ca="1" si="202"/>
        <v>0</v>
      </c>
      <c r="K651" s="1">
        <f t="shared" ca="1" si="203"/>
        <v>0</v>
      </c>
      <c r="L651" s="13">
        <f t="shared" ca="1" si="204"/>
        <v>625</v>
      </c>
      <c r="M651" s="7">
        <f t="shared" ca="1" si="205"/>
        <v>875</v>
      </c>
      <c r="N651" s="26">
        <f t="shared" ca="1" si="206"/>
        <v>3</v>
      </c>
      <c r="O651" s="44">
        <f t="shared" ca="1" si="207"/>
        <v>2.2758855914378953</v>
      </c>
      <c r="P651" s="44">
        <f t="shared" ca="1" si="208"/>
        <v>22.758855914378952</v>
      </c>
      <c r="Q651" s="44">
        <f t="shared" ca="1" si="209"/>
        <v>22.758855914378952</v>
      </c>
      <c r="R651" s="44">
        <f t="shared" ca="1" si="210"/>
        <v>2.2758855914378953</v>
      </c>
      <c r="S651" s="44">
        <f t="shared" ca="1" si="211"/>
        <v>2.2758855914378953</v>
      </c>
      <c r="T651" s="4">
        <f t="shared" ca="1" si="212"/>
        <v>0</v>
      </c>
      <c r="U651" s="120">
        <f t="shared" ca="1" si="213"/>
        <v>2141.0063598009133</v>
      </c>
      <c r="V651" s="4">
        <f t="shared" ca="1" si="214"/>
        <v>0</v>
      </c>
      <c r="W651" s="13">
        <f t="shared" ca="1" si="215"/>
        <v>38495.756250000006</v>
      </c>
      <c r="X651" s="4">
        <f t="shared" ca="1" si="216"/>
        <v>0</v>
      </c>
      <c r="Y651" s="4">
        <f t="shared" si="217"/>
        <v>0</v>
      </c>
      <c r="Z651" s="13">
        <f t="shared" ca="1" si="218"/>
        <v>38495.756250000006</v>
      </c>
      <c r="AA651" s="4">
        <f t="shared" ca="1" si="219"/>
        <v>0</v>
      </c>
    </row>
    <row r="652" spans="1:27">
      <c r="A652">
        <v>0</v>
      </c>
      <c r="B652">
        <v>3</v>
      </c>
      <c r="C652">
        <f t="shared" ca="1" si="198"/>
        <v>5</v>
      </c>
      <c r="D652">
        <f t="shared" ca="1" si="199"/>
        <v>4</v>
      </c>
      <c r="E652">
        <f t="shared" ca="1" si="200"/>
        <v>0</v>
      </c>
      <c r="F652" s="110">
        <f t="shared" ca="1" si="201"/>
        <v>2.7353999999999996E-2</v>
      </c>
      <c r="G652">
        <v>1</v>
      </c>
      <c r="H652">
        <v>1</v>
      </c>
      <c r="I652">
        <v>2</v>
      </c>
      <c r="J652" s="1">
        <f t="shared" ca="1" si="202"/>
        <v>0</v>
      </c>
      <c r="K652" s="1">
        <f t="shared" ca="1" si="203"/>
        <v>0</v>
      </c>
      <c r="L652" s="13">
        <f t="shared" ca="1" si="204"/>
        <v>606</v>
      </c>
      <c r="M652" s="7">
        <f t="shared" ca="1" si="205"/>
        <v>894</v>
      </c>
      <c r="N652" s="26">
        <f t="shared" ca="1" si="206"/>
        <v>3</v>
      </c>
      <c r="O652" s="44">
        <f t="shared" ca="1" si="207"/>
        <v>2.2758855914378953</v>
      </c>
      <c r="P652" s="44">
        <f t="shared" ca="1" si="208"/>
        <v>22.758855914378952</v>
      </c>
      <c r="Q652" s="44">
        <f t="shared" ca="1" si="209"/>
        <v>22.758855914378952</v>
      </c>
      <c r="R652" s="44">
        <f t="shared" ca="1" si="210"/>
        <v>2.2758855914378953</v>
      </c>
      <c r="S652" s="44">
        <f t="shared" ca="1" si="211"/>
        <v>2.2758855914378953</v>
      </c>
      <c r="T652" s="4">
        <f t="shared" ca="1" si="212"/>
        <v>0</v>
      </c>
      <c r="U652" s="120">
        <f t="shared" ca="1" si="213"/>
        <v>2122.0063598009133</v>
      </c>
      <c r="V652" s="4">
        <f t="shared" ca="1" si="214"/>
        <v>0</v>
      </c>
      <c r="W652" s="13">
        <f t="shared" ca="1" si="215"/>
        <v>35722.631250000006</v>
      </c>
      <c r="X652" s="4">
        <f t="shared" ca="1" si="216"/>
        <v>0</v>
      </c>
      <c r="Y652" s="4">
        <f t="shared" si="217"/>
        <v>0</v>
      </c>
      <c r="Z652" s="13">
        <f t="shared" ca="1" si="218"/>
        <v>35722.631250000006</v>
      </c>
      <c r="AA652" s="4">
        <f t="shared" ca="1" si="219"/>
        <v>0</v>
      </c>
    </row>
    <row r="653" spans="1:27">
      <c r="A653">
        <v>0</v>
      </c>
      <c r="B653">
        <v>3</v>
      </c>
      <c r="C653">
        <f t="shared" ca="1" si="198"/>
        <v>5</v>
      </c>
      <c r="D653">
        <f t="shared" ca="1" si="199"/>
        <v>4</v>
      </c>
      <c r="E653">
        <f t="shared" ca="1" si="200"/>
        <v>0</v>
      </c>
      <c r="F653" s="110">
        <f t="shared" ca="1" si="201"/>
        <v>2.7353999999999996E-2</v>
      </c>
      <c r="G653">
        <v>1</v>
      </c>
      <c r="H653">
        <v>1</v>
      </c>
      <c r="I653">
        <v>1</v>
      </c>
      <c r="J653" s="1">
        <f t="shared" ca="1" si="202"/>
        <v>0</v>
      </c>
      <c r="K653" s="1">
        <f t="shared" ca="1" si="203"/>
        <v>0</v>
      </c>
      <c r="L653" s="13">
        <f t="shared" ca="1" si="204"/>
        <v>587</v>
      </c>
      <c r="M653" s="7">
        <f t="shared" ca="1" si="205"/>
        <v>913</v>
      </c>
      <c r="N653" s="26">
        <f t="shared" ca="1" si="206"/>
        <v>3</v>
      </c>
      <c r="O653" s="44">
        <f t="shared" ca="1" si="207"/>
        <v>2.2758855914378953</v>
      </c>
      <c r="P653" s="44">
        <f t="shared" ca="1" si="208"/>
        <v>22.758855914378952</v>
      </c>
      <c r="Q653" s="44">
        <f t="shared" ca="1" si="209"/>
        <v>22.758855914378952</v>
      </c>
      <c r="R653" s="44">
        <f t="shared" ca="1" si="210"/>
        <v>2.2758855914378953</v>
      </c>
      <c r="S653" s="44">
        <f t="shared" ca="1" si="211"/>
        <v>2.2758855914378953</v>
      </c>
      <c r="T653" s="4">
        <f t="shared" ca="1" si="212"/>
        <v>0</v>
      </c>
      <c r="U653" s="120">
        <f t="shared" ca="1" si="213"/>
        <v>2103.0063598009133</v>
      </c>
      <c r="V653" s="4">
        <f t="shared" ca="1" si="214"/>
        <v>0</v>
      </c>
      <c r="W653" s="13">
        <f t="shared" ca="1" si="215"/>
        <v>32949.506250000006</v>
      </c>
      <c r="X653" s="4">
        <f t="shared" ca="1" si="216"/>
        <v>0</v>
      </c>
      <c r="Y653" s="4">
        <f t="shared" si="217"/>
        <v>0</v>
      </c>
      <c r="Z653" s="13">
        <f t="shared" ca="1" si="218"/>
        <v>32949.506250000006</v>
      </c>
      <c r="AA653" s="4">
        <f t="shared" ca="1" si="219"/>
        <v>0</v>
      </c>
    </row>
    <row r="654" spans="1:27">
      <c r="A654">
        <v>0</v>
      </c>
      <c r="B654">
        <v>3</v>
      </c>
      <c r="C654">
        <f t="shared" ca="1" si="198"/>
        <v>5</v>
      </c>
      <c r="D654">
        <f t="shared" ca="1" si="199"/>
        <v>4</v>
      </c>
      <c r="E654">
        <f t="shared" ca="1" si="200"/>
        <v>0</v>
      </c>
      <c r="F654" s="110">
        <f t="shared" ca="1" si="201"/>
        <v>2.7353999999999996E-2</v>
      </c>
      <c r="G654">
        <v>1</v>
      </c>
      <c r="H654">
        <v>1</v>
      </c>
      <c r="I654">
        <v>0</v>
      </c>
      <c r="J654" s="1">
        <f t="shared" ca="1" si="202"/>
        <v>0</v>
      </c>
      <c r="K654" s="1">
        <f t="shared" ca="1" si="203"/>
        <v>0</v>
      </c>
      <c r="L654" s="13">
        <f t="shared" ca="1" si="204"/>
        <v>568</v>
      </c>
      <c r="M654" s="7">
        <f t="shared" ca="1" si="205"/>
        <v>932</v>
      </c>
      <c r="N654" s="26">
        <f t="shared" ca="1" si="206"/>
        <v>3</v>
      </c>
      <c r="O654" s="44">
        <f t="shared" ca="1" si="207"/>
        <v>2.2758855914378953</v>
      </c>
      <c r="P654" s="44">
        <f t="shared" ca="1" si="208"/>
        <v>22.758855914378952</v>
      </c>
      <c r="Q654" s="44">
        <f t="shared" ca="1" si="209"/>
        <v>22.758855914378952</v>
      </c>
      <c r="R654" s="44">
        <f t="shared" ca="1" si="210"/>
        <v>2.2758855914378953</v>
      </c>
      <c r="S654" s="44">
        <f t="shared" ca="1" si="211"/>
        <v>2.2758855914378953</v>
      </c>
      <c r="T654" s="4">
        <f t="shared" ca="1" si="212"/>
        <v>0</v>
      </c>
      <c r="U654" s="120">
        <f t="shared" ca="1" si="213"/>
        <v>2084.0063598009133</v>
      </c>
      <c r="V654" s="4">
        <f t="shared" ca="1" si="214"/>
        <v>0</v>
      </c>
      <c r="W654" s="13">
        <f t="shared" ca="1" si="215"/>
        <v>30176.381250000002</v>
      </c>
      <c r="X654" s="4">
        <f t="shared" ca="1" si="216"/>
        <v>0</v>
      </c>
      <c r="Y654" s="4">
        <f t="shared" si="217"/>
        <v>0</v>
      </c>
      <c r="Z654" s="13">
        <f t="shared" ca="1" si="218"/>
        <v>30176.381250000002</v>
      </c>
      <c r="AA654" s="4">
        <f t="shared" ca="1" si="219"/>
        <v>0</v>
      </c>
    </row>
    <row r="655" spans="1:27">
      <c r="A655">
        <v>0</v>
      </c>
      <c r="B655">
        <v>3</v>
      </c>
      <c r="C655">
        <f t="shared" ca="1" si="198"/>
        <v>5</v>
      </c>
      <c r="D655">
        <f t="shared" ca="1" si="199"/>
        <v>4</v>
      </c>
      <c r="E655">
        <f t="shared" ca="1" si="200"/>
        <v>0</v>
      </c>
      <c r="F655" s="110">
        <f t="shared" ca="1" si="201"/>
        <v>2.7353999999999996E-2</v>
      </c>
      <c r="G655">
        <v>1</v>
      </c>
      <c r="H655">
        <v>0</v>
      </c>
      <c r="I655">
        <v>7</v>
      </c>
      <c r="J655" s="1">
        <f t="shared" ca="1" si="202"/>
        <v>0</v>
      </c>
      <c r="K655" s="1">
        <f t="shared" ca="1" si="203"/>
        <v>0</v>
      </c>
      <c r="L655" s="13">
        <f t="shared" ca="1" si="204"/>
        <v>417</v>
      </c>
      <c r="M655" s="7">
        <f t="shared" ca="1" si="205"/>
        <v>1083</v>
      </c>
      <c r="N655" s="26">
        <f t="shared" ca="1" si="206"/>
        <v>4</v>
      </c>
      <c r="O655" s="44">
        <f t="shared" ca="1" si="207"/>
        <v>2.8908103757121246</v>
      </c>
      <c r="P655" s="44">
        <f t="shared" ca="1" si="208"/>
        <v>28.908103757121246</v>
      </c>
      <c r="Q655" s="44">
        <f t="shared" ca="1" si="209"/>
        <v>28.908103757121246</v>
      </c>
      <c r="R655" s="44">
        <f t="shared" ca="1" si="210"/>
        <v>2.8908103757121246</v>
      </c>
      <c r="S655" s="44">
        <f t="shared" ca="1" si="211"/>
        <v>2.8908103757121246</v>
      </c>
      <c r="T655" s="4">
        <f t="shared" ca="1" si="212"/>
        <v>0</v>
      </c>
      <c r="U655" s="120">
        <f t="shared" ca="1" si="213"/>
        <v>2268.675062040129</v>
      </c>
      <c r="V655" s="4">
        <f t="shared" ca="1" si="214"/>
        <v>0</v>
      </c>
      <c r="W655" s="13">
        <f t="shared" ca="1" si="215"/>
        <v>49588.256250000006</v>
      </c>
      <c r="X655" s="4">
        <f t="shared" ca="1" si="216"/>
        <v>0</v>
      </c>
      <c r="Y655" s="4">
        <f t="shared" si="217"/>
        <v>0</v>
      </c>
      <c r="Z655" s="13">
        <f t="shared" ca="1" si="218"/>
        <v>49588.256250000006</v>
      </c>
      <c r="AA655" s="4">
        <f t="shared" ca="1" si="219"/>
        <v>0</v>
      </c>
    </row>
    <row r="656" spans="1:27">
      <c r="A656">
        <v>0</v>
      </c>
      <c r="B656">
        <v>3</v>
      </c>
      <c r="C656">
        <f t="shared" ca="1" si="198"/>
        <v>5</v>
      </c>
      <c r="D656">
        <f t="shared" ca="1" si="199"/>
        <v>4</v>
      </c>
      <c r="E656">
        <f t="shared" ca="1" si="200"/>
        <v>0</v>
      </c>
      <c r="F656" s="110">
        <f t="shared" ca="1" si="201"/>
        <v>2.7353999999999996E-2</v>
      </c>
      <c r="G656">
        <v>1</v>
      </c>
      <c r="H656">
        <v>0</v>
      </c>
      <c r="I656">
        <v>6</v>
      </c>
      <c r="J656" s="1">
        <f t="shared" ca="1" si="202"/>
        <v>0</v>
      </c>
      <c r="K656" s="1">
        <f t="shared" ca="1" si="203"/>
        <v>0</v>
      </c>
      <c r="L656" s="13">
        <f t="shared" ca="1" si="204"/>
        <v>398</v>
      </c>
      <c r="M656" s="7">
        <f t="shared" ca="1" si="205"/>
        <v>1102</v>
      </c>
      <c r="N656" s="26">
        <f t="shared" ca="1" si="206"/>
        <v>4</v>
      </c>
      <c r="O656" s="44">
        <f t="shared" ca="1" si="207"/>
        <v>2.8908103757121246</v>
      </c>
      <c r="P656" s="44">
        <f t="shared" ca="1" si="208"/>
        <v>28.908103757121246</v>
      </c>
      <c r="Q656" s="44">
        <f t="shared" ca="1" si="209"/>
        <v>28.908103757121246</v>
      </c>
      <c r="R656" s="44">
        <f t="shared" ca="1" si="210"/>
        <v>2.8908103757121246</v>
      </c>
      <c r="S656" s="44">
        <f t="shared" ca="1" si="211"/>
        <v>2.8908103757121246</v>
      </c>
      <c r="T656" s="4">
        <f t="shared" ca="1" si="212"/>
        <v>0</v>
      </c>
      <c r="U656" s="120">
        <f t="shared" ca="1" si="213"/>
        <v>2249.675062040129</v>
      </c>
      <c r="V656" s="4">
        <f t="shared" ca="1" si="214"/>
        <v>0</v>
      </c>
      <c r="W656" s="13">
        <f t="shared" ca="1" si="215"/>
        <v>46815.131250000006</v>
      </c>
      <c r="X656" s="4">
        <f t="shared" ca="1" si="216"/>
        <v>0</v>
      </c>
      <c r="Y656" s="4">
        <f t="shared" si="217"/>
        <v>0</v>
      </c>
      <c r="Z656" s="13">
        <f t="shared" ca="1" si="218"/>
        <v>46815.131250000006</v>
      </c>
      <c r="AA656" s="4">
        <f t="shared" ca="1" si="219"/>
        <v>0</v>
      </c>
    </row>
    <row r="657" spans="1:27">
      <c r="A657">
        <v>0</v>
      </c>
      <c r="B657">
        <v>3</v>
      </c>
      <c r="C657">
        <f t="shared" ca="1" si="198"/>
        <v>5</v>
      </c>
      <c r="D657">
        <f t="shared" ca="1" si="199"/>
        <v>4</v>
      </c>
      <c r="E657">
        <f t="shared" ca="1" si="200"/>
        <v>0</v>
      </c>
      <c r="F657" s="110">
        <f t="shared" ca="1" si="201"/>
        <v>2.7353999999999996E-2</v>
      </c>
      <c r="G657">
        <v>1</v>
      </c>
      <c r="H657">
        <v>0</v>
      </c>
      <c r="I657">
        <v>5</v>
      </c>
      <c r="J657" s="1">
        <f t="shared" ca="1" si="202"/>
        <v>0</v>
      </c>
      <c r="K657" s="1">
        <f t="shared" ca="1" si="203"/>
        <v>0</v>
      </c>
      <c r="L657" s="13">
        <f t="shared" ca="1" si="204"/>
        <v>379</v>
      </c>
      <c r="M657" s="7">
        <f t="shared" ca="1" si="205"/>
        <v>1121</v>
      </c>
      <c r="N657" s="26">
        <f t="shared" ca="1" si="206"/>
        <v>4</v>
      </c>
      <c r="O657" s="44">
        <f t="shared" ca="1" si="207"/>
        <v>2.8908103757121246</v>
      </c>
      <c r="P657" s="44">
        <f t="shared" ca="1" si="208"/>
        <v>28.908103757121246</v>
      </c>
      <c r="Q657" s="44">
        <f t="shared" ca="1" si="209"/>
        <v>28.908103757121246</v>
      </c>
      <c r="R657" s="44">
        <f t="shared" ca="1" si="210"/>
        <v>2.8908103757121246</v>
      </c>
      <c r="S657" s="44">
        <f t="shared" ca="1" si="211"/>
        <v>2.8908103757121246</v>
      </c>
      <c r="T657" s="4">
        <f t="shared" ca="1" si="212"/>
        <v>0</v>
      </c>
      <c r="U657" s="120">
        <f t="shared" ca="1" si="213"/>
        <v>2230.675062040129</v>
      </c>
      <c r="V657" s="4">
        <f t="shared" ca="1" si="214"/>
        <v>0</v>
      </c>
      <c r="W657" s="13">
        <f t="shared" ca="1" si="215"/>
        <v>44042.006250000006</v>
      </c>
      <c r="X657" s="4">
        <f t="shared" ca="1" si="216"/>
        <v>0</v>
      </c>
      <c r="Y657" s="4">
        <f t="shared" si="217"/>
        <v>0</v>
      </c>
      <c r="Z657" s="13">
        <f t="shared" ca="1" si="218"/>
        <v>44042.006250000006</v>
      </c>
      <c r="AA657" s="4">
        <f t="shared" ca="1" si="219"/>
        <v>0</v>
      </c>
    </row>
    <row r="658" spans="1:27">
      <c r="A658">
        <v>0</v>
      </c>
      <c r="B658">
        <v>3</v>
      </c>
      <c r="C658">
        <f t="shared" ca="1" si="198"/>
        <v>5</v>
      </c>
      <c r="D658">
        <f t="shared" ca="1" si="199"/>
        <v>4</v>
      </c>
      <c r="E658">
        <f t="shared" ca="1" si="200"/>
        <v>0</v>
      </c>
      <c r="F658" s="110">
        <f t="shared" ca="1" si="201"/>
        <v>2.7353999999999996E-2</v>
      </c>
      <c r="G658">
        <v>1</v>
      </c>
      <c r="H658">
        <v>0</v>
      </c>
      <c r="I658">
        <v>4</v>
      </c>
      <c r="J658" s="1">
        <f t="shared" ca="1" si="202"/>
        <v>0.77378093749999999</v>
      </c>
      <c r="K658" s="1">
        <f t="shared" ca="1" si="203"/>
        <v>2.1166003764374997E-2</v>
      </c>
      <c r="L658" s="13">
        <f t="shared" ca="1" si="204"/>
        <v>360</v>
      </c>
      <c r="M658" s="7">
        <f t="shared" ca="1" si="205"/>
        <v>1140</v>
      </c>
      <c r="N658" s="26">
        <f t="shared" ca="1" si="206"/>
        <v>4</v>
      </c>
      <c r="O658" s="44">
        <f t="shared" ca="1" si="207"/>
        <v>2.8908103757121246</v>
      </c>
      <c r="P658" s="44">
        <f t="shared" ca="1" si="208"/>
        <v>28.908103757121246</v>
      </c>
      <c r="Q658" s="44">
        <f t="shared" ca="1" si="209"/>
        <v>28.908103757121246</v>
      </c>
      <c r="R658" s="44">
        <f t="shared" ca="1" si="210"/>
        <v>2.8908103757121246</v>
      </c>
      <c r="S658" s="44">
        <f t="shared" ca="1" si="211"/>
        <v>2.8908103757121246</v>
      </c>
      <c r="T658" s="4">
        <f t="shared" ca="1" si="212"/>
        <v>6.118690329441713E-2</v>
      </c>
      <c r="U658" s="120">
        <f t="shared" ca="1" si="213"/>
        <v>2211.675062040129</v>
      </c>
      <c r="V658" s="4">
        <f t="shared" ca="1" si="214"/>
        <v>46.812322688715675</v>
      </c>
      <c r="W658" s="13">
        <f t="shared" ca="1" si="215"/>
        <v>41268.881250000006</v>
      </c>
      <c r="X658" s="4">
        <f t="shared" ca="1" si="216"/>
        <v>873.49729588904484</v>
      </c>
      <c r="Y658" s="4">
        <f t="shared" si="217"/>
        <v>0</v>
      </c>
      <c r="Z658" s="13">
        <f t="shared" ca="1" si="218"/>
        <v>41268.881250000006</v>
      </c>
      <c r="AA658" s="4">
        <f t="shared" ca="1" si="219"/>
        <v>873.49729588904484</v>
      </c>
    </row>
    <row r="659" spans="1:27">
      <c r="A659">
        <v>0</v>
      </c>
      <c r="B659">
        <v>3</v>
      </c>
      <c r="C659">
        <f t="shared" ca="1" si="198"/>
        <v>5</v>
      </c>
      <c r="D659">
        <f t="shared" ca="1" si="199"/>
        <v>4</v>
      </c>
      <c r="E659">
        <f t="shared" ca="1" si="200"/>
        <v>0</v>
      </c>
      <c r="F659" s="110">
        <f t="shared" ca="1" si="201"/>
        <v>2.7353999999999996E-2</v>
      </c>
      <c r="G659">
        <v>1</v>
      </c>
      <c r="H659">
        <v>0</v>
      </c>
      <c r="I659">
        <v>3</v>
      </c>
      <c r="J659" s="1">
        <f t="shared" ca="1" si="202"/>
        <v>0.16290125000000011</v>
      </c>
      <c r="K659" s="1">
        <f t="shared" ca="1" si="203"/>
        <v>4.4560007925000021E-3</v>
      </c>
      <c r="L659" s="13">
        <f t="shared" ca="1" si="204"/>
        <v>341</v>
      </c>
      <c r="M659" s="7">
        <f t="shared" ca="1" si="205"/>
        <v>1159</v>
      </c>
      <c r="N659" s="26">
        <f t="shared" ca="1" si="206"/>
        <v>4</v>
      </c>
      <c r="O659" s="44">
        <f t="shared" ca="1" si="207"/>
        <v>2.8908103757121246</v>
      </c>
      <c r="P659" s="44">
        <f t="shared" ca="1" si="208"/>
        <v>28.908103757121246</v>
      </c>
      <c r="Q659" s="44">
        <f t="shared" ca="1" si="209"/>
        <v>28.908103757121246</v>
      </c>
      <c r="R659" s="44">
        <f t="shared" ca="1" si="210"/>
        <v>2.8908103757121246</v>
      </c>
      <c r="S659" s="44">
        <f t="shared" ca="1" si="211"/>
        <v>2.8908103757121246</v>
      </c>
      <c r="T659" s="4">
        <f t="shared" ca="1" si="212"/>
        <v>1.2881453325140456E-2</v>
      </c>
      <c r="U659" s="120">
        <f t="shared" ca="1" si="213"/>
        <v>2192.675062040129</v>
      </c>
      <c r="V659" s="4">
        <f t="shared" ca="1" si="214"/>
        <v>9.7705618141458057</v>
      </c>
      <c r="W659" s="13">
        <f t="shared" ca="1" si="215"/>
        <v>38495.756250000006</v>
      </c>
      <c r="X659" s="4">
        <f t="shared" ca="1" si="216"/>
        <v>171.53712035788695</v>
      </c>
      <c r="Y659" s="4">
        <f t="shared" si="217"/>
        <v>0</v>
      </c>
      <c r="Z659" s="13">
        <f t="shared" ca="1" si="218"/>
        <v>38495.756250000006</v>
      </c>
      <c r="AA659" s="4">
        <f t="shared" ca="1" si="219"/>
        <v>171.53712035788695</v>
      </c>
    </row>
    <row r="660" spans="1:27">
      <c r="A660">
        <v>0</v>
      </c>
      <c r="B660">
        <v>3</v>
      </c>
      <c r="C660">
        <f t="shared" ca="1" si="198"/>
        <v>5</v>
      </c>
      <c r="D660">
        <f t="shared" ca="1" si="199"/>
        <v>4</v>
      </c>
      <c r="E660">
        <f t="shared" ca="1" si="200"/>
        <v>0</v>
      </c>
      <c r="F660" s="110">
        <f t="shared" ca="1" si="201"/>
        <v>2.7353999999999996E-2</v>
      </c>
      <c r="G660">
        <v>1</v>
      </c>
      <c r="H660">
        <v>0</v>
      </c>
      <c r="I660">
        <v>2</v>
      </c>
      <c r="J660" s="1">
        <f t="shared" ca="1" si="202"/>
        <v>1.2860625000000021E-2</v>
      </c>
      <c r="K660" s="1">
        <f t="shared" ca="1" si="203"/>
        <v>3.5178953625000054E-4</v>
      </c>
      <c r="L660" s="13">
        <f t="shared" ca="1" si="204"/>
        <v>322</v>
      </c>
      <c r="M660" s="7">
        <f t="shared" ca="1" si="205"/>
        <v>1178</v>
      </c>
      <c r="N660" s="26">
        <f t="shared" ca="1" si="206"/>
        <v>4</v>
      </c>
      <c r="O660" s="44">
        <f t="shared" ca="1" si="207"/>
        <v>2.8908103757121246</v>
      </c>
      <c r="P660" s="44">
        <f t="shared" ca="1" si="208"/>
        <v>28.908103757121246</v>
      </c>
      <c r="Q660" s="44">
        <f t="shared" ca="1" si="209"/>
        <v>28.908103757121246</v>
      </c>
      <c r="R660" s="44">
        <f t="shared" ca="1" si="210"/>
        <v>2.8908103757121246</v>
      </c>
      <c r="S660" s="44">
        <f t="shared" ca="1" si="211"/>
        <v>2.8908103757121246</v>
      </c>
      <c r="T660" s="4">
        <f t="shared" ca="1" si="212"/>
        <v>1.0169568414584581E-3</v>
      </c>
      <c r="U660" s="120">
        <f t="shared" ca="1" si="213"/>
        <v>2173.675062040129</v>
      </c>
      <c r="V660" s="4">
        <f t="shared" ca="1" si="214"/>
        <v>0.76467614203328815</v>
      </c>
      <c r="W660" s="13">
        <f t="shared" ca="1" si="215"/>
        <v>35722.631250000006</v>
      </c>
      <c r="X660" s="4">
        <f t="shared" ca="1" si="216"/>
        <v>12.566847881067279</v>
      </c>
      <c r="Y660" s="4">
        <f t="shared" si="217"/>
        <v>0</v>
      </c>
      <c r="Z660" s="13">
        <f t="shared" ca="1" si="218"/>
        <v>35722.631250000006</v>
      </c>
      <c r="AA660" s="4">
        <f t="shared" ca="1" si="219"/>
        <v>12.566847881067279</v>
      </c>
    </row>
    <row r="661" spans="1:27">
      <c r="A661">
        <v>0</v>
      </c>
      <c r="B661">
        <v>3</v>
      </c>
      <c r="C661">
        <f t="shared" ca="1" si="198"/>
        <v>5</v>
      </c>
      <c r="D661">
        <f t="shared" ca="1" si="199"/>
        <v>4</v>
      </c>
      <c r="E661">
        <f t="shared" ca="1" si="200"/>
        <v>0</v>
      </c>
      <c r="F661" s="110">
        <f t="shared" ca="1" si="201"/>
        <v>2.7353999999999996E-2</v>
      </c>
      <c r="G661">
        <v>1</v>
      </c>
      <c r="H661">
        <v>0</v>
      </c>
      <c r="I661">
        <v>1</v>
      </c>
      <c r="J661" s="1">
        <f t="shared" ca="1" si="202"/>
        <v>4.5125000000000118E-4</v>
      </c>
      <c r="K661" s="1">
        <f t="shared" ca="1" si="203"/>
        <v>1.2343492500000031E-5</v>
      </c>
      <c r="L661" s="13">
        <f t="shared" ca="1" si="204"/>
        <v>303</v>
      </c>
      <c r="M661" s="7">
        <f t="shared" ca="1" si="205"/>
        <v>1197</v>
      </c>
      <c r="N661" s="26">
        <f t="shared" ca="1" si="206"/>
        <v>4</v>
      </c>
      <c r="O661" s="44">
        <f t="shared" ca="1" si="207"/>
        <v>2.8908103757121246</v>
      </c>
      <c r="P661" s="44">
        <f t="shared" ca="1" si="208"/>
        <v>28.908103757121246</v>
      </c>
      <c r="Q661" s="44">
        <f t="shared" ca="1" si="209"/>
        <v>28.908103757121246</v>
      </c>
      <c r="R661" s="44">
        <f t="shared" ca="1" si="210"/>
        <v>2.8908103757121246</v>
      </c>
      <c r="S661" s="44">
        <f t="shared" ca="1" si="211"/>
        <v>2.8908103757121246</v>
      </c>
      <c r="T661" s="4">
        <f t="shared" ca="1" si="212"/>
        <v>3.5682696191524882E-5</v>
      </c>
      <c r="U661" s="120">
        <f t="shared" ca="1" si="213"/>
        <v>2154.675062040129</v>
      </c>
      <c r="V661" s="4">
        <f t="shared" ca="1" si="214"/>
        <v>2.6596215468229434E-2</v>
      </c>
      <c r="W661" s="13">
        <f t="shared" ca="1" si="215"/>
        <v>32949.506250000006</v>
      </c>
      <c r="X661" s="4">
        <f t="shared" ca="1" si="216"/>
        <v>0.40671198327557923</v>
      </c>
      <c r="Y661" s="4">
        <f t="shared" si="217"/>
        <v>0</v>
      </c>
      <c r="Z661" s="13">
        <f t="shared" ca="1" si="218"/>
        <v>32949.506250000006</v>
      </c>
      <c r="AA661" s="4">
        <f t="shared" ca="1" si="219"/>
        <v>0.40671198327557923</v>
      </c>
    </row>
    <row r="662" spans="1:27">
      <c r="A662">
        <v>0</v>
      </c>
      <c r="B662">
        <v>3</v>
      </c>
      <c r="C662">
        <f t="shared" ca="1" si="198"/>
        <v>5</v>
      </c>
      <c r="D662">
        <f t="shared" ca="1" si="199"/>
        <v>4</v>
      </c>
      <c r="E662">
        <f t="shared" ca="1" si="200"/>
        <v>0</v>
      </c>
      <c r="F662" s="110">
        <f t="shared" ca="1" si="201"/>
        <v>2.7353999999999996E-2</v>
      </c>
      <c r="G662">
        <v>1</v>
      </c>
      <c r="H662">
        <v>0</v>
      </c>
      <c r="I662">
        <v>0</v>
      </c>
      <c r="J662" s="1">
        <f t="shared" ca="1" si="202"/>
        <v>5.9375000000000207E-6</v>
      </c>
      <c r="K662" s="1">
        <f t="shared" ca="1" si="203"/>
        <v>1.6241437500000055E-7</v>
      </c>
      <c r="L662" s="13">
        <f t="shared" ca="1" si="204"/>
        <v>284</v>
      </c>
      <c r="M662" s="7">
        <f t="shared" ca="1" si="205"/>
        <v>1216</v>
      </c>
      <c r="N662" s="26">
        <f t="shared" ca="1" si="206"/>
        <v>4</v>
      </c>
      <c r="O662" s="44">
        <f t="shared" ca="1" si="207"/>
        <v>2.8908103757121246</v>
      </c>
      <c r="P662" s="44">
        <f t="shared" ca="1" si="208"/>
        <v>28.908103757121246</v>
      </c>
      <c r="Q662" s="44">
        <f t="shared" ca="1" si="209"/>
        <v>28.908103757121246</v>
      </c>
      <c r="R662" s="44">
        <f t="shared" ca="1" si="210"/>
        <v>2.8908103757121246</v>
      </c>
      <c r="S662" s="44">
        <f t="shared" ca="1" si="211"/>
        <v>2.8908103757121246</v>
      </c>
      <c r="T662" s="4">
        <f t="shared" ca="1" si="212"/>
        <v>4.6950916041480151E-7</v>
      </c>
      <c r="U662" s="120">
        <f t="shared" ca="1" si="213"/>
        <v>2135.675062040129</v>
      </c>
      <c r="V662" s="4">
        <f t="shared" ca="1" si="214"/>
        <v>3.4686433040433497E-4</v>
      </c>
      <c r="W662" s="13">
        <f t="shared" ca="1" si="215"/>
        <v>30176.381250000002</v>
      </c>
      <c r="X662" s="4">
        <f t="shared" ca="1" si="216"/>
        <v>4.9010781004804856E-3</v>
      </c>
      <c r="Y662" s="4">
        <f t="shared" si="217"/>
        <v>0</v>
      </c>
      <c r="Z662" s="13">
        <f t="shared" ca="1" si="218"/>
        <v>30176.381250000002</v>
      </c>
      <c r="AA662" s="4">
        <f t="shared" ca="1" si="219"/>
        <v>4.9010781004804856E-3</v>
      </c>
    </row>
    <row r="663" spans="1:27">
      <c r="A663">
        <v>0</v>
      </c>
      <c r="B663">
        <v>3</v>
      </c>
      <c r="C663">
        <f t="shared" ca="1" si="198"/>
        <v>5</v>
      </c>
      <c r="D663">
        <f t="shared" ca="1" si="199"/>
        <v>4</v>
      </c>
      <c r="E663">
        <f t="shared" ca="1" si="200"/>
        <v>0</v>
      </c>
      <c r="F663" s="110">
        <f t="shared" ca="1" si="201"/>
        <v>2.7353999999999996E-2</v>
      </c>
      <c r="G663">
        <v>0</v>
      </c>
      <c r="H663">
        <v>1</v>
      </c>
      <c r="I663">
        <v>7</v>
      </c>
      <c r="J663" s="1">
        <f t="shared" ca="1" si="202"/>
        <v>0</v>
      </c>
      <c r="K663" s="1">
        <f t="shared" ca="1" si="203"/>
        <v>0</v>
      </c>
      <c r="L663" s="13">
        <f t="shared" ca="1" si="204"/>
        <v>417</v>
      </c>
      <c r="M663" s="7">
        <f t="shared" ca="1" si="205"/>
        <v>1083</v>
      </c>
      <c r="N663" s="26">
        <f t="shared" ca="1" si="206"/>
        <v>4</v>
      </c>
      <c r="O663" s="44">
        <f t="shared" ca="1" si="207"/>
        <v>2.8908103757121246</v>
      </c>
      <c r="P663" s="44">
        <f t="shared" ca="1" si="208"/>
        <v>28.908103757121246</v>
      </c>
      <c r="Q663" s="44">
        <f t="shared" ca="1" si="209"/>
        <v>28.908103757121246</v>
      </c>
      <c r="R663" s="44">
        <f t="shared" ca="1" si="210"/>
        <v>2.8908103757121246</v>
      </c>
      <c r="S663" s="44">
        <f t="shared" ca="1" si="211"/>
        <v>2.8908103757121246</v>
      </c>
      <c r="T663" s="4">
        <f t="shared" ca="1" si="212"/>
        <v>0</v>
      </c>
      <c r="U663" s="120">
        <f t="shared" ca="1" si="213"/>
        <v>2268.675062040129</v>
      </c>
      <c r="V663" s="4">
        <f t="shared" ca="1" si="214"/>
        <v>0</v>
      </c>
      <c r="W663" s="13">
        <f t="shared" ca="1" si="215"/>
        <v>19411.875</v>
      </c>
      <c r="X663" s="4">
        <f t="shared" ca="1" si="216"/>
        <v>0</v>
      </c>
      <c r="Y663" s="4">
        <f t="shared" si="217"/>
        <v>0</v>
      </c>
      <c r="Z663" s="13">
        <f t="shared" ca="1" si="218"/>
        <v>19411.875</v>
      </c>
      <c r="AA663" s="4">
        <f t="shared" ca="1" si="219"/>
        <v>0</v>
      </c>
    </row>
    <row r="664" spans="1:27">
      <c r="A664">
        <v>0</v>
      </c>
      <c r="B664">
        <v>3</v>
      </c>
      <c r="C664">
        <f t="shared" ca="1" si="198"/>
        <v>5</v>
      </c>
      <c r="D664">
        <f t="shared" ca="1" si="199"/>
        <v>4</v>
      </c>
      <c r="E664">
        <f t="shared" ca="1" si="200"/>
        <v>0</v>
      </c>
      <c r="F664" s="110">
        <f t="shared" ca="1" si="201"/>
        <v>2.7353999999999996E-2</v>
      </c>
      <c r="G664">
        <v>0</v>
      </c>
      <c r="H664">
        <v>1</v>
      </c>
      <c r="I664">
        <v>6</v>
      </c>
      <c r="J664" s="1">
        <f t="shared" ca="1" si="202"/>
        <v>0</v>
      </c>
      <c r="K664" s="1">
        <f t="shared" ca="1" si="203"/>
        <v>0</v>
      </c>
      <c r="L664" s="13">
        <f t="shared" ca="1" si="204"/>
        <v>398</v>
      </c>
      <c r="M664" s="7">
        <f t="shared" ca="1" si="205"/>
        <v>1102</v>
      </c>
      <c r="N664" s="26">
        <f t="shared" ca="1" si="206"/>
        <v>4</v>
      </c>
      <c r="O664" s="44">
        <f t="shared" ca="1" si="207"/>
        <v>2.8908103757121246</v>
      </c>
      <c r="P664" s="44">
        <f t="shared" ca="1" si="208"/>
        <v>28.908103757121246</v>
      </c>
      <c r="Q664" s="44">
        <f t="shared" ca="1" si="209"/>
        <v>28.908103757121246</v>
      </c>
      <c r="R664" s="44">
        <f t="shared" ca="1" si="210"/>
        <v>2.8908103757121246</v>
      </c>
      <c r="S664" s="44">
        <f t="shared" ca="1" si="211"/>
        <v>2.8908103757121246</v>
      </c>
      <c r="T664" s="4">
        <f t="shared" ca="1" si="212"/>
        <v>0</v>
      </c>
      <c r="U664" s="120">
        <f t="shared" ca="1" si="213"/>
        <v>2249.675062040129</v>
      </c>
      <c r="V664" s="4">
        <f t="shared" ca="1" si="214"/>
        <v>0</v>
      </c>
      <c r="W664" s="13">
        <f t="shared" ca="1" si="215"/>
        <v>16638.75</v>
      </c>
      <c r="X664" s="4">
        <f t="shared" ca="1" si="216"/>
        <v>0</v>
      </c>
      <c r="Y664" s="4">
        <f t="shared" si="217"/>
        <v>0</v>
      </c>
      <c r="Z664" s="13">
        <f t="shared" ca="1" si="218"/>
        <v>16638.75</v>
      </c>
      <c r="AA664" s="4">
        <f t="shared" ca="1" si="219"/>
        <v>0</v>
      </c>
    </row>
    <row r="665" spans="1:27">
      <c r="A665">
        <v>0</v>
      </c>
      <c r="B665">
        <v>3</v>
      </c>
      <c r="C665">
        <f t="shared" ca="1" si="198"/>
        <v>5</v>
      </c>
      <c r="D665">
        <f t="shared" ca="1" si="199"/>
        <v>4</v>
      </c>
      <c r="E665">
        <f t="shared" ca="1" si="200"/>
        <v>0</v>
      </c>
      <c r="F665" s="110">
        <f t="shared" ca="1" si="201"/>
        <v>2.7353999999999996E-2</v>
      </c>
      <c r="G665">
        <v>0</v>
      </c>
      <c r="H665">
        <v>1</v>
      </c>
      <c r="I665">
        <v>5</v>
      </c>
      <c r="J665" s="1">
        <f t="shared" ca="1" si="202"/>
        <v>0</v>
      </c>
      <c r="K665" s="1">
        <f t="shared" ca="1" si="203"/>
        <v>0</v>
      </c>
      <c r="L665" s="13">
        <f t="shared" ca="1" si="204"/>
        <v>379</v>
      </c>
      <c r="M665" s="7">
        <f t="shared" ca="1" si="205"/>
        <v>1121</v>
      </c>
      <c r="N665" s="26">
        <f t="shared" ca="1" si="206"/>
        <v>4</v>
      </c>
      <c r="O665" s="44">
        <f t="shared" ca="1" si="207"/>
        <v>2.8908103757121246</v>
      </c>
      <c r="P665" s="44">
        <f t="shared" ca="1" si="208"/>
        <v>28.908103757121246</v>
      </c>
      <c r="Q665" s="44">
        <f t="shared" ca="1" si="209"/>
        <v>28.908103757121246</v>
      </c>
      <c r="R665" s="44">
        <f t="shared" ca="1" si="210"/>
        <v>2.8908103757121246</v>
      </c>
      <c r="S665" s="44">
        <f t="shared" ca="1" si="211"/>
        <v>2.8908103757121246</v>
      </c>
      <c r="T665" s="4">
        <f t="shared" ca="1" si="212"/>
        <v>0</v>
      </c>
      <c r="U665" s="120">
        <f t="shared" ca="1" si="213"/>
        <v>2230.675062040129</v>
      </c>
      <c r="V665" s="4">
        <f t="shared" ca="1" si="214"/>
        <v>0</v>
      </c>
      <c r="W665" s="13">
        <f t="shared" ca="1" si="215"/>
        <v>13865.625</v>
      </c>
      <c r="X665" s="4">
        <f t="shared" ca="1" si="216"/>
        <v>0</v>
      </c>
      <c r="Y665" s="4">
        <f t="shared" si="217"/>
        <v>0</v>
      </c>
      <c r="Z665" s="13">
        <f t="shared" ca="1" si="218"/>
        <v>13865.625</v>
      </c>
      <c r="AA665" s="4">
        <f t="shared" ca="1" si="219"/>
        <v>0</v>
      </c>
    </row>
    <row r="666" spans="1:27">
      <c r="A666">
        <v>0</v>
      </c>
      <c r="B666">
        <v>3</v>
      </c>
      <c r="C666">
        <f t="shared" ca="1" si="198"/>
        <v>5</v>
      </c>
      <c r="D666">
        <f t="shared" ca="1" si="199"/>
        <v>4</v>
      </c>
      <c r="E666">
        <f t="shared" ca="1" si="200"/>
        <v>0</v>
      </c>
      <c r="F666" s="110">
        <f t="shared" ca="1" si="201"/>
        <v>2.7353999999999996E-2</v>
      </c>
      <c r="G666">
        <v>0</v>
      </c>
      <c r="H666">
        <v>1</v>
      </c>
      <c r="I666">
        <v>4</v>
      </c>
      <c r="J666" s="1">
        <f t="shared" ca="1" si="202"/>
        <v>0</v>
      </c>
      <c r="K666" s="1">
        <f t="shared" ca="1" si="203"/>
        <v>0</v>
      </c>
      <c r="L666" s="13">
        <f t="shared" ca="1" si="204"/>
        <v>360</v>
      </c>
      <c r="M666" s="7">
        <f t="shared" ca="1" si="205"/>
        <v>1140</v>
      </c>
      <c r="N666" s="26">
        <f t="shared" ca="1" si="206"/>
        <v>4</v>
      </c>
      <c r="O666" s="44">
        <f t="shared" ca="1" si="207"/>
        <v>2.8908103757121246</v>
      </c>
      <c r="P666" s="44">
        <f t="shared" ca="1" si="208"/>
        <v>28.908103757121246</v>
      </c>
      <c r="Q666" s="44">
        <f t="shared" ca="1" si="209"/>
        <v>28.908103757121246</v>
      </c>
      <c r="R666" s="44">
        <f t="shared" ca="1" si="210"/>
        <v>2.8908103757121246</v>
      </c>
      <c r="S666" s="44">
        <f t="shared" ca="1" si="211"/>
        <v>2.8908103757121246</v>
      </c>
      <c r="T666" s="4">
        <f t="shared" ca="1" si="212"/>
        <v>0</v>
      </c>
      <c r="U666" s="120">
        <f t="shared" ca="1" si="213"/>
        <v>2211.675062040129</v>
      </c>
      <c r="V666" s="4">
        <f t="shared" ca="1" si="214"/>
        <v>0</v>
      </c>
      <c r="W666" s="13">
        <f t="shared" ca="1" si="215"/>
        <v>11092.5</v>
      </c>
      <c r="X666" s="4">
        <f t="shared" ca="1" si="216"/>
        <v>0</v>
      </c>
      <c r="Y666" s="4">
        <f t="shared" si="217"/>
        <v>0</v>
      </c>
      <c r="Z666" s="13">
        <f t="shared" ca="1" si="218"/>
        <v>11092.5</v>
      </c>
      <c r="AA666" s="4">
        <f t="shared" ca="1" si="219"/>
        <v>0</v>
      </c>
    </row>
    <row r="667" spans="1:27">
      <c r="A667">
        <v>0</v>
      </c>
      <c r="B667">
        <v>3</v>
      </c>
      <c r="C667">
        <f t="shared" ca="1" si="198"/>
        <v>5</v>
      </c>
      <c r="D667">
        <f t="shared" ca="1" si="199"/>
        <v>4</v>
      </c>
      <c r="E667">
        <f t="shared" ca="1" si="200"/>
        <v>0</v>
      </c>
      <c r="F667" s="110">
        <f t="shared" ca="1" si="201"/>
        <v>2.7353999999999996E-2</v>
      </c>
      <c r="G667">
        <v>0</v>
      </c>
      <c r="H667">
        <v>1</v>
      </c>
      <c r="I667">
        <v>3</v>
      </c>
      <c r="J667" s="1">
        <f t="shared" ca="1" si="202"/>
        <v>0</v>
      </c>
      <c r="K667" s="1">
        <f t="shared" ca="1" si="203"/>
        <v>0</v>
      </c>
      <c r="L667" s="13">
        <f t="shared" ca="1" si="204"/>
        <v>341</v>
      </c>
      <c r="M667" s="7">
        <f t="shared" ca="1" si="205"/>
        <v>1159</v>
      </c>
      <c r="N667" s="26">
        <f t="shared" ca="1" si="206"/>
        <v>4</v>
      </c>
      <c r="O667" s="44">
        <f t="shared" ca="1" si="207"/>
        <v>2.8908103757121246</v>
      </c>
      <c r="P667" s="44">
        <f t="shared" ca="1" si="208"/>
        <v>28.908103757121246</v>
      </c>
      <c r="Q667" s="44">
        <f t="shared" ca="1" si="209"/>
        <v>28.908103757121246</v>
      </c>
      <c r="R667" s="44">
        <f t="shared" ca="1" si="210"/>
        <v>2.8908103757121246</v>
      </c>
      <c r="S667" s="44">
        <f t="shared" ca="1" si="211"/>
        <v>2.8908103757121246</v>
      </c>
      <c r="T667" s="4">
        <f t="shared" ca="1" si="212"/>
        <v>0</v>
      </c>
      <c r="U667" s="120">
        <f t="shared" ca="1" si="213"/>
        <v>2192.675062040129</v>
      </c>
      <c r="V667" s="4">
        <f t="shared" ca="1" si="214"/>
        <v>0</v>
      </c>
      <c r="W667" s="13">
        <f t="shared" ca="1" si="215"/>
        <v>8319.375</v>
      </c>
      <c r="X667" s="4">
        <f t="shared" ca="1" si="216"/>
        <v>0</v>
      </c>
      <c r="Y667" s="4">
        <f t="shared" si="217"/>
        <v>0</v>
      </c>
      <c r="Z667" s="13">
        <f t="shared" ca="1" si="218"/>
        <v>8319.375</v>
      </c>
      <c r="AA667" s="4">
        <f t="shared" ca="1" si="219"/>
        <v>0</v>
      </c>
    </row>
    <row r="668" spans="1:27">
      <c r="A668">
        <v>0</v>
      </c>
      <c r="B668">
        <v>3</v>
      </c>
      <c r="C668">
        <f t="shared" ca="1" si="198"/>
        <v>5</v>
      </c>
      <c r="D668">
        <f t="shared" ca="1" si="199"/>
        <v>4</v>
      </c>
      <c r="E668">
        <f t="shared" ca="1" si="200"/>
        <v>0</v>
      </c>
      <c r="F668" s="110">
        <f t="shared" ca="1" si="201"/>
        <v>2.7353999999999996E-2</v>
      </c>
      <c r="G668">
        <v>0</v>
      </c>
      <c r="H668">
        <v>1</v>
      </c>
      <c r="I668">
        <v>2</v>
      </c>
      <c r="J668" s="1">
        <f t="shared" ca="1" si="202"/>
        <v>0</v>
      </c>
      <c r="K668" s="1">
        <f t="shared" ca="1" si="203"/>
        <v>0</v>
      </c>
      <c r="L668" s="13">
        <f t="shared" ca="1" si="204"/>
        <v>322</v>
      </c>
      <c r="M668" s="7">
        <f t="shared" ca="1" si="205"/>
        <v>1178</v>
      </c>
      <c r="N668" s="26">
        <f t="shared" ca="1" si="206"/>
        <v>4</v>
      </c>
      <c r="O668" s="44">
        <f t="shared" ca="1" si="207"/>
        <v>2.8908103757121246</v>
      </c>
      <c r="P668" s="44">
        <f t="shared" ca="1" si="208"/>
        <v>28.908103757121246</v>
      </c>
      <c r="Q668" s="44">
        <f t="shared" ca="1" si="209"/>
        <v>28.908103757121246</v>
      </c>
      <c r="R668" s="44">
        <f t="shared" ca="1" si="210"/>
        <v>2.8908103757121246</v>
      </c>
      <c r="S668" s="44">
        <f t="shared" ca="1" si="211"/>
        <v>2.8908103757121246</v>
      </c>
      <c r="T668" s="4">
        <f t="shared" ca="1" si="212"/>
        <v>0</v>
      </c>
      <c r="U668" s="120">
        <f t="shared" ca="1" si="213"/>
        <v>2173.675062040129</v>
      </c>
      <c r="V668" s="4">
        <f t="shared" ca="1" si="214"/>
        <v>0</v>
      </c>
      <c r="W668" s="13">
        <f t="shared" ca="1" si="215"/>
        <v>5546.25</v>
      </c>
      <c r="X668" s="4">
        <f t="shared" ca="1" si="216"/>
        <v>0</v>
      </c>
      <c r="Y668" s="4">
        <f t="shared" si="217"/>
        <v>0</v>
      </c>
      <c r="Z668" s="13">
        <f t="shared" ca="1" si="218"/>
        <v>5546.25</v>
      </c>
      <c r="AA668" s="4">
        <f t="shared" ca="1" si="219"/>
        <v>0</v>
      </c>
    </row>
    <row r="669" spans="1:27">
      <c r="A669">
        <v>0</v>
      </c>
      <c r="B669">
        <v>3</v>
      </c>
      <c r="C669">
        <f t="shared" ca="1" si="198"/>
        <v>5</v>
      </c>
      <c r="D669">
        <f t="shared" ca="1" si="199"/>
        <v>4</v>
      </c>
      <c r="E669">
        <f t="shared" ca="1" si="200"/>
        <v>0</v>
      </c>
      <c r="F669" s="110">
        <f t="shared" ca="1" si="201"/>
        <v>2.7353999999999996E-2</v>
      </c>
      <c r="G669">
        <v>0</v>
      </c>
      <c r="H669">
        <v>1</v>
      </c>
      <c r="I669">
        <v>1</v>
      </c>
      <c r="J669" s="1">
        <f t="shared" ca="1" si="202"/>
        <v>0</v>
      </c>
      <c r="K669" s="1">
        <f t="shared" ca="1" si="203"/>
        <v>0</v>
      </c>
      <c r="L669" s="13">
        <f t="shared" ca="1" si="204"/>
        <v>303</v>
      </c>
      <c r="M669" s="7">
        <f t="shared" ca="1" si="205"/>
        <v>1197</v>
      </c>
      <c r="N669" s="26">
        <f t="shared" ca="1" si="206"/>
        <v>4</v>
      </c>
      <c r="O669" s="44">
        <f t="shared" ca="1" si="207"/>
        <v>2.8908103757121246</v>
      </c>
      <c r="P669" s="44">
        <f t="shared" ca="1" si="208"/>
        <v>28.908103757121246</v>
      </c>
      <c r="Q669" s="44">
        <f t="shared" ca="1" si="209"/>
        <v>28.908103757121246</v>
      </c>
      <c r="R669" s="44">
        <f t="shared" ca="1" si="210"/>
        <v>2.8908103757121246</v>
      </c>
      <c r="S669" s="44">
        <f t="shared" ca="1" si="211"/>
        <v>2.8908103757121246</v>
      </c>
      <c r="T669" s="4">
        <f t="shared" ca="1" si="212"/>
        <v>0</v>
      </c>
      <c r="U669" s="120">
        <f t="shared" ca="1" si="213"/>
        <v>2154.675062040129</v>
      </c>
      <c r="V669" s="4">
        <f t="shared" ca="1" si="214"/>
        <v>0</v>
      </c>
      <c r="W669" s="13">
        <f t="shared" ca="1" si="215"/>
        <v>2773.125</v>
      </c>
      <c r="X669" s="4">
        <f t="shared" ca="1" si="216"/>
        <v>0</v>
      </c>
      <c r="Y669" s="4">
        <f t="shared" si="217"/>
        <v>0</v>
      </c>
      <c r="Z669" s="13">
        <f t="shared" ca="1" si="218"/>
        <v>2773.125</v>
      </c>
      <c r="AA669" s="4">
        <f t="shared" ca="1" si="219"/>
        <v>0</v>
      </c>
    </row>
    <row r="670" spans="1:27">
      <c r="A670">
        <v>0</v>
      </c>
      <c r="B670">
        <v>3</v>
      </c>
      <c r="C670">
        <f t="shared" ca="1" si="198"/>
        <v>5</v>
      </c>
      <c r="D670">
        <f t="shared" ca="1" si="199"/>
        <v>4</v>
      </c>
      <c r="E670">
        <f t="shared" ca="1" si="200"/>
        <v>0</v>
      </c>
      <c r="F670" s="110">
        <f t="shared" ca="1" si="201"/>
        <v>2.7353999999999996E-2</v>
      </c>
      <c r="G670">
        <v>0</v>
      </c>
      <c r="H670">
        <v>1</v>
      </c>
      <c r="I670">
        <v>0</v>
      </c>
      <c r="J670" s="1">
        <f t="shared" ca="1" si="202"/>
        <v>0</v>
      </c>
      <c r="K670" s="1">
        <f t="shared" ca="1" si="203"/>
        <v>0</v>
      </c>
      <c r="L670" s="13">
        <f t="shared" ca="1" si="204"/>
        <v>284</v>
      </c>
      <c r="M670" s="7">
        <f t="shared" ca="1" si="205"/>
        <v>1216</v>
      </c>
      <c r="N670" s="26">
        <f t="shared" ca="1" si="206"/>
        <v>4</v>
      </c>
      <c r="O670" s="44">
        <f t="shared" ca="1" si="207"/>
        <v>2.8908103757121246</v>
      </c>
      <c r="P670" s="44">
        <f t="shared" ca="1" si="208"/>
        <v>28.908103757121246</v>
      </c>
      <c r="Q670" s="44">
        <f t="shared" ca="1" si="209"/>
        <v>28.908103757121246</v>
      </c>
      <c r="R670" s="44">
        <f t="shared" ca="1" si="210"/>
        <v>2.8908103757121246</v>
      </c>
      <c r="S670" s="44">
        <f t="shared" ca="1" si="211"/>
        <v>2.8908103757121246</v>
      </c>
      <c r="T670" s="4">
        <f t="shared" ca="1" si="212"/>
        <v>0</v>
      </c>
      <c r="U670" s="120">
        <f t="shared" ca="1" si="213"/>
        <v>2135.675062040129</v>
      </c>
      <c r="V670" s="4">
        <f t="shared" ca="1" si="214"/>
        <v>0</v>
      </c>
      <c r="W670" s="13">
        <f t="shared" ca="1" si="215"/>
        <v>0</v>
      </c>
      <c r="X670" s="4">
        <f t="shared" ca="1" si="216"/>
        <v>0</v>
      </c>
      <c r="Y670" s="4">
        <f t="shared" si="217"/>
        <v>0</v>
      </c>
      <c r="Z670" s="13">
        <f t="shared" ca="1" si="218"/>
        <v>0</v>
      </c>
      <c r="AA670" s="4">
        <f t="shared" ca="1" si="219"/>
        <v>0</v>
      </c>
    </row>
    <row r="671" spans="1:27">
      <c r="A671">
        <v>0</v>
      </c>
      <c r="B671">
        <v>3</v>
      </c>
      <c r="C671">
        <f t="shared" ca="1" si="198"/>
        <v>5</v>
      </c>
      <c r="D671">
        <f t="shared" ca="1" si="199"/>
        <v>4</v>
      </c>
      <c r="E671">
        <f t="shared" ca="1" si="200"/>
        <v>0</v>
      </c>
      <c r="F671" s="110">
        <f t="shared" ca="1" si="201"/>
        <v>2.7353999999999996E-2</v>
      </c>
      <c r="G671">
        <v>0</v>
      </c>
      <c r="H671">
        <v>0</v>
      </c>
      <c r="I671">
        <v>7</v>
      </c>
      <c r="J671" s="1">
        <f t="shared" ca="1" si="202"/>
        <v>0</v>
      </c>
      <c r="K671" s="1">
        <f t="shared" ca="1" si="203"/>
        <v>0</v>
      </c>
      <c r="L671" s="13">
        <f t="shared" ca="1" si="204"/>
        <v>133</v>
      </c>
      <c r="M671" s="7">
        <f t="shared" ca="1" si="205"/>
        <v>1367</v>
      </c>
      <c r="N671" s="26">
        <f t="shared" ca="1" si="206"/>
        <v>4</v>
      </c>
      <c r="O671" s="44">
        <f t="shared" ca="1" si="207"/>
        <v>2.8908103757121246</v>
      </c>
      <c r="P671" s="44">
        <f t="shared" ca="1" si="208"/>
        <v>28.908103757121246</v>
      </c>
      <c r="Q671" s="44">
        <f t="shared" ca="1" si="209"/>
        <v>28.908103757121246</v>
      </c>
      <c r="R671" s="44">
        <f t="shared" ca="1" si="210"/>
        <v>2.8908103757121246</v>
      </c>
      <c r="S671" s="44">
        <f t="shared" ca="1" si="211"/>
        <v>2.8908103757121246</v>
      </c>
      <c r="T671" s="4">
        <f t="shared" ca="1" si="212"/>
        <v>0</v>
      </c>
      <c r="U671" s="120">
        <f t="shared" ca="1" si="213"/>
        <v>1984.6750620401288</v>
      </c>
      <c r="V671" s="4">
        <f t="shared" ca="1" si="214"/>
        <v>0</v>
      </c>
      <c r="W671" s="13">
        <f t="shared" ca="1" si="215"/>
        <v>19411.875</v>
      </c>
      <c r="X671" s="4">
        <f t="shared" ca="1" si="216"/>
        <v>0</v>
      </c>
      <c r="Y671" s="4">
        <f t="shared" si="217"/>
        <v>0</v>
      </c>
      <c r="Z671" s="13">
        <f t="shared" ca="1" si="218"/>
        <v>19411.875</v>
      </c>
      <c r="AA671" s="4">
        <f t="shared" ca="1" si="219"/>
        <v>0</v>
      </c>
    </row>
    <row r="672" spans="1:27">
      <c r="A672">
        <v>0</v>
      </c>
      <c r="B672">
        <v>3</v>
      </c>
      <c r="C672">
        <f t="shared" ca="1" si="198"/>
        <v>5</v>
      </c>
      <c r="D672">
        <f t="shared" ca="1" si="199"/>
        <v>4</v>
      </c>
      <c r="E672">
        <f t="shared" ca="1" si="200"/>
        <v>0</v>
      </c>
      <c r="F672" s="110">
        <f t="shared" ca="1" si="201"/>
        <v>2.7353999999999996E-2</v>
      </c>
      <c r="G672">
        <v>0</v>
      </c>
      <c r="H672">
        <v>0</v>
      </c>
      <c r="I672">
        <v>6</v>
      </c>
      <c r="J672" s="1">
        <f t="shared" ca="1" si="202"/>
        <v>0</v>
      </c>
      <c r="K672" s="1">
        <f t="shared" ca="1" si="203"/>
        <v>0</v>
      </c>
      <c r="L672" s="13">
        <f t="shared" ca="1" si="204"/>
        <v>114</v>
      </c>
      <c r="M672" s="7">
        <f t="shared" ca="1" si="205"/>
        <v>1386</v>
      </c>
      <c r="N672" s="26">
        <f t="shared" ca="1" si="206"/>
        <v>4</v>
      </c>
      <c r="O672" s="44">
        <f t="shared" ca="1" si="207"/>
        <v>2.8908103757121246</v>
      </c>
      <c r="P672" s="44">
        <f t="shared" ca="1" si="208"/>
        <v>28.908103757121246</v>
      </c>
      <c r="Q672" s="44">
        <f t="shared" ca="1" si="209"/>
        <v>28.908103757121246</v>
      </c>
      <c r="R672" s="44">
        <f t="shared" ca="1" si="210"/>
        <v>2.8908103757121246</v>
      </c>
      <c r="S672" s="44">
        <f t="shared" ca="1" si="211"/>
        <v>2.8908103757121246</v>
      </c>
      <c r="T672" s="4">
        <f t="shared" ca="1" si="212"/>
        <v>0</v>
      </c>
      <c r="U672" s="120">
        <f t="shared" ca="1" si="213"/>
        <v>1965.6750620401288</v>
      </c>
      <c r="V672" s="4">
        <f t="shared" ca="1" si="214"/>
        <v>0</v>
      </c>
      <c r="W672" s="13">
        <f t="shared" ca="1" si="215"/>
        <v>16638.75</v>
      </c>
      <c r="X672" s="4">
        <f t="shared" ca="1" si="216"/>
        <v>0</v>
      </c>
      <c r="Y672" s="4">
        <f t="shared" si="217"/>
        <v>0</v>
      </c>
      <c r="Z672" s="13">
        <f t="shared" ca="1" si="218"/>
        <v>16638.75</v>
      </c>
      <c r="AA672" s="4">
        <f t="shared" ca="1" si="219"/>
        <v>0</v>
      </c>
    </row>
    <row r="673" spans="1:27">
      <c r="A673">
        <v>0</v>
      </c>
      <c r="B673">
        <v>3</v>
      </c>
      <c r="C673">
        <f t="shared" ca="1" si="198"/>
        <v>5</v>
      </c>
      <c r="D673">
        <f t="shared" ca="1" si="199"/>
        <v>4</v>
      </c>
      <c r="E673">
        <f t="shared" ca="1" si="200"/>
        <v>0</v>
      </c>
      <c r="F673" s="110">
        <f t="shared" ca="1" si="201"/>
        <v>2.7353999999999996E-2</v>
      </c>
      <c r="G673">
        <v>0</v>
      </c>
      <c r="H673">
        <v>0</v>
      </c>
      <c r="I673">
        <v>5</v>
      </c>
      <c r="J673" s="1">
        <f t="shared" ca="1" si="202"/>
        <v>0</v>
      </c>
      <c r="K673" s="1">
        <f t="shared" ca="1" si="203"/>
        <v>0</v>
      </c>
      <c r="L673" s="13">
        <f t="shared" ca="1" si="204"/>
        <v>95</v>
      </c>
      <c r="M673" s="7">
        <f t="shared" ca="1" si="205"/>
        <v>1405</v>
      </c>
      <c r="N673" s="26">
        <f t="shared" ca="1" si="206"/>
        <v>5</v>
      </c>
      <c r="O673" s="44">
        <f t="shared" ca="1" si="207"/>
        <v>3.5395046525977252</v>
      </c>
      <c r="P673" s="44">
        <f t="shared" ca="1" si="208"/>
        <v>35.39504652597725</v>
      </c>
      <c r="Q673" s="44">
        <f t="shared" ca="1" si="209"/>
        <v>30.205492310892446</v>
      </c>
      <c r="R673" s="44">
        <f t="shared" ca="1" si="210"/>
        <v>3.2800269418434853</v>
      </c>
      <c r="S673" s="44">
        <f t="shared" ca="1" si="211"/>
        <v>3.5213412128449284</v>
      </c>
      <c r="T673" s="4">
        <f t="shared" ca="1" si="212"/>
        <v>0</v>
      </c>
      <c r="U673" s="120">
        <f t="shared" ca="1" si="213"/>
        <v>2290.8626329996823</v>
      </c>
      <c r="V673" s="4">
        <f t="shared" ca="1" si="214"/>
        <v>0</v>
      </c>
      <c r="W673" s="13">
        <f t="shared" ca="1" si="215"/>
        <v>13865.625</v>
      </c>
      <c r="X673" s="4">
        <f t="shared" ca="1" si="216"/>
        <v>0</v>
      </c>
      <c r="Y673" s="4">
        <f t="shared" si="217"/>
        <v>0</v>
      </c>
      <c r="Z673" s="13">
        <f t="shared" ca="1" si="218"/>
        <v>13865.625</v>
      </c>
      <c r="AA673" s="4">
        <f t="shared" ca="1" si="219"/>
        <v>0</v>
      </c>
    </row>
    <row r="674" spans="1:27">
      <c r="A674">
        <v>0</v>
      </c>
      <c r="B674">
        <v>3</v>
      </c>
      <c r="C674">
        <f t="shared" ca="1" si="198"/>
        <v>5</v>
      </c>
      <c r="D674">
        <f t="shared" ca="1" si="199"/>
        <v>4</v>
      </c>
      <c r="E674">
        <f t="shared" ca="1" si="200"/>
        <v>0</v>
      </c>
      <c r="F674" s="110">
        <f t="shared" ca="1" si="201"/>
        <v>2.7353999999999996E-2</v>
      </c>
      <c r="G674">
        <v>0</v>
      </c>
      <c r="H674">
        <v>0</v>
      </c>
      <c r="I674">
        <v>4</v>
      </c>
      <c r="J674" s="1">
        <f t="shared" ca="1" si="202"/>
        <v>4.0725312499999999E-2</v>
      </c>
      <c r="K674" s="1">
        <f t="shared" ca="1" si="203"/>
        <v>1.1140001981249999E-3</v>
      </c>
      <c r="L674" s="13">
        <f t="shared" ca="1" si="204"/>
        <v>76</v>
      </c>
      <c r="M674" s="7">
        <f t="shared" ca="1" si="205"/>
        <v>1424</v>
      </c>
      <c r="N674" s="26">
        <f t="shared" ca="1" si="206"/>
        <v>5</v>
      </c>
      <c r="O674" s="44">
        <f t="shared" ca="1" si="207"/>
        <v>3.5395046525977252</v>
      </c>
      <c r="P674" s="44">
        <f t="shared" ca="1" si="208"/>
        <v>35.39504652597725</v>
      </c>
      <c r="Q674" s="44">
        <f t="shared" ca="1" si="209"/>
        <v>35.39504652597725</v>
      </c>
      <c r="R674" s="44">
        <f t="shared" ca="1" si="210"/>
        <v>3.5395046525977252</v>
      </c>
      <c r="S674" s="44">
        <f t="shared" ca="1" si="211"/>
        <v>3.5395046525977252</v>
      </c>
      <c r="T674" s="4">
        <f t="shared" ca="1" si="212"/>
        <v>3.9430088842582244E-3</v>
      </c>
      <c r="U674" s="120">
        <f t="shared" ca="1" si="213"/>
        <v>2281.7775012989287</v>
      </c>
      <c r="V674" s="4">
        <f t="shared" ca="1" si="214"/>
        <v>2.5419005885241739</v>
      </c>
      <c r="W674" s="13">
        <f t="shared" ca="1" si="215"/>
        <v>11092.5</v>
      </c>
      <c r="X674" s="4">
        <f t="shared" ca="1" si="216"/>
        <v>12.357047197701561</v>
      </c>
      <c r="Y674" s="4">
        <f t="shared" si="217"/>
        <v>0</v>
      </c>
      <c r="Z674" s="13">
        <f t="shared" ca="1" si="218"/>
        <v>11092.5</v>
      </c>
      <c r="AA674" s="4">
        <f t="shared" ca="1" si="219"/>
        <v>12.357047197701561</v>
      </c>
    </row>
    <row r="675" spans="1:27">
      <c r="A675">
        <v>0</v>
      </c>
      <c r="B675">
        <v>3</v>
      </c>
      <c r="C675">
        <f t="shared" ca="1" si="198"/>
        <v>5</v>
      </c>
      <c r="D675">
        <f t="shared" ca="1" si="199"/>
        <v>4</v>
      </c>
      <c r="E675">
        <f t="shared" ca="1" si="200"/>
        <v>0</v>
      </c>
      <c r="F675" s="110">
        <f t="shared" ca="1" si="201"/>
        <v>2.7353999999999996E-2</v>
      </c>
      <c r="G675">
        <v>0</v>
      </c>
      <c r="H675">
        <v>0</v>
      </c>
      <c r="I675">
        <v>3</v>
      </c>
      <c r="J675" s="1">
        <f t="shared" ca="1" si="202"/>
        <v>8.5737500000000067E-3</v>
      </c>
      <c r="K675" s="1">
        <f t="shared" ca="1" si="203"/>
        <v>2.3452635750000015E-4</v>
      </c>
      <c r="L675" s="13">
        <f t="shared" ca="1" si="204"/>
        <v>57</v>
      </c>
      <c r="M675" s="7">
        <f t="shared" ca="1" si="205"/>
        <v>1443</v>
      </c>
      <c r="N675" s="26">
        <f t="shared" ca="1" si="206"/>
        <v>5</v>
      </c>
      <c r="O675" s="44">
        <f t="shared" ca="1" si="207"/>
        <v>3.5395046525977252</v>
      </c>
      <c r="P675" s="44">
        <f t="shared" ca="1" si="208"/>
        <v>35.39504652597725</v>
      </c>
      <c r="Q675" s="44">
        <f t="shared" ca="1" si="209"/>
        <v>35.39504652597725</v>
      </c>
      <c r="R675" s="44">
        <f t="shared" ca="1" si="210"/>
        <v>3.5395046525977252</v>
      </c>
      <c r="S675" s="44">
        <f t="shared" ca="1" si="211"/>
        <v>3.5395046525977252</v>
      </c>
      <c r="T675" s="4">
        <f t="shared" ca="1" si="212"/>
        <v>8.3010713352804795E-4</v>
      </c>
      <c r="U675" s="120">
        <f t="shared" ca="1" si="213"/>
        <v>2262.7775012989287</v>
      </c>
      <c r="V675" s="4">
        <f t="shared" ca="1" si="214"/>
        <v>0.53068096521258956</v>
      </c>
      <c r="W675" s="13">
        <f t="shared" ca="1" si="215"/>
        <v>8319.375</v>
      </c>
      <c r="X675" s="4">
        <f t="shared" ca="1" si="216"/>
        <v>1.9511127154265637</v>
      </c>
      <c r="Y675" s="4">
        <f t="shared" si="217"/>
        <v>0</v>
      </c>
      <c r="Z675" s="13">
        <f t="shared" ca="1" si="218"/>
        <v>8319.375</v>
      </c>
      <c r="AA675" s="4">
        <f t="shared" ca="1" si="219"/>
        <v>1.9511127154265637</v>
      </c>
    </row>
    <row r="676" spans="1:27">
      <c r="A676">
        <v>0</v>
      </c>
      <c r="B676">
        <v>3</v>
      </c>
      <c r="C676">
        <f t="shared" ca="1" si="198"/>
        <v>5</v>
      </c>
      <c r="D676">
        <f t="shared" ca="1" si="199"/>
        <v>4</v>
      </c>
      <c r="E676">
        <f t="shared" ca="1" si="200"/>
        <v>0</v>
      </c>
      <c r="F676" s="110">
        <f t="shared" ca="1" si="201"/>
        <v>2.7353999999999996E-2</v>
      </c>
      <c r="G676">
        <v>0</v>
      </c>
      <c r="H676">
        <v>0</v>
      </c>
      <c r="I676">
        <v>2</v>
      </c>
      <c r="J676" s="1">
        <f t="shared" ca="1" si="202"/>
        <v>6.7687500000000126E-4</v>
      </c>
      <c r="K676" s="1">
        <f t="shared" ca="1" si="203"/>
        <v>1.8515238750000033E-5</v>
      </c>
      <c r="L676" s="13">
        <f t="shared" ca="1" si="204"/>
        <v>38</v>
      </c>
      <c r="M676" s="7">
        <f t="shared" ca="1" si="205"/>
        <v>1462</v>
      </c>
      <c r="N676" s="26">
        <f t="shared" ca="1" si="206"/>
        <v>5</v>
      </c>
      <c r="O676" s="44">
        <f t="shared" ca="1" si="207"/>
        <v>3.5395046525977252</v>
      </c>
      <c r="P676" s="44">
        <f t="shared" ca="1" si="208"/>
        <v>35.39504652597725</v>
      </c>
      <c r="Q676" s="44">
        <f t="shared" ca="1" si="209"/>
        <v>35.39504652597725</v>
      </c>
      <c r="R676" s="44">
        <f t="shared" ca="1" si="210"/>
        <v>3.5395046525977252</v>
      </c>
      <c r="S676" s="44">
        <f t="shared" ca="1" si="211"/>
        <v>3.5395046525977252</v>
      </c>
      <c r="T676" s="4">
        <f t="shared" ca="1" si="212"/>
        <v>6.5534773699582808E-5</v>
      </c>
      <c r="U676" s="120">
        <f t="shared" ca="1" si="213"/>
        <v>2243.7775012989287</v>
      </c>
      <c r="V676" s="4">
        <f t="shared" ca="1" si="214"/>
        <v>4.1544076138428171E-2</v>
      </c>
      <c r="W676" s="13">
        <f t="shared" ca="1" si="215"/>
        <v>5546.25</v>
      </c>
      <c r="X676" s="4">
        <f t="shared" ca="1" si="216"/>
        <v>0.10269014291718769</v>
      </c>
      <c r="Y676" s="4">
        <f t="shared" si="217"/>
        <v>0</v>
      </c>
      <c r="Z676" s="13">
        <f t="shared" ca="1" si="218"/>
        <v>5546.25</v>
      </c>
      <c r="AA676" s="4">
        <f t="shared" ca="1" si="219"/>
        <v>0.10269014291718769</v>
      </c>
    </row>
    <row r="677" spans="1:27">
      <c r="A677">
        <v>0</v>
      </c>
      <c r="B677">
        <v>3</v>
      </c>
      <c r="C677">
        <f t="shared" ca="1" si="198"/>
        <v>5</v>
      </c>
      <c r="D677">
        <f t="shared" ca="1" si="199"/>
        <v>4</v>
      </c>
      <c r="E677">
        <f t="shared" ca="1" si="200"/>
        <v>0</v>
      </c>
      <c r="F677" s="110">
        <f t="shared" ca="1" si="201"/>
        <v>2.7353999999999996E-2</v>
      </c>
      <c r="G677">
        <v>0</v>
      </c>
      <c r="H677">
        <v>0</v>
      </c>
      <c r="I677">
        <v>1</v>
      </c>
      <c r="J677" s="1">
        <f t="shared" ca="1" si="202"/>
        <v>2.3750000000000062E-5</v>
      </c>
      <c r="K677" s="1">
        <f t="shared" ca="1" si="203"/>
        <v>6.4965750000000158E-7</v>
      </c>
      <c r="L677" s="13">
        <f t="shared" ca="1" si="204"/>
        <v>19</v>
      </c>
      <c r="M677" s="7">
        <f t="shared" ca="1" si="205"/>
        <v>1481</v>
      </c>
      <c r="N677" s="26">
        <f t="shared" ca="1" si="206"/>
        <v>5</v>
      </c>
      <c r="O677" s="44">
        <f t="shared" ca="1" si="207"/>
        <v>3.5395046525977252</v>
      </c>
      <c r="P677" s="44">
        <f t="shared" ca="1" si="208"/>
        <v>35.39504652597725</v>
      </c>
      <c r="Q677" s="44">
        <f t="shared" ca="1" si="209"/>
        <v>35.39504652597725</v>
      </c>
      <c r="R677" s="44">
        <f t="shared" ca="1" si="210"/>
        <v>3.5395046525977252</v>
      </c>
      <c r="S677" s="44">
        <f t="shared" ca="1" si="211"/>
        <v>3.5395046525977252</v>
      </c>
      <c r="T677" s="4">
        <f t="shared" ca="1" si="212"/>
        <v>2.299465743845012E-6</v>
      </c>
      <c r="U677" s="120">
        <f t="shared" ca="1" si="213"/>
        <v>2224.7775012989287</v>
      </c>
      <c r="V677" s="4">
        <f t="shared" ca="1" si="214"/>
        <v>1.4453433895501122E-3</v>
      </c>
      <c r="W677" s="13">
        <f t="shared" ca="1" si="215"/>
        <v>2773.125</v>
      </c>
      <c r="X677" s="4">
        <f t="shared" ca="1" si="216"/>
        <v>1.8015814546875045E-3</v>
      </c>
      <c r="Y677" s="4">
        <f t="shared" si="217"/>
        <v>0</v>
      </c>
      <c r="Z677" s="13">
        <f t="shared" ca="1" si="218"/>
        <v>2773.125</v>
      </c>
      <c r="AA677" s="4">
        <f t="shared" ca="1" si="219"/>
        <v>1.8015814546875045E-3</v>
      </c>
    </row>
    <row r="678" spans="1:27">
      <c r="A678">
        <v>0</v>
      </c>
      <c r="B678">
        <v>3</v>
      </c>
      <c r="C678">
        <f t="shared" ca="1" si="198"/>
        <v>5</v>
      </c>
      <c r="D678">
        <f t="shared" ca="1" si="199"/>
        <v>4</v>
      </c>
      <c r="E678">
        <f t="shared" ca="1" si="200"/>
        <v>0</v>
      </c>
      <c r="F678" s="110">
        <f t="shared" ca="1" si="201"/>
        <v>2.7353999999999996E-2</v>
      </c>
      <c r="G678">
        <v>0</v>
      </c>
      <c r="H678">
        <v>0</v>
      </c>
      <c r="I678">
        <v>0</v>
      </c>
      <c r="J678" s="1">
        <f t="shared" ca="1" si="202"/>
        <v>3.1250000000000114E-7</v>
      </c>
      <c r="K678" s="1">
        <f t="shared" ca="1" si="203"/>
        <v>8.5481250000000298E-9</v>
      </c>
      <c r="L678" s="13">
        <f t="shared" ca="1" si="204"/>
        <v>0</v>
      </c>
      <c r="M678" s="7">
        <f t="shared" ca="1" si="205"/>
        <v>1500</v>
      </c>
      <c r="N678" s="26">
        <f t="shared" ca="1" si="206"/>
        <v>5</v>
      </c>
      <c r="O678" s="44">
        <f t="shared" ca="1" si="207"/>
        <v>3.5395046525977252</v>
      </c>
      <c r="P678" s="44">
        <f t="shared" ca="1" si="208"/>
        <v>35.39504652597725</v>
      </c>
      <c r="Q678" s="44">
        <f t="shared" ca="1" si="209"/>
        <v>35.39504652597725</v>
      </c>
      <c r="R678" s="44">
        <f t="shared" ca="1" si="210"/>
        <v>3.5395046525977252</v>
      </c>
      <c r="S678" s="44">
        <f t="shared" ca="1" si="211"/>
        <v>3.5395046525977252</v>
      </c>
      <c r="T678" s="4">
        <f t="shared" ca="1" si="212"/>
        <v>3.0256128208487033E-8</v>
      </c>
      <c r="U678" s="120">
        <f t="shared" ca="1" si="213"/>
        <v>2205.7775012989287</v>
      </c>
      <c r="V678" s="4">
        <f t="shared" ca="1" si="214"/>
        <v>1.8855261803290969E-5</v>
      </c>
      <c r="W678" s="13">
        <f t="shared" ca="1" si="215"/>
        <v>0</v>
      </c>
      <c r="X678" s="4">
        <f t="shared" ca="1" si="216"/>
        <v>0</v>
      </c>
      <c r="Y678" s="4">
        <f t="shared" si="217"/>
        <v>0</v>
      </c>
      <c r="Z678" s="13">
        <f t="shared" ca="1" si="218"/>
        <v>0</v>
      </c>
      <c r="AA678" s="4">
        <f t="shared" ca="1" si="219"/>
        <v>0</v>
      </c>
    </row>
    <row r="679" spans="1:27">
      <c r="A679">
        <v>1</v>
      </c>
      <c r="B679">
        <v>0</v>
      </c>
      <c r="C679">
        <f t="shared" ref="C679:C742" ca="1" si="220">MIN(8, 1+$B$543+$B$542+A679+B679)</f>
        <v>3</v>
      </c>
      <c r="D679">
        <f t="shared" ref="D679:D742" ca="1" si="221">C679-(1+$B$543)</f>
        <v>2</v>
      </c>
      <c r="E679">
        <f t="shared" ref="E679:E742" ca="1" si="222">MIN(A679, C679-(1+$B$543+$B$542))</f>
        <v>1</v>
      </c>
      <c r="F679" s="110">
        <f t="shared" ref="F679:F742" ca="1" si="22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5.3066759999999991E-2</v>
      </c>
      <c r="G679">
        <v>1</v>
      </c>
      <c r="H679">
        <v>1</v>
      </c>
      <c r="I679">
        <v>7</v>
      </c>
      <c r="J679" s="1">
        <f t="shared" ref="J679:J742" ca="1" si="22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225">F679*J679</f>
        <v>0</v>
      </c>
      <c r="L679" s="13">
        <f t="shared" ref="L679:L742" ca="1" si="226">MAX((G679+H679)*Set2WSTP + I679*$B$539, Set2SaveTP)</f>
        <v>701</v>
      </c>
      <c r="M679" s="7">
        <f t="shared" ref="M679:M742" ca="1" si="227">MAX(Set2MinTP-(L679+Set2Regain), 0)</f>
        <v>799</v>
      </c>
      <c r="N679" s="26">
        <f t="shared" ref="N679:N742" ca="1" si="228">CEILING(M679/Set2MeleeTP, 1)</f>
        <v>3</v>
      </c>
      <c r="O679" s="44">
        <f t="shared" ref="O679:O742" ca="1" si="229">VLOOKUP(N679, AvgRoundsSet2, 2)</f>
        <v>2.2758855914378953</v>
      </c>
      <c r="P679" s="44">
        <f t="shared" ref="P679:P742" ca="1" si="23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22.758855914378952</v>
      </c>
      <c r="Q679" s="44">
        <f t="shared" ref="Q679:Q742" ca="1" si="23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22.758855914378952</v>
      </c>
      <c r="R679" s="44">
        <f t="shared" ref="R679:R742" ca="1" si="232">(P679+Q679)/20</f>
        <v>2.2758855914378953</v>
      </c>
      <c r="S679" s="44">
        <f t="shared" ref="S679:S742" ca="1" si="233">R679*Set2ConserveTP + O679*(1-Set2ConserveTP)</f>
        <v>2.2758855914378953</v>
      </c>
      <c r="T679" s="4">
        <f t="shared" ref="T679:T742" ca="1" si="234">K679*S679</f>
        <v>0</v>
      </c>
      <c r="U679" s="120">
        <f t="shared" ref="U679:U742" ca="1" si="235">MIN(L679+(S679+Set2OverTP)*AvgHitsPerRound2*Set2MeleeTP + Set2Regain + 10.5*Set2ConserveTP, 3000)</f>
        <v>2217.0063598009133</v>
      </c>
      <c r="V679" s="4">
        <f t="shared" ref="V679:V742" ca="1" si="236">U679*K679</f>
        <v>0</v>
      </c>
      <c r="W679" s="13">
        <f t="shared" ref="W679:W742" ca="1" si="237">G679*$K$543*((1-$L$543)*$L$547 + $L$543*$M$547*$M$543)*Set2WSDmg + H679*$K$546*((1-$L$546)*$L$548 + $L$546*$M$548*$M$544) + I679*$K$544*((1-$L$544)*$L$547 + $L$544*$M$547*$M$544) + E679*$K$545*$L$545*$M$543</f>
        <v>49588.256250000006</v>
      </c>
      <c r="X679" s="4">
        <f t="shared" ref="X679:X742" ca="1" si="238">K679*W679</f>
        <v>0</v>
      </c>
      <c r="Y679" s="4">
        <f t="shared" ref="Y679:Y742" si="239">IF($B$545=1, (VLOOKUP(C679, IF($B$546=10%,Souleater10,Souleater12), 6, FALSE) * $B$547), 0)</f>
        <v>0</v>
      </c>
      <c r="Z679" s="13">
        <f t="shared" ca="1" si="218"/>
        <v>49588.256250000006</v>
      </c>
      <c r="AA679" s="4">
        <f t="shared" ca="1" si="219"/>
        <v>0</v>
      </c>
    </row>
    <row r="680" spans="1:27">
      <c r="A680">
        <v>1</v>
      </c>
      <c r="B680">
        <v>0</v>
      </c>
      <c r="C680">
        <f t="shared" ca="1" si="220"/>
        <v>3</v>
      </c>
      <c r="D680">
        <f t="shared" ca="1" si="221"/>
        <v>2</v>
      </c>
      <c r="E680">
        <f t="shared" ca="1" si="222"/>
        <v>1</v>
      </c>
      <c r="F680" s="110">
        <f t="shared" ca="1" si="223"/>
        <v>5.3066759999999991E-2</v>
      </c>
      <c r="G680">
        <v>1</v>
      </c>
      <c r="H680">
        <v>1</v>
      </c>
      <c r="I680">
        <v>6</v>
      </c>
      <c r="J680" s="1">
        <f t="shared" ca="1" si="224"/>
        <v>0</v>
      </c>
      <c r="K680" s="1">
        <f t="shared" ca="1" si="225"/>
        <v>0</v>
      </c>
      <c r="L680" s="13">
        <f t="shared" ca="1" si="226"/>
        <v>682</v>
      </c>
      <c r="M680" s="7">
        <f t="shared" ca="1" si="227"/>
        <v>818</v>
      </c>
      <c r="N680" s="26">
        <f t="shared" ca="1" si="228"/>
        <v>3</v>
      </c>
      <c r="O680" s="44">
        <f t="shared" ca="1" si="229"/>
        <v>2.2758855914378953</v>
      </c>
      <c r="P680" s="44">
        <f t="shared" ca="1" si="230"/>
        <v>22.758855914378952</v>
      </c>
      <c r="Q680" s="44">
        <f t="shared" ca="1" si="231"/>
        <v>22.758855914378952</v>
      </c>
      <c r="R680" s="44">
        <f t="shared" ca="1" si="232"/>
        <v>2.2758855914378953</v>
      </c>
      <c r="S680" s="44">
        <f t="shared" ca="1" si="233"/>
        <v>2.2758855914378953</v>
      </c>
      <c r="T680" s="4">
        <f t="shared" ca="1" si="234"/>
        <v>0</v>
      </c>
      <c r="U680" s="120">
        <f t="shared" ca="1" si="235"/>
        <v>2198.0063598009133</v>
      </c>
      <c r="V680" s="4">
        <f t="shared" ca="1" si="236"/>
        <v>0</v>
      </c>
      <c r="W680" s="13">
        <f t="shared" ca="1" si="237"/>
        <v>46815.131250000006</v>
      </c>
      <c r="X680" s="4">
        <f t="shared" ca="1" si="238"/>
        <v>0</v>
      </c>
      <c r="Y680" s="4">
        <f t="shared" si="239"/>
        <v>0</v>
      </c>
      <c r="Z680" s="13">
        <f t="shared" ref="Z680:Z743" ca="1" si="240">Y680+W680</f>
        <v>46815.131250000006</v>
      </c>
      <c r="AA680" s="4">
        <f t="shared" ref="AA680:AA743" ca="1" si="241">Z680*K680</f>
        <v>0</v>
      </c>
    </row>
    <row r="681" spans="1:27">
      <c r="A681">
        <v>1</v>
      </c>
      <c r="B681">
        <v>0</v>
      </c>
      <c r="C681">
        <f t="shared" ca="1" si="220"/>
        <v>3</v>
      </c>
      <c r="D681">
        <f t="shared" ca="1" si="221"/>
        <v>2</v>
      </c>
      <c r="E681">
        <f t="shared" ca="1" si="222"/>
        <v>1</v>
      </c>
      <c r="F681" s="110">
        <f t="shared" ca="1" si="223"/>
        <v>5.3066759999999991E-2</v>
      </c>
      <c r="G681">
        <v>1</v>
      </c>
      <c r="H681">
        <v>1</v>
      </c>
      <c r="I681">
        <v>5</v>
      </c>
      <c r="J681" s="1">
        <f t="shared" ca="1" si="224"/>
        <v>0</v>
      </c>
      <c r="K681" s="1">
        <f t="shared" ca="1" si="225"/>
        <v>0</v>
      </c>
      <c r="L681" s="13">
        <f t="shared" ca="1" si="226"/>
        <v>663</v>
      </c>
      <c r="M681" s="7">
        <f t="shared" ca="1" si="227"/>
        <v>837</v>
      </c>
      <c r="N681" s="26">
        <f t="shared" ca="1" si="228"/>
        <v>3</v>
      </c>
      <c r="O681" s="44">
        <f t="shared" ca="1" si="229"/>
        <v>2.2758855914378953</v>
      </c>
      <c r="P681" s="44">
        <f t="shared" ca="1" si="230"/>
        <v>22.758855914378952</v>
      </c>
      <c r="Q681" s="44">
        <f t="shared" ca="1" si="231"/>
        <v>22.758855914378952</v>
      </c>
      <c r="R681" s="44">
        <f t="shared" ca="1" si="232"/>
        <v>2.2758855914378953</v>
      </c>
      <c r="S681" s="44">
        <f t="shared" ca="1" si="233"/>
        <v>2.2758855914378953</v>
      </c>
      <c r="T681" s="4">
        <f t="shared" ca="1" si="234"/>
        <v>0</v>
      </c>
      <c r="U681" s="120">
        <f t="shared" ca="1" si="235"/>
        <v>2179.0063598009133</v>
      </c>
      <c r="V681" s="4">
        <f t="shared" ca="1" si="236"/>
        <v>0</v>
      </c>
      <c r="W681" s="13">
        <f t="shared" ca="1" si="237"/>
        <v>44042.006250000006</v>
      </c>
      <c r="X681" s="4">
        <f t="shared" ca="1" si="238"/>
        <v>0</v>
      </c>
      <c r="Y681" s="4">
        <f t="shared" si="239"/>
        <v>0</v>
      </c>
      <c r="Z681" s="13">
        <f t="shared" ca="1" si="240"/>
        <v>44042.006250000006</v>
      </c>
      <c r="AA681" s="4">
        <f t="shared" ca="1" si="241"/>
        <v>0</v>
      </c>
    </row>
    <row r="682" spans="1:27">
      <c r="A682">
        <v>1</v>
      </c>
      <c r="B682">
        <v>0</v>
      </c>
      <c r="C682">
        <f t="shared" ca="1" si="220"/>
        <v>3</v>
      </c>
      <c r="D682">
        <f t="shared" ca="1" si="221"/>
        <v>2</v>
      </c>
      <c r="E682">
        <f t="shared" ca="1" si="222"/>
        <v>1</v>
      </c>
      <c r="F682" s="110">
        <f t="shared" ca="1" si="223"/>
        <v>5.3066759999999991E-2</v>
      </c>
      <c r="G682">
        <v>1</v>
      </c>
      <c r="H682">
        <v>1</v>
      </c>
      <c r="I682">
        <v>4</v>
      </c>
      <c r="J682" s="1">
        <f t="shared" ca="1" si="224"/>
        <v>0</v>
      </c>
      <c r="K682" s="1">
        <f t="shared" ca="1" si="225"/>
        <v>0</v>
      </c>
      <c r="L682" s="13">
        <f t="shared" ca="1" si="226"/>
        <v>644</v>
      </c>
      <c r="M682" s="7">
        <f t="shared" ca="1" si="227"/>
        <v>856</v>
      </c>
      <c r="N682" s="26">
        <f t="shared" ca="1" si="228"/>
        <v>3</v>
      </c>
      <c r="O682" s="44">
        <f t="shared" ca="1" si="229"/>
        <v>2.2758855914378953</v>
      </c>
      <c r="P682" s="44">
        <f t="shared" ca="1" si="230"/>
        <v>22.758855914378952</v>
      </c>
      <c r="Q682" s="44">
        <f t="shared" ca="1" si="231"/>
        <v>22.758855914378952</v>
      </c>
      <c r="R682" s="44">
        <f t="shared" ca="1" si="232"/>
        <v>2.2758855914378953</v>
      </c>
      <c r="S682" s="44">
        <f t="shared" ca="1" si="233"/>
        <v>2.2758855914378953</v>
      </c>
      <c r="T682" s="4">
        <f t="shared" ca="1" si="234"/>
        <v>0</v>
      </c>
      <c r="U682" s="120">
        <f t="shared" ca="1" si="235"/>
        <v>2160.0063598009133</v>
      </c>
      <c r="V682" s="4">
        <f t="shared" ca="1" si="236"/>
        <v>0</v>
      </c>
      <c r="W682" s="13">
        <f t="shared" ca="1" si="237"/>
        <v>41268.881250000006</v>
      </c>
      <c r="X682" s="4">
        <f t="shared" ca="1" si="238"/>
        <v>0</v>
      </c>
      <c r="Y682" s="4">
        <f t="shared" si="239"/>
        <v>0</v>
      </c>
      <c r="Z682" s="13">
        <f t="shared" ca="1" si="240"/>
        <v>41268.881250000006</v>
      </c>
      <c r="AA682" s="4">
        <f t="shared" ca="1" si="241"/>
        <v>0</v>
      </c>
    </row>
    <row r="683" spans="1:27">
      <c r="A683">
        <v>1</v>
      </c>
      <c r="B683">
        <v>0</v>
      </c>
      <c r="C683">
        <f t="shared" ca="1" si="220"/>
        <v>3</v>
      </c>
      <c r="D683">
        <f t="shared" ca="1" si="221"/>
        <v>2</v>
      </c>
      <c r="E683">
        <f t="shared" ca="1" si="222"/>
        <v>1</v>
      </c>
      <c r="F683" s="110">
        <f t="shared" ca="1" si="223"/>
        <v>5.3066759999999991E-2</v>
      </c>
      <c r="G683">
        <v>1</v>
      </c>
      <c r="H683">
        <v>1</v>
      </c>
      <c r="I683">
        <v>3</v>
      </c>
      <c r="J683" s="1">
        <f t="shared" ca="1" si="224"/>
        <v>0</v>
      </c>
      <c r="K683" s="1">
        <f t="shared" ca="1" si="225"/>
        <v>0</v>
      </c>
      <c r="L683" s="13">
        <f t="shared" ca="1" si="226"/>
        <v>625</v>
      </c>
      <c r="M683" s="7">
        <f t="shared" ca="1" si="227"/>
        <v>875</v>
      </c>
      <c r="N683" s="26">
        <f t="shared" ca="1" si="228"/>
        <v>3</v>
      </c>
      <c r="O683" s="44">
        <f t="shared" ca="1" si="229"/>
        <v>2.2758855914378953</v>
      </c>
      <c r="P683" s="44">
        <f t="shared" ca="1" si="230"/>
        <v>22.758855914378952</v>
      </c>
      <c r="Q683" s="44">
        <f t="shared" ca="1" si="231"/>
        <v>22.758855914378952</v>
      </c>
      <c r="R683" s="44">
        <f t="shared" ca="1" si="232"/>
        <v>2.2758855914378953</v>
      </c>
      <c r="S683" s="44">
        <f t="shared" ca="1" si="233"/>
        <v>2.2758855914378953</v>
      </c>
      <c r="T683" s="4">
        <f t="shared" ca="1" si="234"/>
        <v>0</v>
      </c>
      <c r="U683" s="120">
        <f t="shared" ca="1" si="235"/>
        <v>2141.0063598009133</v>
      </c>
      <c r="V683" s="4">
        <f t="shared" ca="1" si="236"/>
        <v>0</v>
      </c>
      <c r="W683" s="13">
        <f t="shared" ca="1" si="237"/>
        <v>38495.756250000006</v>
      </c>
      <c r="X683" s="4">
        <f t="shared" ca="1" si="238"/>
        <v>0</v>
      </c>
      <c r="Y683" s="4">
        <f t="shared" si="239"/>
        <v>0</v>
      </c>
      <c r="Z683" s="13">
        <f t="shared" ca="1" si="240"/>
        <v>38495.756250000006</v>
      </c>
      <c r="AA683" s="4">
        <f t="shared" ca="1" si="241"/>
        <v>0</v>
      </c>
    </row>
    <row r="684" spans="1:27">
      <c r="A684">
        <v>1</v>
      </c>
      <c r="B684">
        <v>0</v>
      </c>
      <c r="C684">
        <f t="shared" ca="1" si="220"/>
        <v>3</v>
      </c>
      <c r="D684">
        <f t="shared" ca="1" si="221"/>
        <v>2</v>
      </c>
      <c r="E684">
        <f t="shared" ca="1" si="222"/>
        <v>1</v>
      </c>
      <c r="F684" s="110">
        <f t="shared" ca="1" si="223"/>
        <v>5.3066759999999991E-2</v>
      </c>
      <c r="G684">
        <v>1</v>
      </c>
      <c r="H684">
        <v>1</v>
      </c>
      <c r="I684">
        <v>2</v>
      </c>
      <c r="J684" s="1">
        <f t="shared" ca="1" si="224"/>
        <v>0</v>
      </c>
      <c r="K684" s="1">
        <f t="shared" ca="1" si="225"/>
        <v>0</v>
      </c>
      <c r="L684" s="13">
        <f t="shared" ca="1" si="226"/>
        <v>606</v>
      </c>
      <c r="M684" s="7">
        <f t="shared" ca="1" si="227"/>
        <v>894</v>
      </c>
      <c r="N684" s="26">
        <f t="shared" ca="1" si="228"/>
        <v>3</v>
      </c>
      <c r="O684" s="44">
        <f t="shared" ca="1" si="229"/>
        <v>2.2758855914378953</v>
      </c>
      <c r="P684" s="44">
        <f t="shared" ca="1" si="230"/>
        <v>22.758855914378952</v>
      </c>
      <c r="Q684" s="44">
        <f t="shared" ca="1" si="231"/>
        <v>22.758855914378952</v>
      </c>
      <c r="R684" s="44">
        <f t="shared" ca="1" si="232"/>
        <v>2.2758855914378953</v>
      </c>
      <c r="S684" s="44">
        <f t="shared" ca="1" si="233"/>
        <v>2.2758855914378953</v>
      </c>
      <c r="T684" s="4">
        <f t="shared" ca="1" si="234"/>
        <v>0</v>
      </c>
      <c r="U684" s="120">
        <f t="shared" ca="1" si="235"/>
        <v>2122.0063598009133</v>
      </c>
      <c r="V684" s="4">
        <f t="shared" ca="1" si="236"/>
        <v>0</v>
      </c>
      <c r="W684" s="13">
        <f t="shared" ca="1" si="237"/>
        <v>35722.631250000006</v>
      </c>
      <c r="X684" s="4">
        <f t="shared" ca="1" si="238"/>
        <v>0</v>
      </c>
      <c r="Y684" s="4">
        <f t="shared" si="239"/>
        <v>0</v>
      </c>
      <c r="Z684" s="13">
        <f t="shared" ca="1" si="240"/>
        <v>35722.631250000006</v>
      </c>
      <c r="AA684" s="4">
        <f t="shared" ca="1" si="241"/>
        <v>0</v>
      </c>
    </row>
    <row r="685" spans="1:27">
      <c r="A685">
        <v>1</v>
      </c>
      <c r="B685">
        <v>0</v>
      </c>
      <c r="C685">
        <f t="shared" ca="1" si="220"/>
        <v>3</v>
      </c>
      <c r="D685">
        <f t="shared" ca="1" si="221"/>
        <v>2</v>
      </c>
      <c r="E685">
        <f t="shared" ca="1" si="222"/>
        <v>1</v>
      </c>
      <c r="F685" s="110">
        <f t="shared" ca="1" si="223"/>
        <v>5.3066759999999991E-2</v>
      </c>
      <c r="G685">
        <v>1</v>
      </c>
      <c r="H685">
        <v>1</v>
      </c>
      <c r="I685">
        <v>1</v>
      </c>
      <c r="J685" s="1">
        <f t="shared" ca="1" si="224"/>
        <v>0</v>
      </c>
      <c r="K685" s="1">
        <f t="shared" ca="1" si="225"/>
        <v>0</v>
      </c>
      <c r="L685" s="13">
        <f t="shared" ca="1" si="226"/>
        <v>587</v>
      </c>
      <c r="M685" s="7">
        <f t="shared" ca="1" si="227"/>
        <v>913</v>
      </c>
      <c r="N685" s="26">
        <f t="shared" ca="1" si="228"/>
        <v>3</v>
      </c>
      <c r="O685" s="44">
        <f t="shared" ca="1" si="229"/>
        <v>2.2758855914378953</v>
      </c>
      <c r="P685" s="44">
        <f t="shared" ca="1" si="230"/>
        <v>22.758855914378952</v>
      </c>
      <c r="Q685" s="44">
        <f t="shared" ca="1" si="231"/>
        <v>22.758855914378952</v>
      </c>
      <c r="R685" s="44">
        <f t="shared" ca="1" si="232"/>
        <v>2.2758855914378953</v>
      </c>
      <c r="S685" s="44">
        <f t="shared" ca="1" si="233"/>
        <v>2.2758855914378953</v>
      </c>
      <c r="T685" s="4">
        <f t="shared" ca="1" si="234"/>
        <v>0</v>
      </c>
      <c r="U685" s="120">
        <f t="shared" ca="1" si="235"/>
        <v>2103.0063598009133</v>
      </c>
      <c r="V685" s="4">
        <f t="shared" ca="1" si="236"/>
        <v>0</v>
      </c>
      <c r="W685" s="13">
        <f t="shared" ca="1" si="237"/>
        <v>32949.506250000006</v>
      </c>
      <c r="X685" s="4">
        <f t="shared" ca="1" si="238"/>
        <v>0</v>
      </c>
      <c r="Y685" s="4">
        <f t="shared" si="239"/>
        <v>0</v>
      </c>
      <c r="Z685" s="13">
        <f t="shared" ca="1" si="240"/>
        <v>32949.506250000006</v>
      </c>
      <c r="AA685" s="4">
        <f t="shared" ca="1" si="241"/>
        <v>0</v>
      </c>
    </row>
    <row r="686" spans="1:27">
      <c r="A686">
        <v>1</v>
      </c>
      <c r="B686">
        <v>0</v>
      </c>
      <c r="C686">
        <f t="shared" ca="1" si="220"/>
        <v>3</v>
      </c>
      <c r="D686">
        <f t="shared" ca="1" si="221"/>
        <v>2</v>
      </c>
      <c r="E686">
        <f t="shared" ca="1" si="222"/>
        <v>1</v>
      </c>
      <c r="F686" s="110">
        <f t="shared" ca="1" si="223"/>
        <v>5.3066759999999991E-2</v>
      </c>
      <c r="G686">
        <v>1</v>
      </c>
      <c r="H686">
        <v>1</v>
      </c>
      <c r="I686">
        <v>0</v>
      </c>
      <c r="J686" s="1">
        <f t="shared" ca="1" si="224"/>
        <v>0</v>
      </c>
      <c r="K686" s="1">
        <f t="shared" ca="1" si="225"/>
        <v>0</v>
      </c>
      <c r="L686" s="13">
        <f t="shared" ca="1" si="226"/>
        <v>568</v>
      </c>
      <c r="M686" s="7">
        <f t="shared" ca="1" si="227"/>
        <v>932</v>
      </c>
      <c r="N686" s="26">
        <f t="shared" ca="1" si="228"/>
        <v>3</v>
      </c>
      <c r="O686" s="44">
        <f t="shared" ca="1" si="229"/>
        <v>2.2758855914378953</v>
      </c>
      <c r="P686" s="44">
        <f t="shared" ca="1" si="230"/>
        <v>22.758855914378952</v>
      </c>
      <c r="Q686" s="44">
        <f t="shared" ca="1" si="231"/>
        <v>22.758855914378952</v>
      </c>
      <c r="R686" s="44">
        <f t="shared" ca="1" si="232"/>
        <v>2.2758855914378953</v>
      </c>
      <c r="S686" s="44">
        <f t="shared" ca="1" si="233"/>
        <v>2.2758855914378953</v>
      </c>
      <c r="T686" s="4">
        <f t="shared" ca="1" si="234"/>
        <v>0</v>
      </c>
      <c r="U686" s="120">
        <f t="shared" ca="1" si="235"/>
        <v>2084.0063598009133</v>
      </c>
      <c r="V686" s="4">
        <f t="shared" ca="1" si="236"/>
        <v>0</v>
      </c>
      <c r="W686" s="13">
        <f t="shared" ca="1" si="237"/>
        <v>30176.381250000002</v>
      </c>
      <c r="X686" s="4">
        <f t="shared" ca="1" si="238"/>
        <v>0</v>
      </c>
      <c r="Y686" s="4">
        <f t="shared" si="239"/>
        <v>0</v>
      </c>
      <c r="Z686" s="13">
        <f t="shared" ca="1" si="240"/>
        <v>30176.381250000002</v>
      </c>
      <c r="AA686" s="4">
        <f t="shared" ca="1" si="241"/>
        <v>0</v>
      </c>
    </row>
    <row r="687" spans="1:27">
      <c r="A687">
        <v>1</v>
      </c>
      <c r="B687">
        <v>0</v>
      </c>
      <c r="C687">
        <f t="shared" ca="1" si="220"/>
        <v>3</v>
      </c>
      <c r="D687">
        <f t="shared" ca="1" si="221"/>
        <v>2</v>
      </c>
      <c r="E687">
        <f t="shared" ca="1" si="222"/>
        <v>1</v>
      </c>
      <c r="F687" s="110">
        <f t="shared" ca="1" si="223"/>
        <v>5.3066759999999991E-2</v>
      </c>
      <c r="G687">
        <v>1</v>
      </c>
      <c r="H687">
        <v>0</v>
      </c>
      <c r="I687">
        <v>7</v>
      </c>
      <c r="J687" s="1">
        <f t="shared" ca="1" si="224"/>
        <v>0</v>
      </c>
      <c r="K687" s="1">
        <f t="shared" ca="1" si="225"/>
        <v>0</v>
      </c>
      <c r="L687" s="13">
        <f t="shared" ca="1" si="226"/>
        <v>417</v>
      </c>
      <c r="M687" s="7">
        <f t="shared" ca="1" si="227"/>
        <v>1083</v>
      </c>
      <c r="N687" s="26">
        <f t="shared" ca="1" si="228"/>
        <v>4</v>
      </c>
      <c r="O687" s="44">
        <f t="shared" ca="1" si="229"/>
        <v>2.8908103757121246</v>
      </c>
      <c r="P687" s="44">
        <f t="shared" ca="1" si="230"/>
        <v>28.908103757121246</v>
      </c>
      <c r="Q687" s="44">
        <f t="shared" ca="1" si="231"/>
        <v>28.908103757121246</v>
      </c>
      <c r="R687" s="44">
        <f t="shared" ca="1" si="232"/>
        <v>2.8908103757121246</v>
      </c>
      <c r="S687" s="44">
        <f t="shared" ca="1" si="233"/>
        <v>2.8908103757121246</v>
      </c>
      <c r="T687" s="4">
        <f t="shared" ca="1" si="234"/>
        <v>0</v>
      </c>
      <c r="U687" s="120">
        <f t="shared" ca="1" si="235"/>
        <v>2268.675062040129</v>
      </c>
      <c r="V687" s="4">
        <f t="shared" ca="1" si="236"/>
        <v>0</v>
      </c>
      <c r="W687" s="13">
        <f t="shared" ca="1" si="237"/>
        <v>49588.256250000006</v>
      </c>
      <c r="X687" s="4">
        <f t="shared" ca="1" si="238"/>
        <v>0</v>
      </c>
      <c r="Y687" s="4">
        <f t="shared" si="239"/>
        <v>0</v>
      </c>
      <c r="Z687" s="13">
        <f t="shared" ca="1" si="240"/>
        <v>49588.256250000006</v>
      </c>
      <c r="AA687" s="4">
        <f t="shared" ca="1" si="241"/>
        <v>0</v>
      </c>
    </row>
    <row r="688" spans="1:27">
      <c r="A688">
        <v>1</v>
      </c>
      <c r="B688">
        <v>0</v>
      </c>
      <c r="C688">
        <f t="shared" ca="1" si="220"/>
        <v>3</v>
      </c>
      <c r="D688">
        <f t="shared" ca="1" si="221"/>
        <v>2</v>
      </c>
      <c r="E688">
        <f t="shared" ca="1" si="222"/>
        <v>1</v>
      </c>
      <c r="F688" s="110">
        <f t="shared" ca="1" si="223"/>
        <v>5.3066759999999991E-2</v>
      </c>
      <c r="G688">
        <v>1</v>
      </c>
      <c r="H688">
        <v>0</v>
      </c>
      <c r="I688">
        <v>6</v>
      </c>
      <c r="J688" s="1">
        <f t="shared" ca="1" si="224"/>
        <v>0</v>
      </c>
      <c r="K688" s="1">
        <f t="shared" ca="1" si="225"/>
        <v>0</v>
      </c>
      <c r="L688" s="13">
        <f t="shared" ca="1" si="226"/>
        <v>398</v>
      </c>
      <c r="M688" s="7">
        <f t="shared" ca="1" si="227"/>
        <v>1102</v>
      </c>
      <c r="N688" s="26">
        <f t="shared" ca="1" si="228"/>
        <v>4</v>
      </c>
      <c r="O688" s="44">
        <f t="shared" ca="1" si="229"/>
        <v>2.8908103757121246</v>
      </c>
      <c r="P688" s="44">
        <f t="shared" ca="1" si="230"/>
        <v>28.908103757121246</v>
      </c>
      <c r="Q688" s="44">
        <f t="shared" ca="1" si="231"/>
        <v>28.908103757121246</v>
      </c>
      <c r="R688" s="44">
        <f t="shared" ca="1" si="232"/>
        <v>2.8908103757121246</v>
      </c>
      <c r="S688" s="44">
        <f t="shared" ca="1" si="233"/>
        <v>2.8908103757121246</v>
      </c>
      <c r="T688" s="4">
        <f t="shared" ca="1" si="234"/>
        <v>0</v>
      </c>
      <c r="U688" s="120">
        <f t="shared" ca="1" si="235"/>
        <v>2249.675062040129</v>
      </c>
      <c r="V688" s="4">
        <f t="shared" ca="1" si="236"/>
        <v>0</v>
      </c>
      <c r="W688" s="13">
        <f t="shared" ca="1" si="237"/>
        <v>46815.131250000006</v>
      </c>
      <c r="X688" s="4">
        <f t="shared" ca="1" si="238"/>
        <v>0</v>
      </c>
      <c r="Y688" s="4">
        <f t="shared" si="239"/>
        <v>0</v>
      </c>
      <c r="Z688" s="13">
        <f t="shared" ca="1" si="240"/>
        <v>46815.131250000006</v>
      </c>
      <c r="AA688" s="4">
        <f t="shared" ca="1" si="241"/>
        <v>0</v>
      </c>
    </row>
    <row r="689" spans="1:27">
      <c r="A689">
        <v>1</v>
      </c>
      <c r="B689">
        <v>0</v>
      </c>
      <c r="C689">
        <f t="shared" ca="1" si="220"/>
        <v>3</v>
      </c>
      <c r="D689">
        <f t="shared" ca="1" si="221"/>
        <v>2</v>
      </c>
      <c r="E689">
        <f t="shared" ca="1" si="222"/>
        <v>1</v>
      </c>
      <c r="F689" s="110">
        <f t="shared" ca="1" si="223"/>
        <v>5.3066759999999991E-2</v>
      </c>
      <c r="G689">
        <v>1</v>
      </c>
      <c r="H689">
        <v>0</v>
      </c>
      <c r="I689">
        <v>5</v>
      </c>
      <c r="J689" s="1">
        <f t="shared" ca="1" si="224"/>
        <v>0</v>
      </c>
      <c r="K689" s="1">
        <f t="shared" ca="1" si="225"/>
        <v>0</v>
      </c>
      <c r="L689" s="13">
        <f t="shared" ca="1" si="226"/>
        <v>379</v>
      </c>
      <c r="M689" s="7">
        <f t="shared" ca="1" si="227"/>
        <v>1121</v>
      </c>
      <c r="N689" s="26">
        <f t="shared" ca="1" si="228"/>
        <v>4</v>
      </c>
      <c r="O689" s="44">
        <f t="shared" ca="1" si="229"/>
        <v>2.8908103757121246</v>
      </c>
      <c r="P689" s="44">
        <f t="shared" ca="1" si="230"/>
        <v>28.908103757121246</v>
      </c>
      <c r="Q689" s="44">
        <f t="shared" ca="1" si="231"/>
        <v>28.908103757121246</v>
      </c>
      <c r="R689" s="44">
        <f t="shared" ca="1" si="232"/>
        <v>2.8908103757121246</v>
      </c>
      <c r="S689" s="44">
        <f t="shared" ca="1" si="233"/>
        <v>2.8908103757121246</v>
      </c>
      <c r="T689" s="4">
        <f t="shared" ca="1" si="234"/>
        <v>0</v>
      </c>
      <c r="U689" s="120">
        <f t="shared" ca="1" si="235"/>
        <v>2230.675062040129</v>
      </c>
      <c r="V689" s="4">
        <f t="shared" ca="1" si="236"/>
        <v>0</v>
      </c>
      <c r="W689" s="13">
        <f t="shared" ca="1" si="237"/>
        <v>44042.006250000006</v>
      </c>
      <c r="X689" s="4">
        <f t="shared" ca="1" si="238"/>
        <v>0</v>
      </c>
      <c r="Y689" s="4">
        <f t="shared" si="239"/>
        <v>0</v>
      </c>
      <c r="Z689" s="13">
        <f t="shared" ca="1" si="240"/>
        <v>44042.006250000006</v>
      </c>
      <c r="AA689" s="4">
        <f t="shared" ca="1" si="241"/>
        <v>0</v>
      </c>
    </row>
    <row r="690" spans="1:27">
      <c r="A690">
        <v>1</v>
      </c>
      <c r="B690">
        <v>0</v>
      </c>
      <c r="C690">
        <f t="shared" ca="1" si="220"/>
        <v>3</v>
      </c>
      <c r="D690">
        <f t="shared" ca="1" si="221"/>
        <v>2</v>
      </c>
      <c r="E690">
        <f t="shared" ca="1" si="222"/>
        <v>1</v>
      </c>
      <c r="F690" s="110">
        <f t="shared" ca="1" si="223"/>
        <v>5.3066759999999991E-2</v>
      </c>
      <c r="G690">
        <v>1</v>
      </c>
      <c r="H690">
        <v>0</v>
      </c>
      <c r="I690">
        <v>4</v>
      </c>
      <c r="J690" s="1">
        <f t="shared" ca="1" si="224"/>
        <v>0</v>
      </c>
      <c r="K690" s="1">
        <f t="shared" ca="1" si="225"/>
        <v>0</v>
      </c>
      <c r="L690" s="13">
        <f t="shared" ca="1" si="226"/>
        <v>360</v>
      </c>
      <c r="M690" s="7">
        <f t="shared" ca="1" si="227"/>
        <v>1140</v>
      </c>
      <c r="N690" s="26">
        <f t="shared" ca="1" si="228"/>
        <v>4</v>
      </c>
      <c r="O690" s="44">
        <f t="shared" ca="1" si="229"/>
        <v>2.8908103757121246</v>
      </c>
      <c r="P690" s="44">
        <f t="shared" ca="1" si="230"/>
        <v>28.908103757121246</v>
      </c>
      <c r="Q690" s="44">
        <f t="shared" ca="1" si="231"/>
        <v>28.908103757121246</v>
      </c>
      <c r="R690" s="44">
        <f t="shared" ca="1" si="232"/>
        <v>2.8908103757121246</v>
      </c>
      <c r="S690" s="44">
        <f t="shared" ca="1" si="233"/>
        <v>2.8908103757121246</v>
      </c>
      <c r="T690" s="4">
        <f t="shared" ca="1" si="234"/>
        <v>0</v>
      </c>
      <c r="U690" s="120">
        <f t="shared" ca="1" si="235"/>
        <v>2211.675062040129</v>
      </c>
      <c r="V690" s="4">
        <f t="shared" ca="1" si="236"/>
        <v>0</v>
      </c>
      <c r="W690" s="13">
        <f t="shared" ca="1" si="237"/>
        <v>41268.881250000006</v>
      </c>
      <c r="X690" s="4">
        <f t="shared" ca="1" si="238"/>
        <v>0</v>
      </c>
      <c r="Y690" s="4">
        <f t="shared" si="239"/>
        <v>0</v>
      </c>
      <c r="Z690" s="13">
        <f t="shared" ca="1" si="240"/>
        <v>41268.881250000006</v>
      </c>
      <c r="AA690" s="4">
        <f t="shared" ca="1" si="241"/>
        <v>0</v>
      </c>
    </row>
    <row r="691" spans="1:27">
      <c r="A691">
        <v>1</v>
      </c>
      <c r="B691">
        <v>0</v>
      </c>
      <c r="C691">
        <f t="shared" ca="1" si="220"/>
        <v>3</v>
      </c>
      <c r="D691">
        <f t="shared" ca="1" si="221"/>
        <v>2</v>
      </c>
      <c r="E691">
        <f t="shared" ca="1" si="222"/>
        <v>1</v>
      </c>
      <c r="F691" s="110">
        <f t="shared" ca="1" si="223"/>
        <v>5.3066759999999991E-2</v>
      </c>
      <c r="G691">
        <v>1</v>
      </c>
      <c r="H691">
        <v>0</v>
      </c>
      <c r="I691">
        <v>3</v>
      </c>
      <c r="J691" s="1">
        <f t="shared" ca="1" si="224"/>
        <v>0</v>
      </c>
      <c r="K691" s="1">
        <f t="shared" ca="1" si="225"/>
        <v>0</v>
      </c>
      <c r="L691" s="13">
        <f t="shared" ca="1" si="226"/>
        <v>341</v>
      </c>
      <c r="M691" s="7">
        <f t="shared" ca="1" si="227"/>
        <v>1159</v>
      </c>
      <c r="N691" s="26">
        <f t="shared" ca="1" si="228"/>
        <v>4</v>
      </c>
      <c r="O691" s="44">
        <f t="shared" ca="1" si="229"/>
        <v>2.8908103757121246</v>
      </c>
      <c r="P691" s="44">
        <f t="shared" ca="1" si="230"/>
        <v>28.908103757121246</v>
      </c>
      <c r="Q691" s="44">
        <f t="shared" ca="1" si="231"/>
        <v>28.908103757121246</v>
      </c>
      <c r="R691" s="44">
        <f t="shared" ca="1" si="232"/>
        <v>2.8908103757121246</v>
      </c>
      <c r="S691" s="44">
        <f t="shared" ca="1" si="233"/>
        <v>2.8908103757121246</v>
      </c>
      <c r="T691" s="4">
        <f t="shared" ca="1" si="234"/>
        <v>0</v>
      </c>
      <c r="U691" s="120">
        <f t="shared" ca="1" si="235"/>
        <v>2192.675062040129</v>
      </c>
      <c r="V691" s="4">
        <f t="shared" ca="1" si="236"/>
        <v>0</v>
      </c>
      <c r="W691" s="13">
        <f t="shared" ca="1" si="237"/>
        <v>38495.756250000006</v>
      </c>
      <c r="X691" s="4">
        <f t="shared" ca="1" si="238"/>
        <v>0</v>
      </c>
      <c r="Y691" s="4">
        <f t="shared" si="239"/>
        <v>0</v>
      </c>
      <c r="Z691" s="13">
        <f t="shared" ca="1" si="240"/>
        <v>38495.756250000006</v>
      </c>
      <c r="AA691" s="4">
        <f t="shared" ca="1" si="241"/>
        <v>0</v>
      </c>
    </row>
    <row r="692" spans="1:27">
      <c r="A692">
        <v>1</v>
      </c>
      <c r="B692">
        <v>0</v>
      </c>
      <c r="C692">
        <f t="shared" ca="1" si="220"/>
        <v>3</v>
      </c>
      <c r="D692">
        <f t="shared" ca="1" si="221"/>
        <v>2</v>
      </c>
      <c r="E692">
        <f t="shared" ca="1" si="222"/>
        <v>1</v>
      </c>
      <c r="F692" s="110">
        <f t="shared" ca="1" si="223"/>
        <v>5.3066759999999991E-2</v>
      </c>
      <c r="G692">
        <v>1</v>
      </c>
      <c r="H692">
        <v>0</v>
      </c>
      <c r="I692">
        <v>2</v>
      </c>
      <c r="J692" s="1">
        <f t="shared" ca="1" si="224"/>
        <v>0.85737499999999989</v>
      </c>
      <c r="K692" s="1">
        <f t="shared" ca="1" si="225"/>
        <v>4.5498113354999987E-2</v>
      </c>
      <c r="L692" s="13">
        <f t="shared" ca="1" si="226"/>
        <v>322</v>
      </c>
      <c r="M692" s="7">
        <f t="shared" ca="1" si="227"/>
        <v>1178</v>
      </c>
      <c r="N692" s="26">
        <f t="shared" ca="1" si="228"/>
        <v>4</v>
      </c>
      <c r="O692" s="44">
        <f t="shared" ca="1" si="229"/>
        <v>2.8908103757121246</v>
      </c>
      <c r="P692" s="44">
        <f t="shared" ca="1" si="230"/>
        <v>28.908103757121246</v>
      </c>
      <c r="Q692" s="44">
        <f t="shared" ca="1" si="231"/>
        <v>28.908103757121246</v>
      </c>
      <c r="R692" s="44">
        <f t="shared" ca="1" si="232"/>
        <v>2.8908103757121246</v>
      </c>
      <c r="S692" s="44">
        <f t="shared" ca="1" si="233"/>
        <v>2.8908103757121246</v>
      </c>
      <c r="T692" s="4">
        <f t="shared" ca="1" si="234"/>
        <v>0.13152641816196034</v>
      </c>
      <c r="U692" s="120">
        <f t="shared" ca="1" si="235"/>
        <v>2173.675062040129</v>
      </c>
      <c r="V692" s="4">
        <f t="shared" ca="1" si="236"/>
        <v>98.898114369638421</v>
      </c>
      <c r="W692" s="13">
        <f t="shared" ca="1" si="237"/>
        <v>35722.631250000006</v>
      </c>
      <c r="X692" s="4">
        <f t="shared" ca="1" si="238"/>
        <v>1625.3123259513652</v>
      </c>
      <c r="Y692" s="4">
        <f t="shared" si="239"/>
        <v>0</v>
      </c>
      <c r="Z692" s="13">
        <f t="shared" ca="1" si="240"/>
        <v>35722.631250000006</v>
      </c>
      <c r="AA692" s="4">
        <f t="shared" ca="1" si="241"/>
        <v>1625.3123259513652</v>
      </c>
    </row>
    <row r="693" spans="1:27">
      <c r="A693">
        <v>1</v>
      </c>
      <c r="B693">
        <v>0</v>
      </c>
      <c r="C693">
        <f t="shared" ca="1" si="220"/>
        <v>3</v>
      </c>
      <c r="D693">
        <f t="shared" ca="1" si="221"/>
        <v>2</v>
      </c>
      <c r="E693">
        <f t="shared" ca="1" si="222"/>
        <v>1</v>
      </c>
      <c r="F693" s="110">
        <f t="shared" ca="1" si="223"/>
        <v>5.3066759999999991E-2</v>
      </c>
      <c r="G693">
        <v>1</v>
      </c>
      <c r="H693">
        <v>0</v>
      </c>
      <c r="I693">
        <v>1</v>
      </c>
      <c r="J693" s="1">
        <f t="shared" ca="1" si="224"/>
        <v>9.025000000000008E-2</v>
      </c>
      <c r="K693" s="1">
        <f t="shared" ca="1" si="225"/>
        <v>4.7892750900000031E-3</v>
      </c>
      <c r="L693" s="13">
        <f t="shared" ca="1" si="226"/>
        <v>303</v>
      </c>
      <c r="M693" s="7">
        <f t="shared" ca="1" si="227"/>
        <v>1197</v>
      </c>
      <c r="N693" s="26">
        <f t="shared" ca="1" si="228"/>
        <v>4</v>
      </c>
      <c r="O693" s="44">
        <f t="shared" ca="1" si="229"/>
        <v>2.8908103757121246</v>
      </c>
      <c r="P693" s="44">
        <f t="shared" ca="1" si="230"/>
        <v>28.908103757121246</v>
      </c>
      <c r="Q693" s="44">
        <f t="shared" ca="1" si="231"/>
        <v>28.908103757121246</v>
      </c>
      <c r="R693" s="44">
        <f t="shared" ca="1" si="232"/>
        <v>2.8908103757121246</v>
      </c>
      <c r="S693" s="44">
        <f t="shared" ca="1" si="233"/>
        <v>2.8908103757121246</v>
      </c>
      <c r="T693" s="4">
        <f t="shared" ca="1" si="234"/>
        <v>1.3844886122311629E-2</v>
      </c>
      <c r="U693" s="120">
        <f t="shared" ca="1" si="235"/>
        <v>2154.675062040129</v>
      </c>
      <c r="V693" s="4">
        <f t="shared" ca="1" si="236"/>
        <v>10.319331601673001</v>
      </c>
      <c r="W693" s="13">
        <f t="shared" ca="1" si="237"/>
        <v>32949.506250000006</v>
      </c>
      <c r="X693" s="4">
        <f t="shared" ca="1" si="238"/>
        <v>157.80424951092445</v>
      </c>
      <c r="Y693" s="4">
        <f t="shared" si="239"/>
        <v>0</v>
      </c>
      <c r="Z693" s="13">
        <f t="shared" ca="1" si="240"/>
        <v>32949.506250000006</v>
      </c>
      <c r="AA693" s="4">
        <f t="shared" ca="1" si="241"/>
        <v>157.80424951092445</v>
      </c>
    </row>
    <row r="694" spans="1:27">
      <c r="A694">
        <v>1</v>
      </c>
      <c r="B694">
        <v>0</v>
      </c>
      <c r="C694">
        <f t="shared" ca="1" si="220"/>
        <v>3</v>
      </c>
      <c r="D694">
        <f t="shared" ca="1" si="221"/>
        <v>2</v>
      </c>
      <c r="E694">
        <f t="shared" ca="1" si="222"/>
        <v>1</v>
      </c>
      <c r="F694" s="110">
        <f t="shared" ca="1" si="223"/>
        <v>5.3066759999999991E-2</v>
      </c>
      <c r="G694">
        <v>1</v>
      </c>
      <c r="H694">
        <v>0</v>
      </c>
      <c r="I694">
        <v>0</v>
      </c>
      <c r="J694" s="1">
        <f t="shared" ca="1" si="224"/>
        <v>2.3750000000000038E-3</v>
      </c>
      <c r="K694" s="1">
        <f t="shared" ca="1" si="225"/>
        <v>1.2603355500000017E-4</v>
      </c>
      <c r="L694" s="13">
        <f t="shared" ca="1" si="226"/>
        <v>284</v>
      </c>
      <c r="M694" s="7">
        <f t="shared" ca="1" si="227"/>
        <v>1216</v>
      </c>
      <c r="N694" s="26">
        <f t="shared" ca="1" si="228"/>
        <v>4</v>
      </c>
      <c r="O694" s="44">
        <f t="shared" ca="1" si="229"/>
        <v>2.8908103757121246</v>
      </c>
      <c r="P694" s="44">
        <f t="shared" ca="1" si="230"/>
        <v>28.908103757121246</v>
      </c>
      <c r="Q694" s="44">
        <f t="shared" ca="1" si="231"/>
        <v>28.908103757121246</v>
      </c>
      <c r="R694" s="44">
        <f t="shared" ca="1" si="232"/>
        <v>2.8908103757121246</v>
      </c>
      <c r="S694" s="44">
        <f t="shared" ca="1" si="233"/>
        <v>2.8908103757121246</v>
      </c>
      <c r="T694" s="4">
        <f t="shared" ca="1" si="234"/>
        <v>3.6433910848188524E-4</v>
      </c>
      <c r="U694" s="120">
        <f t="shared" ca="1" si="235"/>
        <v>2135.675062040129</v>
      </c>
      <c r="V694" s="4">
        <f t="shared" ca="1" si="236"/>
        <v>0.26916672039376338</v>
      </c>
      <c r="W694" s="13">
        <f t="shared" ca="1" si="237"/>
        <v>30176.381250000002</v>
      </c>
      <c r="X694" s="4">
        <f t="shared" ca="1" si="238"/>
        <v>3.8032366059728493</v>
      </c>
      <c r="Y694" s="4">
        <f t="shared" si="239"/>
        <v>0</v>
      </c>
      <c r="Z694" s="13">
        <f t="shared" ca="1" si="240"/>
        <v>30176.381250000002</v>
      </c>
      <c r="AA694" s="4">
        <f t="shared" ca="1" si="241"/>
        <v>3.8032366059728493</v>
      </c>
    </row>
    <row r="695" spans="1:27">
      <c r="A695">
        <v>1</v>
      </c>
      <c r="B695">
        <v>0</v>
      </c>
      <c r="C695">
        <f t="shared" ca="1" si="220"/>
        <v>3</v>
      </c>
      <c r="D695">
        <f t="shared" ca="1" si="221"/>
        <v>2</v>
      </c>
      <c r="E695">
        <f t="shared" ca="1" si="222"/>
        <v>1</v>
      </c>
      <c r="F695" s="110">
        <f t="shared" ca="1" si="223"/>
        <v>5.3066759999999991E-2</v>
      </c>
      <c r="G695">
        <v>0</v>
      </c>
      <c r="H695">
        <v>1</v>
      </c>
      <c r="I695">
        <v>7</v>
      </c>
      <c r="J695" s="1">
        <f t="shared" ca="1" si="224"/>
        <v>0</v>
      </c>
      <c r="K695" s="1">
        <f t="shared" ca="1" si="225"/>
        <v>0</v>
      </c>
      <c r="L695" s="13">
        <f t="shared" ca="1" si="226"/>
        <v>417</v>
      </c>
      <c r="M695" s="7">
        <f t="shared" ca="1" si="227"/>
        <v>1083</v>
      </c>
      <c r="N695" s="26">
        <f t="shared" ca="1" si="228"/>
        <v>4</v>
      </c>
      <c r="O695" s="44">
        <f t="shared" ca="1" si="229"/>
        <v>2.8908103757121246</v>
      </c>
      <c r="P695" s="44">
        <f t="shared" ca="1" si="230"/>
        <v>28.908103757121246</v>
      </c>
      <c r="Q695" s="44">
        <f t="shared" ca="1" si="231"/>
        <v>28.908103757121246</v>
      </c>
      <c r="R695" s="44">
        <f t="shared" ca="1" si="232"/>
        <v>2.8908103757121246</v>
      </c>
      <c r="S695" s="44">
        <f t="shared" ca="1" si="233"/>
        <v>2.8908103757121246</v>
      </c>
      <c r="T695" s="4">
        <f t="shared" ca="1" si="234"/>
        <v>0</v>
      </c>
      <c r="U695" s="120">
        <f t="shared" ca="1" si="235"/>
        <v>2268.675062040129</v>
      </c>
      <c r="V695" s="4">
        <f t="shared" ca="1" si="236"/>
        <v>0</v>
      </c>
      <c r="W695" s="13">
        <f t="shared" ca="1" si="237"/>
        <v>19411.875</v>
      </c>
      <c r="X695" s="4">
        <f t="shared" ca="1" si="238"/>
        <v>0</v>
      </c>
      <c r="Y695" s="4">
        <f t="shared" si="239"/>
        <v>0</v>
      </c>
      <c r="Z695" s="13">
        <f t="shared" ca="1" si="240"/>
        <v>19411.875</v>
      </c>
      <c r="AA695" s="4">
        <f t="shared" ca="1" si="241"/>
        <v>0</v>
      </c>
    </row>
    <row r="696" spans="1:27">
      <c r="A696">
        <v>1</v>
      </c>
      <c r="B696">
        <v>0</v>
      </c>
      <c r="C696">
        <f t="shared" ca="1" si="220"/>
        <v>3</v>
      </c>
      <c r="D696">
        <f t="shared" ca="1" si="221"/>
        <v>2</v>
      </c>
      <c r="E696">
        <f t="shared" ca="1" si="222"/>
        <v>1</v>
      </c>
      <c r="F696" s="110">
        <f t="shared" ca="1" si="223"/>
        <v>5.3066759999999991E-2</v>
      </c>
      <c r="G696">
        <v>0</v>
      </c>
      <c r="H696">
        <v>1</v>
      </c>
      <c r="I696">
        <v>6</v>
      </c>
      <c r="J696" s="1">
        <f t="shared" ca="1" si="224"/>
        <v>0</v>
      </c>
      <c r="K696" s="1">
        <f t="shared" ca="1" si="225"/>
        <v>0</v>
      </c>
      <c r="L696" s="13">
        <f t="shared" ca="1" si="226"/>
        <v>398</v>
      </c>
      <c r="M696" s="7">
        <f t="shared" ca="1" si="227"/>
        <v>1102</v>
      </c>
      <c r="N696" s="26">
        <f t="shared" ca="1" si="228"/>
        <v>4</v>
      </c>
      <c r="O696" s="44">
        <f t="shared" ca="1" si="229"/>
        <v>2.8908103757121246</v>
      </c>
      <c r="P696" s="44">
        <f t="shared" ca="1" si="230"/>
        <v>28.908103757121246</v>
      </c>
      <c r="Q696" s="44">
        <f t="shared" ca="1" si="231"/>
        <v>28.908103757121246</v>
      </c>
      <c r="R696" s="44">
        <f t="shared" ca="1" si="232"/>
        <v>2.8908103757121246</v>
      </c>
      <c r="S696" s="44">
        <f t="shared" ca="1" si="233"/>
        <v>2.8908103757121246</v>
      </c>
      <c r="T696" s="4">
        <f t="shared" ca="1" si="234"/>
        <v>0</v>
      </c>
      <c r="U696" s="120">
        <f t="shared" ca="1" si="235"/>
        <v>2249.675062040129</v>
      </c>
      <c r="V696" s="4">
        <f t="shared" ca="1" si="236"/>
        <v>0</v>
      </c>
      <c r="W696" s="13">
        <f t="shared" ca="1" si="237"/>
        <v>16638.75</v>
      </c>
      <c r="X696" s="4">
        <f t="shared" ca="1" si="238"/>
        <v>0</v>
      </c>
      <c r="Y696" s="4">
        <f t="shared" si="239"/>
        <v>0</v>
      </c>
      <c r="Z696" s="13">
        <f t="shared" ca="1" si="240"/>
        <v>16638.75</v>
      </c>
      <c r="AA696" s="4">
        <f t="shared" ca="1" si="241"/>
        <v>0</v>
      </c>
    </row>
    <row r="697" spans="1:27">
      <c r="A697">
        <v>1</v>
      </c>
      <c r="B697">
        <v>0</v>
      </c>
      <c r="C697">
        <f t="shared" ca="1" si="220"/>
        <v>3</v>
      </c>
      <c r="D697">
        <f t="shared" ca="1" si="221"/>
        <v>2</v>
      </c>
      <c r="E697">
        <f t="shared" ca="1" si="222"/>
        <v>1</v>
      </c>
      <c r="F697" s="110">
        <f t="shared" ca="1" si="223"/>
        <v>5.3066759999999991E-2</v>
      </c>
      <c r="G697">
        <v>0</v>
      </c>
      <c r="H697">
        <v>1</v>
      </c>
      <c r="I697">
        <v>5</v>
      </c>
      <c r="J697" s="1">
        <f t="shared" ca="1" si="224"/>
        <v>0</v>
      </c>
      <c r="K697" s="1">
        <f t="shared" ca="1" si="225"/>
        <v>0</v>
      </c>
      <c r="L697" s="13">
        <f t="shared" ca="1" si="226"/>
        <v>379</v>
      </c>
      <c r="M697" s="7">
        <f t="shared" ca="1" si="227"/>
        <v>1121</v>
      </c>
      <c r="N697" s="26">
        <f t="shared" ca="1" si="228"/>
        <v>4</v>
      </c>
      <c r="O697" s="44">
        <f t="shared" ca="1" si="229"/>
        <v>2.8908103757121246</v>
      </c>
      <c r="P697" s="44">
        <f t="shared" ca="1" si="230"/>
        <v>28.908103757121246</v>
      </c>
      <c r="Q697" s="44">
        <f t="shared" ca="1" si="231"/>
        <v>28.908103757121246</v>
      </c>
      <c r="R697" s="44">
        <f t="shared" ca="1" si="232"/>
        <v>2.8908103757121246</v>
      </c>
      <c r="S697" s="44">
        <f t="shared" ca="1" si="233"/>
        <v>2.8908103757121246</v>
      </c>
      <c r="T697" s="4">
        <f t="shared" ca="1" si="234"/>
        <v>0</v>
      </c>
      <c r="U697" s="120">
        <f t="shared" ca="1" si="235"/>
        <v>2230.675062040129</v>
      </c>
      <c r="V697" s="4">
        <f t="shared" ca="1" si="236"/>
        <v>0</v>
      </c>
      <c r="W697" s="13">
        <f t="shared" ca="1" si="237"/>
        <v>13865.625</v>
      </c>
      <c r="X697" s="4">
        <f t="shared" ca="1" si="238"/>
        <v>0</v>
      </c>
      <c r="Y697" s="4">
        <f t="shared" si="239"/>
        <v>0</v>
      </c>
      <c r="Z697" s="13">
        <f t="shared" ca="1" si="240"/>
        <v>13865.625</v>
      </c>
      <c r="AA697" s="4">
        <f t="shared" ca="1" si="241"/>
        <v>0</v>
      </c>
    </row>
    <row r="698" spans="1:27">
      <c r="A698">
        <v>1</v>
      </c>
      <c r="B698">
        <v>0</v>
      </c>
      <c r="C698">
        <f t="shared" ca="1" si="220"/>
        <v>3</v>
      </c>
      <c r="D698">
        <f t="shared" ca="1" si="221"/>
        <v>2</v>
      </c>
      <c r="E698">
        <f t="shared" ca="1" si="222"/>
        <v>1</v>
      </c>
      <c r="F698" s="110">
        <f t="shared" ca="1" si="223"/>
        <v>5.3066759999999991E-2</v>
      </c>
      <c r="G698">
        <v>0</v>
      </c>
      <c r="H698">
        <v>1</v>
      </c>
      <c r="I698">
        <v>4</v>
      </c>
      <c r="J698" s="1">
        <f t="shared" ca="1" si="224"/>
        <v>0</v>
      </c>
      <c r="K698" s="1">
        <f t="shared" ca="1" si="225"/>
        <v>0</v>
      </c>
      <c r="L698" s="13">
        <f t="shared" ca="1" si="226"/>
        <v>360</v>
      </c>
      <c r="M698" s="7">
        <f t="shared" ca="1" si="227"/>
        <v>1140</v>
      </c>
      <c r="N698" s="26">
        <f t="shared" ca="1" si="228"/>
        <v>4</v>
      </c>
      <c r="O698" s="44">
        <f t="shared" ca="1" si="229"/>
        <v>2.8908103757121246</v>
      </c>
      <c r="P698" s="44">
        <f t="shared" ca="1" si="230"/>
        <v>28.908103757121246</v>
      </c>
      <c r="Q698" s="44">
        <f t="shared" ca="1" si="231"/>
        <v>28.908103757121246</v>
      </c>
      <c r="R698" s="44">
        <f t="shared" ca="1" si="232"/>
        <v>2.8908103757121246</v>
      </c>
      <c r="S698" s="44">
        <f t="shared" ca="1" si="233"/>
        <v>2.8908103757121246</v>
      </c>
      <c r="T698" s="4">
        <f t="shared" ca="1" si="234"/>
        <v>0</v>
      </c>
      <c r="U698" s="120">
        <f t="shared" ca="1" si="235"/>
        <v>2211.675062040129</v>
      </c>
      <c r="V698" s="4">
        <f t="shared" ca="1" si="236"/>
        <v>0</v>
      </c>
      <c r="W698" s="13">
        <f t="shared" ca="1" si="237"/>
        <v>11092.5</v>
      </c>
      <c r="X698" s="4">
        <f t="shared" ca="1" si="238"/>
        <v>0</v>
      </c>
      <c r="Y698" s="4">
        <f t="shared" si="239"/>
        <v>0</v>
      </c>
      <c r="Z698" s="13">
        <f t="shared" ca="1" si="240"/>
        <v>11092.5</v>
      </c>
      <c r="AA698" s="4">
        <f t="shared" ca="1" si="241"/>
        <v>0</v>
      </c>
    </row>
    <row r="699" spans="1:27">
      <c r="A699">
        <v>1</v>
      </c>
      <c r="B699">
        <v>0</v>
      </c>
      <c r="C699">
        <f t="shared" ca="1" si="220"/>
        <v>3</v>
      </c>
      <c r="D699">
        <f t="shared" ca="1" si="221"/>
        <v>2</v>
      </c>
      <c r="E699">
        <f t="shared" ca="1" si="222"/>
        <v>1</v>
      </c>
      <c r="F699" s="110">
        <f t="shared" ca="1" si="223"/>
        <v>5.3066759999999991E-2</v>
      </c>
      <c r="G699">
        <v>0</v>
      </c>
      <c r="H699">
        <v>1</v>
      </c>
      <c r="I699">
        <v>3</v>
      </c>
      <c r="J699" s="1">
        <f t="shared" ca="1" si="224"/>
        <v>0</v>
      </c>
      <c r="K699" s="1">
        <f t="shared" ca="1" si="225"/>
        <v>0</v>
      </c>
      <c r="L699" s="13">
        <f t="shared" ca="1" si="226"/>
        <v>341</v>
      </c>
      <c r="M699" s="7">
        <f t="shared" ca="1" si="227"/>
        <v>1159</v>
      </c>
      <c r="N699" s="26">
        <f t="shared" ca="1" si="228"/>
        <v>4</v>
      </c>
      <c r="O699" s="44">
        <f t="shared" ca="1" si="229"/>
        <v>2.8908103757121246</v>
      </c>
      <c r="P699" s="44">
        <f t="shared" ca="1" si="230"/>
        <v>28.908103757121246</v>
      </c>
      <c r="Q699" s="44">
        <f t="shared" ca="1" si="231"/>
        <v>28.908103757121246</v>
      </c>
      <c r="R699" s="44">
        <f t="shared" ca="1" si="232"/>
        <v>2.8908103757121246</v>
      </c>
      <c r="S699" s="44">
        <f t="shared" ca="1" si="233"/>
        <v>2.8908103757121246</v>
      </c>
      <c r="T699" s="4">
        <f t="shared" ca="1" si="234"/>
        <v>0</v>
      </c>
      <c r="U699" s="120">
        <f t="shared" ca="1" si="235"/>
        <v>2192.675062040129</v>
      </c>
      <c r="V699" s="4">
        <f t="shared" ca="1" si="236"/>
        <v>0</v>
      </c>
      <c r="W699" s="13">
        <f t="shared" ca="1" si="237"/>
        <v>8319.375</v>
      </c>
      <c r="X699" s="4">
        <f t="shared" ca="1" si="238"/>
        <v>0</v>
      </c>
      <c r="Y699" s="4">
        <f t="shared" si="239"/>
        <v>0</v>
      </c>
      <c r="Z699" s="13">
        <f t="shared" ca="1" si="240"/>
        <v>8319.375</v>
      </c>
      <c r="AA699" s="4">
        <f t="shared" ca="1" si="241"/>
        <v>0</v>
      </c>
    </row>
    <row r="700" spans="1:27">
      <c r="A700">
        <v>1</v>
      </c>
      <c r="B700">
        <v>0</v>
      </c>
      <c r="C700">
        <f t="shared" ca="1" si="220"/>
        <v>3</v>
      </c>
      <c r="D700">
        <f t="shared" ca="1" si="221"/>
        <v>2</v>
      </c>
      <c r="E700">
        <f t="shared" ca="1" si="222"/>
        <v>1</v>
      </c>
      <c r="F700" s="110">
        <f t="shared" ca="1" si="223"/>
        <v>5.3066759999999991E-2</v>
      </c>
      <c r="G700">
        <v>0</v>
      </c>
      <c r="H700">
        <v>1</v>
      </c>
      <c r="I700">
        <v>2</v>
      </c>
      <c r="J700" s="1">
        <f t="shared" ca="1" si="224"/>
        <v>0</v>
      </c>
      <c r="K700" s="1">
        <f t="shared" ca="1" si="225"/>
        <v>0</v>
      </c>
      <c r="L700" s="13">
        <f t="shared" ca="1" si="226"/>
        <v>322</v>
      </c>
      <c r="M700" s="7">
        <f t="shared" ca="1" si="227"/>
        <v>1178</v>
      </c>
      <c r="N700" s="26">
        <f t="shared" ca="1" si="228"/>
        <v>4</v>
      </c>
      <c r="O700" s="44">
        <f t="shared" ca="1" si="229"/>
        <v>2.8908103757121246</v>
      </c>
      <c r="P700" s="44">
        <f t="shared" ca="1" si="230"/>
        <v>28.908103757121246</v>
      </c>
      <c r="Q700" s="44">
        <f t="shared" ca="1" si="231"/>
        <v>28.908103757121246</v>
      </c>
      <c r="R700" s="44">
        <f t="shared" ca="1" si="232"/>
        <v>2.8908103757121246</v>
      </c>
      <c r="S700" s="44">
        <f t="shared" ca="1" si="233"/>
        <v>2.8908103757121246</v>
      </c>
      <c r="T700" s="4">
        <f t="shared" ca="1" si="234"/>
        <v>0</v>
      </c>
      <c r="U700" s="120">
        <f t="shared" ca="1" si="235"/>
        <v>2173.675062040129</v>
      </c>
      <c r="V700" s="4">
        <f t="shared" ca="1" si="236"/>
        <v>0</v>
      </c>
      <c r="W700" s="13">
        <f t="shared" ca="1" si="237"/>
        <v>5546.25</v>
      </c>
      <c r="X700" s="4">
        <f t="shared" ca="1" si="238"/>
        <v>0</v>
      </c>
      <c r="Y700" s="4">
        <f t="shared" si="239"/>
        <v>0</v>
      </c>
      <c r="Z700" s="13">
        <f t="shared" ca="1" si="240"/>
        <v>5546.25</v>
      </c>
      <c r="AA700" s="4">
        <f t="shared" ca="1" si="241"/>
        <v>0</v>
      </c>
    </row>
    <row r="701" spans="1:27">
      <c r="A701">
        <v>1</v>
      </c>
      <c r="B701">
        <v>0</v>
      </c>
      <c r="C701">
        <f t="shared" ca="1" si="220"/>
        <v>3</v>
      </c>
      <c r="D701">
        <f t="shared" ca="1" si="221"/>
        <v>2</v>
      </c>
      <c r="E701">
        <f t="shared" ca="1" si="222"/>
        <v>1</v>
      </c>
      <c r="F701" s="110">
        <f t="shared" ca="1" si="223"/>
        <v>5.3066759999999991E-2</v>
      </c>
      <c r="G701">
        <v>0</v>
      </c>
      <c r="H701">
        <v>1</v>
      </c>
      <c r="I701">
        <v>1</v>
      </c>
      <c r="J701" s="1">
        <f t="shared" ca="1" si="224"/>
        <v>0</v>
      </c>
      <c r="K701" s="1">
        <f t="shared" ca="1" si="225"/>
        <v>0</v>
      </c>
      <c r="L701" s="13">
        <f t="shared" ca="1" si="226"/>
        <v>303</v>
      </c>
      <c r="M701" s="7">
        <f t="shared" ca="1" si="227"/>
        <v>1197</v>
      </c>
      <c r="N701" s="26">
        <f t="shared" ca="1" si="228"/>
        <v>4</v>
      </c>
      <c r="O701" s="44">
        <f t="shared" ca="1" si="229"/>
        <v>2.8908103757121246</v>
      </c>
      <c r="P701" s="44">
        <f t="shared" ca="1" si="230"/>
        <v>28.908103757121246</v>
      </c>
      <c r="Q701" s="44">
        <f t="shared" ca="1" si="231"/>
        <v>28.908103757121246</v>
      </c>
      <c r="R701" s="44">
        <f t="shared" ca="1" si="232"/>
        <v>2.8908103757121246</v>
      </c>
      <c r="S701" s="44">
        <f t="shared" ca="1" si="233"/>
        <v>2.8908103757121246</v>
      </c>
      <c r="T701" s="4">
        <f t="shared" ca="1" si="234"/>
        <v>0</v>
      </c>
      <c r="U701" s="120">
        <f t="shared" ca="1" si="235"/>
        <v>2154.675062040129</v>
      </c>
      <c r="V701" s="4">
        <f t="shared" ca="1" si="236"/>
        <v>0</v>
      </c>
      <c r="W701" s="13">
        <f t="shared" ca="1" si="237"/>
        <v>2773.125</v>
      </c>
      <c r="X701" s="4">
        <f t="shared" ca="1" si="238"/>
        <v>0</v>
      </c>
      <c r="Y701" s="4">
        <f t="shared" si="239"/>
        <v>0</v>
      </c>
      <c r="Z701" s="13">
        <f t="shared" ca="1" si="240"/>
        <v>2773.125</v>
      </c>
      <c r="AA701" s="4">
        <f t="shared" ca="1" si="241"/>
        <v>0</v>
      </c>
    </row>
    <row r="702" spans="1:27">
      <c r="A702">
        <v>1</v>
      </c>
      <c r="B702">
        <v>0</v>
      </c>
      <c r="C702">
        <f t="shared" ca="1" si="220"/>
        <v>3</v>
      </c>
      <c r="D702">
        <f t="shared" ca="1" si="221"/>
        <v>2</v>
      </c>
      <c r="E702">
        <f t="shared" ca="1" si="222"/>
        <v>1</v>
      </c>
      <c r="F702" s="110">
        <f t="shared" ca="1" si="223"/>
        <v>5.3066759999999991E-2</v>
      </c>
      <c r="G702">
        <v>0</v>
      </c>
      <c r="H702">
        <v>1</v>
      </c>
      <c r="I702">
        <v>0</v>
      </c>
      <c r="J702" s="1">
        <f t="shared" ca="1" si="224"/>
        <v>0</v>
      </c>
      <c r="K702" s="1">
        <f t="shared" ca="1" si="225"/>
        <v>0</v>
      </c>
      <c r="L702" s="13">
        <f t="shared" ca="1" si="226"/>
        <v>284</v>
      </c>
      <c r="M702" s="7">
        <f t="shared" ca="1" si="227"/>
        <v>1216</v>
      </c>
      <c r="N702" s="26">
        <f t="shared" ca="1" si="228"/>
        <v>4</v>
      </c>
      <c r="O702" s="44">
        <f t="shared" ca="1" si="229"/>
        <v>2.8908103757121246</v>
      </c>
      <c r="P702" s="44">
        <f t="shared" ca="1" si="230"/>
        <v>28.908103757121246</v>
      </c>
      <c r="Q702" s="44">
        <f t="shared" ca="1" si="231"/>
        <v>28.908103757121246</v>
      </c>
      <c r="R702" s="44">
        <f t="shared" ca="1" si="232"/>
        <v>2.8908103757121246</v>
      </c>
      <c r="S702" s="44">
        <f t="shared" ca="1" si="233"/>
        <v>2.8908103757121246</v>
      </c>
      <c r="T702" s="4">
        <f t="shared" ca="1" si="234"/>
        <v>0</v>
      </c>
      <c r="U702" s="120">
        <f t="shared" ca="1" si="235"/>
        <v>2135.675062040129</v>
      </c>
      <c r="V702" s="4">
        <f t="shared" ca="1" si="236"/>
        <v>0</v>
      </c>
      <c r="W702" s="13">
        <f t="shared" ca="1" si="237"/>
        <v>0</v>
      </c>
      <c r="X702" s="4">
        <f t="shared" ca="1" si="238"/>
        <v>0</v>
      </c>
      <c r="Y702" s="4">
        <f t="shared" si="239"/>
        <v>0</v>
      </c>
      <c r="Z702" s="13">
        <f t="shared" ca="1" si="240"/>
        <v>0</v>
      </c>
      <c r="AA702" s="4">
        <f t="shared" ca="1" si="241"/>
        <v>0</v>
      </c>
    </row>
    <row r="703" spans="1:27">
      <c r="A703">
        <v>1</v>
      </c>
      <c r="B703">
        <v>0</v>
      </c>
      <c r="C703">
        <f t="shared" ca="1" si="220"/>
        <v>3</v>
      </c>
      <c r="D703">
        <f t="shared" ca="1" si="221"/>
        <v>2</v>
      </c>
      <c r="E703">
        <f t="shared" ca="1" si="222"/>
        <v>1</v>
      </c>
      <c r="F703" s="110">
        <f t="shared" ca="1" si="223"/>
        <v>5.3066759999999991E-2</v>
      </c>
      <c r="G703">
        <v>0</v>
      </c>
      <c r="H703">
        <v>0</v>
      </c>
      <c r="I703">
        <v>7</v>
      </c>
      <c r="J703" s="1">
        <f t="shared" ca="1" si="224"/>
        <v>0</v>
      </c>
      <c r="K703" s="1">
        <f t="shared" ca="1" si="225"/>
        <v>0</v>
      </c>
      <c r="L703" s="13">
        <f t="shared" ca="1" si="226"/>
        <v>133</v>
      </c>
      <c r="M703" s="7">
        <f t="shared" ca="1" si="227"/>
        <v>1367</v>
      </c>
      <c r="N703" s="26">
        <f t="shared" ca="1" si="228"/>
        <v>4</v>
      </c>
      <c r="O703" s="44">
        <f t="shared" ca="1" si="229"/>
        <v>2.8908103757121246</v>
      </c>
      <c r="P703" s="44">
        <f t="shared" ca="1" si="230"/>
        <v>28.908103757121246</v>
      </c>
      <c r="Q703" s="44">
        <f t="shared" ca="1" si="231"/>
        <v>28.908103757121246</v>
      </c>
      <c r="R703" s="44">
        <f t="shared" ca="1" si="232"/>
        <v>2.8908103757121246</v>
      </c>
      <c r="S703" s="44">
        <f t="shared" ca="1" si="233"/>
        <v>2.8908103757121246</v>
      </c>
      <c r="T703" s="4">
        <f t="shared" ca="1" si="234"/>
        <v>0</v>
      </c>
      <c r="U703" s="120">
        <f t="shared" ca="1" si="235"/>
        <v>1984.6750620401288</v>
      </c>
      <c r="V703" s="4">
        <f t="shared" ca="1" si="236"/>
        <v>0</v>
      </c>
      <c r="W703" s="13">
        <f t="shared" ca="1" si="237"/>
        <v>19411.875</v>
      </c>
      <c r="X703" s="4">
        <f t="shared" ca="1" si="238"/>
        <v>0</v>
      </c>
      <c r="Y703" s="4">
        <f t="shared" si="239"/>
        <v>0</v>
      </c>
      <c r="Z703" s="13">
        <f t="shared" ca="1" si="240"/>
        <v>19411.875</v>
      </c>
      <c r="AA703" s="4">
        <f t="shared" ca="1" si="241"/>
        <v>0</v>
      </c>
    </row>
    <row r="704" spans="1:27">
      <c r="A704">
        <v>1</v>
      </c>
      <c r="B704">
        <v>0</v>
      </c>
      <c r="C704">
        <f t="shared" ca="1" si="220"/>
        <v>3</v>
      </c>
      <c r="D704">
        <f t="shared" ca="1" si="221"/>
        <v>2</v>
      </c>
      <c r="E704">
        <f t="shared" ca="1" si="222"/>
        <v>1</v>
      </c>
      <c r="F704" s="110">
        <f t="shared" ca="1" si="223"/>
        <v>5.3066759999999991E-2</v>
      </c>
      <c r="G704">
        <v>0</v>
      </c>
      <c r="H704">
        <v>0</v>
      </c>
      <c r="I704">
        <v>6</v>
      </c>
      <c r="J704" s="1">
        <f t="shared" ca="1" si="224"/>
        <v>0</v>
      </c>
      <c r="K704" s="1">
        <f t="shared" ca="1" si="225"/>
        <v>0</v>
      </c>
      <c r="L704" s="13">
        <f t="shared" ca="1" si="226"/>
        <v>114</v>
      </c>
      <c r="M704" s="7">
        <f t="shared" ca="1" si="227"/>
        <v>1386</v>
      </c>
      <c r="N704" s="26">
        <f t="shared" ca="1" si="228"/>
        <v>4</v>
      </c>
      <c r="O704" s="44">
        <f t="shared" ca="1" si="229"/>
        <v>2.8908103757121246</v>
      </c>
      <c r="P704" s="44">
        <f t="shared" ca="1" si="230"/>
        <v>28.908103757121246</v>
      </c>
      <c r="Q704" s="44">
        <f t="shared" ca="1" si="231"/>
        <v>28.908103757121246</v>
      </c>
      <c r="R704" s="44">
        <f t="shared" ca="1" si="232"/>
        <v>2.8908103757121246</v>
      </c>
      <c r="S704" s="44">
        <f t="shared" ca="1" si="233"/>
        <v>2.8908103757121246</v>
      </c>
      <c r="T704" s="4">
        <f t="shared" ca="1" si="234"/>
        <v>0</v>
      </c>
      <c r="U704" s="120">
        <f t="shared" ca="1" si="235"/>
        <v>1965.6750620401288</v>
      </c>
      <c r="V704" s="4">
        <f t="shared" ca="1" si="236"/>
        <v>0</v>
      </c>
      <c r="W704" s="13">
        <f t="shared" ca="1" si="237"/>
        <v>16638.75</v>
      </c>
      <c r="X704" s="4">
        <f t="shared" ca="1" si="238"/>
        <v>0</v>
      </c>
      <c r="Y704" s="4">
        <f t="shared" si="239"/>
        <v>0</v>
      </c>
      <c r="Z704" s="13">
        <f t="shared" ca="1" si="240"/>
        <v>16638.75</v>
      </c>
      <c r="AA704" s="4">
        <f t="shared" ca="1" si="241"/>
        <v>0</v>
      </c>
    </row>
    <row r="705" spans="1:27">
      <c r="A705">
        <v>1</v>
      </c>
      <c r="B705">
        <v>0</v>
      </c>
      <c r="C705">
        <f t="shared" ca="1" si="220"/>
        <v>3</v>
      </c>
      <c r="D705">
        <f t="shared" ca="1" si="221"/>
        <v>2</v>
      </c>
      <c r="E705">
        <f t="shared" ca="1" si="222"/>
        <v>1</v>
      </c>
      <c r="F705" s="110">
        <f t="shared" ca="1" si="223"/>
        <v>5.3066759999999991E-2</v>
      </c>
      <c r="G705">
        <v>0</v>
      </c>
      <c r="H705">
        <v>0</v>
      </c>
      <c r="I705">
        <v>5</v>
      </c>
      <c r="J705" s="1">
        <f t="shared" ca="1" si="224"/>
        <v>0</v>
      </c>
      <c r="K705" s="1">
        <f t="shared" ca="1" si="225"/>
        <v>0</v>
      </c>
      <c r="L705" s="13">
        <f t="shared" ca="1" si="226"/>
        <v>95</v>
      </c>
      <c r="M705" s="7">
        <f t="shared" ca="1" si="227"/>
        <v>1405</v>
      </c>
      <c r="N705" s="26">
        <f t="shared" ca="1" si="228"/>
        <v>5</v>
      </c>
      <c r="O705" s="44">
        <f t="shared" ca="1" si="229"/>
        <v>3.5395046525977252</v>
      </c>
      <c r="P705" s="44">
        <f t="shared" ca="1" si="230"/>
        <v>35.39504652597725</v>
      </c>
      <c r="Q705" s="44">
        <f t="shared" ca="1" si="231"/>
        <v>30.205492310892446</v>
      </c>
      <c r="R705" s="44">
        <f t="shared" ca="1" si="232"/>
        <v>3.2800269418434853</v>
      </c>
      <c r="S705" s="44">
        <f t="shared" ca="1" si="233"/>
        <v>3.5213412128449284</v>
      </c>
      <c r="T705" s="4">
        <f t="shared" ca="1" si="234"/>
        <v>0</v>
      </c>
      <c r="U705" s="120">
        <f t="shared" ca="1" si="235"/>
        <v>2290.8626329996823</v>
      </c>
      <c r="V705" s="4">
        <f t="shared" ca="1" si="236"/>
        <v>0</v>
      </c>
      <c r="W705" s="13">
        <f t="shared" ca="1" si="237"/>
        <v>13865.625</v>
      </c>
      <c r="X705" s="4">
        <f t="shared" ca="1" si="238"/>
        <v>0</v>
      </c>
      <c r="Y705" s="4">
        <f t="shared" si="239"/>
        <v>0</v>
      </c>
      <c r="Z705" s="13">
        <f t="shared" ca="1" si="240"/>
        <v>13865.625</v>
      </c>
      <c r="AA705" s="4">
        <f t="shared" ca="1" si="241"/>
        <v>0</v>
      </c>
    </row>
    <row r="706" spans="1:27">
      <c r="A706">
        <v>1</v>
      </c>
      <c r="B706">
        <v>0</v>
      </c>
      <c r="C706">
        <f t="shared" ca="1" si="220"/>
        <v>3</v>
      </c>
      <c r="D706">
        <f t="shared" ca="1" si="221"/>
        <v>2</v>
      </c>
      <c r="E706">
        <f t="shared" ca="1" si="222"/>
        <v>1</v>
      </c>
      <c r="F706" s="110">
        <f t="shared" ca="1" si="223"/>
        <v>5.3066759999999991E-2</v>
      </c>
      <c r="G706">
        <v>0</v>
      </c>
      <c r="H706">
        <v>0</v>
      </c>
      <c r="I706">
        <v>4</v>
      </c>
      <c r="J706" s="1">
        <f t="shared" ca="1" si="224"/>
        <v>0</v>
      </c>
      <c r="K706" s="1">
        <f t="shared" ca="1" si="225"/>
        <v>0</v>
      </c>
      <c r="L706" s="13">
        <f t="shared" ca="1" si="226"/>
        <v>76</v>
      </c>
      <c r="M706" s="7">
        <f t="shared" ca="1" si="227"/>
        <v>1424</v>
      </c>
      <c r="N706" s="26">
        <f t="shared" ca="1" si="228"/>
        <v>5</v>
      </c>
      <c r="O706" s="44">
        <f t="shared" ca="1" si="229"/>
        <v>3.5395046525977252</v>
      </c>
      <c r="P706" s="44">
        <f t="shared" ca="1" si="230"/>
        <v>35.39504652597725</v>
      </c>
      <c r="Q706" s="44">
        <f t="shared" ca="1" si="231"/>
        <v>35.39504652597725</v>
      </c>
      <c r="R706" s="44">
        <f t="shared" ca="1" si="232"/>
        <v>3.5395046525977252</v>
      </c>
      <c r="S706" s="44">
        <f t="shared" ca="1" si="233"/>
        <v>3.5395046525977252</v>
      </c>
      <c r="T706" s="4">
        <f t="shared" ca="1" si="234"/>
        <v>0</v>
      </c>
      <c r="U706" s="120">
        <f t="shared" ca="1" si="235"/>
        <v>2281.7775012989287</v>
      </c>
      <c r="V706" s="4">
        <f t="shared" ca="1" si="236"/>
        <v>0</v>
      </c>
      <c r="W706" s="13">
        <f t="shared" ca="1" si="237"/>
        <v>11092.5</v>
      </c>
      <c r="X706" s="4">
        <f t="shared" ca="1" si="238"/>
        <v>0</v>
      </c>
      <c r="Y706" s="4">
        <f t="shared" si="239"/>
        <v>0</v>
      </c>
      <c r="Z706" s="13">
        <f t="shared" ca="1" si="240"/>
        <v>11092.5</v>
      </c>
      <c r="AA706" s="4">
        <f t="shared" ca="1" si="241"/>
        <v>0</v>
      </c>
    </row>
    <row r="707" spans="1:27">
      <c r="A707">
        <v>1</v>
      </c>
      <c r="B707">
        <v>0</v>
      </c>
      <c r="C707">
        <f t="shared" ca="1" si="220"/>
        <v>3</v>
      </c>
      <c r="D707">
        <f t="shared" ca="1" si="221"/>
        <v>2</v>
      </c>
      <c r="E707">
        <f t="shared" ca="1" si="222"/>
        <v>1</v>
      </c>
      <c r="F707" s="110">
        <f t="shared" ca="1" si="223"/>
        <v>5.3066759999999991E-2</v>
      </c>
      <c r="G707">
        <v>0</v>
      </c>
      <c r="H707">
        <v>0</v>
      </c>
      <c r="I707">
        <v>3</v>
      </c>
      <c r="J707" s="1">
        <f t="shared" ca="1" si="224"/>
        <v>0</v>
      </c>
      <c r="K707" s="1">
        <f t="shared" ca="1" si="225"/>
        <v>0</v>
      </c>
      <c r="L707" s="13">
        <f t="shared" ca="1" si="226"/>
        <v>57</v>
      </c>
      <c r="M707" s="7">
        <f t="shared" ca="1" si="227"/>
        <v>1443</v>
      </c>
      <c r="N707" s="26">
        <f t="shared" ca="1" si="228"/>
        <v>5</v>
      </c>
      <c r="O707" s="44">
        <f t="shared" ca="1" si="229"/>
        <v>3.5395046525977252</v>
      </c>
      <c r="P707" s="44">
        <f t="shared" ca="1" si="230"/>
        <v>35.39504652597725</v>
      </c>
      <c r="Q707" s="44">
        <f t="shared" ca="1" si="231"/>
        <v>35.39504652597725</v>
      </c>
      <c r="R707" s="44">
        <f t="shared" ca="1" si="232"/>
        <v>3.5395046525977252</v>
      </c>
      <c r="S707" s="44">
        <f t="shared" ca="1" si="233"/>
        <v>3.5395046525977252</v>
      </c>
      <c r="T707" s="4">
        <f t="shared" ca="1" si="234"/>
        <v>0</v>
      </c>
      <c r="U707" s="120">
        <f t="shared" ca="1" si="235"/>
        <v>2262.7775012989287</v>
      </c>
      <c r="V707" s="4">
        <f t="shared" ca="1" si="236"/>
        <v>0</v>
      </c>
      <c r="W707" s="13">
        <f t="shared" ca="1" si="237"/>
        <v>8319.375</v>
      </c>
      <c r="X707" s="4">
        <f t="shared" ca="1" si="238"/>
        <v>0</v>
      </c>
      <c r="Y707" s="4">
        <f t="shared" si="239"/>
        <v>0</v>
      </c>
      <c r="Z707" s="13">
        <f t="shared" ca="1" si="240"/>
        <v>8319.375</v>
      </c>
      <c r="AA707" s="4">
        <f t="shared" ca="1" si="241"/>
        <v>0</v>
      </c>
    </row>
    <row r="708" spans="1:27">
      <c r="A708">
        <v>1</v>
      </c>
      <c r="B708">
        <v>0</v>
      </c>
      <c r="C708">
        <f t="shared" ca="1" si="220"/>
        <v>3</v>
      </c>
      <c r="D708">
        <f t="shared" ca="1" si="221"/>
        <v>2</v>
      </c>
      <c r="E708">
        <f t="shared" ca="1" si="222"/>
        <v>1</v>
      </c>
      <c r="F708" s="110">
        <f t="shared" ca="1" si="223"/>
        <v>5.3066759999999991E-2</v>
      </c>
      <c r="G708">
        <v>0</v>
      </c>
      <c r="H708">
        <v>0</v>
      </c>
      <c r="I708">
        <v>2</v>
      </c>
      <c r="J708" s="1">
        <f t="shared" ca="1" si="224"/>
        <v>4.5124999999999998E-2</v>
      </c>
      <c r="K708" s="1">
        <f t="shared" ca="1" si="225"/>
        <v>2.3946375449999994E-3</v>
      </c>
      <c r="L708" s="13">
        <f t="shared" ca="1" si="226"/>
        <v>38</v>
      </c>
      <c r="M708" s="7">
        <f t="shared" ca="1" si="227"/>
        <v>1462</v>
      </c>
      <c r="N708" s="26">
        <f t="shared" ca="1" si="228"/>
        <v>5</v>
      </c>
      <c r="O708" s="44">
        <f t="shared" ca="1" si="229"/>
        <v>3.5395046525977252</v>
      </c>
      <c r="P708" s="44">
        <f t="shared" ca="1" si="230"/>
        <v>35.39504652597725</v>
      </c>
      <c r="Q708" s="44">
        <f t="shared" ca="1" si="231"/>
        <v>35.39504652597725</v>
      </c>
      <c r="R708" s="44">
        <f t="shared" ca="1" si="232"/>
        <v>3.5395046525977252</v>
      </c>
      <c r="S708" s="44">
        <f t="shared" ca="1" si="233"/>
        <v>3.5395046525977252</v>
      </c>
      <c r="T708" s="4">
        <f t="shared" ca="1" si="234"/>
        <v>8.4758307318126922E-3</v>
      </c>
      <c r="U708" s="120">
        <f t="shared" ca="1" si="235"/>
        <v>2243.7775012989287</v>
      </c>
      <c r="V708" s="4">
        <f t="shared" ca="1" si="236"/>
        <v>5.373033847236699</v>
      </c>
      <c r="W708" s="13">
        <f t="shared" ca="1" si="237"/>
        <v>5546.25</v>
      </c>
      <c r="X708" s="4">
        <f t="shared" ca="1" si="238"/>
        <v>13.281258483956247</v>
      </c>
      <c r="Y708" s="4">
        <f t="shared" si="239"/>
        <v>0</v>
      </c>
      <c r="Z708" s="13">
        <f t="shared" ca="1" si="240"/>
        <v>5546.25</v>
      </c>
      <c r="AA708" s="4">
        <f t="shared" ca="1" si="241"/>
        <v>13.281258483956247</v>
      </c>
    </row>
    <row r="709" spans="1:27">
      <c r="A709">
        <v>1</v>
      </c>
      <c r="B709">
        <v>0</v>
      </c>
      <c r="C709">
        <f t="shared" ca="1" si="220"/>
        <v>3</v>
      </c>
      <c r="D709">
        <f t="shared" ca="1" si="221"/>
        <v>2</v>
      </c>
      <c r="E709">
        <f t="shared" ca="1" si="222"/>
        <v>1</v>
      </c>
      <c r="F709" s="110">
        <f t="shared" ca="1" si="223"/>
        <v>5.3066759999999991E-2</v>
      </c>
      <c r="G709">
        <v>0</v>
      </c>
      <c r="H709">
        <v>0</v>
      </c>
      <c r="I709">
        <v>1</v>
      </c>
      <c r="J709" s="1">
        <f t="shared" ca="1" si="224"/>
        <v>4.7500000000000042E-3</v>
      </c>
      <c r="K709" s="1">
        <f t="shared" ca="1" si="225"/>
        <v>2.5206711000000018E-4</v>
      </c>
      <c r="L709" s="13">
        <f t="shared" ca="1" si="226"/>
        <v>19</v>
      </c>
      <c r="M709" s="7">
        <f t="shared" ca="1" si="227"/>
        <v>1481</v>
      </c>
      <c r="N709" s="26">
        <f t="shared" ca="1" si="228"/>
        <v>5</v>
      </c>
      <c r="O709" s="44">
        <f t="shared" ca="1" si="229"/>
        <v>3.5395046525977252</v>
      </c>
      <c r="P709" s="44">
        <f t="shared" ca="1" si="230"/>
        <v>35.39504652597725</v>
      </c>
      <c r="Q709" s="44">
        <f t="shared" ca="1" si="231"/>
        <v>35.39504652597725</v>
      </c>
      <c r="R709" s="44">
        <f t="shared" ca="1" si="232"/>
        <v>3.5395046525977252</v>
      </c>
      <c r="S709" s="44">
        <f t="shared" ca="1" si="233"/>
        <v>3.5395046525977252</v>
      </c>
      <c r="T709" s="4">
        <f t="shared" ca="1" si="234"/>
        <v>8.9219270861186318E-4</v>
      </c>
      <c r="U709" s="120">
        <f t="shared" ca="1" si="235"/>
        <v>2224.7775012989287</v>
      </c>
      <c r="V709" s="4">
        <f t="shared" ca="1" si="236"/>
        <v>0.56079323514544255</v>
      </c>
      <c r="W709" s="13">
        <f t="shared" ca="1" si="237"/>
        <v>2773.125</v>
      </c>
      <c r="X709" s="4">
        <f t="shared" ca="1" si="238"/>
        <v>0.69901360441875049</v>
      </c>
      <c r="Y709" s="4">
        <f t="shared" si="239"/>
        <v>0</v>
      </c>
      <c r="Z709" s="13">
        <f t="shared" ca="1" si="240"/>
        <v>2773.125</v>
      </c>
      <c r="AA709" s="4">
        <f t="shared" ca="1" si="241"/>
        <v>0.69901360441875049</v>
      </c>
    </row>
    <row r="710" spans="1:27">
      <c r="A710">
        <v>1</v>
      </c>
      <c r="B710">
        <v>0</v>
      </c>
      <c r="C710">
        <f t="shared" ca="1" si="220"/>
        <v>3</v>
      </c>
      <c r="D710">
        <f t="shared" ca="1" si="221"/>
        <v>2</v>
      </c>
      <c r="E710">
        <f t="shared" ca="1" si="222"/>
        <v>1</v>
      </c>
      <c r="F710" s="110">
        <f t="shared" ca="1" si="223"/>
        <v>5.3066759999999991E-2</v>
      </c>
      <c r="G710">
        <v>0</v>
      </c>
      <c r="H710">
        <v>0</v>
      </c>
      <c r="I710">
        <v>0</v>
      </c>
      <c r="J710" s="1">
        <f t="shared" ca="1" si="224"/>
        <v>1.2500000000000022E-4</v>
      </c>
      <c r="K710" s="1">
        <f t="shared" ca="1" si="225"/>
        <v>6.6333450000000104E-6</v>
      </c>
      <c r="L710" s="13">
        <f t="shared" ca="1" si="226"/>
        <v>0</v>
      </c>
      <c r="M710" s="7">
        <f t="shared" ca="1" si="227"/>
        <v>1500</v>
      </c>
      <c r="N710" s="26">
        <f t="shared" ca="1" si="228"/>
        <v>5</v>
      </c>
      <c r="O710" s="44">
        <f t="shared" ca="1" si="229"/>
        <v>3.5395046525977252</v>
      </c>
      <c r="P710" s="44">
        <f t="shared" ca="1" si="230"/>
        <v>35.39504652597725</v>
      </c>
      <c r="Q710" s="44">
        <f t="shared" ca="1" si="231"/>
        <v>35.39504652597725</v>
      </c>
      <c r="R710" s="44">
        <f t="shared" ca="1" si="232"/>
        <v>3.5395046525977252</v>
      </c>
      <c r="S710" s="44">
        <f t="shared" ca="1" si="233"/>
        <v>3.5395046525977252</v>
      </c>
      <c r="T710" s="4">
        <f t="shared" ca="1" si="234"/>
        <v>2.3478755489785895E-5</v>
      </c>
      <c r="U710" s="120">
        <f t="shared" ca="1" si="235"/>
        <v>2205.7775012989287</v>
      </c>
      <c r="V710" s="4">
        <f t="shared" ca="1" si="236"/>
        <v>1.4631683159353764E-2</v>
      </c>
      <c r="W710" s="13">
        <f t="shared" ca="1" si="237"/>
        <v>0</v>
      </c>
      <c r="X710" s="4">
        <f t="shared" ca="1" si="238"/>
        <v>0</v>
      </c>
      <c r="Y710" s="4">
        <f t="shared" si="239"/>
        <v>0</v>
      </c>
      <c r="Z710" s="13">
        <f t="shared" ca="1" si="240"/>
        <v>0</v>
      </c>
      <c r="AA710" s="4">
        <f t="shared" ca="1" si="241"/>
        <v>0</v>
      </c>
    </row>
    <row r="711" spans="1:27">
      <c r="A711">
        <v>1</v>
      </c>
      <c r="B711">
        <v>1</v>
      </c>
      <c r="C711">
        <f t="shared" ca="1" si="220"/>
        <v>4</v>
      </c>
      <c r="D711">
        <f t="shared" ca="1" si="221"/>
        <v>3</v>
      </c>
      <c r="E711">
        <f t="shared" ca="1" si="222"/>
        <v>1</v>
      </c>
      <c r="F711" s="110">
        <f t="shared" ca="1" si="223"/>
        <v>3.3872399999999993E-3</v>
      </c>
      <c r="G711">
        <v>1</v>
      </c>
      <c r="H711">
        <v>1</v>
      </c>
      <c r="I711">
        <v>7</v>
      </c>
      <c r="J711" s="1">
        <f t="shared" ca="1" si="224"/>
        <v>0</v>
      </c>
      <c r="K711" s="1">
        <f t="shared" ca="1" si="225"/>
        <v>0</v>
      </c>
      <c r="L711" s="13">
        <f t="shared" ca="1" si="226"/>
        <v>701</v>
      </c>
      <c r="M711" s="7">
        <f t="shared" ca="1" si="227"/>
        <v>799</v>
      </c>
      <c r="N711" s="26">
        <f t="shared" ca="1" si="228"/>
        <v>3</v>
      </c>
      <c r="O711" s="44">
        <f t="shared" ca="1" si="229"/>
        <v>2.2758855914378953</v>
      </c>
      <c r="P711" s="44">
        <f t="shared" ca="1" si="230"/>
        <v>22.758855914378952</v>
      </c>
      <c r="Q711" s="44">
        <f t="shared" ca="1" si="231"/>
        <v>22.758855914378952</v>
      </c>
      <c r="R711" s="44">
        <f t="shared" ca="1" si="232"/>
        <v>2.2758855914378953</v>
      </c>
      <c r="S711" s="44">
        <f t="shared" ca="1" si="233"/>
        <v>2.2758855914378953</v>
      </c>
      <c r="T711" s="4">
        <f t="shared" ca="1" si="234"/>
        <v>0</v>
      </c>
      <c r="U711" s="120">
        <f t="shared" ca="1" si="235"/>
        <v>2217.0063598009133</v>
      </c>
      <c r="V711" s="4">
        <f t="shared" ca="1" si="236"/>
        <v>0</v>
      </c>
      <c r="W711" s="13">
        <f t="shared" ca="1" si="237"/>
        <v>49588.256250000006</v>
      </c>
      <c r="X711" s="4">
        <f t="shared" ca="1" si="238"/>
        <v>0</v>
      </c>
      <c r="Y711" s="4">
        <f t="shared" si="239"/>
        <v>0</v>
      </c>
      <c r="Z711" s="13">
        <f t="shared" ca="1" si="240"/>
        <v>49588.256250000006</v>
      </c>
      <c r="AA711" s="4">
        <f t="shared" ca="1" si="241"/>
        <v>0</v>
      </c>
    </row>
    <row r="712" spans="1:27">
      <c r="A712">
        <v>1</v>
      </c>
      <c r="B712">
        <v>1</v>
      </c>
      <c r="C712">
        <f t="shared" ca="1" si="220"/>
        <v>4</v>
      </c>
      <c r="D712">
        <f t="shared" ca="1" si="221"/>
        <v>3</v>
      </c>
      <c r="E712">
        <f t="shared" ca="1" si="222"/>
        <v>1</v>
      </c>
      <c r="F712" s="110">
        <f t="shared" ca="1" si="223"/>
        <v>3.3872399999999993E-3</v>
      </c>
      <c r="G712">
        <v>1</v>
      </c>
      <c r="H712">
        <v>1</v>
      </c>
      <c r="I712">
        <v>6</v>
      </c>
      <c r="J712" s="1">
        <f t="shared" ca="1" si="224"/>
        <v>0</v>
      </c>
      <c r="K712" s="1">
        <f t="shared" ca="1" si="225"/>
        <v>0</v>
      </c>
      <c r="L712" s="13">
        <f t="shared" ca="1" si="226"/>
        <v>682</v>
      </c>
      <c r="M712" s="7">
        <f t="shared" ca="1" si="227"/>
        <v>818</v>
      </c>
      <c r="N712" s="26">
        <f t="shared" ca="1" si="228"/>
        <v>3</v>
      </c>
      <c r="O712" s="44">
        <f t="shared" ca="1" si="229"/>
        <v>2.2758855914378953</v>
      </c>
      <c r="P712" s="44">
        <f t="shared" ca="1" si="230"/>
        <v>22.758855914378952</v>
      </c>
      <c r="Q712" s="44">
        <f t="shared" ca="1" si="231"/>
        <v>22.758855914378952</v>
      </c>
      <c r="R712" s="44">
        <f t="shared" ca="1" si="232"/>
        <v>2.2758855914378953</v>
      </c>
      <c r="S712" s="44">
        <f t="shared" ca="1" si="233"/>
        <v>2.2758855914378953</v>
      </c>
      <c r="T712" s="4">
        <f t="shared" ca="1" si="234"/>
        <v>0</v>
      </c>
      <c r="U712" s="120">
        <f t="shared" ca="1" si="235"/>
        <v>2198.0063598009133</v>
      </c>
      <c r="V712" s="4">
        <f t="shared" ca="1" si="236"/>
        <v>0</v>
      </c>
      <c r="W712" s="13">
        <f t="shared" ca="1" si="237"/>
        <v>46815.131250000006</v>
      </c>
      <c r="X712" s="4">
        <f t="shared" ca="1" si="238"/>
        <v>0</v>
      </c>
      <c r="Y712" s="4">
        <f t="shared" si="239"/>
        <v>0</v>
      </c>
      <c r="Z712" s="13">
        <f t="shared" ca="1" si="240"/>
        <v>46815.131250000006</v>
      </c>
      <c r="AA712" s="4">
        <f t="shared" ca="1" si="241"/>
        <v>0</v>
      </c>
    </row>
    <row r="713" spans="1:27">
      <c r="A713">
        <v>1</v>
      </c>
      <c r="B713">
        <v>1</v>
      </c>
      <c r="C713">
        <f t="shared" ca="1" si="220"/>
        <v>4</v>
      </c>
      <c r="D713">
        <f t="shared" ca="1" si="221"/>
        <v>3</v>
      </c>
      <c r="E713">
        <f t="shared" ca="1" si="222"/>
        <v>1</v>
      </c>
      <c r="F713" s="110">
        <f t="shared" ca="1" si="223"/>
        <v>3.3872399999999993E-3</v>
      </c>
      <c r="G713">
        <v>1</v>
      </c>
      <c r="H713">
        <v>1</v>
      </c>
      <c r="I713">
        <v>5</v>
      </c>
      <c r="J713" s="1">
        <f t="shared" ca="1" si="224"/>
        <v>0</v>
      </c>
      <c r="K713" s="1">
        <f t="shared" ca="1" si="225"/>
        <v>0</v>
      </c>
      <c r="L713" s="13">
        <f t="shared" ca="1" si="226"/>
        <v>663</v>
      </c>
      <c r="M713" s="7">
        <f t="shared" ca="1" si="227"/>
        <v>837</v>
      </c>
      <c r="N713" s="26">
        <f t="shared" ca="1" si="228"/>
        <v>3</v>
      </c>
      <c r="O713" s="44">
        <f t="shared" ca="1" si="229"/>
        <v>2.2758855914378953</v>
      </c>
      <c r="P713" s="44">
        <f t="shared" ca="1" si="230"/>
        <v>22.758855914378952</v>
      </c>
      <c r="Q713" s="44">
        <f t="shared" ca="1" si="231"/>
        <v>22.758855914378952</v>
      </c>
      <c r="R713" s="44">
        <f t="shared" ca="1" si="232"/>
        <v>2.2758855914378953</v>
      </c>
      <c r="S713" s="44">
        <f t="shared" ca="1" si="233"/>
        <v>2.2758855914378953</v>
      </c>
      <c r="T713" s="4">
        <f t="shared" ca="1" si="234"/>
        <v>0</v>
      </c>
      <c r="U713" s="120">
        <f t="shared" ca="1" si="235"/>
        <v>2179.0063598009133</v>
      </c>
      <c r="V713" s="4">
        <f t="shared" ca="1" si="236"/>
        <v>0</v>
      </c>
      <c r="W713" s="13">
        <f t="shared" ca="1" si="237"/>
        <v>44042.006250000006</v>
      </c>
      <c r="X713" s="4">
        <f t="shared" ca="1" si="238"/>
        <v>0</v>
      </c>
      <c r="Y713" s="4">
        <f t="shared" si="239"/>
        <v>0</v>
      </c>
      <c r="Z713" s="13">
        <f t="shared" ca="1" si="240"/>
        <v>44042.006250000006</v>
      </c>
      <c r="AA713" s="4">
        <f t="shared" ca="1" si="241"/>
        <v>0</v>
      </c>
    </row>
    <row r="714" spans="1:27">
      <c r="A714">
        <v>1</v>
      </c>
      <c r="B714">
        <v>1</v>
      </c>
      <c r="C714">
        <f t="shared" ca="1" si="220"/>
        <v>4</v>
      </c>
      <c r="D714">
        <f t="shared" ca="1" si="221"/>
        <v>3</v>
      </c>
      <c r="E714">
        <f t="shared" ca="1" si="222"/>
        <v>1</v>
      </c>
      <c r="F714" s="110">
        <f t="shared" ca="1" si="223"/>
        <v>3.3872399999999993E-3</v>
      </c>
      <c r="G714">
        <v>1</v>
      </c>
      <c r="H714">
        <v>1</v>
      </c>
      <c r="I714">
        <v>4</v>
      </c>
      <c r="J714" s="1">
        <f t="shared" ca="1" si="224"/>
        <v>0</v>
      </c>
      <c r="K714" s="1">
        <f t="shared" ca="1" si="225"/>
        <v>0</v>
      </c>
      <c r="L714" s="13">
        <f t="shared" ca="1" si="226"/>
        <v>644</v>
      </c>
      <c r="M714" s="7">
        <f t="shared" ca="1" si="227"/>
        <v>856</v>
      </c>
      <c r="N714" s="26">
        <f t="shared" ca="1" si="228"/>
        <v>3</v>
      </c>
      <c r="O714" s="44">
        <f t="shared" ca="1" si="229"/>
        <v>2.2758855914378953</v>
      </c>
      <c r="P714" s="44">
        <f t="shared" ca="1" si="230"/>
        <v>22.758855914378952</v>
      </c>
      <c r="Q714" s="44">
        <f t="shared" ca="1" si="231"/>
        <v>22.758855914378952</v>
      </c>
      <c r="R714" s="44">
        <f t="shared" ca="1" si="232"/>
        <v>2.2758855914378953</v>
      </c>
      <c r="S714" s="44">
        <f t="shared" ca="1" si="233"/>
        <v>2.2758855914378953</v>
      </c>
      <c r="T714" s="4">
        <f t="shared" ca="1" si="234"/>
        <v>0</v>
      </c>
      <c r="U714" s="120">
        <f t="shared" ca="1" si="235"/>
        <v>2160.0063598009133</v>
      </c>
      <c r="V714" s="4">
        <f t="shared" ca="1" si="236"/>
        <v>0</v>
      </c>
      <c r="W714" s="13">
        <f t="shared" ca="1" si="237"/>
        <v>41268.881250000006</v>
      </c>
      <c r="X714" s="4">
        <f t="shared" ca="1" si="238"/>
        <v>0</v>
      </c>
      <c r="Y714" s="4">
        <f t="shared" si="239"/>
        <v>0</v>
      </c>
      <c r="Z714" s="13">
        <f t="shared" ca="1" si="240"/>
        <v>41268.881250000006</v>
      </c>
      <c r="AA714" s="4">
        <f t="shared" ca="1" si="241"/>
        <v>0</v>
      </c>
    </row>
    <row r="715" spans="1:27">
      <c r="A715">
        <v>1</v>
      </c>
      <c r="B715">
        <v>1</v>
      </c>
      <c r="C715">
        <f t="shared" ca="1" si="220"/>
        <v>4</v>
      </c>
      <c r="D715">
        <f t="shared" ca="1" si="221"/>
        <v>3</v>
      </c>
      <c r="E715">
        <f t="shared" ca="1" si="222"/>
        <v>1</v>
      </c>
      <c r="F715" s="110">
        <f t="shared" ca="1" si="223"/>
        <v>3.3872399999999993E-3</v>
      </c>
      <c r="G715">
        <v>1</v>
      </c>
      <c r="H715">
        <v>1</v>
      </c>
      <c r="I715">
        <v>3</v>
      </c>
      <c r="J715" s="1">
        <f t="shared" ca="1" si="224"/>
        <v>0</v>
      </c>
      <c r="K715" s="1">
        <f t="shared" ca="1" si="225"/>
        <v>0</v>
      </c>
      <c r="L715" s="13">
        <f t="shared" ca="1" si="226"/>
        <v>625</v>
      </c>
      <c r="M715" s="7">
        <f t="shared" ca="1" si="227"/>
        <v>875</v>
      </c>
      <c r="N715" s="26">
        <f t="shared" ca="1" si="228"/>
        <v>3</v>
      </c>
      <c r="O715" s="44">
        <f t="shared" ca="1" si="229"/>
        <v>2.2758855914378953</v>
      </c>
      <c r="P715" s="44">
        <f t="shared" ca="1" si="230"/>
        <v>22.758855914378952</v>
      </c>
      <c r="Q715" s="44">
        <f t="shared" ca="1" si="231"/>
        <v>22.758855914378952</v>
      </c>
      <c r="R715" s="44">
        <f t="shared" ca="1" si="232"/>
        <v>2.2758855914378953</v>
      </c>
      <c r="S715" s="44">
        <f t="shared" ca="1" si="233"/>
        <v>2.2758855914378953</v>
      </c>
      <c r="T715" s="4">
        <f t="shared" ca="1" si="234"/>
        <v>0</v>
      </c>
      <c r="U715" s="120">
        <f t="shared" ca="1" si="235"/>
        <v>2141.0063598009133</v>
      </c>
      <c r="V715" s="4">
        <f t="shared" ca="1" si="236"/>
        <v>0</v>
      </c>
      <c r="W715" s="13">
        <f t="shared" ca="1" si="237"/>
        <v>38495.756250000006</v>
      </c>
      <c r="X715" s="4">
        <f t="shared" ca="1" si="238"/>
        <v>0</v>
      </c>
      <c r="Y715" s="4">
        <f t="shared" si="239"/>
        <v>0</v>
      </c>
      <c r="Z715" s="13">
        <f t="shared" ca="1" si="240"/>
        <v>38495.756250000006</v>
      </c>
      <c r="AA715" s="4">
        <f t="shared" ca="1" si="241"/>
        <v>0</v>
      </c>
    </row>
    <row r="716" spans="1:27">
      <c r="A716">
        <v>1</v>
      </c>
      <c r="B716">
        <v>1</v>
      </c>
      <c r="C716">
        <f t="shared" ca="1" si="220"/>
        <v>4</v>
      </c>
      <c r="D716">
        <f t="shared" ca="1" si="221"/>
        <v>3</v>
      </c>
      <c r="E716">
        <f t="shared" ca="1" si="222"/>
        <v>1</v>
      </c>
      <c r="F716" s="110">
        <f t="shared" ca="1" si="223"/>
        <v>3.3872399999999993E-3</v>
      </c>
      <c r="G716">
        <v>1</v>
      </c>
      <c r="H716">
        <v>1</v>
      </c>
      <c r="I716">
        <v>2</v>
      </c>
      <c r="J716" s="1">
        <f t="shared" ca="1" si="224"/>
        <v>0</v>
      </c>
      <c r="K716" s="1">
        <f t="shared" ca="1" si="225"/>
        <v>0</v>
      </c>
      <c r="L716" s="13">
        <f t="shared" ca="1" si="226"/>
        <v>606</v>
      </c>
      <c r="M716" s="7">
        <f t="shared" ca="1" si="227"/>
        <v>894</v>
      </c>
      <c r="N716" s="26">
        <f t="shared" ca="1" si="228"/>
        <v>3</v>
      </c>
      <c r="O716" s="44">
        <f t="shared" ca="1" si="229"/>
        <v>2.2758855914378953</v>
      </c>
      <c r="P716" s="44">
        <f t="shared" ca="1" si="230"/>
        <v>22.758855914378952</v>
      </c>
      <c r="Q716" s="44">
        <f t="shared" ca="1" si="231"/>
        <v>22.758855914378952</v>
      </c>
      <c r="R716" s="44">
        <f t="shared" ca="1" si="232"/>
        <v>2.2758855914378953</v>
      </c>
      <c r="S716" s="44">
        <f t="shared" ca="1" si="233"/>
        <v>2.2758855914378953</v>
      </c>
      <c r="T716" s="4">
        <f t="shared" ca="1" si="234"/>
        <v>0</v>
      </c>
      <c r="U716" s="120">
        <f t="shared" ca="1" si="235"/>
        <v>2122.0063598009133</v>
      </c>
      <c r="V716" s="4">
        <f t="shared" ca="1" si="236"/>
        <v>0</v>
      </c>
      <c r="W716" s="13">
        <f t="shared" ca="1" si="237"/>
        <v>35722.631250000006</v>
      </c>
      <c r="X716" s="4">
        <f t="shared" ca="1" si="238"/>
        <v>0</v>
      </c>
      <c r="Y716" s="4">
        <f t="shared" si="239"/>
        <v>0</v>
      </c>
      <c r="Z716" s="13">
        <f t="shared" ca="1" si="240"/>
        <v>35722.631250000006</v>
      </c>
      <c r="AA716" s="4">
        <f t="shared" ca="1" si="241"/>
        <v>0</v>
      </c>
    </row>
    <row r="717" spans="1:27">
      <c r="A717">
        <v>1</v>
      </c>
      <c r="B717">
        <v>1</v>
      </c>
      <c r="C717">
        <f t="shared" ca="1" si="220"/>
        <v>4</v>
      </c>
      <c r="D717">
        <f t="shared" ca="1" si="221"/>
        <v>3</v>
      </c>
      <c r="E717">
        <f t="shared" ca="1" si="222"/>
        <v>1</v>
      </c>
      <c r="F717" s="110">
        <f t="shared" ca="1" si="223"/>
        <v>3.3872399999999993E-3</v>
      </c>
      <c r="G717">
        <v>1</v>
      </c>
      <c r="H717">
        <v>1</v>
      </c>
      <c r="I717">
        <v>1</v>
      </c>
      <c r="J717" s="1">
        <f t="shared" ca="1" si="224"/>
        <v>0</v>
      </c>
      <c r="K717" s="1">
        <f t="shared" ca="1" si="225"/>
        <v>0</v>
      </c>
      <c r="L717" s="13">
        <f t="shared" ca="1" si="226"/>
        <v>587</v>
      </c>
      <c r="M717" s="7">
        <f t="shared" ca="1" si="227"/>
        <v>913</v>
      </c>
      <c r="N717" s="26">
        <f t="shared" ca="1" si="228"/>
        <v>3</v>
      </c>
      <c r="O717" s="44">
        <f t="shared" ca="1" si="229"/>
        <v>2.2758855914378953</v>
      </c>
      <c r="P717" s="44">
        <f t="shared" ca="1" si="230"/>
        <v>22.758855914378952</v>
      </c>
      <c r="Q717" s="44">
        <f t="shared" ca="1" si="231"/>
        <v>22.758855914378952</v>
      </c>
      <c r="R717" s="44">
        <f t="shared" ca="1" si="232"/>
        <v>2.2758855914378953</v>
      </c>
      <c r="S717" s="44">
        <f t="shared" ca="1" si="233"/>
        <v>2.2758855914378953</v>
      </c>
      <c r="T717" s="4">
        <f t="shared" ca="1" si="234"/>
        <v>0</v>
      </c>
      <c r="U717" s="120">
        <f t="shared" ca="1" si="235"/>
        <v>2103.0063598009133</v>
      </c>
      <c r="V717" s="4">
        <f t="shared" ca="1" si="236"/>
        <v>0</v>
      </c>
      <c r="W717" s="13">
        <f t="shared" ca="1" si="237"/>
        <v>32949.506250000006</v>
      </c>
      <c r="X717" s="4">
        <f t="shared" ca="1" si="238"/>
        <v>0</v>
      </c>
      <c r="Y717" s="4">
        <f t="shared" si="239"/>
        <v>0</v>
      </c>
      <c r="Z717" s="13">
        <f t="shared" ca="1" si="240"/>
        <v>32949.506250000006</v>
      </c>
      <c r="AA717" s="4">
        <f t="shared" ca="1" si="241"/>
        <v>0</v>
      </c>
    </row>
    <row r="718" spans="1:27">
      <c r="A718">
        <v>1</v>
      </c>
      <c r="B718">
        <v>1</v>
      </c>
      <c r="C718">
        <f t="shared" ca="1" si="220"/>
        <v>4</v>
      </c>
      <c r="D718">
        <f t="shared" ca="1" si="221"/>
        <v>3</v>
      </c>
      <c r="E718">
        <f t="shared" ca="1" si="222"/>
        <v>1</v>
      </c>
      <c r="F718" s="110">
        <f t="shared" ca="1" si="223"/>
        <v>3.3872399999999993E-3</v>
      </c>
      <c r="G718">
        <v>1</v>
      </c>
      <c r="H718">
        <v>1</v>
      </c>
      <c r="I718">
        <v>0</v>
      </c>
      <c r="J718" s="1">
        <f t="shared" ca="1" si="224"/>
        <v>0</v>
      </c>
      <c r="K718" s="1">
        <f t="shared" ca="1" si="225"/>
        <v>0</v>
      </c>
      <c r="L718" s="13">
        <f t="shared" ca="1" si="226"/>
        <v>568</v>
      </c>
      <c r="M718" s="7">
        <f t="shared" ca="1" si="227"/>
        <v>932</v>
      </c>
      <c r="N718" s="26">
        <f t="shared" ca="1" si="228"/>
        <v>3</v>
      </c>
      <c r="O718" s="44">
        <f t="shared" ca="1" si="229"/>
        <v>2.2758855914378953</v>
      </c>
      <c r="P718" s="44">
        <f t="shared" ca="1" si="230"/>
        <v>22.758855914378952</v>
      </c>
      <c r="Q718" s="44">
        <f t="shared" ca="1" si="231"/>
        <v>22.758855914378952</v>
      </c>
      <c r="R718" s="44">
        <f t="shared" ca="1" si="232"/>
        <v>2.2758855914378953</v>
      </c>
      <c r="S718" s="44">
        <f t="shared" ca="1" si="233"/>
        <v>2.2758855914378953</v>
      </c>
      <c r="T718" s="4">
        <f t="shared" ca="1" si="234"/>
        <v>0</v>
      </c>
      <c r="U718" s="120">
        <f t="shared" ca="1" si="235"/>
        <v>2084.0063598009133</v>
      </c>
      <c r="V718" s="4">
        <f t="shared" ca="1" si="236"/>
        <v>0</v>
      </c>
      <c r="W718" s="13">
        <f t="shared" ca="1" si="237"/>
        <v>30176.381250000002</v>
      </c>
      <c r="X718" s="4">
        <f t="shared" ca="1" si="238"/>
        <v>0</v>
      </c>
      <c r="Y718" s="4">
        <f t="shared" si="239"/>
        <v>0</v>
      </c>
      <c r="Z718" s="13">
        <f t="shared" ca="1" si="240"/>
        <v>30176.381250000002</v>
      </c>
      <c r="AA718" s="4">
        <f t="shared" ca="1" si="241"/>
        <v>0</v>
      </c>
    </row>
    <row r="719" spans="1:27">
      <c r="A719">
        <v>1</v>
      </c>
      <c r="B719">
        <v>1</v>
      </c>
      <c r="C719">
        <f t="shared" ca="1" si="220"/>
        <v>4</v>
      </c>
      <c r="D719">
        <f t="shared" ca="1" si="221"/>
        <v>3</v>
      </c>
      <c r="E719">
        <f t="shared" ca="1" si="222"/>
        <v>1</v>
      </c>
      <c r="F719" s="110">
        <f t="shared" ca="1" si="223"/>
        <v>3.3872399999999993E-3</v>
      </c>
      <c r="G719">
        <v>1</v>
      </c>
      <c r="H719">
        <v>0</v>
      </c>
      <c r="I719">
        <v>7</v>
      </c>
      <c r="J719" s="1">
        <f t="shared" ca="1" si="224"/>
        <v>0</v>
      </c>
      <c r="K719" s="1">
        <f t="shared" ca="1" si="225"/>
        <v>0</v>
      </c>
      <c r="L719" s="13">
        <f t="shared" ca="1" si="226"/>
        <v>417</v>
      </c>
      <c r="M719" s="7">
        <f t="shared" ca="1" si="227"/>
        <v>1083</v>
      </c>
      <c r="N719" s="26">
        <f t="shared" ca="1" si="228"/>
        <v>4</v>
      </c>
      <c r="O719" s="44">
        <f t="shared" ca="1" si="229"/>
        <v>2.8908103757121246</v>
      </c>
      <c r="P719" s="44">
        <f t="shared" ca="1" si="230"/>
        <v>28.908103757121246</v>
      </c>
      <c r="Q719" s="44">
        <f t="shared" ca="1" si="231"/>
        <v>28.908103757121246</v>
      </c>
      <c r="R719" s="44">
        <f t="shared" ca="1" si="232"/>
        <v>2.8908103757121246</v>
      </c>
      <c r="S719" s="44">
        <f t="shared" ca="1" si="233"/>
        <v>2.8908103757121246</v>
      </c>
      <c r="T719" s="4">
        <f t="shared" ca="1" si="234"/>
        <v>0</v>
      </c>
      <c r="U719" s="120">
        <f t="shared" ca="1" si="235"/>
        <v>2268.675062040129</v>
      </c>
      <c r="V719" s="4">
        <f t="shared" ca="1" si="236"/>
        <v>0</v>
      </c>
      <c r="W719" s="13">
        <f t="shared" ca="1" si="237"/>
        <v>49588.256250000006</v>
      </c>
      <c r="X719" s="4">
        <f t="shared" ca="1" si="238"/>
        <v>0</v>
      </c>
      <c r="Y719" s="4">
        <f t="shared" si="239"/>
        <v>0</v>
      </c>
      <c r="Z719" s="13">
        <f t="shared" ca="1" si="240"/>
        <v>49588.256250000006</v>
      </c>
      <c r="AA719" s="4">
        <f t="shared" ca="1" si="241"/>
        <v>0</v>
      </c>
    </row>
    <row r="720" spans="1:27">
      <c r="A720">
        <v>1</v>
      </c>
      <c r="B720">
        <v>1</v>
      </c>
      <c r="C720">
        <f t="shared" ca="1" si="220"/>
        <v>4</v>
      </c>
      <c r="D720">
        <f t="shared" ca="1" si="221"/>
        <v>3</v>
      </c>
      <c r="E720">
        <f t="shared" ca="1" si="222"/>
        <v>1</v>
      </c>
      <c r="F720" s="110">
        <f t="shared" ca="1" si="223"/>
        <v>3.3872399999999993E-3</v>
      </c>
      <c r="G720">
        <v>1</v>
      </c>
      <c r="H720">
        <v>0</v>
      </c>
      <c r="I720">
        <v>6</v>
      </c>
      <c r="J720" s="1">
        <f t="shared" ca="1" si="224"/>
        <v>0</v>
      </c>
      <c r="K720" s="1">
        <f t="shared" ca="1" si="225"/>
        <v>0</v>
      </c>
      <c r="L720" s="13">
        <f t="shared" ca="1" si="226"/>
        <v>398</v>
      </c>
      <c r="M720" s="7">
        <f t="shared" ca="1" si="227"/>
        <v>1102</v>
      </c>
      <c r="N720" s="26">
        <f t="shared" ca="1" si="228"/>
        <v>4</v>
      </c>
      <c r="O720" s="44">
        <f t="shared" ca="1" si="229"/>
        <v>2.8908103757121246</v>
      </c>
      <c r="P720" s="44">
        <f t="shared" ca="1" si="230"/>
        <v>28.908103757121246</v>
      </c>
      <c r="Q720" s="44">
        <f t="shared" ca="1" si="231"/>
        <v>28.908103757121246</v>
      </c>
      <c r="R720" s="44">
        <f t="shared" ca="1" si="232"/>
        <v>2.8908103757121246</v>
      </c>
      <c r="S720" s="44">
        <f t="shared" ca="1" si="233"/>
        <v>2.8908103757121246</v>
      </c>
      <c r="T720" s="4">
        <f t="shared" ca="1" si="234"/>
        <v>0</v>
      </c>
      <c r="U720" s="120">
        <f t="shared" ca="1" si="235"/>
        <v>2249.675062040129</v>
      </c>
      <c r="V720" s="4">
        <f t="shared" ca="1" si="236"/>
        <v>0</v>
      </c>
      <c r="W720" s="13">
        <f t="shared" ca="1" si="237"/>
        <v>46815.131250000006</v>
      </c>
      <c r="X720" s="4">
        <f t="shared" ca="1" si="238"/>
        <v>0</v>
      </c>
      <c r="Y720" s="4">
        <f t="shared" si="239"/>
        <v>0</v>
      </c>
      <c r="Z720" s="13">
        <f t="shared" ca="1" si="240"/>
        <v>46815.131250000006</v>
      </c>
      <c r="AA720" s="4">
        <f t="shared" ca="1" si="241"/>
        <v>0</v>
      </c>
    </row>
    <row r="721" spans="1:27">
      <c r="A721">
        <v>1</v>
      </c>
      <c r="B721">
        <v>1</v>
      </c>
      <c r="C721">
        <f t="shared" ca="1" si="220"/>
        <v>4</v>
      </c>
      <c r="D721">
        <f t="shared" ca="1" si="221"/>
        <v>3</v>
      </c>
      <c r="E721">
        <f t="shared" ca="1" si="222"/>
        <v>1</v>
      </c>
      <c r="F721" s="110">
        <f t="shared" ca="1" si="223"/>
        <v>3.3872399999999993E-3</v>
      </c>
      <c r="G721">
        <v>1</v>
      </c>
      <c r="H721">
        <v>0</v>
      </c>
      <c r="I721">
        <v>5</v>
      </c>
      <c r="J721" s="1">
        <f t="shared" ca="1" si="224"/>
        <v>0</v>
      </c>
      <c r="K721" s="1">
        <f t="shared" ca="1" si="225"/>
        <v>0</v>
      </c>
      <c r="L721" s="13">
        <f t="shared" ca="1" si="226"/>
        <v>379</v>
      </c>
      <c r="M721" s="7">
        <f t="shared" ca="1" si="227"/>
        <v>1121</v>
      </c>
      <c r="N721" s="26">
        <f t="shared" ca="1" si="228"/>
        <v>4</v>
      </c>
      <c r="O721" s="44">
        <f t="shared" ca="1" si="229"/>
        <v>2.8908103757121246</v>
      </c>
      <c r="P721" s="44">
        <f t="shared" ca="1" si="230"/>
        <v>28.908103757121246</v>
      </c>
      <c r="Q721" s="44">
        <f t="shared" ca="1" si="231"/>
        <v>28.908103757121246</v>
      </c>
      <c r="R721" s="44">
        <f t="shared" ca="1" si="232"/>
        <v>2.8908103757121246</v>
      </c>
      <c r="S721" s="44">
        <f t="shared" ca="1" si="233"/>
        <v>2.8908103757121246</v>
      </c>
      <c r="T721" s="4">
        <f t="shared" ca="1" si="234"/>
        <v>0</v>
      </c>
      <c r="U721" s="120">
        <f t="shared" ca="1" si="235"/>
        <v>2230.675062040129</v>
      </c>
      <c r="V721" s="4">
        <f t="shared" ca="1" si="236"/>
        <v>0</v>
      </c>
      <c r="W721" s="13">
        <f t="shared" ca="1" si="237"/>
        <v>44042.006250000006</v>
      </c>
      <c r="X721" s="4">
        <f t="shared" ca="1" si="238"/>
        <v>0</v>
      </c>
      <c r="Y721" s="4">
        <f t="shared" si="239"/>
        <v>0</v>
      </c>
      <c r="Z721" s="13">
        <f t="shared" ca="1" si="240"/>
        <v>44042.006250000006</v>
      </c>
      <c r="AA721" s="4">
        <f t="shared" ca="1" si="241"/>
        <v>0</v>
      </c>
    </row>
    <row r="722" spans="1:27">
      <c r="A722">
        <v>1</v>
      </c>
      <c r="B722">
        <v>1</v>
      </c>
      <c r="C722">
        <f t="shared" ca="1" si="220"/>
        <v>4</v>
      </c>
      <c r="D722">
        <f t="shared" ca="1" si="221"/>
        <v>3</v>
      </c>
      <c r="E722">
        <f t="shared" ca="1" si="222"/>
        <v>1</v>
      </c>
      <c r="F722" s="110">
        <f t="shared" ca="1" si="223"/>
        <v>3.3872399999999993E-3</v>
      </c>
      <c r="G722">
        <v>1</v>
      </c>
      <c r="H722">
        <v>0</v>
      </c>
      <c r="I722">
        <v>4</v>
      </c>
      <c r="J722" s="1">
        <f t="shared" ca="1" si="224"/>
        <v>0</v>
      </c>
      <c r="K722" s="1">
        <f t="shared" ca="1" si="225"/>
        <v>0</v>
      </c>
      <c r="L722" s="13">
        <f t="shared" ca="1" si="226"/>
        <v>360</v>
      </c>
      <c r="M722" s="7">
        <f t="shared" ca="1" si="227"/>
        <v>1140</v>
      </c>
      <c r="N722" s="26">
        <f t="shared" ca="1" si="228"/>
        <v>4</v>
      </c>
      <c r="O722" s="44">
        <f t="shared" ca="1" si="229"/>
        <v>2.8908103757121246</v>
      </c>
      <c r="P722" s="44">
        <f t="shared" ca="1" si="230"/>
        <v>28.908103757121246</v>
      </c>
      <c r="Q722" s="44">
        <f t="shared" ca="1" si="231"/>
        <v>28.908103757121246</v>
      </c>
      <c r="R722" s="44">
        <f t="shared" ca="1" si="232"/>
        <v>2.8908103757121246</v>
      </c>
      <c r="S722" s="44">
        <f t="shared" ca="1" si="233"/>
        <v>2.8908103757121246</v>
      </c>
      <c r="T722" s="4">
        <f t="shared" ca="1" si="234"/>
        <v>0</v>
      </c>
      <c r="U722" s="120">
        <f t="shared" ca="1" si="235"/>
        <v>2211.675062040129</v>
      </c>
      <c r="V722" s="4">
        <f t="shared" ca="1" si="236"/>
        <v>0</v>
      </c>
      <c r="W722" s="13">
        <f t="shared" ca="1" si="237"/>
        <v>41268.881250000006</v>
      </c>
      <c r="X722" s="4">
        <f t="shared" ca="1" si="238"/>
        <v>0</v>
      </c>
      <c r="Y722" s="4">
        <f t="shared" si="239"/>
        <v>0</v>
      </c>
      <c r="Z722" s="13">
        <f t="shared" ca="1" si="240"/>
        <v>41268.881250000006</v>
      </c>
      <c r="AA722" s="4">
        <f t="shared" ca="1" si="241"/>
        <v>0</v>
      </c>
    </row>
    <row r="723" spans="1:27">
      <c r="A723">
        <v>1</v>
      </c>
      <c r="B723">
        <v>1</v>
      </c>
      <c r="C723">
        <f t="shared" ca="1" si="220"/>
        <v>4</v>
      </c>
      <c r="D723">
        <f t="shared" ca="1" si="221"/>
        <v>3</v>
      </c>
      <c r="E723">
        <f t="shared" ca="1" si="222"/>
        <v>1</v>
      </c>
      <c r="F723" s="110">
        <f t="shared" ca="1" si="223"/>
        <v>3.3872399999999993E-3</v>
      </c>
      <c r="G723">
        <v>1</v>
      </c>
      <c r="H723">
        <v>0</v>
      </c>
      <c r="I723">
        <v>3</v>
      </c>
      <c r="J723" s="1">
        <f t="shared" ca="1" si="224"/>
        <v>0.81450624999999988</v>
      </c>
      <c r="K723" s="1">
        <f t="shared" ca="1" si="225"/>
        <v>2.758928150249999E-3</v>
      </c>
      <c r="L723" s="13">
        <f t="shared" ca="1" si="226"/>
        <v>341</v>
      </c>
      <c r="M723" s="7">
        <f t="shared" ca="1" si="227"/>
        <v>1159</v>
      </c>
      <c r="N723" s="26">
        <f t="shared" ca="1" si="228"/>
        <v>4</v>
      </c>
      <c r="O723" s="44">
        <f t="shared" ca="1" si="229"/>
        <v>2.8908103757121246</v>
      </c>
      <c r="P723" s="44">
        <f t="shared" ca="1" si="230"/>
        <v>28.908103757121246</v>
      </c>
      <c r="Q723" s="44">
        <f t="shared" ca="1" si="231"/>
        <v>28.908103757121246</v>
      </c>
      <c r="R723" s="44">
        <f t="shared" ca="1" si="232"/>
        <v>2.8908103757121246</v>
      </c>
      <c r="S723" s="44">
        <f t="shared" ca="1" si="233"/>
        <v>2.8908103757121246</v>
      </c>
      <c r="T723" s="4">
        <f t="shared" ca="1" si="234"/>
        <v>7.975538122586957E-3</v>
      </c>
      <c r="U723" s="120">
        <f t="shared" ca="1" si="235"/>
        <v>2192.675062040129</v>
      </c>
      <c r="V723" s="4">
        <f t="shared" ca="1" si="236"/>
        <v>6.0494329530136746</v>
      </c>
      <c r="W723" s="13">
        <f t="shared" ca="1" si="237"/>
        <v>38495.756250000006</v>
      </c>
      <c r="X723" s="4">
        <f t="shared" ca="1" si="238"/>
        <v>106.20702558328735</v>
      </c>
      <c r="Y723" s="4">
        <f t="shared" si="239"/>
        <v>0</v>
      </c>
      <c r="Z723" s="13">
        <f t="shared" ca="1" si="240"/>
        <v>38495.756250000006</v>
      </c>
      <c r="AA723" s="4">
        <f t="shared" ca="1" si="241"/>
        <v>106.20702558328735</v>
      </c>
    </row>
    <row r="724" spans="1:27">
      <c r="A724">
        <v>1</v>
      </c>
      <c r="B724">
        <v>1</v>
      </c>
      <c r="C724">
        <f t="shared" ca="1" si="220"/>
        <v>4</v>
      </c>
      <c r="D724">
        <f t="shared" ca="1" si="221"/>
        <v>3</v>
      </c>
      <c r="E724">
        <f t="shared" ca="1" si="222"/>
        <v>1</v>
      </c>
      <c r="F724" s="110">
        <f t="shared" ca="1" si="223"/>
        <v>3.3872399999999993E-3</v>
      </c>
      <c r="G724">
        <v>1</v>
      </c>
      <c r="H724">
        <v>0</v>
      </c>
      <c r="I724">
        <v>2</v>
      </c>
      <c r="J724" s="1">
        <f t="shared" ca="1" si="224"/>
        <v>0.12860625000000012</v>
      </c>
      <c r="K724" s="1">
        <f t="shared" ca="1" si="225"/>
        <v>4.3562023425000032E-4</v>
      </c>
      <c r="L724" s="13">
        <f t="shared" ca="1" si="226"/>
        <v>322</v>
      </c>
      <c r="M724" s="7">
        <f t="shared" ca="1" si="227"/>
        <v>1178</v>
      </c>
      <c r="N724" s="26">
        <f t="shared" ca="1" si="228"/>
        <v>4</v>
      </c>
      <c r="O724" s="44">
        <f t="shared" ca="1" si="229"/>
        <v>2.8908103757121246</v>
      </c>
      <c r="P724" s="44">
        <f t="shared" ca="1" si="230"/>
        <v>28.908103757121246</v>
      </c>
      <c r="Q724" s="44">
        <f t="shared" ca="1" si="231"/>
        <v>28.908103757121246</v>
      </c>
      <c r="R724" s="44">
        <f t="shared" ca="1" si="232"/>
        <v>2.8908103757121246</v>
      </c>
      <c r="S724" s="44">
        <f t="shared" ca="1" si="233"/>
        <v>2.8908103757121246</v>
      </c>
      <c r="T724" s="4">
        <f t="shared" ca="1" si="234"/>
        <v>1.2592954930400471E-3</v>
      </c>
      <c r="U724" s="120">
        <f t="shared" ca="1" si="235"/>
        <v>2173.675062040129</v>
      </c>
      <c r="V724" s="4">
        <f t="shared" ca="1" si="236"/>
        <v>0.94689683970930494</v>
      </c>
      <c r="W724" s="13">
        <f t="shared" ca="1" si="237"/>
        <v>35722.631250000006</v>
      </c>
      <c r="X724" s="4">
        <f t="shared" ca="1" si="238"/>
        <v>15.561500993151384</v>
      </c>
      <c r="Y724" s="4">
        <f t="shared" si="239"/>
        <v>0</v>
      </c>
      <c r="Z724" s="13">
        <f t="shared" ca="1" si="240"/>
        <v>35722.631250000006</v>
      </c>
      <c r="AA724" s="4">
        <f t="shared" ca="1" si="241"/>
        <v>15.561500993151384</v>
      </c>
    </row>
    <row r="725" spans="1:27">
      <c r="A725">
        <v>1</v>
      </c>
      <c r="B725">
        <v>1</v>
      </c>
      <c r="C725">
        <f t="shared" ca="1" si="220"/>
        <v>4</v>
      </c>
      <c r="D725">
        <f t="shared" ca="1" si="221"/>
        <v>3</v>
      </c>
      <c r="E725">
        <f t="shared" ca="1" si="222"/>
        <v>1</v>
      </c>
      <c r="F725" s="110">
        <f t="shared" ca="1" si="223"/>
        <v>3.3872399999999993E-3</v>
      </c>
      <c r="G725">
        <v>1</v>
      </c>
      <c r="H725">
        <v>0</v>
      </c>
      <c r="I725">
        <v>1</v>
      </c>
      <c r="J725" s="1">
        <f t="shared" ca="1" si="224"/>
        <v>6.7687500000000109E-3</v>
      </c>
      <c r="K725" s="1">
        <f t="shared" ca="1" si="225"/>
        <v>2.2927380750000033E-5</v>
      </c>
      <c r="L725" s="13">
        <f t="shared" ca="1" si="226"/>
        <v>303</v>
      </c>
      <c r="M725" s="7">
        <f t="shared" ca="1" si="227"/>
        <v>1197</v>
      </c>
      <c r="N725" s="26">
        <f t="shared" ca="1" si="228"/>
        <v>4</v>
      </c>
      <c r="O725" s="44">
        <f t="shared" ca="1" si="229"/>
        <v>2.8908103757121246</v>
      </c>
      <c r="P725" s="44">
        <f t="shared" ca="1" si="230"/>
        <v>28.908103757121246</v>
      </c>
      <c r="Q725" s="44">
        <f t="shared" ca="1" si="231"/>
        <v>28.908103757121246</v>
      </c>
      <c r="R725" s="44">
        <f t="shared" ca="1" si="232"/>
        <v>2.8908103757121246</v>
      </c>
      <c r="S725" s="44">
        <f t="shared" ca="1" si="233"/>
        <v>2.8908103757121246</v>
      </c>
      <c r="T725" s="4">
        <f t="shared" ca="1" si="234"/>
        <v>6.6278710160002532E-5</v>
      </c>
      <c r="U725" s="120">
        <f t="shared" ca="1" si="235"/>
        <v>2154.675062040129</v>
      </c>
      <c r="V725" s="4">
        <f t="shared" ca="1" si="236"/>
        <v>4.940105553992398E-2</v>
      </c>
      <c r="W725" s="13">
        <f t="shared" ca="1" si="237"/>
        <v>32949.506250000006</v>
      </c>
      <c r="X725" s="4">
        <f t="shared" ca="1" si="238"/>
        <v>0.75544587531825591</v>
      </c>
      <c r="Y725" s="4">
        <f t="shared" si="239"/>
        <v>0</v>
      </c>
      <c r="Z725" s="13">
        <f t="shared" ca="1" si="240"/>
        <v>32949.506250000006</v>
      </c>
      <c r="AA725" s="4">
        <f t="shared" ca="1" si="241"/>
        <v>0.75544587531825591</v>
      </c>
    </row>
    <row r="726" spans="1:27">
      <c r="A726">
        <v>1</v>
      </c>
      <c r="B726">
        <v>1</v>
      </c>
      <c r="C726">
        <f t="shared" ca="1" si="220"/>
        <v>4</v>
      </c>
      <c r="D726">
        <f t="shared" ca="1" si="221"/>
        <v>3</v>
      </c>
      <c r="E726">
        <f t="shared" ca="1" si="222"/>
        <v>1</v>
      </c>
      <c r="F726" s="110">
        <f t="shared" ca="1" si="223"/>
        <v>3.3872399999999993E-3</v>
      </c>
      <c r="G726">
        <v>1</v>
      </c>
      <c r="H726">
        <v>0</v>
      </c>
      <c r="I726">
        <v>0</v>
      </c>
      <c r="J726" s="1">
        <f t="shared" ca="1" si="224"/>
        <v>1.1875000000000031E-4</v>
      </c>
      <c r="K726" s="1">
        <f t="shared" ca="1" si="225"/>
        <v>4.0223475000000095E-7</v>
      </c>
      <c r="L726" s="13">
        <f t="shared" ca="1" si="226"/>
        <v>284</v>
      </c>
      <c r="M726" s="7">
        <f t="shared" ca="1" si="227"/>
        <v>1216</v>
      </c>
      <c r="N726" s="26">
        <f t="shared" ca="1" si="228"/>
        <v>4</v>
      </c>
      <c r="O726" s="44">
        <f t="shared" ca="1" si="229"/>
        <v>2.8908103757121246</v>
      </c>
      <c r="P726" s="44">
        <f t="shared" ca="1" si="230"/>
        <v>28.908103757121246</v>
      </c>
      <c r="Q726" s="44">
        <f t="shared" ca="1" si="231"/>
        <v>28.908103757121246</v>
      </c>
      <c r="R726" s="44">
        <f t="shared" ca="1" si="232"/>
        <v>2.8908103757121246</v>
      </c>
      <c r="S726" s="44">
        <f t="shared" ca="1" si="233"/>
        <v>2.8908103757121246</v>
      </c>
      <c r="T726" s="4">
        <f t="shared" ca="1" si="234"/>
        <v>1.1627843887719753E-6</v>
      </c>
      <c r="U726" s="120">
        <f t="shared" ca="1" si="235"/>
        <v>2135.675062040129</v>
      </c>
      <c r="V726" s="4">
        <f t="shared" ca="1" si="236"/>
        <v>8.5904272466094775E-4</v>
      </c>
      <c r="W726" s="13">
        <f t="shared" ca="1" si="237"/>
        <v>30176.381250000002</v>
      </c>
      <c r="X726" s="4">
        <f t="shared" ca="1" si="238"/>
        <v>1.2137989167998468E-2</v>
      </c>
      <c r="Y726" s="4">
        <f t="shared" si="239"/>
        <v>0</v>
      </c>
      <c r="Z726" s="13">
        <f t="shared" ca="1" si="240"/>
        <v>30176.381250000002</v>
      </c>
      <c r="AA726" s="4">
        <f t="shared" ca="1" si="241"/>
        <v>1.2137989167998468E-2</v>
      </c>
    </row>
    <row r="727" spans="1:27">
      <c r="A727">
        <v>1</v>
      </c>
      <c r="B727">
        <v>1</v>
      </c>
      <c r="C727">
        <f t="shared" ca="1" si="220"/>
        <v>4</v>
      </c>
      <c r="D727">
        <f t="shared" ca="1" si="221"/>
        <v>3</v>
      </c>
      <c r="E727">
        <f t="shared" ca="1" si="222"/>
        <v>1</v>
      </c>
      <c r="F727" s="110">
        <f t="shared" ca="1" si="223"/>
        <v>3.3872399999999993E-3</v>
      </c>
      <c r="G727">
        <v>0</v>
      </c>
      <c r="H727">
        <v>1</v>
      </c>
      <c r="I727">
        <v>7</v>
      </c>
      <c r="J727" s="1">
        <f t="shared" ca="1" si="224"/>
        <v>0</v>
      </c>
      <c r="K727" s="1">
        <f t="shared" ca="1" si="225"/>
        <v>0</v>
      </c>
      <c r="L727" s="13">
        <f t="shared" ca="1" si="226"/>
        <v>417</v>
      </c>
      <c r="M727" s="7">
        <f t="shared" ca="1" si="227"/>
        <v>1083</v>
      </c>
      <c r="N727" s="26">
        <f t="shared" ca="1" si="228"/>
        <v>4</v>
      </c>
      <c r="O727" s="44">
        <f t="shared" ca="1" si="229"/>
        <v>2.8908103757121246</v>
      </c>
      <c r="P727" s="44">
        <f t="shared" ca="1" si="230"/>
        <v>28.908103757121246</v>
      </c>
      <c r="Q727" s="44">
        <f t="shared" ca="1" si="231"/>
        <v>28.908103757121246</v>
      </c>
      <c r="R727" s="44">
        <f t="shared" ca="1" si="232"/>
        <v>2.8908103757121246</v>
      </c>
      <c r="S727" s="44">
        <f t="shared" ca="1" si="233"/>
        <v>2.8908103757121246</v>
      </c>
      <c r="T727" s="4">
        <f t="shared" ca="1" si="234"/>
        <v>0</v>
      </c>
      <c r="U727" s="120">
        <f t="shared" ca="1" si="235"/>
        <v>2268.675062040129</v>
      </c>
      <c r="V727" s="4">
        <f t="shared" ca="1" si="236"/>
        <v>0</v>
      </c>
      <c r="W727" s="13">
        <f t="shared" ca="1" si="237"/>
        <v>19411.875</v>
      </c>
      <c r="X727" s="4">
        <f t="shared" ca="1" si="238"/>
        <v>0</v>
      </c>
      <c r="Y727" s="4">
        <f t="shared" si="239"/>
        <v>0</v>
      </c>
      <c r="Z727" s="13">
        <f t="shared" ca="1" si="240"/>
        <v>19411.875</v>
      </c>
      <c r="AA727" s="4">
        <f t="shared" ca="1" si="241"/>
        <v>0</v>
      </c>
    </row>
    <row r="728" spans="1:27">
      <c r="A728">
        <v>1</v>
      </c>
      <c r="B728">
        <v>1</v>
      </c>
      <c r="C728">
        <f t="shared" ca="1" si="220"/>
        <v>4</v>
      </c>
      <c r="D728">
        <f t="shared" ca="1" si="221"/>
        <v>3</v>
      </c>
      <c r="E728">
        <f t="shared" ca="1" si="222"/>
        <v>1</v>
      </c>
      <c r="F728" s="110">
        <f t="shared" ca="1" si="223"/>
        <v>3.3872399999999993E-3</v>
      </c>
      <c r="G728">
        <v>0</v>
      </c>
      <c r="H728">
        <v>1</v>
      </c>
      <c r="I728">
        <v>6</v>
      </c>
      <c r="J728" s="1">
        <f t="shared" ca="1" si="224"/>
        <v>0</v>
      </c>
      <c r="K728" s="1">
        <f t="shared" ca="1" si="225"/>
        <v>0</v>
      </c>
      <c r="L728" s="13">
        <f t="shared" ca="1" si="226"/>
        <v>398</v>
      </c>
      <c r="M728" s="7">
        <f t="shared" ca="1" si="227"/>
        <v>1102</v>
      </c>
      <c r="N728" s="26">
        <f t="shared" ca="1" si="228"/>
        <v>4</v>
      </c>
      <c r="O728" s="44">
        <f t="shared" ca="1" si="229"/>
        <v>2.8908103757121246</v>
      </c>
      <c r="P728" s="44">
        <f t="shared" ca="1" si="230"/>
        <v>28.908103757121246</v>
      </c>
      <c r="Q728" s="44">
        <f t="shared" ca="1" si="231"/>
        <v>28.908103757121246</v>
      </c>
      <c r="R728" s="44">
        <f t="shared" ca="1" si="232"/>
        <v>2.8908103757121246</v>
      </c>
      <c r="S728" s="44">
        <f t="shared" ca="1" si="233"/>
        <v>2.8908103757121246</v>
      </c>
      <c r="T728" s="4">
        <f t="shared" ca="1" si="234"/>
        <v>0</v>
      </c>
      <c r="U728" s="120">
        <f t="shared" ca="1" si="235"/>
        <v>2249.675062040129</v>
      </c>
      <c r="V728" s="4">
        <f t="shared" ca="1" si="236"/>
        <v>0</v>
      </c>
      <c r="W728" s="13">
        <f t="shared" ca="1" si="237"/>
        <v>16638.75</v>
      </c>
      <c r="X728" s="4">
        <f t="shared" ca="1" si="238"/>
        <v>0</v>
      </c>
      <c r="Y728" s="4">
        <f t="shared" si="239"/>
        <v>0</v>
      </c>
      <c r="Z728" s="13">
        <f t="shared" ca="1" si="240"/>
        <v>16638.75</v>
      </c>
      <c r="AA728" s="4">
        <f t="shared" ca="1" si="241"/>
        <v>0</v>
      </c>
    </row>
    <row r="729" spans="1:27">
      <c r="A729">
        <v>1</v>
      </c>
      <c r="B729">
        <v>1</v>
      </c>
      <c r="C729">
        <f t="shared" ca="1" si="220"/>
        <v>4</v>
      </c>
      <c r="D729">
        <f t="shared" ca="1" si="221"/>
        <v>3</v>
      </c>
      <c r="E729">
        <f t="shared" ca="1" si="222"/>
        <v>1</v>
      </c>
      <c r="F729" s="110">
        <f t="shared" ca="1" si="223"/>
        <v>3.3872399999999993E-3</v>
      </c>
      <c r="G729">
        <v>0</v>
      </c>
      <c r="H729">
        <v>1</v>
      </c>
      <c r="I729">
        <v>5</v>
      </c>
      <c r="J729" s="1">
        <f t="shared" ca="1" si="224"/>
        <v>0</v>
      </c>
      <c r="K729" s="1">
        <f t="shared" ca="1" si="225"/>
        <v>0</v>
      </c>
      <c r="L729" s="13">
        <f t="shared" ca="1" si="226"/>
        <v>379</v>
      </c>
      <c r="M729" s="7">
        <f t="shared" ca="1" si="227"/>
        <v>1121</v>
      </c>
      <c r="N729" s="26">
        <f t="shared" ca="1" si="228"/>
        <v>4</v>
      </c>
      <c r="O729" s="44">
        <f t="shared" ca="1" si="229"/>
        <v>2.8908103757121246</v>
      </c>
      <c r="P729" s="44">
        <f t="shared" ca="1" si="230"/>
        <v>28.908103757121246</v>
      </c>
      <c r="Q729" s="44">
        <f t="shared" ca="1" si="231"/>
        <v>28.908103757121246</v>
      </c>
      <c r="R729" s="44">
        <f t="shared" ca="1" si="232"/>
        <v>2.8908103757121246</v>
      </c>
      <c r="S729" s="44">
        <f t="shared" ca="1" si="233"/>
        <v>2.8908103757121246</v>
      </c>
      <c r="T729" s="4">
        <f t="shared" ca="1" si="234"/>
        <v>0</v>
      </c>
      <c r="U729" s="120">
        <f t="shared" ca="1" si="235"/>
        <v>2230.675062040129</v>
      </c>
      <c r="V729" s="4">
        <f t="shared" ca="1" si="236"/>
        <v>0</v>
      </c>
      <c r="W729" s="13">
        <f t="shared" ca="1" si="237"/>
        <v>13865.625</v>
      </c>
      <c r="X729" s="4">
        <f t="shared" ca="1" si="238"/>
        <v>0</v>
      </c>
      <c r="Y729" s="4">
        <f t="shared" si="239"/>
        <v>0</v>
      </c>
      <c r="Z729" s="13">
        <f t="shared" ca="1" si="240"/>
        <v>13865.625</v>
      </c>
      <c r="AA729" s="4">
        <f t="shared" ca="1" si="241"/>
        <v>0</v>
      </c>
    </row>
    <row r="730" spans="1:27">
      <c r="A730">
        <v>1</v>
      </c>
      <c r="B730">
        <v>1</v>
      </c>
      <c r="C730">
        <f t="shared" ca="1" si="220"/>
        <v>4</v>
      </c>
      <c r="D730">
        <f t="shared" ca="1" si="221"/>
        <v>3</v>
      </c>
      <c r="E730">
        <f t="shared" ca="1" si="222"/>
        <v>1</v>
      </c>
      <c r="F730" s="110">
        <f t="shared" ca="1" si="223"/>
        <v>3.3872399999999993E-3</v>
      </c>
      <c r="G730">
        <v>0</v>
      </c>
      <c r="H730">
        <v>1</v>
      </c>
      <c r="I730">
        <v>4</v>
      </c>
      <c r="J730" s="1">
        <f t="shared" ca="1" si="224"/>
        <v>0</v>
      </c>
      <c r="K730" s="1">
        <f t="shared" ca="1" si="225"/>
        <v>0</v>
      </c>
      <c r="L730" s="13">
        <f t="shared" ca="1" si="226"/>
        <v>360</v>
      </c>
      <c r="M730" s="7">
        <f t="shared" ca="1" si="227"/>
        <v>1140</v>
      </c>
      <c r="N730" s="26">
        <f t="shared" ca="1" si="228"/>
        <v>4</v>
      </c>
      <c r="O730" s="44">
        <f t="shared" ca="1" si="229"/>
        <v>2.8908103757121246</v>
      </c>
      <c r="P730" s="44">
        <f t="shared" ca="1" si="230"/>
        <v>28.908103757121246</v>
      </c>
      <c r="Q730" s="44">
        <f t="shared" ca="1" si="231"/>
        <v>28.908103757121246</v>
      </c>
      <c r="R730" s="44">
        <f t="shared" ca="1" si="232"/>
        <v>2.8908103757121246</v>
      </c>
      <c r="S730" s="44">
        <f t="shared" ca="1" si="233"/>
        <v>2.8908103757121246</v>
      </c>
      <c r="T730" s="4">
        <f t="shared" ca="1" si="234"/>
        <v>0</v>
      </c>
      <c r="U730" s="120">
        <f t="shared" ca="1" si="235"/>
        <v>2211.675062040129</v>
      </c>
      <c r="V730" s="4">
        <f t="shared" ca="1" si="236"/>
        <v>0</v>
      </c>
      <c r="W730" s="13">
        <f t="shared" ca="1" si="237"/>
        <v>11092.5</v>
      </c>
      <c r="X730" s="4">
        <f t="shared" ca="1" si="238"/>
        <v>0</v>
      </c>
      <c r="Y730" s="4">
        <f t="shared" si="239"/>
        <v>0</v>
      </c>
      <c r="Z730" s="13">
        <f t="shared" ca="1" si="240"/>
        <v>11092.5</v>
      </c>
      <c r="AA730" s="4">
        <f t="shared" ca="1" si="241"/>
        <v>0</v>
      </c>
    </row>
    <row r="731" spans="1:27">
      <c r="A731">
        <v>1</v>
      </c>
      <c r="B731">
        <v>1</v>
      </c>
      <c r="C731">
        <f t="shared" ca="1" si="220"/>
        <v>4</v>
      </c>
      <c r="D731">
        <f t="shared" ca="1" si="221"/>
        <v>3</v>
      </c>
      <c r="E731">
        <f t="shared" ca="1" si="222"/>
        <v>1</v>
      </c>
      <c r="F731" s="110">
        <f t="shared" ca="1" si="223"/>
        <v>3.3872399999999993E-3</v>
      </c>
      <c r="G731">
        <v>0</v>
      </c>
      <c r="H731">
        <v>1</v>
      </c>
      <c r="I731">
        <v>3</v>
      </c>
      <c r="J731" s="1">
        <f t="shared" ca="1" si="224"/>
        <v>0</v>
      </c>
      <c r="K731" s="1">
        <f t="shared" ca="1" si="225"/>
        <v>0</v>
      </c>
      <c r="L731" s="13">
        <f t="shared" ca="1" si="226"/>
        <v>341</v>
      </c>
      <c r="M731" s="7">
        <f t="shared" ca="1" si="227"/>
        <v>1159</v>
      </c>
      <c r="N731" s="26">
        <f t="shared" ca="1" si="228"/>
        <v>4</v>
      </c>
      <c r="O731" s="44">
        <f t="shared" ca="1" si="229"/>
        <v>2.8908103757121246</v>
      </c>
      <c r="P731" s="44">
        <f t="shared" ca="1" si="230"/>
        <v>28.908103757121246</v>
      </c>
      <c r="Q731" s="44">
        <f t="shared" ca="1" si="231"/>
        <v>28.908103757121246</v>
      </c>
      <c r="R731" s="44">
        <f t="shared" ca="1" si="232"/>
        <v>2.8908103757121246</v>
      </c>
      <c r="S731" s="44">
        <f t="shared" ca="1" si="233"/>
        <v>2.8908103757121246</v>
      </c>
      <c r="T731" s="4">
        <f t="shared" ca="1" si="234"/>
        <v>0</v>
      </c>
      <c r="U731" s="120">
        <f t="shared" ca="1" si="235"/>
        <v>2192.675062040129</v>
      </c>
      <c r="V731" s="4">
        <f t="shared" ca="1" si="236"/>
        <v>0</v>
      </c>
      <c r="W731" s="13">
        <f t="shared" ca="1" si="237"/>
        <v>8319.375</v>
      </c>
      <c r="X731" s="4">
        <f t="shared" ca="1" si="238"/>
        <v>0</v>
      </c>
      <c r="Y731" s="4">
        <f t="shared" si="239"/>
        <v>0</v>
      </c>
      <c r="Z731" s="13">
        <f t="shared" ca="1" si="240"/>
        <v>8319.375</v>
      </c>
      <c r="AA731" s="4">
        <f t="shared" ca="1" si="241"/>
        <v>0</v>
      </c>
    </row>
    <row r="732" spans="1:27">
      <c r="A732">
        <v>1</v>
      </c>
      <c r="B732">
        <v>1</v>
      </c>
      <c r="C732">
        <f t="shared" ca="1" si="220"/>
        <v>4</v>
      </c>
      <c r="D732">
        <f t="shared" ca="1" si="221"/>
        <v>3</v>
      </c>
      <c r="E732">
        <f t="shared" ca="1" si="222"/>
        <v>1</v>
      </c>
      <c r="F732" s="110">
        <f t="shared" ca="1" si="223"/>
        <v>3.3872399999999993E-3</v>
      </c>
      <c r="G732">
        <v>0</v>
      </c>
      <c r="H732">
        <v>1</v>
      </c>
      <c r="I732">
        <v>2</v>
      </c>
      <c r="J732" s="1">
        <f t="shared" ca="1" si="224"/>
        <v>0</v>
      </c>
      <c r="K732" s="1">
        <f t="shared" ca="1" si="225"/>
        <v>0</v>
      </c>
      <c r="L732" s="13">
        <f t="shared" ca="1" si="226"/>
        <v>322</v>
      </c>
      <c r="M732" s="7">
        <f t="shared" ca="1" si="227"/>
        <v>1178</v>
      </c>
      <c r="N732" s="26">
        <f t="shared" ca="1" si="228"/>
        <v>4</v>
      </c>
      <c r="O732" s="44">
        <f t="shared" ca="1" si="229"/>
        <v>2.8908103757121246</v>
      </c>
      <c r="P732" s="44">
        <f t="shared" ca="1" si="230"/>
        <v>28.908103757121246</v>
      </c>
      <c r="Q732" s="44">
        <f t="shared" ca="1" si="231"/>
        <v>28.908103757121246</v>
      </c>
      <c r="R732" s="44">
        <f t="shared" ca="1" si="232"/>
        <v>2.8908103757121246</v>
      </c>
      <c r="S732" s="44">
        <f t="shared" ca="1" si="233"/>
        <v>2.8908103757121246</v>
      </c>
      <c r="T732" s="4">
        <f t="shared" ca="1" si="234"/>
        <v>0</v>
      </c>
      <c r="U732" s="120">
        <f t="shared" ca="1" si="235"/>
        <v>2173.675062040129</v>
      </c>
      <c r="V732" s="4">
        <f t="shared" ca="1" si="236"/>
        <v>0</v>
      </c>
      <c r="W732" s="13">
        <f t="shared" ca="1" si="237"/>
        <v>5546.25</v>
      </c>
      <c r="X732" s="4">
        <f t="shared" ca="1" si="238"/>
        <v>0</v>
      </c>
      <c r="Y732" s="4">
        <f t="shared" si="239"/>
        <v>0</v>
      </c>
      <c r="Z732" s="13">
        <f t="shared" ca="1" si="240"/>
        <v>5546.25</v>
      </c>
      <c r="AA732" s="4">
        <f t="shared" ca="1" si="241"/>
        <v>0</v>
      </c>
    </row>
    <row r="733" spans="1:27">
      <c r="A733">
        <v>1</v>
      </c>
      <c r="B733">
        <v>1</v>
      </c>
      <c r="C733">
        <f t="shared" ca="1" si="220"/>
        <v>4</v>
      </c>
      <c r="D733">
        <f t="shared" ca="1" si="221"/>
        <v>3</v>
      </c>
      <c r="E733">
        <f t="shared" ca="1" si="222"/>
        <v>1</v>
      </c>
      <c r="F733" s="110">
        <f t="shared" ca="1" si="223"/>
        <v>3.3872399999999993E-3</v>
      </c>
      <c r="G733">
        <v>0</v>
      </c>
      <c r="H733">
        <v>1</v>
      </c>
      <c r="I733">
        <v>1</v>
      </c>
      <c r="J733" s="1">
        <f t="shared" ca="1" si="224"/>
        <v>0</v>
      </c>
      <c r="K733" s="1">
        <f t="shared" ca="1" si="225"/>
        <v>0</v>
      </c>
      <c r="L733" s="13">
        <f t="shared" ca="1" si="226"/>
        <v>303</v>
      </c>
      <c r="M733" s="7">
        <f t="shared" ca="1" si="227"/>
        <v>1197</v>
      </c>
      <c r="N733" s="26">
        <f t="shared" ca="1" si="228"/>
        <v>4</v>
      </c>
      <c r="O733" s="44">
        <f t="shared" ca="1" si="229"/>
        <v>2.8908103757121246</v>
      </c>
      <c r="P733" s="44">
        <f t="shared" ca="1" si="230"/>
        <v>28.908103757121246</v>
      </c>
      <c r="Q733" s="44">
        <f t="shared" ca="1" si="231"/>
        <v>28.908103757121246</v>
      </c>
      <c r="R733" s="44">
        <f t="shared" ca="1" si="232"/>
        <v>2.8908103757121246</v>
      </c>
      <c r="S733" s="44">
        <f t="shared" ca="1" si="233"/>
        <v>2.8908103757121246</v>
      </c>
      <c r="T733" s="4">
        <f t="shared" ca="1" si="234"/>
        <v>0</v>
      </c>
      <c r="U733" s="120">
        <f t="shared" ca="1" si="235"/>
        <v>2154.675062040129</v>
      </c>
      <c r="V733" s="4">
        <f t="shared" ca="1" si="236"/>
        <v>0</v>
      </c>
      <c r="W733" s="13">
        <f t="shared" ca="1" si="237"/>
        <v>2773.125</v>
      </c>
      <c r="X733" s="4">
        <f t="shared" ca="1" si="238"/>
        <v>0</v>
      </c>
      <c r="Y733" s="4">
        <f t="shared" si="239"/>
        <v>0</v>
      </c>
      <c r="Z733" s="13">
        <f t="shared" ca="1" si="240"/>
        <v>2773.125</v>
      </c>
      <c r="AA733" s="4">
        <f t="shared" ca="1" si="241"/>
        <v>0</v>
      </c>
    </row>
    <row r="734" spans="1:27">
      <c r="A734">
        <v>1</v>
      </c>
      <c r="B734">
        <v>1</v>
      </c>
      <c r="C734">
        <f t="shared" ca="1" si="220"/>
        <v>4</v>
      </c>
      <c r="D734">
        <f t="shared" ca="1" si="221"/>
        <v>3</v>
      </c>
      <c r="E734">
        <f t="shared" ca="1" si="222"/>
        <v>1</v>
      </c>
      <c r="F734" s="110">
        <f t="shared" ca="1" si="223"/>
        <v>3.3872399999999993E-3</v>
      </c>
      <c r="G734">
        <v>0</v>
      </c>
      <c r="H734">
        <v>1</v>
      </c>
      <c r="I734">
        <v>0</v>
      </c>
      <c r="J734" s="1">
        <f t="shared" ca="1" si="224"/>
        <v>0</v>
      </c>
      <c r="K734" s="1">
        <f t="shared" ca="1" si="225"/>
        <v>0</v>
      </c>
      <c r="L734" s="13">
        <f t="shared" ca="1" si="226"/>
        <v>284</v>
      </c>
      <c r="M734" s="7">
        <f t="shared" ca="1" si="227"/>
        <v>1216</v>
      </c>
      <c r="N734" s="26">
        <f t="shared" ca="1" si="228"/>
        <v>4</v>
      </c>
      <c r="O734" s="44">
        <f t="shared" ca="1" si="229"/>
        <v>2.8908103757121246</v>
      </c>
      <c r="P734" s="44">
        <f t="shared" ca="1" si="230"/>
        <v>28.908103757121246</v>
      </c>
      <c r="Q734" s="44">
        <f t="shared" ca="1" si="231"/>
        <v>28.908103757121246</v>
      </c>
      <c r="R734" s="44">
        <f t="shared" ca="1" si="232"/>
        <v>2.8908103757121246</v>
      </c>
      <c r="S734" s="44">
        <f t="shared" ca="1" si="233"/>
        <v>2.8908103757121246</v>
      </c>
      <c r="T734" s="4">
        <f t="shared" ca="1" si="234"/>
        <v>0</v>
      </c>
      <c r="U734" s="120">
        <f t="shared" ca="1" si="235"/>
        <v>2135.675062040129</v>
      </c>
      <c r="V734" s="4">
        <f t="shared" ca="1" si="236"/>
        <v>0</v>
      </c>
      <c r="W734" s="13">
        <f t="shared" ca="1" si="237"/>
        <v>0</v>
      </c>
      <c r="X734" s="4">
        <f t="shared" ca="1" si="238"/>
        <v>0</v>
      </c>
      <c r="Y734" s="4">
        <f t="shared" si="239"/>
        <v>0</v>
      </c>
      <c r="Z734" s="13">
        <f t="shared" ca="1" si="240"/>
        <v>0</v>
      </c>
      <c r="AA734" s="4">
        <f t="shared" ca="1" si="241"/>
        <v>0</v>
      </c>
    </row>
    <row r="735" spans="1:27">
      <c r="A735">
        <v>1</v>
      </c>
      <c r="B735">
        <v>1</v>
      </c>
      <c r="C735">
        <f t="shared" ca="1" si="220"/>
        <v>4</v>
      </c>
      <c r="D735">
        <f t="shared" ca="1" si="221"/>
        <v>3</v>
      </c>
      <c r="E735">
        <f t="shared" ca="1" si="222"/>
        <v>1</v>
      </c>
      <c r="F735" s="110">
        <f t="shared" ca="1" si="223"/>
        <v>3.3872399999999993E-3</v>
      </c>
      <c r="G735">
        <v>0</v>
      </c>
      <c r="H735">
        <v>0</v>
      </c>
      <c r="I735">
        <v>7</v>
      </c>
      <c r="J735" s="1">
        <f t="shared" ca="1" si="224"/>
        <v>0</v>
      </c>
      <c r="K735" s="1">
        <f t="shared" ca="1" si="225"/>
        <v>0</v>
      </c>
      <c r="L735" s="13">
        <f t="shared" ca="1" si="226"/>
        <v>133</v>
      </c>
      <c r="M735" s="7">
        <f t="shared" ca="1" si="227"/>
        <v>1367</v>
      </c>
      <c r="N735" s="26">
        <f t="shared" ca="1" si="228"/>
        <v>4</v>
      </c>
      <c r="O735" s="44">
        <f t="shared" ca="1" si="229"/>
        <v>2.8908103757121246</v>
      </c>
      <c r="P735" s="44">
        <f t="shared" ca="1" si="230"/>
        <v>28.908103757121246</v>
      </c>
      <c r="Q735" s="44">
        <f t="shared" ca="1" si="231"/>
        <v>28.908103757121246</v>
      </c>
      <c r="R735" s="44">
        <f t="shared" ca="1" si="232"/>
        <v>2.8908103757121246</v>
      </c>
      <c r="S735" s="44">
        <f t="shared" ca="1" si="233"/>
        <v>2.8908103757121246</v>
      </c>
      <c r="T735" s="4">
        <f t="shared" ca="1" si="234"/>
        <v>0</v>
      </c>
      <c r="U735" s="120">
        <f t="shared" ca="1" si="235"/>
        <v>1984.6750620401288</v>
      </c>
      <c r="V735" s="4">
        <f t="shared" ca="1" si="236"/>
        <v>0</v>
      </c>
      <c r="W735" s="13">
        <f t="shared" ca="1" si="237"/>
        <v>19411.875</v>
      </c>
      <c r="X735" s="4">
        <f t="shared" ca="1" si="238"/>
        <v>0</v>
      </c>
      <c r="Y735" s="4">
        <f t="shared" si="239"/>
        <v>0</v>
      </c>
      <c r="Z735" s="13">
        <f t="shared" ca="1" si="240"/>
        <v>19411.875</v>
      </c>
      <c r="AA735" s="4">
        <f t="shared" ca="1" si="241"/>
        <v>0</v>
      </c>
    </row>
    <row r="736" spans="1:27">
      <c r="A736">
        <v>1</v>
      </c>
      <c r="B736">
        <v>1</v>
      </c>
      <c r="C736">
        <f t="shared" ca="1" si="220"/>
        <v>4</v>
      </c>
      <c r="D736">
        <f t="shared" ca="1" si="221"/>
        <v>3</v>
      </c>
      <c r="E736">
        <f t="shared" ca="1" si="222"/>
        <v>1</v>
      </c>
      <c r="F736" s="110">
        <f t="shared" ca="1" si="223"/>
        <v>3.3872399999999993E-3</v>
      </c>
      <c r="G736">
        <v>0</v>
      </c>
      <c r="H736">
        <v>0</v>
      </c>
      <c r="I736">
        <v>6</v>
      </c>
      <c r="J736" s="1">
        <f t="shared" ca="1" si="224"/>
        <v>0</v>
      </c>
      <c r="K736" s="1">
        <f t="shared" ca="1" si="225"/>
        <v>0</v>
      </c>
      <c r="L736" s="13">
        <f t="shared" ca="1" si="226"/>
        <v>114</v>
      </c>
      <c r="M736" s="7">
        <f t="shared" ca="1" si="227"/>
        <v>1386</v>
      </c>
      <c r="N736" s="26">
        <f t="shared" ca="1" si="228"/>
        <v>4</v>
      </c>
      <c r="O736" s="44">
        <f t="shared" ca="1" si="229"/>
        <v>2.8908103757121246</v>
      </c>
      <c r="P736" s="44">
        <f t="shared" ca="1" si="230"/>
        <v>28.908103757121246</v>
      </c>
      <c r="Q736" s="44">
        <f t="shared" ca="1" si="231"/>
        <v>28.908103757121246</v>
      </c>
      <c r="R736" s="44">
        <f t="shared" ca="1" si="232"/>
        <v>2.8908103757121246</v>
      </c>
      <c r="S736" s="44">
        <f t="shared" ca="1" si="233"/>
        <v>2.8908103757121246</v>
      </c>
      <c r="T736" s="4">
        <f t="shared" ca="1" si="234"/>
        <v>0</v>
      </c>
      <c r="U736" s="120">
        <f t="shared" ca="1" si="235"/>
        <v>1965.6750620401288</v>
      </c>
      <c r="V736" s="4">
        <f t="shared" ca="1" si="236"/>
        <v>0</v>
      </c>
      <c r="W736" s="13">
        <f t="shared" ca="1" si="237"/>
        <v>16638.75</v>
      </c>
      <c r="X736" s="4">
        <f t="shared" ca="1" si="238"/>
        <v>0</v>
      </c>
      <c r="Y736" s="4">
        <f t="shared" si="239"/>
        <v>0</v>
      </c>
      <c r="Z736" s="13">
        <f t="shared" ca="1" si="240"/>
        <v>16638.75</v>
      </c>
      <c r="AA736" s="4">
        <f t="shared" ca="1" si="241"/>
        <v>0</v>
      </c>
    </row>
    <row r="737" spans="1:27">
      <c r="A737">
        <v>1</v>
      </c>
      <c r="B737">
        <v>1</v>
      </c>
      <c r="C737">
        <f t="shared" ca="1" si="220"/>
        <v>4</v>
      </c>
      <c r="D737">
        <f t="shared" ca="1" si="221"/>
        <v>3</v>
      </c>
      <c r="E737">
        <f t="shared" ca="1" si="222"/>
        <v>1</v>
      </c>
      <c r="F737" s="110">
        <f t="shared" ca="1" si="223"/>
        <v>3.3872399999999993E-3</v>
      </c>
      <c r="G737">
        <v>0</v>
      </c>
      <c r="H737">
        <v>0</v>
      </c>
      <c r="I737">
        <v>5</v>
      </c>
      <c r="J737" s="1">
        <f t="shared" ca="1" si="224"/>
        <v>0</v>
      </c>
      <c r="K737" s="1">
        <f t="shared" ca="1" si="225"/>
        <v>0</v>
      </c>
      <c r="L737" s="13">
        <f t="shared" ca="1" si="226"/>
        <v>95</v>
      </c>
      <c r="M737" s="7">
        <f t="shared" ca="1" si="227"/>
        <v>1405</v>
      </c>
      <c r="N737" s="26">
        <f t="shared" ca="1" si="228"/>
        <v>5</v>
      </c>
      <c r="O737" s="44">
        <f t="shared" ca="1" si="229"/>
        <v>3.5395046525977252</v>
      </c>
      <c r="P737" s="44">
        <f t="shared" ca="1" si="230"/>
        <v>35.39504652597725</v>
      </c>
      <c r="Q737" s="44">
        <f t="shared" ca="1" si="231"/>
        <v>30.205492310892446</v>
      </c>
      <c r="R737" s="44">
        <f t="shared" ca="1" si="232"/>
        <v>3.2800269418434853</v>
      </c>
      <c r="S737" s="44">
        <f t="shared" ca="1" si="233"/>
        <v>3.5213412128449284</v>
      </c>
      <c r="T737" s="4">
        <f t="shared" ca="1" si="234"/>
        <v>0</v>
      </c>
      <c r="U737" s="120">
        <f t="shared" ca="1" si="235"/>
        <v>2290.8626329996823</v>
      </c>
      <c r="V737" s="4">
        <f t="shared" ca="1" si="236"/>
        <v>0</v>
      </c>
      <c r="W737" s="13">
        <f t="shared" ca="1" si="237"/>
        <v>13865.625</v>
      </c>
      <c r="X737" s="4">
        <f t="shared" ca="1" si="238"/>
        <v>0</v>
      </c>
      <c r="Y737" s="4">
        <f t="shared" si="239"/>
        <v>0</v>
      </c>
      <c r="Z737" s="13">
        <f t="shared" ca="1" si="240"/>
        <v>13865.625</v>
      </c>
      <c r="AA737" s="4">
        <f t="shared" ca="1" si="241"/>
        <v>0</v>
      </c>
    </row>
    <row r="738" spans="1:27">
      <c r="A738">
        <v>1</v>
      </c>
      <c r="B738">
        <v>1</v>
      </c>
      <c r="C738">
        <f t="shared" ca="1" si="220"/>
        <v>4</v>
      </c>
      <c r="D738">
        <f t="shared" ca="1" si="221"/>
        <v>3</v>
      </c>
      <c r="E738">
        <f t="shared" ca="1" si="222"/>
        <v>1</v>
      </c>
      <c r="F738" s="110">
        <f t="shared" ca="1" si="223"/>
        <v>3.3872399999999993E-3</v>
      </c>
      <c r="G738">
        <v>0</v>
      </c>
      <c r="H738">
        <v>0</v>
      </c>
      <c r="I738">
        <v>4</v>
      </c>
      <c r="J738" s="1">
        <f t="shared" ca="1" si="224"/>
        <v>0</v>
      </c>
      <c r="K738" s="1">
        <f t="shared" ca="1" si="225"/>
        <v>0</v>
      </c>
      <c r="L738" s="13">
        <f t="shared" ca="1" si="226"/>
        <v>76</v>
      </c>
      <c r="M738" s="7">
        <f t="shared" ca="1" si="227"/>
        <v>1424</v>
      </c>
      <c r="N738" s="26">
        <f t="shared" ca="1" si="228"/>
        <v>5</v>
      </c>
      <c r="O738" s="44">
        <f t="shared" ca="1" si="229"/>
        <v>3.5395046525977252</v>
      </c>
      <c r="P738" s="44">
        <f t="shared" ca="1" si="230"/>
        <v>35.39504652597725</v>
      </c>
      <c r="Q738" s="44">
        <f t="shared" ca="1" si="231"/>
        <v>35.39504652597725</v>
      </c>
      <c r="R738" s="44">
        <f t="shared" ca="1" si="232"/>
        <v>3.5395046525977252</v>
      </c>
      <c r="S738" s="44">
        <f t="shared" ca="1" si="233"/>
        <v>3.5395046525977252</v>
      </c>
      <c r="T738" s="4">
        <f t="shared" ca="1" si="234"/>
        <v>0</v>
      </c>
      <c r="U738" s="120">
        <f t="shared" ca="1" si="235"/>
        <v>2281.7775012989287</v>
      </c>
      <c r="V738" s="4">
        <f t="shared" ca="1" si="236"/>
        <v>0</v>
      </c>
      <c r="W738" s="13">
        <f t="shared" ca="1" si="237"/>
        <v>11092.5</v>
      </c>
      <c r="X738" s="4">
        <f t="shared" ca="1" si="238"/>
        <v>0</v>
      </c>
      <c r="Y738" s="4">
        <f t="shared" si="239"/>
        <v>0</v>
      </c>
      <c r="Z738" s="13">
        <f t="shared" ca="1" si="240"/>
        <v>11092.5</v>
      </c>
      <c r="AA738" s="4">
        <f t="shared" ca="1" si="241"/>
        <v>0</v>
      </c>
    </row>
    <row r="739" spans="1:27">
      <c r="A739">
        <v>1</v>
      </c>
      <c r="B739">
        <v>1</v>
      </c>
      <c r="C739">
        <f t="shared" ca="1" si="220"/>
        <v>4</v>
      </c>
      <c r="D739">
        <f t="shared" ca="1" si="221"/>
        <v>3</v>
      </c>
      <c r="E739">
        <f t="shared" ca="1" si="222"/>
        <v>1</v>
      </c>
      <c r="F739" s="110">
        <f t="shared" ca="1" si="223"/>
        <v>3.3872399999999993E-3</v>
      </c>
      <c r="G739">
        <v>0</v>
      </c>
      <c r="H739">
        <v>0</v>
      </c>
      <c r="I739">
        <v>3</v>
      </c>
      <c r="J739" s="1">
        <f t="shared" ca="1" si="224"/>
        <v>4.2868749999999997E-2</v>
      </c>
      <c r="K739" s="1">
        <f t="shared" ca="1" si="225"/>
        <v>1.4520674474999997E-4</v>
      </c>
      <c r="L739" s="13">
        <f t="shared" ca="1" si="226"/>
        <v>57</v>
      </c>
      <c r="M739" s="7">
        <f t="shared" ca="1" si="227"/>
        <v>1443</v>
      </c>
      <c r="N739" s="26">
        <f t="shared" ca="1" si="228"/>
        <v>5</v>
      </c>
      <c r="O739" s="44">
        <f t="shared" ca="1" si="229"/>
        <v>3.5395046525977252</v>
      </c>
      <c r="P739" s="44">
        <f t="shared" ca="1" si="230"/>
        <v>35.39504652597725</v>
      </c>
      <c r="Q739" s="44">
        <f t="shared" ca="1" si="231"/>
        <v>35.39504652597725</v>
      </c>
      <c r="R739" s="44">
        <f t="shared" ca="1" si="232"/>
        <v>3.5395046525977252</v>
      </c>
      <c r="S739" s="44">
        <f t="shared" ca="1" si="233"/>
        <v>3.5395046525977252</v>
      </c>
      <c r="T739" s="4">
        <f t="shared" ca="1" si="234"/>
        <v>5.1395994863119522E-4</v>
      </c>
      <c r="U739" s="120">
        <f t="shared" ca="1" si="235"/>
        <v>2262.7775012989287</v>
      </c>
      <c r="V739" s="4">
        <f t="shared" ca="1" si="236"/>
        <v>0.32857055505715627</v>
      </c>
      <c r="W739" s="13">
        <f t="shared" ca="1" si="237"/>
        <v>8319.375</v>
      </c>
      <c r="X739" s="4">
        <f t="shared" ca="1" si="238"/>
        <v>1.208029362104531</v>
      </c>
      <c r="Y739" s="4">
        <f t="shared" si="239"/>
        <v>0</v>
      </c>
      <c r="Z739" s="13">
        <f t="shared" ca="1" si="240"/>
        <v>8319.375</v>
      </c>
      <c r="AA739" s="4">
        <f t="shared" ca="1" si="241"/>
        <v>1.208029362104531</v>
      </c>
    </row>
    <row r="740" spans="1:27">
      <c r="A740">
        <v>1</v>
      </c>
      <c r="B740">
        <v>1</v>
      </c>
      <c r="C740">
        <f t="shared" ca="1" si="220"/>
        <v>4</v>
      </c>
      <c r="D740">
        <f t="shared" ca="1" si="221"/>
        <v>3</v>
      </c>
      <c r="E740">
        <f t="shared" ca="1" si="222"/>
        <v>1</v>
      </c>
      <c r="F740" s="110">
        <f t="shared" ca="1" si="223"/>
        <v>3.3872399999999993E-3</v>
      </c>
      <c r="G740">
        <v>0</v>
      </c>
      <c r="H740">
        <v>0</v>
      </c>
      <c r="I740">
        <v>2</v>
      </c>
      <c r="J740" s="1">
        <f t="shared" ca="1" si="224"/>
        <v>6.7687500000000074E-3</v>
      </c>
      <c r="K740" s="1">
        <f t="shared" ca="1" si="225"/>
        <v>2.2927380750000019E-5</v>
      </c>
      <c r="L740" s="13">
        <f t="shared" ca="1" si="226"/>
        <v>38</v>
      </c>
      <c r="M740" s="7">
        <f t="shared" ca="1" si="227"/>
        <v>1462</v>
      </c>
      <c r="N740" s="26">
        <f t="shared" ca="1" si="228"/>
        <v>5</v>
      </c>
      <c r="O740" s="44">
        <f t="shared" ca="1" si="229"/>
        <v>3.5395046525977252</v>
      </c>
      <c r="P740" s="44">
        <f t="shared" ca="1" si="230"/>
        <v>35.39504652597725</v>
      </c>
      <c r="Q740" s="44">
        <f t="shared" ca="1" si="231"/>
        <v>35.39504652597725</v>
      </c>
      <c r="R740" s="44">
        <f t="shared" ca="1" si="232"/>
        <v>3.5395046525977252</v>
      </c>
      <c r="S740" s="44">
        <f t="shared" ca="1" si="233"/>
        <v>3.5395046525977252</v>
      </c>
      <c r="T740" s="4">
        <f t="shared" ca="1" si="234"/>
        <v>8.1151570836504594E-5</v>
      </c>
      <c r="U740" s="120">
        <f t="shared" ca="1" si="235"/>
        <v>2243.7775012989287</v>
      </c>
      <c r="V740" s="4">
        <f t="shared" ca="1" si="236"/>
        <v>5.1443941090564202E-2</v>
      </c>
      <c r="W740" s="13">
        <f t="shared" ca="1" si="237"/>
        <v>5546.25</v>
      </c>
      <c r="X740" s="4">
        <f t="shared" ca="1" si="238"/>
        <v>0.1271609854846876</v>
      </c>
      <c r="Y740" s="4">
        <f t="shared" si="239"/>
        <v>0</v>
      </c>
      <c r="Z740" s="13">
        <f t="shared" ca="1" si="240"/>
        <v>5546.25</v>
      </c>
      <c r="AA740" s="4">
        <f t="shared" ca="1" si="241"/>
        <v>0.1271609854846876</v>
      </c>
    </row>
    <row r="741" spans="1:27">
      <c r="A741">
        <v>1</v>
      </c>
      <c r="B741">
        <v>1</v>
      </c>
      <c r="C741">
        <f t="shared" ca="1" si="220"/>
        <v>4</v>
      </c>
      <c r="D741">
        <f t="shared" ca="1" si="221"/>
        <v>3</v>
      </c>
      <c r="E741">
        <f t="shared" ca="1" si="222"/>
        <v>1</v>
      </c>
      <c r="F741" s="110">
        <f t="shared" ca="1" si="223"/>
        <v>3.3872399999999993E-3</v>
      </c>
      <c r="G741">
        <v>0</v>
      </c>
      <c r="H741">
        <v>0</v>
      </c>
      <c r="I741">
        <v>1</v>
      </c>
      <c r="J741" s="1">
        <f t="shared" ca="1" si="224"/>
        <v>3.5625000000000061E-4</v>
      </c>
      <c r="K741" s="1">
        <f t="shared" ca="1" si="225"/>
        <v>1.2067042500000019E-6</v>
      </c>
      <c r="L741" s="13">
        <f t="shared" ca="1" si="226"/>
        <v>19</v>
      </c>
      <c r="M741" s="7">
        <f t="shared" ca="1" si="227"/>
        <v>1481</v>
      </c>
      <c r="N741" s="26">
        <f t="shared" ca="1" si="228"/>
        <v>5</v>
      </c>
      <c r="O741" s="44">
        <f t="shared" ca="1" si="229"/>
        <v>3.5395046525977252</v>
      </c>
      <c r="P741" s="44">
        <f t="shared" ca="1" si="230"/>
        <v>35.39504652597725</v>
      </c>
      <c r="Q741" s="44">
        <f t="shared" ca="1" si="231"/>
        <v>35.39504652597725</v>
      </c>
      <c r="R741" s="44">
        <f t="shared" ca="1" si="232"/>
        <v>3.5395046525977252</v>
      </c>
      <c r="S741" s="44">
        <f t="shared" ca="1" si="233"/>
        <v>3.5395046525977252</v>
      </c>
      <c r="T741" s="4">
        <f t="shared" ca="1" si="234"/>
        <v>4.2711353071844549E-6</v>
      </c>
      <c r="U741" s="120">
        <f t="shared" ca="1" si="235"/>
        <v>2224.7775012989287</v>
      </c>
      <c r="V741" s="4">
        <f t="shared" ca="1" si="236"/>
        <v>2.6846484661218017E-3</v>
      </c>
      <c r="W741" s="13">
        <f t="shared" ca="1" si="237"/>
        <v>2773.125</v>
      </c>
      <c r="X741" s="4">
        <f t="shared" ca="1" si="238"/>
        <v>3.3463417232812553E-3</v>
      </c>
      <c r="Y741" s="4">
        <f t="shared" si="239"/>
        <v>0</v>
      </c>
      <c r="Z741" s="13">
        <f t="shared" ca="1" si="240"/>
        <v>2773.125</v>
      </c>
      <c r="AA741" s="4">
        <f t="shared" ca="1" si="241"/>
        <v>3.3463417232812553E-3</v>
      </c>
    </row>
    <row r="742" spans="1:27">
      <c r="A742">
        <v>1</v>
      </c>
      <c r="B742">
        <v>1</v>
      </c>
      <c r="C742">
        <f t="shared" ca="1" si="220"/>
        <v>4</v>
      </c>
      <c r="D742">
        <f t="shared" ca="1" si="221"/>
        <v>3</v>
      </c>
      <c r="E742">
        <f t="shared" ca="1" si="222"/>
        <v>1</v>
      </c>
      <c r="F742" s="110">
        <f t="shared" ca="1" si="223"/>
        <v>3.3872399999999993E-3</v>
      </c>
      <c r="G742">
        <v>0</v>
      </c>
      <c r="H742">
        <v>0</v>
      </c>
      <c r="I742">
        <v>0</v>
      </c>
      <c r="J742" s="1">
        <f t="shared" ca="1" si="224"/>
        <v>6.2500000000000164E-6</v>
      </c>
      <c r="K742" s="1">
        <f t="shared" ca="1" si="225"/>
        <v>2.117025000000005E-8</v>
      </c>
      <c r="L742" s="13">
        <f t="shared" ca="1" si="226"/>
        <v>0</v>
      </c>
      <c r="M742" s="7">
        <f t="shared" ca="1" si="227"/>
        <v>1500</v>
      </c>
      <c r="N742" s="26">
        <f t="shared" ca="1" si="228"/>
        <v>5</v>
      </c>
      <c r="O742" s="44">
        <f t="shared" ca="1" si="229"/>
        <v>3.5395046525977252</v>
      </c>
      <c r="P742" s="44">
        <f t="shared" ca="1" si="230"/>
        <v>35.39504652597725</v>
      </c>
      <c r="Q742" s="44">
        <f t="shared" ca="1" si="231"/>
        <v>35.39504652597725</v>
      </c>
      <c r="R742" s="44">
        <f t="shared" ca="1" si="232"/>
        <v>3.5395046525977252</v>
      </c>
      <c r="S742" s="44">
        <f t="shared" ca="1" si="233"/>
        <v>3.5395046525977252</v>
      </c>
      <c r="T742" s="4">
        <f t="shared" ca="1" si="234"/>
        <v>7.4932198371657175E-8</v>
      </c>
      <c r="U742" s="120">
        <f t="shared" ca="1" si="235"/>
        <v>2205.7775012989287</v>
      </c>
      <c r="V742" s="4">
        <f t="shared" ca="1" si="236"/>
        <v>4.6696861146873755E-5</v>
      </c>
      <c r="W742" s="13">
        <f t="shared" ca="1" si="237"/>
        <v>0</v>
      </c>
      <c r="X742" s="4">
        <f t="shared" ca="1" si="238"/>
        <v>0</v>
      </c>
      <c r="Y742" s="4">
        <f t="shared" si="239"/>
        <v>0</v>
      </c>
      <c r="Z742" s="13">
        <f t="shared" ca="1" si="240"/>
        <v>0</v>
      </c>
      <c r="AA742" s="4">
        <f t="shared" ca="1" si="241"/>
        <v>0</v>
      </c>
    </row>
    <row r="743" spans="1:27">
      <c r="A743">
        <v>1</v>
      </c>
      <c r="B743">
        <v>2</v>
      </c>
      <c r="C743">
        <f t="shared" ref="C743:C806" ca="1" si="242">MIN(8, 1+$B$543+$B$542+A743+B743)</f>
        <v>5</v>
      </c>
      <c r="D743">
        <f t="shared" ref="D743:D806" ca="1" si="243">C743-(1+$B$543)</f>
        <v>4</v>
      </c>
      <c r="E743">
        <f t="shared" ref="E743:E806" ca="1" si="244">MIN(A743, C743-(1+$B$543+$B$542))</f>
        <v>1</v>
      </c>
      <c r="F743" s="110">
        <f t="shared" ref="F743:F806" ca="1" si="245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0</v>
      </c>
      <c r="G743">
        <v>1</v>
      </c>
      <c r="H743">
        <v>1</v>
      </c>
      <c r="I743">
        <v>7</v>
      </c>
      <c r="J743" s="1">
        <f t="shared" ref="J743:J806" ca="1" si="246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47">F743*J743</f>
        <v>0</v>
      </c>
      <c r="L743" s="13">
        <f t="shared" ref="L743:L806" ca="1" si="248">MAX((G743+H743)*Set2WSTP + I743*$B$539, Set2SaveTP)</f>
        <v>701</v>
      </c>
      <c r="M743" s="7">
        <f t="shared" ref="M743:M806" ca="1" si="249">MAX(Set2MinTP-(L743+Set2Regain), 0)</f>
        <v>799</v>
      </c>
      <c r="N743" s="26">
        <f t="shared" ref="N743:N806" ca="1" si="250">CEILING(M743/Set2MeleeTP, 1)</f>
        <v>3</v>
      </c>
      <c r="O743" s="44">
        <f t="shared" ref="O743:O806" ca="1" si="251">VLOOKUP(N743, AvgRoundsSet2, 2)</f>
        <v>2.2758855914378953</v>
      </c>
      <c r="P743" s="44">
        <f t="shared" ref="P743:P806" ca="1" si="252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22.758855914378952</v>
      </c>
      <c r="Q743" s="44">
        <f t="shared" ref="Q743:Q806" ca="1" si="253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22.758855914378952</v>
      </c>
      <c r="R743" s="44">
        <f t="shared" ref="R743:R806" ca="1" si="254">(P743+Q743)/20</f>
        <v>2.2758855914378953</v>
      </c>
      <c r="S743" s="44">
        <f t="shared" ref="S743:S806" ca="1" si="255">R743*Set2ConserveTP + O743*(1-Set2ConserveTP)</f>
        <v>2.2758855914378953</v>
      </c>
      <c r="T743" s="4">
        <f t="shared" ref="T743:T806" ca="1" si="256">K743*S743</f>
        <v>0</v>
      </c>
      <c r="U743" s="120">
        <f t="shared" ref="U743:U806" ca="1" si="257">MIN(L743+(S743+Set2OverTP)*AvgHitsPerRound2*Set2MeleeTP + Set2Regain + 10.5*Set2ConserveTP, 3000)</f>
        <v>2217.0063598009133</v>
      </c>
      <c r="V743" s="4">
        <f t="shared" ref="V743:V806" ca="1" si="258">U743*K743</f>
        <v>0</v>
      </c>
      <c r="W743" s="13">
        <f t="shared" ref="W743:W806" ca="1" si="259">G743*$K$543*((1-$L$543)*$L$547 + $L$543*$M$547*$M$543)*Set2WSDmg + H743*$K$546*((1-$L$546)*$L$548 + $L$546*$M$548*$M$544) + I743*$K$544*((1-$L$544)*$L$547 + $L$544*$M$547*$M$544) + E743*$K$545*$L$545*$M$543</f>
        <v>49588.256250000006</v>
      </c>
      <c r="X743" s="4">
        <f t="shared" ref="X743:X806" ca="1" si="260">K743*W743</f>
        <v>0</v>
      </c>
      <c r="Y743" s="4">
        <f t="shared" ref="Y743:Y806" si="261">IF($B$545=1, (VLOOKUP(C743, IF($B$546=10%,Souleater10,Souleater12), 6, FALSE) * $B$547), 0)</f>
        <v>0</v>
      </c>
      <c r="Z743" s="13">
        <f t="shared" ca="1" si="240"/>
        <v>49588.256250000006</v>
      </c>
      <c r="AA743" s="4">
        <f t="shared" ca="1" si="241"/>
        <v>0</v>
      </c>
    </row>
    <row r="744" spans="1:27">
      <c r="A744">
        <v>1</v>
      </c>
      <c r="B744">
        <v>2</v>
      </c>
      <c r="C744">
        <f t="shared" ca="1" si="242"/>
        <v>5</v>
      </c>
      <c r="D744">
        <f t="shared" ca="1" si="243"/>
        <v>4</v>
      </c>
      <c r="E744">
        <f t="shared" ca="1" si="244"/>
        <v>1</v>
      </c>
      <c r="F744" s="110">
        <f t="shared" ca="1" si="245"/>
        <v>0</v>
      </c>
      <c r="G744">
        <v>1</v>
      </c>
      <c r="H744">
        <v>1</v>
      </c>
      <c r="I744">
        <v>6</v>
      </c>
      <c r="J744" s="1">
        <f t="shared" ca="1" si="246"/>
        <v>0</v>
      </c>
      <c r="K744" s="1">
        <f t="shared" ca="1" si="247"/>
        <v>0</v>
      </c>
      <c r="L744" s="13">
        <f t="shared" ca="1" si="248"/>
        <v>682</v>
      </c>
      <c r="M744" s="7">
        <f t="shared" ca="1" si="249"/>
        <v>818</v>
      </c>
      <c r="N744" s="26">
        <f t="shared" ca="1" si="250"/>
        <v>3</v>
      </c>
      <c r="O744" s="44">
        <f t="shared" ca="1" si="251"/>
        <v>2.2758855914378953</v>
      </c>
      <c r="P744" s="44">
        <f t="shared" ca="1" si="252"/>
        <v>22.758855914378952</v>
      </c>
      <c r="Q744" s="44">
        <f t="shared" ca="1" si="253"/>
        <v>22.758855914378952</v>
      </c>
      <c r="R744" s="44">
        <f t="shared" ca="1" si="254"/>
        <v>2.2758855914378953</v>
      </c>
      <c r="S744" s="44">
        <f t="shared" ca="1" si="255"/>
        <v>2.2758855914378953</v>
      </c>
      <c r="T744" s="4">
        <f t="shared" ca="1" si="256"/>
        <v>0</v>
      </c>
      <c r="U744" s="120">
        <f t="shared" ca="1" si="257"/>
        <v>2198.0063598009133</v>
      </c>
      <c r="V744" s="4">
        <f t="shared" ca="1" si="258"/>
        <v>0</v>
      </c>
      <c r="W744" s="13">
        <f t="shared" ca="1" si="259"/>
        <v>46815.131250000006</v>
      </c>
      <c r="X744" s="4">
        <f t="shared" ca="1" si="260"/>
        <v>0</v>
      </c>
      <c r="Y744" s="4">
        <f t="shared" si="261"/>
        <v>0</v>
      </c>
      <c r="Z744" s="13">
        <f t="shared" ref="Z744:Z807" ca="1" si="262">Y744+W744</f>
        <v>46815.131250000006</v>
      </c>
      <c r="AA744" s="4">
        <f t="shared" ref="AA744:AA807" ca="1" si="263">Z744*K744</f>
        <v>0</v>
      </c>
    </row>
    <row r="745" spans="1:27">
      <c r="A745">
        <v>1</v>
      </c>
      <c r="B745">
        <v>2</v>
      </c>
      <c r="C745">
        <f t="shared" ca="1" si="242"/>
        <v>5</v>
      </c>
      <c r="D745">
        <f t="shared" ca="1" si="243"/>
        <v>4</v>
      </c>
      <c r="E745">
        <f t="shared" ca="1" si="244"/>
        <v>1</v>
      </c>
      <c r="F745" s="110">
        <f t="shared" ca="1" si="245"/>
        <v>0</v>
      </c>
      <c r="G745">
        <v>1</v>
      </c>
      <c r="H745">
        <v>1</v>
      </c>
      <c r="I745">
        <v>5</v>
      </c>
      <c r="J745" s="1">
        <f t="shared" ca="1" si="246"/>
        <v>0</v>
      </c>
      <c r="K745" s="1">
        <f t="shared" ca="1" si="247"/>
        <v>0</v>
      </c>
      <c r="L745" s="13">
        <f t="shared" ca="1" si="248"/>
        <v>663</v>
      </c>
      <c r="M745" s="7">
        <f t="shared" ca="1" si="249"/>
        <v>837</v>
      </c>
      <c r="N745" s="26">
        <f t="shared" ca="1" si="250"/>
        <v>3</v>
      </c>
      <c r="O745" s="44">
        <f t="shared" ca="1" si="251"/>
        <v>2.2758855914378953</v>
      </c>
      <c r="P745" s="44">
        <f t="shared" ca="1" si="252"/>
        <v>22.758855914378952</v>
      </c>
      <c r="Q745" s="44">
        <f t="shared" ca="1" si="253"/>
        <v>22.758855914378952</v>
      </c>
      <c r="R745" s="44">
        <f t="shared" ca="1" si="254"/>
        <v>2.2758855914378953</v>
      </c>
      <c r="S745" s="44">
        <f t="shared" ca="1" si="255"/>
        <v>2.2758855914378953</v>
      </c>
      <c r="T745" s="4">
        <f t="shared" ca="1" si="256"/>
        <v>0</v>
      </c>
      <c r="U745" s="120">
        <f t="shared" ca="1" si="257"/>
        <v>2179.0063598009133</v>
      </c>
      <c r="V745" s="4">
        <f t="shared" ca="1" si="258"/>
        <v>0</v>
      </c>
      <c r="W745" s="13">
        <f t="shared" ca="1" si="259"/>
        <v>44042.006250000006</v>
      </c>
      <c r="X745" s="4">
        <f t="shared" ca="1" si="260"/>
        <v>0</v>
      </c>
      <c r="Y745" s="4">
        <f t="shared" si="261"/>
        <v>0</v>
      </c>
      <c r="Z745" s="13">
        <f t="shared" ca="1" si="262"/>
        <v>44042.006250000006</v>
      </c>
      <c r="AA745" s="4">
        <f t="shared" ca="1" si="263"/>
        <v>0</v>
      </c>
    </row>
    <row r="746" spans="1:27">
      <c r="A746">
        <v>1</v>
      </c>
      <c r="B746">
        <v>2</v>
      </c>
      <c r="C746">
        <f t="shared" ca="1" si="242"/>
        <v>5</v>
      </c>
      <c r="D746">
        <f t="shared" ca="1" si="243"/>
        <v>4</v>
      </c>
      <c r="E746">
        <f t="shared" ca="1" si="244"/>
        <v>1</v>
      </c>
      <c r="F746" s="110">
        <f t="shared" ca="1" si="245"/>
        <v>0</v>
      </c>
      <c r="G746">
        <v>1</v>
      </c>
      <c r="H746">
        <v>1</v>
      </c>
      <c r="I746">
        <v>4</v>
      </c>
      <c r="J746" s="1">
        <f t="shared" ca="1" si="246"/>
        <v>0</v>
      </c>
      <c r="K746" s="1">
        <f t="shared" ca="1" si="247"/>
        <v>0</v>
      </c>
      <c r="L746" s="13">
        <f t="shared" ca="1" si="248"/>
        <v>644</v>
      </c>
      <c r="M746" s="7">
        <f t="shared" ca="1" si="249"/>
        <v>856</v>
      </c>
      <c r="N746" s="26">
        <f t="shared" ca="1" si="250"/>
        <v>3</v>
      </c>
      <c r="O746" s="44">
        <f t="shared" ca="1" si="251"/>
        <v>2.2758855914378953</v>
      </c>
      <c r="P746" s="44">
        <f t="shared" ca="1" si="252"/>
        <v>22.758855914378952</v>
      </c>
      <c r="Q746" s="44">
        <f t="shared" ca="1" si="253"/>
        <v>22.758855914378952</v>
      </c>
      <c r="R746" s="44">
        <f t="shared" ca="1" si="254"/>
        <v>2.2758855914378953</v>
      </c>
      <c r="S746" s="44">
        <f t="shared" ca="1" si="255"/>
        <v>2.2758855914378953</v>
      </c>
      <c r="T746" s="4">
        <f t="shared" ca="1" si="256"/>
        <v>0</v>
      </c>
      <c r="U746" s="120">
        <f t="shared" ca="1" si="257"/>
        <v>2160.0063598009133</v>
      </c>
      <c r="V746" s="4">
        <f t="shared" ca="1" si="258"/>
        <v>0</v>
      </c>
      <c r="W746" s="13">
        <f t="shared" ca="1" si="259"/>
        <v>41268.881250000006</v>
      </c>
      <c r="X746" s="4">
        <f t="shared" ca="1" si="260"/>
        <v>0</v>
      </c>
      <c r="Y746" s="4">
        <f t="shared" si="261"/>
        <v>0</v>
      </c>
      <c r="Z746" s="13">
        <f t="shared" ca="1" si="262"/>
        <v>41268.881250000006</v>
      </c>
      <c r="AA746" s="4">
        <f t="shared" ca="1" si="263"/>
        <v>0</v>
      </c>
    </row>
    <row r="747" spans="1:27">
      <c r="A747">
        <v>1</v>
      </c>
      <c r="B747">
        <v>2</v>
      </c>
      <c r="C747">
        <f t="shared" ca="1" si="242"/>
        <v>5</v>
      </c>
      <c r="D747">
        <f t="shared" ca="1" si="243"/>
        <v>4</v>
      </c>
      <c r="E747">
        <f t="shared" ca="1" si="244"/>
        <v>1</v>
      </c>
      <c r="F747" s="110">
        <f t="shared" ca="1" si="245"/>
        <v>0</v>
      </c>
      <c r="G747">
        <v>1</v>
      </c>
      <c r="H747">
        <v>1</v>
      </c>
      <c r="I747">
        <v>3</v>
      </c>
      <c r="J747" s="1">
        <f t="shared" ca="1" si="246"/>
        <v>0</v>
      </c>
      <c r="K747" s="1">
        <f t="shared" ca="1" si="247"/>
        <v>0</v>
      </c>
      <c r="L747" s="13">
        <f t="shared" ca="1" si="248"/>
        <v>625</v>
      </c>
      <c r="M747" s="7">
        <f t="shared" ca="1" si="249"/>
        <v>875</v>
      </c>
      <c r="N747" s="26">
        <f t="shared" ca="1" si="250"/>
        <v>3</v>
      </c>
      <c r="O747" s="44">
        <f t="shared" ca="1" si="251"/>
        <v>2.2758855914378953</v>
      </c>
      <c r="P747" s="44">
        <f t="shared" ca="1" si="252"/>
        <v>22.758855914378952</v>
      </c>
      <c r="Q747" s="44">
        <f t="shared" ca="1" si="253"/>
        <v>22.758855914378952</v>
      </c>
      <c r="R747" s="44">
        <f t="shared" ca="1" si="254"/>
        <v>2.2758855914378953</v>
      </c>
      <c r="S747" s="44">
        <f t="shared" ca="1" si="255"/>
        <v>2.2758855914378953</v>
      </c>
      <c r="T747" s="4">
        <f t="shared" ca="1" si="256"/>
        <v>0</v>
      </c>
      <c r="U747" s="120">
        <f t="shared" ca="1" si="257"/>
        <v>2141.0063598009133</v>
      </c>
      <c r="V747" s="4">
        <f t="shared" ca="1" si="258"/>
        <v>0</v>
      </c>
      <c r="W747" s="13">
        <f t="shared" ca="1" si="259"/>
        <v>38495.756250000006</v>
      </c>
      <c r="X747" s="4">
        <f t="shared" ca="1" si="260"/>
        <v>0</v>
      </c>
      <c r="Y747" s="4">
        <f t="shared" si="261"/>
        <v>0</v>
      </c>
      <c r="Z747" s="13">
        <f t="shared" ca="1" si="262"/>
        <v>38495.756250000006</v>
      </c>
      <c r="AA747" s="4">
        <f t="shared" ca="1" si="263"/>
        <v>0</v>
      </c>
    </row>
    <row r="748" spans="1:27">
      <c r="A748">
        <v>1</v>
      </c>
      <c r="B748">
        <v>2</v>
      </c>
      <c r="C748">
        <f t="shared" ca="1" si="242"/>
        <v>5</v>
      </c>
      <c r="D748">
        <f t="shared" ca="1" si="243"/>
        <v>4</v>
      </c>
      <c r="E748">
        <f t="shared" ca="1" si="244"/>
        <v>1</v>
      </c>
      <c r="F748" s="110">
        <f t="shared" ca="1" si="245"/>
        <v>0</v>
      </c>
      <c r="G748">
        <v>1</v>
      </c>
      <c r="H748">
        <v>1</v>
      </c>
      <c r="I748">
        <v>2</v>
      </c>
      <c r="J748" s="1">
        <f t="shared" ca="1" si="246"/>
        <v>0</v>
      </c>
      <c r="K748" s="1">
        <f t="shared" ca="1" si="247"/>
        <v>0</v>
      </c>
      <c r="L748" s="13">
        <f t="shared" ca="1" si="248"/>
        <v>606</v>
      </c>
      <c r="M748" s="7">
        <f t="shared" ca="1" si="249"/>
        <v>894</v>
      </c>
      <c r="N748" s="26">
        <f t="shared" ca="1" si="250"/>
        <v>3</v>
      </c>
      <c r="O748" s="44">
        <f t="shared" ca="1" si="251"/>
        <v>2.2758855914378953</v>
      </c>
      <c r="P748" s="44">
        <f t="shared" ca="1" si="252"/>
        <v>22.758855914378952</v>
      </c>
      <c r="Q748" s="44">
        <f t="shared" ca="1" si="253"/>
        <v>22.758855914378952</v>
      </c>
      <c r="R748" s="44">
        <f t="shared" ca="1" si="254"/>
        <v>2.2758855914378953</v>
      </c>
      <c r="S748" s="44">
        <f t="shared" ca="1" si="255"/>
        <v>2.2758855914378953</v>
      </c>
      <c r="T748" s="4">
        <f t="shared" ca="1" si="256"/>
        <v>0</v>
      </c>
      <c r="U748" s="120">
        <f t="shared" ca="1" si="257"/>
        <v>2122.0063598009133</v>
      </c>
      <c r="V748" s="4">
        <f t="shared" ca="1" si="258"/>
        <v>0</v>
      </c>
      <c r="W748" s="13">
        <f t="shared" ca="1" si="259"/>
        <v>35722.631250000006</v>
      </c>
      <c r="X748" s="4">
        <f t="shared" ca="1" si="260"/>
        <v>0</v>
      </c>
      <c r="Y748" s="4">
        <f t="shared" si="261"/>
        <v>0</v>
      </c>
      <c r="Z748" s="13">
        <f t="shared" ca="1" si="262"/>
        <v>35722.631250000006</v>
      </c>
      <c r="AA748" s="4">
        <f t="shared" ca="1" si="263"/>
        <v>0</v>
      </c>
    </row>
    <row r="749" spans="1:27">
      <c r="A749">
        <v>1</v>
      </c>
      <c r="B749">
        <v>2</v>
      </c>
      <c r="C749">
        <f t="shared" ca="1" si="242"/>
        <v>5</v>
      </c>
      <c r="D749">
        <f t="shared" ca="1" si="243"/>
        <v>4</v>
      </c>
      <c r="E749">
        <f t="shared" ca="1" si="244"/>
        <v>1</v>
      </c>
      <c r="F749" s="110">
        <f t="shared" ca="1" si="245"/>
        <v>0</v>
      </c>
      <c r="G749">
        <v>1</v>
      </c>
      <c r="H749">
        <v>1</v>
      </c>
      <c r="I749">
        <v>1</v>
      </c>
      <c r="J749" s="1">
        <f t="shared" ca="1" si="246"/>
        <v>0</v>
      </c>
      <c r="K749" s="1">
        <f t="shared" ca="1" si="247"/>
        <v>0</v>
      </c>
      <c r="L749" s="13">
        <f t="shared" ca="1" si="248"/>
        <v>587</v>
      </c>
      <c r="M749" s="7">
        <f t="shared" ca="1" si="249"/>
        <v>913</v>
      </c>
      <c r="N749" s="26">
        <f t="shared" ca="1" si="250"/>
        <v>3</v>
      </c>
      <c r="O749" s="44">
        <f t="shared" ca="1" si="251"/>
        <v>2.2758855914378953</v>
      </c>
      <c r="P749" s="44">
        <f t="shared" ca="1" si="252"/>
        <v>22.758855914378952</v>
      </c>
      <c r="Q749" s="44">
        <f t="shared" ca="1" si="253"/>
        <v>22.758855914378952</v>
      </c>
      <c r="R749" s="44">
        <f t="shared" ca="1" si="254"/>
        <v>2.2758855914378953</v>
      </c>
      <c r="S749" s="44">
        <f t="shared" ca="1" si="255"/>
        <v>2.2758855914378953</v>
      </c>
      <c r="T749" s="4">
        <f t="shared" ca="1" si="256"/>
        <v>0</v>
      </c>
      <c r="U749" s="120">
        <f t="shared" ca="1" si="257"/>
        <v>2103.0063598009133</v>
      </c>
      <c r="V749" s="4">
        <f t="shared" ca="1" si="258"/>
        <v>0</v>
      </c>
      <c r="W749" s="13">
        <f t="shared" ca="1" si="259"/>
        <v>32949.506250000006</v>
      </c>
      <c r="X749" s="4">
        <f t="shared" ca="1" si="260"/>
        <v>0</v>
      </c>
      <c r="Y749" s="4">
        <f t="shared" si="261"/>
        <v>0</v>
      </c>
      <c r="Z749" s="13">
        <f t="shared" ca="1" si="262"/>
        <v>32949.506250000006</v>
      </c>
      <c r="AA749" s="4">
        <f t="shared" ca="1" si="263"/>
        <v>0</v>
      </c>
    </row>
    <row r="750" spans="1:27">
      <c r="A750">
        <v>1</v>
      </c>
      <c r="B750">
        <v>2</v>
      </c>
      <c r="C750">
        <f t="shared" ca="1" si="242"/>
        <v>5</v>
      </c>
      <c r="D750">
        <f t="shared" ca="1" si="243"/>
        <v>4</v>
      </c>
      <c r="E750">
        <f t="shared" ca="1" si="244"/>
        <v>1</v>
      </c>
      <c r="F750" s="110">
        <f t="shared" ca="1" si="245"/>
        <v>0</v>
      </c>
      <c r="G750">
        <v>1</v>
      </c>
      <c r="H750">
        <v>1</v>
      </c>
      <c r="I750">
        <v>0</v>
      </c>
      <c r="J750" s="1">
        <f t="shared" ca="1" si="246"/>
        <v>0</v>
      </c>
      <c r="K750" s="1">
        <f t="shared" ca="1" si="247"/>
        <v>0</v>
      </c>
      <c r="L750" s="13">
        <f t="shared" ca="1" si="248"/>
        <v>568</v>
      </c>
      <c r="M750" s="7">
        <f t="shared" ca="1" si="249"/>
        <v>932</v>
      </c>
      <c r="N750" s="26">
        <f t="shared" ca="1" si="250"/>
        <v>3</v>
      </c>
      <c r="O750" s="44">
        <f t="shared" ca="1" si="251"/>
        <v>2.2758855914378953</v>
      </c>
      <c r="P750" s="44">
        <f t="shared" ca="1" si="252"/>
        <v>22.758855914378952</v>
      </c>
      <c r="Q750" s="44">
        <f t="shared" ca="1" si="253"/>
        <v>22.758855914378952</v>
      </c>
      <c r="R750" s="44">
        <f t="shared" ca="1" si="254"/>
        <v>2.2758855914378953</v>
      </c>
      <c r="S750" s="44">
        <f t="shared" ca="1" si="255"/>
        <v>2.2758855914378953</v>
      </c>
      <c r="T750" s="4">
        <f t="shared" ca="1" si="256"/>
        <v>0</v>
      </c>
      <c r="U750" s="120">
        <f t="shared" ca="1" si="257"/>
        <v>2084.0063598009133</v>
      </c>
      <c r="V750" s="4">
        <f t="shared" ca="1" si="258"/>
        <v>0</v>
      </c>
      <c r="W750" s="13">
        <f t="shared" ca="1" si="259"/>
        <v>30176.381250000002</v>
      </c>
      <c r="X750" s="4">
        <f t="shared" ca="1" si="260"/>
        <v>0</v>
      </c>
      <c r="Y750" s="4">
        <f t="shared" si="261"/>
        <v>0</v>
      </c>
      <c r="Z750" s="13">
        <f t="shared" ca="1" si="262"/>
        <v>30176.381250000002</v>
      </c>
      <c r="AA750" s="4">
        <f t="shared" ca="1" si="263"/>
        <v>0</v>
      </c>
    </row>
    <row r="751" spans="1:27">
      <c r="A751">
        <v>1</v>
      </c>
      <c r="B751">
        <v>2</v>
      </c>
      <c r="C751">
        <f t="shared" ca="1" si="242"/>
        <v>5</v>
      </c>
      <c r="D751">
        <f t="shared" ca="1" si="243"/>
        <v>4</v>
      </c>
      <c r="E751">
        <f t="shared" ca="1" si="244"/>
        <v>1</v>
      </c>
      <c r="F751" s="110">
        <f t="shared" ca="1" si="245"/>
        <v>0</v>
      </c>
      <c r="G751">
        <v>1</v>
      </c>
      <c r="H751">
        <v>0</v>
      </c>
      <c r="I751">
        <v>7</v>
      </c>
      <c r="J751" s="1">
        <f t="shared" ca="1" si="246"/>
        <v>0</v>
      </c>
      <c r="K751" s="1">
        <f t="shared" ca="1" si="247"/>
        <v>0</v>
      </c>
      <c r="L751" s="13">
        <f t="shared" ca="1" si="248"/>
        <v>417</v>
      </c>
      <c r="M751" s="7">
        <f t="shared" ca="1" si="249"/>
        <v>1083</v>
      </c>
      <c r="N751" s="26">
        <f t="shared" ca="1" si="250"/>
        <v>4</v>
      </c>
      <c r="O751" s="44">
        <f t="shared" ca="1" si="251"/>
        <v>2.8908103757121246</v>
      </c>
      <c r="P751" s="44">
        <f t="shared" ca="1" si="252"/>
        <v>28.908103757121246</v>
      </c>
      <c r="Q751" s="44">
        <f t="shared" ca="1" si="253"/>
        <v>28.908103757121246</v>
      </c>
      <c r="R751" s="44">
        <f t="shared" ca="1" si="254"/>
        <v>2.8908103757121246</v>
      </c>
      <c r="S751" s="44">
        <f t="shared" ca="1" si="255"/>
        <v>2.8908103757121246</v>
      </c>
      <c r="T751" s="4">
        <f t="shared" ca="1" si="256"/>
        <v>0</v>
      </c>
      <c r="U751" s="120">
        <f t="shared" ca="1" si="257"/>
        <v>2268.675062040129</v>
      </c>
      <c r="V751" s="4">
        <f t="shared" ca="1" si="258"/>
        <v>0</v>
      </c>
      <c r="W751" s="13">
        <f t="shared" ca="1" si="259"/>
        <v>49588.256250000006</v>
      </c>
      <c r="X751" s="4">
        <f t="shared" ca="1" si="260"/>
        <v>0</v>
      </c>
      <c r="Y751" s="4">
        <f t="shared" si="261"/>
        <v>0</v>
      </c>
      <c r="Z751" s="13">
        <f t="shared" ca="1" si="262"/>
        <v>49588.256250000006</v>
      </c>
      <c r="AA751" s="4">
        <f t="shared" ca="1" si="263"/>
        <v>0</v>
      </c>
    </row>
    <row r="752" spans="1:27">
      <c r="A752">
        <v>1</v>
      </c>
      <c r="B752">
        <v>2</v>
      </c>
      <c r="C752">
        <f t="shared" ca="1" si="242"/>
        <v>5</v>
      </c>
      <c r="D752">
        <f t="shared" ca="1" si="243"/>
        <v>4</v>
      </c>
      <c r="E752">
        <f t="shared" ca="1" si="244"/>
        <v>1</v>
      </c>
      <c r="F752" s="110">
        <f t="shared" ca="1" si="245"/>
        <v>0</v>
      </c>
      <c r="G752">
        <v>1</v>
      </c>
      <c r="H752">
        <v>0</v>
      </c>
      <c r="I752">
        <v>6</v>
      </c>
      <c r="J752" s="1">
        <f t="shared" ca="1" si="246"/>
        <v>0</v>
      </c>
      <c r="K752" s="1">
        <f t="shared" ca="1" si="247"/>
        <v>0</v>
      </c>
      <c r="L752" s="13">
        <f t="shared" ca="1" si="248"/>
        <v>398</v>
      </c>
      <c r="M752" s="7">
        <f t="shared" ca="1" si="249"/>
        <v>1102</v>
      </c>
      <c r="N752" s="26">
        <f t="shared" ca="1" si="250"/>
        <v>4</v>
      </c>
      <c r="O752" s="44">
        <f t="shared" ca="1" si="251"/>
        <v>2.8908103757121246</v>
      </c>
      <c r="P752" s="44">
        <f t="shared" ca="1" si="252"/>
        <v>28.908103757121246</v>
      </c>
      <c r="Q752" s="44">
        <f t="shared" ca="1" si="253"/>
        <v>28.908103757121246</v>
      </c>
      <c r="R752" s="44">
        <f t="shared" ca="1" si="254"/>
        <v>2.8908103757121246</v>
      </c>
      <c r="S752" s="44">
        <f t="shared" ca="1" si="255"/>
        <v>2.8908103757121246</v>
      </c>
      <c r="T752" s="4">
        <f t="shared" ca="1" si="256"/>
        <v>0</v>
      </c>
      <c r="U752" s="120">
        <f t="shared" ca="1" si="257"/>
        <v>2249.675062040129</v>
      </c>
      <c r="V752" s="4">
        <f t="shared" ca="1" si="258"/>
        <v>0</v>
      </c>
      <c r="W752" s="13">
        <f t="shared" ca="1" si="259"/>
        <v>46815.131250000006</v>
      </c>
      <c r="X752" s="4">
        <f t="shared" ca="1" si="260"/>
        <v>0</v>
      </c>
      <c r="Y752" s="4">
        <f t="shared" si="261"/>
        <v>0</v>
      </c>
      <c r="Z752" s="13">
        <f t="shared" ca="1" si="262"/>
        <v>46815.131250000006</v>
      </c>
      <c r="AA752" s="4">
        <f t="shared" ca="1" si="263"/>
        <v>0</v>
      </c>
    </row>
    <row r="753" spans="1:27">
      <c r="A753">
        <v>1</v>
      </c>
      <c r="B753">
        <v>2</v>
      </c>
      <c r="C753">
        <f t="shared" ca="1" si="242"/>
        <v>5</v>
      </c>
      <c r="D753">
        <f t="shared" ca="1" si="243"/>
        <v>4</v>
      </c>
      <c r="E753">
        <f t="shared" ca="1" si="244"/>
        <v>1</v>
      </c>
      <c r="F753" s="110">
        <f t="shared" ca="1" si="245"/>
        <v>0</v>
      </c>
      <c r="G753">
        <v>1</v>
      </c>
      <c r="H753">
        <v>0</v>
      </c>
      <c r="I753">
        <v>5</v>
      </c>
      <c r="J753" s="1">
        <f t="shared" ca="1" si="246"/>
        <v>0</v>
      </c>
      <c r="K753" s="1">
        <f t="shared" ca="1" si="247"/>
        <v>0</v>
      </c>
      <c r="L753" s="13">
        <f t="shared" ca="1" si="248"/>
        <v>379</v>
      </c>
      <c r="M753" s="7">
        <f t="shared" ca="1" si="249"/>
        <v>1121</v>
      </c>
      <c r="N753" s="26">
        <f t="shared" ca="1" si="250"/>
        <v>4</v>
      </c>
      <c r="O753" s="44">
        <f t="shared" ca="1" si="251"/>
        <v>2.8908103757121246</v>
      </c>
      <c r="P753" s="44">
        <f t="shared" ca="1" si="252"/>
        <v>28.908103757121246</v>
      </c>
      <c r="Q753" s="44">
        <f t="shared" ca="1" si="253"/>
        <v>28.908103757121246</v>
      </c>
      <c r="R753" s="44">
        <f t="shared" ca="1" si="254"/>
        <v>2.8908103757121246</v>
      </c>
      <c r="S753" s="44">
        <f t="shared" ca="1" si="255"/>
        <v>2.8908103757121246</v>
      </c>
      <c r="T753" s="4">
        <f t="shared" ca="1" si="256"/>
        <v>0</v>
      </c>
      <c r="U753" s="120">
        <f t="shared" ca="1" si="257"/>
        <v>2230.675062040129</v>
      </c>
      <c r="V753" s="4">
        <f t="shared" ca="1" si="258"/>
        <v>0</v>
      </c>
      <c r="W753" s="13">
        <f t="shared" ca="1" si="259"/>
        <v>44042.006250000006</v>
      </c>
      <c r="X753" s="4">
        <f t="shared" ca="1" si="260"/>
        <v>0</v>
      </c>
      <c r="Y753" s="4">
        <f t="shared" si="261"/>
        <v>0</v>
      </c>
      <c r="Z753" s="13">
        <f t="shared" ca="1" si="262"/>
        <v>44042.006250000006</v>
      </c>
      <c r="AA753" s="4">
        <f t="shared" ca="1" si="263"/>
        <v>0</v>
      </c>
    </row>
    <row r="754" spans="1:27">
      <c r="A754">
        <v>1</v>
      </c>
      <c r="B754">
        <v>2</v>
      </c>
      <c r="C754">
        <f t="shared" ca="1" si="242"/>
        <v>5</v>
      </c>
      <c r="D754">
        <f t="shared" ca="1" si="243"/>
        <v>4</v>
      </c>
      <c r="E754">
        <f t="shared" ca="1" si="244"/>
        <v>1</v>
      </c>
      <c r="F754" s="110">
        <f t="shared" ca="1" si="245"/>
        <v>0</v>
      </c>
      <c r="G754">
        <v>1</v>
      </c>
      <c r="H754">
        <v>0</v>
      </c>
      <c r="I754">
        <v>4</v>
      </c>
      <c r="J754" s="1">
        <f t="shared" ca="1" si="246"/>
        <v>0.77378093749999999</v>
      </c>
      <c r="K754" s="1">
        <f t="shared" ca="1" si="247"/>
        <v>0</v>
      </c>
      <c r="L754" s="13">
        <f t="shared" ca="1" si="248"/>
        <v>360</v>
      </c>
      <c r="M754" s="7">
        <f t="shared" ca="1" si="249"/>
        <v>1140</v>
      </c>
      <c r="N754" s="26">
        <f t="shared" ca="1" si="250"/>
        <v>4</v>
      </c>
      <c r="O754" s="44">
        <f t="shared" ca="1" si="251"/>
        <v>2.8908103757121246</v>
      </c>
      <c r="P754" s="44">
        <f t="shared" ca="1" si="252"/>
        <v>28.908103757121246</v>
      </c>
      <c r="Q754" s="44">
        <f t="shared" ca="1" si="253"/>
        <v>28.908103757121246</v>
      </c>
      <c r="R754" s="44">
        <f t="shared" ca="1" si="254"/>
        <v>2.8908103757121246</v>
      </c>
      <c r="S754" s="44">
        <f t="shared" ca="1" si="255"/>
        <v>2.8908103757121246</v>
      </c>
      <c r="T754" s="4">
        <f t="shared" ca="1" si="256"/>
        <v>0</v>
      </c>
      <c r="U754" s="120">
        <f t="shared" ca="1" si="257"/>
        <v>2211.675062040129</v>
      </c>
      <c r="V754" s="4">
        <f t="shared" ca="1" si="258"/>
        <v>0</v>
      </c>
      <c r="W754" s="13">
        <f t="shared" ca="1" si="259"/>
        <v>41268.881250000006</v>
      </c>
      <c r="X754" s="4">
        <f t="shared" ca="1" si="260"/>
        <v>0</v>
      </c>
      <c r="Y754" s="4">
        <f t="shared" si="261"/>
        <v>0</v>
      </c>
      <c r="Z754" s="13">
        <f t="shared" ca="1" si="262"/>
        <v>41268.881250000006</v>
      </c>
      <c r="AA754" s="4">
        <f t="shared" ca="1" si="263"/>
        <v>0</v>
      </c>
    </row>
    <row r="755" spans="1:27">
      <c r="A755">
        <v>1</v>
      </c>
      <c r="B755">
        <v>2</v>
      </c>
      <c r="C755">
        <f t="shared" ca="1" si="242"/>
        <v>5</v>
      </c>
      <c r="D755">
        <f t="shared" ca="1" si="243"/>
        <v>4</v>
      </c>
      <c r="E755">
        <f t="shared" ca="1" si="244"/>
        <v>1</v>
      </c>
      <c r="F755" s="110">
        <f t="shared" ca="1" si="245"/>
        <v>0</v>
      </c>
      <c r="G755">
        <v>1</v>
      </c>
      <c r="H755">
        <v>0</v>
      </c>
      <c r="I755">
        <v>3</v>
      </c>
      <c r="J755" s="1">
        <f t="shared" ca="1" si="246"/>
        <v>0.16290125000000011</v>
      </c>
      <c r="K755" s="1">
        <f t="shared" ca="1" si="247"/>
        <v>0</v>
      </c>
      <c r="L755" s="13">
        <f t="shared" ca="1" si="248"/>
        <v>341</v>
      </c>
      <c r="M755" s="7">
        <f t="shared" ca="1" si="249"/>
        <v>1159</v>
      </c>
      <c r="N755" s="26">
        <f t="shared" ca="1" si="250"/>
        <v>4</v>
      </c>
      <c r="O755" s="44">
        <f t="shared" ca="1" si="251"/>
        <v>2.8908103757121246</v>
      </c>
      <c r="P755" s="44">
        <f t="shared" ca="1" si="252"/>
        <v>28.908103757121246</v>
      </c>
      <c r="Q755" s="44">
        <f t="shared" ca="1" si="253"/>
        <v>28.908103757121246</v>
      </c>
      <c r="R755" s="44">
        <f t="shared" ca="1" si="254"/>
        <v>2.8908103757121246</v>
      </c>
      <c r="S755" s="44">
        <f t="shared" ca="1" si="255"/>
        <v>2.8908103757121246</v>
      </c>
      <c r="T755" s="4">
        <f t="shared" ca="1" si="256"/>
        <v>0</v>
      </c>
      <c r="U755" s="120">
        <f t="shared" ca="1" si="257"/>
        <v>2192.675062040129</v>
      </c>
      <c r="V755" s="4">
        <f t="shared" ca="1" si="258"/>
        <v>0</v>
      </c>
      <c r="W755" s="13">
        <f t="shared" ca="1" si="259"/>
        <v>38495.756250000006</v>
      </c>
      <c r="X755" s="4">
        <f t="shared" ca="1" si="260"/>
        <v>0</v>
      </c>
      <c r="Y755" s="4">
        <f t="shared" si="261"/>
        <v>0</v>
      </c>
      <c r="Z755" s="13">
        <f t="shared" ca="1" si="262"/>
        <v>38495.756250000006</v>
      </c>
      <c r="AA755" s="4">
        <f t="shared" ca="1" si="263"/>
        <v>0</v>
      </c>
    </row>
    <row r="756" spans="1:27">
      <c r="A756">
        <v>1</v>
      </c>
      <c r="B756">
        <v>2</v>
      </c>
      <c r="C756">
        <f t="shared" ca="1" si="242"/>
        <v>5</v>
      </c>
      <c r="D756">
        <f t="shared" ca="1" si="243"/>
        <v>4</v>
      </c>
      <c r="E756">
        <f t="shared" ca="1" si="244"/>
        <v>1</v>
      </c>
      <c r="F756" s="110">
        <f t="shared" ca="1" si="245"/>
        <v>0</v>
      </c>
      <c r="G756">
        <v>1</v>
      </c>
      <c r="H756">
        <v>0</v>
      </c>
      <c r="I756">
        <v>2</v>
      </c>
      <c r="J756" s="1">
        <f t="shared" ca="1" si="246"/>
        <v>1.2860625000000021E-2</v>
      </c>
      <c r="K756" s="1">
        <f t="shared" ca="1" si="247"/>
        <v>0</v>
      </c>
      <c r="L756" s="13">
        <f t="shared" ca="1" si="248"/>
        <v>322</v>
      </c>
      <c r="M756" s="7">
        <f t="shared" ca="1" si="249"/>
        <v>1178</v>
      </c>
      <c r="N756" s="26">
        <f t="shared" ca="1" si="250"/>
        <v>4</v>
      </c>
      <c r="O756" s="44">
        <f t="shared" ca="1" si="251"/>
        <v>2.8908103757121246</v>
      </c>
      <c r="P756" s="44">
        <f t="shared" ca="1" si="252"/>
        <v>28.908103757121246</v>
      </c>
      <c r="Q756" s="44">
        <f t="shared" ca="1" si="253"/>
        <v>28.908103757121246</v>
      </c>
      <c r="R756" s="44">
        <f t="shared" ca="1" si="254"/>
        <v>2.8908103757121246</v>
      </c>
      <c r="S756" s="44">
        <f t="shared" ca="1" si="255"/>
        <v>2.8908103757121246</v>
      </c>
      <c r="T756" s="4">
        <f t="shared" ca="1" si="256"/>
        <v>0</v>
      </c>
      <c r="U756" s="120">
        <f t="shared" ca="1" si="257"/>
        <v>2173.675062040129</v>
      </c>
      <c r="V756" s="4">
        <f t="shared" ca="1" si="258"/>
        <v>0</v>
      </c>
      <c r="W756" s="13">
        <f t="shared" ca="1" si="259"/>
        <v>35722.631250000006</v>
      </c>
      <c r="X756" s="4">
        <f t="shared" ca="1" si="260"/>
        <v>0</v>
      </c>
      <c r="Y756" s="4">
        <f t="shared" si="261"/>
        <v>0</v>
      </c>
      <c r="Z756" s="13">
        <f t="shared" ca="1" si="262"/>
        <v>35722.631250000006</v>
      </c>
      <c r="AA756" s="4">
        <f t="shared" ca="1" si="263"/>
        <v>0</v>
      </c>
    </row>
    <row r="757" spans="1:27">
      <c r="A757">
        <v>1</v>
      </c>
      <c r="B757">
        <v>2</v>
      </c>
      <c r="C757">
        <f t="shared" ca="1" si="242"/>
        <v>5</v>
      </c>
      <c r="D757">
        <f t="shared" ca="1" si="243"/>
        <v>4</v>
      </c>
      <c r="E757">
        <f t="shared" ca="1" si="244"/>
        <v>1</v>
      </c>
      <c r="F757" s="110">
        <f t="shared" ca="1" si="245"/>
        <v>0</v>
      </c>
      <c r="G757">
        <v>1</v>
      </c>
      <c r="H757">
        <v>0</v>
      </c>
      <c r="I757">
        <v>1</v>
      </c>
      <c r="J757" s="1">
        <f t="shared" ca="1" si="246"/>
        <v>4.5125000000000118E-4</v>
      </c>
      <c r="K757" s="1">
        <f t="shared" ca="1" si="247"/>
        <v>0</v>
      </c>
      <c r="L757" s="13">
        <f t="shared" ca="1" si="248"/>
        <v>303</v>
      </c>
      <c r="M757" s="7">
        <f t="shared" ca="1" si="249"/>
        <v>1197</v>
      </c>
      <c r="N757" s="26">
        <f t="shared" ca="1" si="250"/>
        <v>4</v>
      </c>
      <c r="O757" s="44">
        <f t="shared" ca="1" si="251"/>
        <v>2.8908103757121246</v>
      </c>
      <c r="P757" s="44">
        <f t="shared" ca="1" si="252"/>
        <v>28.908103757121246</v>
      </c>
      <c r="Q757" s="44">
        <f t="shared" ca="1" si="253"/>
        <v>28.908103757121246</v>
      </c>
      <c r="R757" s="44">
        <f t="shared" ca="1" si="254"/>
        <v>2.8908103757121246</v>
      </c>
      <c r="S757" s="44">
        <f t="shared" ca="1" si="255"/>
        <v>2.8908103757121246</v>
      </c>
      <c r="T757" s="4">
        <f t="shared" ca="1" si="256"/>
        <v>0</v>
      </c>
      <c r="U757" s="120">
        <f t="shared" ca="1" si="257"/>
        <v>2154.675062040129</v>
      </c>
      <c r="V757" s="4">
        <f t="shared" ca="1" si="258"/>
        <v>0</v>
      </c>
      <c r="W757" s="13">
        <f t="shared" ca="1" si="259"/>
        <v>32949.506250000006</v>
      </c>
      <c r="X757" s="4">
        <f t="shared" ca="1" si="260"/>
        <v>0</v>
      </c>
      <c r="Y757" s="4">
        <f t="shared" si="261"/>
        <v>0</v>
      </c>
      <c r="Z757" s="13">
        <f t="shared" ca="1" si="262"/>
        <v>32949.506250000006</v>
      </c>
      <c r="AA757" s="4">
        <f t="shared" ca="1" si="263"/>
        <v>0</v>
      </c>
    </row>
    <row r="758" spans="1:27">
      <c r="A758">
        <v>1</v>
      </c>
      <c r="B758">
        <v>2</v>
      </c>
      <c r="C758">
        <f t="shared" ca="1" si="242"/>
        <v>5</v>
      </c>
      <c r="D758">
        <f t="shared" ca="1" si="243"/>
        <v>4</v>
      </c>
      <c r="E758">
        <f t="shared" ca="1" si="244"/>
        <v>1</v>
      </c>
      <c r="F758" s="110">
        <f t="shared" ca="1" si="245"/>
        <v>0</v>
      </c>
      <c r="G758">
        <v>1</v>
      </c>
      <c r="H758">
        <v>0</v>
      </c>
      <c r="I758">
        <v>0</v>
      </c>
      <c r="J758" s="1">
        <f t="shared" ca="1" si="246"/>
        <v>5.9375000000000207E-6</v>
      </c>
      <c r="K758" s="1">
        <f t="shared" ca="1" si="247"/>
        <v>0</v>
      </c>
      <c r="L758" s="13">
        <f t="shared" ca="1" si="248"/>
        <v>284</v>
      </c>
      <c r="M758" s="7">
        <f t="shared" ca="1" si="249"/>
        <v>1216</v>
      </c>
      <c r="N758" s="26">
        <f t="shared" ca="1" si="250"/>
        <v>4</v>
      </c>
      <c r="O758" s="44">
        <f t="shared" ca="1" si="251"/>
        <v>2.8908103757121246</v>
      </c>
      <c r="P758" s="44">
        <f t="shared" ca="1" si="252"/>
        <v>28.908103757121246</v>
      </c>
      <c r="Q758" s="44">
        <f t="shared" ca="1" si="253"/>
        <v>28.908103757121246</v>
      </c>
      <c r="R758" s="44">
        <f t="shared" ca="1" si="254"/>
        <v>2.8908103757121246</v>
      </c>
      <c r="S758" s="44">
        <f t="shared" ca="1" si="255"/>
        <v>2.8908103757121246</v>
      </c>
      <c r="T758" s="4">
        <f t="shared" ca="1" si="256"/>
        <v>0</v>
      </c>
      <c r="U758" s="120">
        <f t="shared" ca="1" si="257"/>
        <v>2135.675062040129</v>
      </c>
      <c r="V758" s="4">
        <f t="shared" ca="1" si="258"/>
        <v>0</v>
      </c>
      <c r="W758" s="13">
        <f t="shared" ca="1" si="259"/>
        <v>30176.381250000002</v>
      </c>
      <c r="X758" s="4">
        <f t="shared" ca="1" si="260"/>
        <v>0</v>
      </c>
      <c r="Y758" s="4">
        <f t="shared" si="261"/>
        <v>0</v>
      </c>
      <c r="Z758" s="13">
        <f t="shared" ca="1" si="262"/>
        <v>30176.381250000002</v>
      </c>
      <c r="AA758" s="4">
        <f t="shared" ca="1" si="263"/>
        <v>0</v>
      </c>
    </row>
    <row r="759" spans="1:27">
      <c r="A759">
        <v>1</v>
      </c>
      <c r="B759">
        <v>2</v>
      </c>
      <c r="C759">
        <f t="shared" ca="1" si="242"/>
        <v>5</v>
      </c>
      <c r="D759">
        <f t="shared" ca="1" si="243"/>
        <v>4</v>
      </c>
      <c r="E759">
        <f t="shared" ca="1" si="244"/>
        <v>1</v>
      </c>
      <c r="F759" s="110">
        <f t="shared" ca="1" si="245"/>
        <v>0</v>
      </c>
      <c r="G759">
        <v>0</v>
      </c>
      <c r="H759">
        <v>1</v>
      </c>
      <c r="I759">
        <v>7</v>
      </c>
      <c r="J759" s="1">
        <f t="shared" ca="1" si="246"/>
        <v>0</v>
      </c>
      <c r="K759" s="1">
        <f t="shared" ca="1" si="247"/>
        <v>0</v>
      </c>
      <c r="L759" s="13">
        <f t="shared" ca="1" si="248"/>
        <v>417</v>
      </c>
      <c r="M759" s="7">
        <f t="shared" ca="1" si="249"/>
        <v>1083</v>
      </c>
      <c r="N759" s="26">
        <f t="shared" ca="1" si="250"/>
        <v>4</v>
      </c>
      <c r="O759" s="44">
        <f t="shared" ca="1" si="251"/>
        <v>2.8908103757121246</v>
      </c>
      <c r="P759" s="44">
        <f t="shared" ca="1" si="252"/>
        <v>28.908103757121246</v>
      </c>
      <c r="Q759" s="44">
        <f t="shared" ca="1" si="253"/>
        <v>28.908103757121246</v>
      </c>
      <c r="R759" s="44">
        <f t="shared" ca="1" si="254"/>
        <v>2.8908103757121246</v>
      </c>
      <c r="S759" s="44">
        <f t="shared" ca="1" si="255"/>
        <v>2.8908103757121246</v>
      </c>
      <c r="T759" s="4">
        <f t="shared" ca="1" si="256"/>
        <v>0</v>
      </c>
      <c r="U759" s="120">
        <f t="shared" ca="1" si="257"/>
        <v>2268.675062040129</v>
      </c>
      <c r="V759" s="4">
        <f t="shared" ca="1" si="258"/>
        <v>0</v>
      </c>
      <c r="W759" s="13">
        <f t="shared" ca="1" si="259"/>
        <v>19411.875</v>
      </c>
      <c r="X759" s="4">
        <f t="shared" ca="1" si="260"/>
        <v>0</v>
      </c>
      <c r="Y759" s="4">
        <f t="shared" si="261"/>
        <v>0</v>
      </c>
      <c r="Z759" s="13">
        <f t="shared" ca="1" si="262"/>
        <v>19411.875</v>
      </c>
      <c r="AA759" s="4">
        <f t="shared" ca="1" si="263"/>
        <v>0</v>
      </c>
    </row>
    <row r="760" spans="1:27">
      <c r="A760">
        <v>1</v>
      </c>
      <c r="B760">
        <v>2</v>
      </c>
      <c r="C760">
        <f t="shared" ca="1" si="242"/>
        <v>5</v>
      </c>
      <c r="D760">
        <f t="shared" ca="1" si="243"/>
        <v>4</v>
      </c>
      <c r="E760">
        <f t="shared" ca="1" si="244"/>
        <v>1</v>
      </c>
      <c r="F760" s="110">
        <f t="shared" ca="1" si="245"/>
        <v>0</v>
      </c>
      <c r="G760">
        <v>0</v>
      </c>
      <c r="H760">
        <v>1</v>
      </c>
      <c r="I760">
        <v>6</v>
      </c>
      <c r="J760" s="1">
        <f t="shared" ca="1" si="246"/>
        <v>0</v>
      </c>
      <c r="K760" s="1">
        <f t="shared" ca="1" si="247"/>
        <v>0</v>
      </c>
      <c r="L760" s="13">
        <f t="shared" ca="1" si="248"/>
        <v>398</v>
      </c>
      <c r="M760" s="7">
        <f t="shared" ca="1" si="249"/>
        <v>1102</v>
      </c>
      <c r="N760" s="26">
        <f t="shared" ca="1" si="250"/>
        <v>4</v>
      </c>
      <c r="O760" s="44">
        <f t="shared" ca="1" si="251"/>
        <v>2.8908103757121246</v>
      </c>
      <c r="P760" s="44">
        <f t="shared" ca="1" si="252"/>
        <v>28.908103757121246</v>
      </c>
      <c r="Q760" s="44">
        <f t="shared" ca="1" si="253"/>
        <v>28.908103757121246</v>
      </c>
      <c r="R760" s="44">
        <f t="shared" ca="1" si="254"/>
        <v>2.8908103757121246</v>
      </c>
      <c r="S760" s="44">
        <f t="shared" ca="1" si="255"/>
        <v>2.8908103757121246</v>
      </c>
      <c r="T760" s="4">
        <f t="shared" ca="1" si="256"/>
        <v>0</v>
      </c>
      <c r="U760" s="120">
        <f t="shared" ca="1" si="257"/>
        <v>2249.675062040129</v>
      </c>
      <c r="V760" s="4">
        <f t="shared" ca="1" si="258"/>
        <v>0</v>
      </c>
      <c r="W760" s="13">
        <f t="shared" ca="1" si="259"/>
        <v>16638.75</v>
      </c>
      <c r="X760" s="4">
        <f t="shared" ca="1" si="260"/>
        <v>0</v>
      </c>
      <c r="Y760" s="4">
        <f t="shared" si="261"/>
        <v>0</v>
      </c>
      <c r="Z760" s="13">
        <f t="shared" ca="1" si="262"/>
        <v>16638.75</v>
      </c>
      <c r="AA760" s="4">
        <f t="shared" ca="1" si="263"/>
        <v>0</v>
      </c>
    </row>
    <row r="761" spans="1:27">
      <c r="A761">
        <v>1</v>
      </c>
      <c r="B761">
        <v>2</v>
      </c>
      <c r="C761">
        <f t="shared" ca="1" si="242"/>
        <v>5</v>
      </c>
      <c r="D761">
        <f t="shared" ca="1" si="243"/>
        <v>4</v>
      </c>
      <c r="E761">
        <f t="shared" ca="1" si="244"/>
        <v>1</v>
      </c>
      <c r="F761" s="110">
        <f t="shared" ca="1" si="245"/>
        <v>0</v>
      </c>
      <c r="G761">
        <v>0</v>
      </c>
      <c r="H761">
        <v>1</v>
      </c>
      <c r="I761">
        <v>5</v>
      </c>
      <c r="J761" s="1">
        <f t="shared" ca="1" si="246"/>
        <v>0</v>
      </c>
      <c r="K761" s="1">
        <f t="shared" ca="1" si="247"/>
        <v>0</v>
      </c>
      <c r="L761" s="13">
        <f t="shared" ca="1" si="248"/>
        <v>379</v>
      </c>
      <c r="M761" s="7">
        <f t="shared" ca="1" si="249"/>
        <v>1121</v>
      </c>
      <c r="N761" s="26">
        <f t="shared" ca="1" si="250"/>
        <v>4</v>
      </c>
      <c r="O761" s="44">
        <f t="shared" ca="1" si="251"/>
        <v>2.8908103757121246</v>
      </c>
      <c r="P761" s="44">
        <f t="shared" ca="1" si="252"/>
        <v>28.908103757121246</v>
      </c>
      <c r="Q761" s="44">
        <f t="shared" ca="1" si="253"/>
        <v>28.908103757121246</v>
      </c>
      <c r="R761" s="44">
        <f t="shared" ca="1" si="254"/>
        <v>2.8908103757121246</v>
      </c>
      <c r="S761" s="44">
        <f t="shared" ca="1" si="255"/>
        <v>2.8908103757121246</v>
      </c>
      <c r="T761" s="4">
        <f t="shared" ca="1" si="256"/>
        <v>0</v>
      </c>
      <c r="U761" s="120">
        <f t="shared" ca="1" si="257"/>
        <v>2230.675062040129</v>
      </c>
      <c r="V761" s="4">
        <f t="shared" ca="1" si="258"/>
        <v>0</v>
      </c>
      <c r="W761" s="13">
        <f t="shared" ca="1" si="259"/>
        <v>13865.625</v>
      </c>
      <c r="X761" s="4">
        <f t="shared" ca="1" si="260"/>
        <v>0</v>
      </c>
      <c r="Y761" s="4">
        <f t="shared" si="261"/>
        <v>0</v>
      </c>
      <c r="Z761" s="13">
        <f t="shared" ca="1" si="262"/>
        <v>13865.625</v>
      </c>
      <c r="AA761" s="4">
        <f t="shared" ca="1" si="263"/>
        <v>0</v>
      </c>
    </row>
    <row r="762" spans="1:27">
      <c r="A762">
        <v>1</v>
      </c>
      <c r="B762">
        <v>2</v>
      </c>
      <c r="C762">
        <f t="shared" ca="1" si="242"/>
        <v>5</v>
      </c>
      <c r="D762">
        <f t="shared" ca="1" si="243"/>
        <v>4</v>
      </c>
      <c r="E762">
        <f t="shared" ca="1" si="244"/>
        <v>1</v>
      </c>
      <c r="F762" s="110">
        <f t="shared" ca="1" si="245"/>
        <v>0</v>
      </c>
      <c r="G762">
        <v>0</v>
      </c>
      <c r="H762">
        <v>1</v>
      </c>
      <c r="I762">
        <v>4</v>
      </c>
      <c r="J762" s="1">
        <f t="shared" ca="1" si="246"/>
        <v>0</v>
      </c>
      <c r="K762" s="1">
        <f t="shared" ca="1" si="247"/>
        <v>0</v>
      </c>
      <c r="L762" s="13">
        <f t="shared" ca="1" si="248"/>
        <v>360</v>
      </c>
      <c r="M762" s="7">
        <f t="shared" ca="1" si="249"/>
        <v>1140</v>
      </c>
      <c r="N762" s="26">
        <f t="shared" ca="1" si="250"/>
        <v>4</v>
      </c>
      <c r="O762" s="44">
        <f t="shared" ca="1" si="251"/>
        <v>2.8908103757121246</v>
      </c>
      <c r="P762" s="44">
        <f t="shared" ca="1" si="252"/>
        <v>28.908103757121246</v>
      </c>
      <c r="Q762" s="44">
        <f t="shared" ca="1" si="253"/>
        <v>28.908103757121246</v>
      </c>
      <c r="R762" s="44">
        <f t="shared" ca="1" si="254"/>
        <v>2.8908103757121246</v>
      </c>
      <c r="S762" s="44">
        <f t="shared" ca="1" si="255"/>
        <v>2.8908103757121246</v>
      </c>
      <c r="T762" s="4">
        <f t="shared" ca="1" si="256"/>
        <v>0</v>
      </c>
      <c r="U762" s="120">
        <f t="shared" ca="1" si="257"/>
        <v>2211.675062040129</v>
      </c>
      <c r="V762" s="4">
        <f t="shared" ca="1" si="258"/>
        <v>0</v>
      </c>
      <c r="W762" s="13">
        <f t="shared" ca="1" si="259"/>
        <v>11092.5</v>
      </c>
      <c r="X762" s="4">
        <f t="shared" ca="1" si="260"/>
        <v>0</v>
      </c>
      <c r="Y762" s="4">
        <f t="shared" si="261"/>
        <v>0</v>
      </c>
      <c r="Z762" s="13">
        <f t="shared" ca="1" si="262"/>
        <v>11092.5</v>
      </c>
      <c r="AA762" s="4">
        <f t="shared" ca="1" si="263"/>
        <v>0</v>
      </c>
    </row>
    <row r="763" spans="1:27">
      <c r="A763">
        <v>1</v>
      </c>
      <c r="B763">
        <v>2</v>
      </c>
      <c r="C763">
        <f t="shared" ca="1" si="242"/>
        <v>5</v>
      </c>
      <c r="D763">
        <f t="shared" ca="1" si="243"/>
        <v>4</v>
      </c>
      <c r="E763">
        <f t="shared" ca="1" si="244"/>
        <v>1</v>
      </c>
      <c r="F763" s="110">
        <f t="shared" ca="1" si="245"/>
        <v>0</v>
      </c>
      <c r="G763">
        <v>0</v>
      </c>
      <c r="H763">
        <v>1</v>
      </c>
      <c r="I763">
        <v>3</v>
      </c>
      <c r="J763" s="1">
        <f t="shared" ca="1" si="246"/>
        <v>0</v>
      </c>
      <c r="K763" s="1">
        <f t="shared" ca="1" si="247"/>
        <v>0</v>
      </c>
      <c r="L763" s="13">
        <f t="shared" ca="1" si="248"/>
        <v>341</v>
      </c>
      <c r="M763" s="7">
        <f t="shared" ca="1" si="249"/>
        <v>1159</v>
      </c>
      <c r="N763" s="26">
        <f t="shared" ca="1" si="250"/>
        <v>4</v>
      </c>
      <c r="O763" s="44">
        <f t="shared" ca="1" si="251"/>
        <v>2.8908103757121246</v>
      </c>
      <c r="P763" s="44">
        <f t="shared" ca="1" si="252"/>
        <v>28.908103757121246</v>
      </c>
      <c r="Q763" s="44">
        <f t="shared" ca="1" si="253"/>
        <v>28.908103757121246</v>
      </c>
      <c r="R763" s="44">
        <f t="shared" ca="1" si="254"/>
        <v>2.8908103757121246</v>
      </c>
      <c r="S763" s="44">
        <f t="shared" ca="1" si="255"/>
        <v>2.8908103757121246</v>
      </c>
      <c r="T763" s="4">
        <f t="shared" ca="1" si="256"/>
        <v>0</v>
      </c>
      <c r="U763" s="120">
        <f t="shared" ca="1" si="257"/>
        <v>2192.675062040129</v>
      </c>
      <c r="V763" s="4">
        <f t="shared" ca="1" si="258"/>
        <v>0</v>
      </c>
      <c r="W763" s="13">
        <f t="shared" ca="1" si="259"/>
        <v>8319.375</v>
      </c>
      <c r="X763" s="4">
        <f t="shared" ca="1" si="260"/>
        <v>0</v>
      </c>
      <c r="Y763" s="4">
        <f t="shared" si="261"/>
        <v>0</v>
      </c>
      <c r="Z763" s="13">
        <f t="shared" ca="1" si="262"/>
        <v>8319.375</v>
      </c>
      <c r="AA763" s="4">
        <f t="shared" ca="1" si="263"/>
        <v>0</v>
      </c>
    </row>
    <row r="764" spans="1:27">
      <c r="A764">
        <v>1</v>
      </c>
      <c r="B764">
        <v>2</v>
      </c>
      <c r="C764">
        <f t="shared" ca="1" si="242"/>
        <v>5</v>
      </c>
      <c r="D764">
        <f t="shared" ca="1" si="243"/>
        <v>4</v>
      </c>
      <c r="E764">
        <f t="shared" ca="1" si="244"/>
        <v>1</v>
      </c>
      <c r="F764" s="110">
        <f t="shared" ca="1" si="245"/>
        <v>0</v>
      </c>
      <c r="G764">
        <v>0</v>
      </c>
      <c r="H764">
        <v>1</v>
      </c>
      <c r="I764">
        <v>2</v>
      </c>
      <c r="J764" s="1">
        <f t="shared" ca="1" si="246"/>
        <v>0</v>
      </c>
      <c r="K764" s="1">
        <f t="shared" ca="1" si="247"/>
        <v>0</v>
      </c>
      <c r="L764" s="13">
        <f t="shared" ca="1" si="248"/>
        <v>322</v>
      </c>
      <c r="M764" s="7">
        <f t="shared" ca="1" si="249"/>
        <v>1178</v>
      </c>
      <c r="N764" s="26">
        <f t="shared" ca="1" si="250"/>
        <v>4</v>
      </c>
      <c r="O764" s="44">
        <f t="shared" ca="1" si="251"/>
        <v>2.8908103757121246</v>
      </c>
      <c r="P764" s="44">
        <f t="shared" ca="1" si="252"/>
        <v>28.908103757121246</v>
      </c>
      <c r="Q764" s="44">
        <f t="shared" ca="1" si="253"/>
        <v>28.908103757121246</v>
      </c>
      <c r="R764" s="44">
        <f t="shared" ca="1" si="254"/>
        <v>2.8908103757121246</v>
      </c>
      <c r="S764" s="44">
        <f t="shared" ca="1" si="255"/>
        <v>2.8908103757121246</v>
      </c>
      <c r="T764" s="4">
        <f t="shared" ca="1" si="256"/>
        <v>0</v>
      </c>
      <c r="U764" s="120">
        <f t="shared" ca="1" si="257"/>
        <v>2173.675062040129</v>
      </c>
      <c r="V764" s="4">
        <f t="shared" ca="1" si="258"/>
        <v>0</v>
      </c>
      <c r="W764" s="13">
        <f t="shared" ca="1" si="259"/>
        <v>5546.25</v>
      </c>
      <c r="X764" s="4">
        <f t="shared" ca="1" si="260"/>
        <v>0</v>
      </c>
      <c r="Y764" s="4">
        <f t="shared" si="261"/>
        <v>0</v>
      </c>
      <c r="Z764" s="13">
        <f t="shared" ca="1" si="262"/>
        <v>5546.25</v>
      </c>
      <c r="AA764" s="4">
        <f t="shared" ca="1" si="263"/>
        <v>0</v>
      </c>
    </row>
    <row r="765" spans="1:27">
      <c r="A765">
        <v>1</v>
      </c>
      <c r="B765">
        <v>2</v>
      </c>
      <c r="C765">
        <f t="shared" ca="1" si="242"/>
        <v>5</v>
      </c>
      <c r="D765">
        <f t="shared" ca="1" si="243"/>
        <v>4</v>
      </c>
      <c r="E765">
        <f t="shared" ca="1" si="244"/>
        <v>1</v>
      </c>
      <c r="F765" s="110">
        <f t="shared" ca="1" si="245"/>
        <v>0</v>
      </c>
      <c r="G765">
        <v>0</v>
      </c>
      <c r="H765">
        <v>1</v>
      </c>
      <c r="I765">
        <v>1</v>
      </c>
      <c r="J765" s="1">
        <f t="shared" ca="1" si="246"/>
        <v>0</v>
      </c>
      <c r="K765" s="1">
        <f t="shared" ca="1" si="247"/>
        <v>0</v>
      </c>
      <c r="L765" s="13">
        <f t="shared" ca="1" si="248"/>
        <v>303</v>
      </c>
      <c r="M765" s="7">
        <f t="shared" ca="1" si="249"/>
        <v>1197</v>
      </c>
      <c r="N765" s="26">
        <f t="shared" ca="1" si="250"/>
        <v>4</v>
      </c>
      <c r="O765" s="44">
        <f t="shared" ca="1" si="251"/>
        <v>2.8908103757121246</v>
      </c>
      <c r="P765" s="44">
        <f t="shared" ca="1" si="252"/>
        <v>28.908103757121246</v>
      </c>
      <c r="Q765" s="44">
        <f t="shared" ca="1" si="253"/>
        <v>28.908103757121246</v>
      </c>
      <c r="R765" s="44">
        <f t="shared" ca="1" si="254"/>
        <v>2.8908103757121246</v>
      </c>
      <c r="S765" s="44">
        <f t="shared" ca="1" si="255"/>
        <v>2.8908103757121246</v>
      </c>
      <c r="T765" s="4">
        <f t="shared" ca="1" si="256"/>
        <v>0</v>
      </c>
      <c r="U765" s="120">
        <f t="shared" ca="1" si="257"/>
        <v>2154.675062040129</v>
      </c>
      <c r="V765" s="4">
        <f t="shared" ca="1" si="258"/>
        <v>0</v>
      </c>
      <c r="W765" s="13">
        <f t="shared" ca="1" si="259"/>
        <v>2773.125</v>
      </c>
      <c r="X765" s="4">
        <f t="shared" ca="1" si="260"/>
        <v>0</v>
      </c>
      <c r="Y765" s="4">
        <f t="shared" si="261"/>
        <v>0</v>
      </c>
      <c r="Z765" s="13">
        <f t="shared" ca="1" si="262"/>
        <v>2773.125</v>
      </c>
      <c r="AA765" s="4">
        <f t="shared" ca="1" si="263"/>
        <v>0</v>
      </c>
    </row>
    <row r="766" spans="1:27">
      <c r="A766">
        <v>1</v>
      </c>
      <c r="B766">
        <v>2</v>
      </c>
      <c r="C766">
        <f t="shared" ca="1" si="242"/>
        <v>5</v>
      </c>
      <c r="D766">
        <f t="shared" ca="1" si="243"/>
        <v>4</v>
      </c>
      <c r="E766">
        <f t="shared" ca="1" si="244"/>
        <v>1</v>
      </c>
      <c r="F766" s="110">
        <f t="shared" ca="1" si="245"/>
        <v>0</v>
      </c>
      <c r="G766">
        <v>0</v>
      </c>
      <c r="H766">
        <v>1</v>
      </c>
      <c r="I766">
        <v>0</v>
      </c>
      <c r="J766" s="1">
        <f t="shared" ca="1" si="246"/>
        <v>0</v>
      </c>
      <c r="K766" s="1">
        <f t="shared" ca="1" si="247"/>
        <v>0</v>
      </c>
      <c r="L766" s="13">
        <f t="shared" ca="1" si="248"/>
        <v>284</v>
      </c>
      <c r="M766" s="7">
        <f t="shared" ca="1" si="249"/>
        <v>1216</v>
      </c>
      <c r="N766" s="26">
        <f t="shared" ca="1" si="250"/>
        <v>4</v>
      </c>
      <c r="O766" s="44">
        <f t="shared" ca="1" si="251"/>
        <v>2.8908103757121246</v>
      </c>
      <c r="P766" s="44">
        <f t="shared" ca="1" si="252"/>
        <v>28.908103757121246</v>
      </c>
      <c r="Q766" s="44">
        <f t="shared" ca="1" si="253"/>
        <v>28.908103757121246</v>
      </c>
      <c r="R766" s="44">
        <f t="shared" ca="1" si="254"/>
        <v>2.8908103757121246</v>
      </c>
      <c r="S766" s="44">
        <f t="shared" ca="1" si="255"/>
        <v>2.8908103757121246</v>
      </c>
      <c r="T766" s="4">
        <f t="shared" ca="1" si="256"/>
        <v>0</v>
      </c>
      <c r="U766" s="120">
        <f t="shared" ca="1" si="257"/>
        <v>2135.675062040129</v>
      </c>
      <c r="V766" s="4">
        <f t="shared" ca="1" si="258"/>
        <v>0</v>
      </c>
      <c r="W766" s="13">
        <f t="shared" ca="1" si="259"/>
        <v>0</v>
      </c>
      <c r="X766" s="4">
        <f t="shared" ca="1" si="260"/>
        <v>0</v>
      </c>
      <c r="Y766" s="4">
        <f t="shared" si="261"/>
        <v>0</v>
      </c>
      <c r="Z766" s="13">
        <f t="shared" ca="1" si="262"/>
        <v>0</v>
      </c>
      <c r="AA766" s="4">
        <f t="shared" ca="1" si="263"/>
        <v>0</v>
      </c>
    </row>
    <row r="767" spans="1:27">
      <c r="A767">
        <v>1</v>
      </c>
      <c r="B767">
        <v>2</v>
      </c>
      <c r="C767">
        <f t="shared" ca="1" si="242"/>
        <v>5</v>
      </c>
      <c r="D767">
        <f t="shared" ca="1" si="243"/>
        <v>4</v>
      </c>
      <c r="E767">
        <f t="shared" ca="1" si="244"/>
        <v>1</v>
      </c>
      <c r="F767" s="110">
        <f t="shared" ca="1" si="245"/>
        <v>0</v>
      </c>
      <c r="G767">
        <v>0</v>
      </c>
      <c r="H767">
        <v>0</v>
      </c>
      <c r="I767">
        <v>7</v>
      </c>
      <c r="J767" s="1">
        <f t="shared" ca="1" si="246"/>
        <v>0</v>
      </c>
      <c r="K767" s="1">
        <f t="shared" ca="1" si="247"/>
        <v>0</v>
      </c>
      <c r="L767" s="13">
        <f t="shared" ca="1" si="248"/>
        <v>133</v>
      </c>
      <c r="M767" s="7">
        <f t="shared" ca="1" si="249"/>
        <v>1367</v>
      </c>
      <c r="N767" s="26">
        <f t="shared" ca="1" si="250"/>
        <v>4</v>
      </c>
      <c r="O767" s="44">
        <f t="shared" ca="1" si="251"/>
        <v>2.8908103757121246</v>
      </c>
      <c r="P767" s="44">
        <f t="shared" ca="1" si="252"/>
        <v>28.908103757121246</v>
      </c>
      <c r="Q767" s="44">
        <f t="shared" ca="1" si="253"/>
        <v>28.908103757121246</v>
      </c>
      <c r="R767" s="44">
        <f t="shared" ca="1" si="254"/>
        <v>2.8908103757121246</v>
      </c>
      <c r="S767" s="44">
        <f t="shared" ca="1" si="255"/>
        <v>2.8908103757121246</v>
      </c>
      <c r="T767" s="4">
        <f t="shared" ca="1" si="256"/>
        <v>0</v>
      </c>
      <c r="U767" s="120">
        <f t="shared" ca="1" si="257"/>
        <v>1984.6750620401288</v>
      </c>
      <c r="V767" s="4">
        <f t="shared" ca="1" si="258"/>
        <v>0</v>
      </c>
      <c r="W767" s="13">
        <f t="shared" ca="1" si="259"/>
        <v>19411.875</v>
      </c>
      <c r="X767" s="4">
        <f t="shared" ca="1" si="260"/>
        <v>0</v>
      </c>
      <c r="Y767" s="4">
        <f t="shared" si="261"/>
        <v>0</v>
      </c>
      <c r="Z767" s="13">
        <f t="shared" ca="1" si="262"/>
        <v>19411.875</v>
      </c>
      <c r="AA767" s="4">
        <f t="shared" ca="1" si="263"/>
        <v>0</v>
      </c>
    </row>
    <row r="768" spans="1:27">
      <c r="A768">
        <v>1</v>
      </c>
      <c r="B768">
        <v>2</v>
      </c>
      <c r="C768">
        <f t="shared" ca="1" si="242"/>
        <v>5</v>
      </c>
      <c r="D768">
        <f t="shared" ca="1" si="243"/>
        <v>4</v>
      </c>
      <c r="E768">
        <f t="shared" ca="1" si="244"/>
        <v>1</v>
      </c>
      <c r="F768" s="110">
        <f t="shared" ca="1" si="245"/>
        <v>0</v>
      </c>
      <c r="G768">
        <v>0</v>
      </c>
      <c r="H768">
        <v>0</v>
      </c>
      <c r="I768">
        <v>6</v>
      </c>
      <c r="J768" s="1">
        <f t="shared" ca="1" si="246"/>
        <v>0</v>
      </c>
      <c r="K768" s="1">
        <f t="shared" ca="1" si="247"/>
        <v>0</v>
      </c>
      <c r="L768" s="13">
        <f t="shared" ca="1" si="248"/>
        <v>114</v>
      </c>
      <c r="M768" s="7">
        <f t="shared" ca="1" si="249"/>
        <v>1386</v>
      </c>
      <c r="N768" s="26">
        <f t="shared" ca="1" si="250"/>
        <v>4</v>
      </c>
      <c r="O768" s="44">
        <f t="shared" ca="1" si="251"/>
        <v>2.8908103757121246</v>
      </c>
      <c r="P768" s="44">
        <f t="shared" ca="1" si="252"/>
        <v>28.908103757121246</v>
      </c>
      <c r="Q768" s="44">
        <f t="shared" ca="1" si="253"/>
        <v>28.908103757121246</v>
      </c>
      <c r="R768" s="44">
        <f t="shared" ca="1" si="254"/>
        <v>2.8908103757121246</v>
      </c>
      <c r="S768" s="44">
        <f t="shared" ca="1" si="255"/>
        <v>2.8908103757121246</v>
      </c>
      <c r="T768" s="4">
        <f t="shared" ca="1" si="256"/>
        <v>0</v>
      </c>
      <c r="U768" s="120">
        <f t="shared" ca="1" si="257"/>
        <v>1965.6750620401288</v>
      </c>
      <c r="V768" s="4">
        <f t="shared" ca="1" si="258"/>
        <v>0</v>
      </c>
      <c r="W768" s="13">
        <f t="shared" ca="1" si="259"/>
        <v>16638.75</v>
      </c>
      <c r="X768" s="4">
        <f t="shared" ca="1" si="260"/>
        <v>0</v>
      </c>
      <c r="Y768" s="4">
        <f t="shared" si="261"/>
        <v>0</v>
      </c>
      <c r="Z768" s="13">
        <f t="shared" ca="1" si="262"/>
        <v>16638.75</v>
      </c>
      <c r="AA768" s="4">
        <f t="shared" ca="1" si="263"/>
        <v>0</v>
      </c>
    </row>
    <row r="769" spans="1:27">
      <c r="A769">
        <v>1</v>
      </c>
      <c r="B769">
        <v>2</v>
      </c>
      <c r="C769">
        <f t="shared" ca="1" si="242"/>
        <v>5</v>
      </c>
      <c r="D769">
        <f t="shared" ca="1" si="243"/>
        <v>4</v>
      </c>
      <c r="E769">
        <f t="shared" ca="1" si="244"/>
        <v>1</v>
      </c>
      <c r="F769" s="110">
        <f t="shared" ca="1" si="245"/>
        <v>0</v>
      </c>
      <c r="G769">
        <v>0</v>
      </c>
      <c r="H769">
        <v>0</v>
      </c>
      <c r="I769">
        <v>5</v>
      </c>
      <c r="J769" s="1">
        <f t="shared" ca="1" si="246"/>
        <v>0</v>
      </c>
      <c r="K769" s="1">
        <f t="shared" ca="1" si="247"/>
        <v>0</v>
      </c>
      <c r="L769" s="13">
        <f t="shared" ca="1" si="248"/>
        <v>95</v>
      </c>
      <c r="M769" s="7">
        <f t="shared" ca="1" si="249"/>
        <v>1405</v>
      </c>
      <c r="N769" s="26">
        <f t="shared" ca="1" si="250"/>
        <v>5</v>
      </c>
      <c r="O769" s="44">
        <f t="shared" ca="1" si="251"/>
        <v>3.5395046525977252</v>
      </c>
      <c r="P769" s="44">
        <f t="shared" ca="1" si="252"/>
        <v>35.39504652597725</v>
      </c>
      <c r="Q769" s="44">
        <f t="shared" ca="1" si="253"/>
        <v>30.205492310892446</v>
      </c>
      <c r="R769" s="44">
        <f t="shared" ca="1" si="254"/>
        <v>3.2800269418434853</v>
      </c>
      <c r="S769" s="44">
        <f t="shared" ca="1" si="255"/>
        <v>3.5213412128449284</v>
      </c>
      <c r="T769" s="4">
        <f t="shared" ca="1" si="256"/>
        <v>0</v>
      </c>
      <c r="U769" s="120">
        <f t="shared" ca="1" si="257"/>
        <v>2290.8626329996823</v>
      </c>
      <c r="V769" s="4">
        <f t="shared" ca="1" si="258"/>
        <v>0</v>
      </c>
      <c r="W769" s="13">
        <f t="shared" ca="1" si="259"/>
        <v>13865.625</v>
      </c>
      <c r="X769" s="4">
        <f t="shared" ca="1" si="260"/>
        <v>0</v>
      </c>
      <c r="Y769" s="4">
        <f t="shared" si="261"/>
        <v>0</v>
      </c>
      <c r="Z769" s="13">
        <f t="shared" ca="1" si="262"/>
        <v>13865.625</v>
      </c>
      <c r="AA769" s="4">
        <f t="shared" ca="1" si="263"/>
        <v>0</v>
      </c>
    </row>
    <row r="770" spans="1:27">
      <c r="A770">
        <v>1</v>
      </c>
      <c r="B770">
        <v>2</v>
      </c>
      <c r="C770">
        <f t="shared" ca="1" si="242"/>
        <v>5</v>
      </c>
      <c r="D770">
        <f t="shared" ca="1" si="243"/>
        <v>4</v>
      </c>
      <c r="E770">
        <f t="shared" ca="1" si="244"/>
        <v>1</v>
      </c>
      <c r="F770" s="110">
        <f t="shared" ca="1" si="245"/>
        <v>0</v>
      </c>
      <c r="G770">
        <v>0</v>
      </c>
      <c r="H770">
        <v>0</v>
      </c>
      <c r="I770">
        <v>4</v>
      </c>
      <c r="J770" s="1">
        <f t="shared" ca="1" si="246"/>
        <v>4.0725312499999999E-2</v>
      </c>
      <c r="K770" s="1">
        <f t="shared" ca="1" si="247"/>
        <v>0</v>
      </c>
      <c r="L770" s="13">
        <f t="shared" ca="1" si="248"/>
        <v>76</v>
      </c>
      <c r="M770" s="7">
        <f t="shared" ca="1" si="249"/>
        <v>1424</v>
      </c>
      <c r="N770" s="26">
        <f t="shared" ca="1" si="250"/>
        <v>5</v>
      </c>
      <c r="O770" s="44">
        <f t="shared" ca="1" si="251"/>
        <v>3.5395046525977252</v>
      </c>
      <c r="P770" s="44">
        <f t="shared" ca="1" si="252"/>
        <v>35.39504652597725</v>
      </c>
      <c r="Q770" s="44">
        <f t="shared" ca="1" si="253"/>
        <v>35.39504652597725</v>
      </c>
      <c r="R770" s="44">
        <f t="shared" ca="1" si="254"/>
        <v>3.5395046525977252</v>
      </c>
      <c r="S770" s="44">
        <f t="shared" ca="1" si="255"/>
        <v>3.5395046525977252</v>
      </c>
      <c r="T770" s="4">
        <f t="shared" ca="1" si="256"/>
        <v>0</v>
      </c>
      <c r="U770" s="120">
        <f t="shared" ca="1" si="257"/>
        <v>2281.7775012989287</v>
      </c>
      <c r="V770" s="4">
        <f t="shared" ca="1" si="258"/>
        <v>0</v>
      </c>
      <c r="W770" s="13">
        <f t="shared" ca="1" si="259"/>
        <v>11092.5</v>
      </c>
      <c r="X770" s="4">
        <f t="shared" ca="1" si="260"/>
        <v>0</v>
      </c>
      <c r="Y770" s="4">
        <f t="shared" si="261"/>
        <v>0</v>
      </c>
      <c r="Z770" s="13">
        <f t="shared" ca="1" si="262"/>
        <v>11092.5</v>
      </c>
      <c r="AA770" s="4">
        <f t="shared" ca="1" si="263"/>
        <v>0</v>
      </c>
    </row>
    <row r="771" spans="1:27">
      <c r="A771">
        <v>1</v>
      </c>
      <c r="B771">
        <v>2</v>
      </c>
      <c r="C771">
        <f t="shared" ca="1" si="242"/>
        <v>5</v>
      </c>
      <c r="D771">
        <f t="shared" ca="1" si="243"/>
        <v>4</v>
      </c>
      <c r="E771">
        <f t="shared" ca="1" si="244"/>
        <v>1</v>
      </c>
      <c r="F771" s="110">
        <f t="shared" ca="1" si="245"/>
        <v>0</v>
      </c>
      <c r="G771">
        <v>0</v>
      </c>
      <c r="H771">
        <v>0</v>
      </c>
      <c r="I771">
        <v>3</v>
      </c>
      <c r="J771" s="1">
        <f t="shared" ca="1" si="246"/>
        <v>8.5737500000000067E-3</v>
      </c>
      <c r="K771" s="1">
        <f t="shared" ca="1" si="247"/>
        <v>0</v>
      </c>
      <c r="L771" s="13">
        <f t="shared" ca="1" si="248"/>
        <v>57</v>
      </c>
      <c r="M771" s="7">
        <f t="shared" ca="1" si="249"/>
        <v>1443</v>
      </c>
      <c r="N771" s="26">
        <f t="shared" ca="1" si="250"/>
        <v>5</v>
      </c>
      <c r="O771" s="44">
        <f t="shared" ca="1" si="251"/>
        <v>3.5395046525977252</v>
      </c>
      <c r="P771" s="44">
        <f t="shared" ca="1" si="252"/>
        <v>35.39504652597725</v>
      </c>
      <c r="Q771" s="44">
        <f t="shared" ca="1" si="253"/>
        <v>35.39504652597725</v>
      </c>
      <c r="R771" s="44">
        <f t="shared" ca="1" si="254"/>
        <v>3.5395046525977252</v>
      </c>
      <c r="S771" s="44">
        <f t="shared" ca="1" si="255"/>
        <v>3.5395046525977252</v>
      </c>
      <c r="T771" s="4">
        <f t="shared" ca="1" si="256"/>
        <v>0</v>
      </c>
      <c r="U771" s="120">
        <f t="shared" ca="1" si="257"/>
        <v>2262.7775012989287</v>
      </c>
      <c r="V771" s="4">
        <f t="shared" ca="1" si="258"/>
        <v>0</v>
      </c>
      <c r="W771" s="13">
        <f t="shared" ca="1" si="259"/>
        <v>8319.375</v>
      </c>
      <c r="X771" s="4">
        <f t="shared" ca="1" si="260"/>
        <v>0</v>
      </c>
      <c r="Y771" s="4">
        <f t="shared" si="261"/>
        <v>0</v>
      </c>
      <c r="Z771" s="13">
        <f t="shared" ca="1" si="262"/>
        <v>8319.375</v>
      </c>
      <c r="AA771" s="4">
        <f t="shared" ca="1" si="263"/>
        <v>0</v>
      </c>
    </row>
    <row r="772" spans="1:27">
      <c r="A772">
        <v>1</v>
      </c>
      <c r="B772">
        <v>2</v>
      </c>
      <c r="C772">
        <f t="shared" ca="1" si="242"/>
        <v>5</v>
      </c>
      <c r="D772">
        <f t="shared" ca="1" si="243"/>
        <v>4</v>
      </c>
      <c r="E772">
        <f t="shared" ca="1" si="244"/>
        <v>1</v>
      </c>
      <c r="F772" s="110">
        <f t="shared" ca="1" si="245"/>
        <v>0</v>
      </c>
      <c r="G772">
        <v>0</v>
      </c>
      <c r="H772">
        <v>0</v>
      </c>
      <c r="I772">
        <v>2</v>
      </c>
      <c r="J772" s="1">
        <f t="shared" ca="1" si="246"/>
        <v>6.7687500000000126E-4</v>
      </c>
      <c r="K772" s="1">
        <f t="shared" ca="1" si="247"/>
        <v>0</v>
      </c>
      <c r="L772" s="13">
        <f t="shared" ca="1" si="248"/>
        <v>38</v>
      </c>
      <c r="M772" s="7">
        <f t="shared" ca="1" si="249"/>
        <v>1462</v>
      </c>
      <c r="N772" s="26">
        <f t="shared" ca="1" si="250"/>
        <v>5</v>
      </c>
      <c r="O772" s="44">
        <f t="shared" ca="1" si="251"/>
        <v>3.5395046525977252</v>
      </c>
      <c r="P772" s="44">
        <f t="shared" ca="1" si="252"/>
        <v>35.39504652597725</v>
      </c>
      <c r="Q772" s="44">
        <f t="shared" ca="1" si="253"/>
        <v>35.39504652597725</v>
      </c>
      <c r="R772" s="44">
        <f t="shared" ca="1" si="254"/>
        <v>3.5395046525977252</v>
      </c>
      <c r="S772" s="44">
        <f t="shared" ca="1" si="255"/>
        <v>3.5395046525977252</v>
      </c>
      <c r="T772" s="4">
        <f t="shared" ca="1" si="256"/>
        <v>0</v>
      </c>
      <c r="U772" s="120">
        <f t="shared" ca="1" si="257"/>
        <v>2243.7775012989287</v>
      </c>
      <c r="V772" s="4">
        <f t="shared" ca="1" si="258"/>
        <v>0</v>
      </c>
      <c r="W772" s="13">
        <f t="shared" ca="1" si="259"/>
        <v>5546.25</v>
      </c>
      <c r="X772" s="4">
        <f t="shared" ca="1" si="260"/>
        <v>0</v>
      </c>
      <c r="Y772" s="4">
        <f t="shared" si="261"/>
        <v>0</v>
      </c>
      <c r="Z772" s="13">
        <f t="shared" ca="1" si="262"/>
        <v>5546.25</v>
      </c>
      <c r="AA772" s="4">
        <f t="shared" ca="1" si="263"/>
        <v>0</v>
      </c>
    </row>
    <row r="773" spans="1:27">
      <c r="A773">
        <v>1</v>
      </c>
      <c r="B773">
        <v>2</v>
      </c>
      <c r="C773">
        <f t="shared" ca="1" si="242"/>
        <v>5</v>
      </c>
      <c r="D773">
        <f t="shared" ca="1" si="243"/>
        <v>4</v>
      </c>
      <c r="E773">
        <f t="shared" ca="1" si="244"/>
        <v>1</v>
      </c>
      <c r="F773" s="110">
        <f t="shared" ca="1" si="245"/>
        <v>0</v>
      </c>
      <c r="G773">
        <v>0</v>
      </c>
      <c r="H773">
        <v>0</v>
      </c>
      <c r="I773">
        <v>1</v>
      </c>
      <c r="J773" s="1">
        <f t="shared" ca="1" si="246"/>
        <v>2.3750000000000062E-5</v>
      </c>
      <c r="K773" s="1">
        <f t="shared" ca="1" si="247"/>
        <v>0</v>
      </c>
      <c r="L773" s="13">
        <f t="shared" ca="1" si="248"/>
        <v>19</v>
      </c>
      <c r="M773" s="7">
        <f t="shared" ca="1" si="249"/>
        <v>1481</v>
      </c>
      <c r="N773" s="26">
        <f t="shared" ca="1" si="250"/>
        <v>5</v>
      </c>
      <c r="O773" s="44">
        <f t="shared" ca="1" si="251"/>
        <v>3.5395046525977252</v>
      </c>
      <c r="P773" s="44">
        <f t="shared" ca="1" si="252"/>
        <v>35.39504652597725</v>
      </c>
      <c r="Q773" s="44">
        <f t="shared" ca="1" si="253"/>
        <v>35.39504652597725</v>
      </c>
      <c r="R773" s="44">
        <f t="shared" ca="1" si="254"/>
        <v>3.5395046525977252</v>
      </c>
      <c r="S773" s="44">
        <f t="shared" ca="1" si="255"/>
        <v>3.5395046525977252</v>
      </c>
      <c r="T773" s="4">
        <f t="shared" ca="1" si="256"/>
        <v>0</v>
      </c>
      <c r="U773" s="120">
        <f t="shared" ca="1" si="257"/>
        <v>2224.7775012989287</v>
      </c>
      <c r="V773" s="4">
        <f t="shared" ca="1" si="258"/>
        <v>0</v>
      </c>
      <c r="W773" s="13">
        <f t="shared" ca="1" si="259"/>
        <v>2773.125</v>
      </c>
      <c r="X773" s="4">
        <f t="shared" ca="1" si="260"/>
        <v>0</v>
      </c>
      <c r="Y773" s="4">
        <f t="shared" si="261"/>
        <v>0</v>
      </c>
      <c r="Z773" s="13">
        <f t="shared" ca="1" si="262"/>
        <v>2773.125</v>
      </c>
      <c r="AA773" s="4">
        <f t="shared" ca="1" si="263"/>
        <v>0</v>
      </c>
    </row>
    <row r="774" spans="1:27">
      <c r="A774">
        <v>1</v>
      </c>
      <c r="B774">
        <v>2</v>
      </c>
      <c r="C774">
        <f t="shared" ca="1" si="242"/>
        <v>5</v>
      </c>
      <c r="D774">
        <f t="shared" ca="1" si="243"/>
        <v>4</v>
      </c>
      <c r="E774">
        <f t="shared" ca="1" si="244"/>
        <v>1</v>
      </c>
      <c r="F774" s="110">
        <f t="shared" ca="1" si="245"/>
        <v>0</v>
      </c>
      <c r="G774">
        <v>0</v>
      </c>
      <c r="H774">
        <v>0</v>
      </c>
      <c r="I774">
        <v>0</v>
      </c>
      <c r="J774" s="1">
        <f t="shared" ca="1" si="246"/>
        <v>3.1250000000000114E-7</v>
      </c>
      <c r="K774" s="1">
        <f t="shared" ca="1" si="247"/>
        <v>0</v>
      </c>
      <c r="L774" s="13">
        <f t="shared" ca="1" si="248"/>
        <v>0</v>
      </c>
      <c r="M774" s="7">
        <f t="shared" ca="1" si="249"/>
        <v>1500</v>
      </c>
      <c r="N774" s="26">
        <f t="shared" ca="1" si="250"/>
        <v>5</v>
      </c>
      <c r="O774" s="44">
        <f t="shared" ca="1" si="251"/>
        <v>3.5395046525977252</v>
      </c>
      <c r="P774" s="44">
        <f t="shared" ca="1" si="252"/>
        <v>35.39504652597725</v>
      </c>
      <c r="Q774" s="44">
        <f t="shared" ca="1" si="253"/>
        <v>35.39504652597725</v>
      </c>
      <c r="R774" s="44">
        <f t="shared" ca="1" si="254"/>
        <v>3.5395046525977252</v>
      </c>
      <c r="S774" s="44">
        <f t="shared" ca="1" si="255"/>
        <v>3.5395046525977252</v>
      </c>
      <c r="T774" s="4">
        <f t="shared" ca="1" si="256"/>
        <v>0</v>
      </c>
      <c r="U774" s="120">
        <f t="shared" ca="1" si="257"/>
        <v>2205.7775012989287</v>
      </c>
      <c r="V774" s="4">
        <f t="shared" ca="1" si="258"/>
        <v>0</v>
      </c>
      <c r="W774" s="13">
        <f t="shared" ca="1" si="259"/>
        <v>0</v>
      </c>
      <c r="X774" s="4">
        <f t="shared" ca="1" si="260"/>
        <v>0</v>
      </c>
      <c r="Y774" s="4">
        <f t="shared" si="261"/>
        <v>0</v>
      </c>
      <c r="Z774" s="13">
        <f t="shared" ca="1" si="262"/>
        <v>0</v>
      </c>
      <c r="AA774" s="4">
        <f t="shared" ca="1" si="263"/>
        <v>0</v>
      </c>
    </row>
    <row r="775" spans="1:27">
      <c r="A775">
        <v>1</v>
      </c>
      <c r="B775">
        <v>3</v>
      </c>
      <c r="C775">
        <f t="shared" ca="1" si="242"/>
        <v>6</v>
      </c>
      <c r="D775">
        <f t="shared" ca="1" si="243"/>
        <v>5</v>
      </c>
      <c r="E775">
        <f t="shared" ca="1" si="244"/>
        <v>1</v>
      </c>
      <c r="F775" s="110">
        <f t="shared" ca="1" si="245"/>
        <v>1.7459999999999997E-3</v>
      </c>
      <c r="G775">
        <v>1</v>
      </c>
      <c r="H775">
        <v>1</v>
      </c>
      <c r="I775">
        <v>7</v>
      </c>
      <c r="J775" s="1">
        <f t="shared" ca="1" si="246"/>
        <v>0</v>
      </c>
      <c r="K775" s="1">
        <f t="shared" ca="1" si="247"/>
        <v>0</v>
      </c>
      <c r="L775" s="13">
        <f t="shared" ca="1" si="248"/>
        <v>701</v>
      </c>
      <c r="M775" s="7">
        <f t="shared" ca="1" si="249"/>
        <v>799</v>
      </c>
      <c r="N775" s="26">
        <f t="shared" ca="1" si="250"/>
        <v>3</v>
      </c>
      <c r="O775" s="44">
        <f t="shared" ca="1" si="251"/>
        <v>2.2758855914378953</v>
      </c>
      <c r="P775" s="44">
        <f t="shared" ca="1" si="252"/>
        <v>22.758855914378952</v>
      </c>
      <c r="Q775" s="44">
        <f t="shared" ca="1" si="253"/>
        <v>22.758855914378952</v>
      </c>
      <c r="R775" s="44">
        <f t="shared" ca="1" si="254"/>
        <v>2.2758855914378953</v>
      </c>
      <c r="S775" s="44">
        <f t="shared" ca="1" si="255"/>
        <v>2.2758855914378953</v>
      </c>
      <c r="T775" s="4">
        <f t="shared" ca="1" si="256"/>
        <v>0</v>
      </c>
      <c r="U775" s="120">
        <f t="shared" ca="1" si="257"/>
        <v>2217.0063598009133</v>
      </c>
      <c r="V775" s="4">
        <f t="shared" ca="1" si="258"/>
        <v>0</v>
      </c>
      <c r="W775" s="13">
        <f t="shared" ca="1" si="259"/>
        <v>49588.256250000006</v>
      </c>
      <c r="X775" s="4">
        <f t="shared" ca="1" si="260"/>
        <v>0</v>
      </c>
      <c r="Y775" s="4">
        <f t="shared" si="261"/>
        <v>0</v>
      </c>
      <c r="Z775" s="13">
        <f t="shared" ca="1" si="262"/>
        <v>49588.256250000006</v>
      </c>
      <c r="AA775" s="4">
        <f t="shared" ca="1" si="263"/>
        <v>0</v>
      </c>
    </row>
    <row r="776" spans="1:27">
      <c r="A776">
        <v>1</v>
      </c>
      <c r="B776">
        <v>3</v>
      </c>
      <c r="C776">
        <f t="shared" ca="1" si="242"/>
        <v>6</v>
      </c>
      <c r="D776">
        <f t="shared" ca="1" si="243"/>
        <v>5</v>
      </c>
      <c r="E776">
        <f t="shared" ca="1" si="244"/>
        <v>1</v>
      </c>
      <c r="F776" s="110">
        <f t="shared" ca="1" si="245"/>
        <v>1.7459999999999997E-3</v>
      </c>
      <c r="G776">
        <v>1</v>
      </c>
      <c r="H776">
        <v>1</v>
      </c>
      <c r="I776">
        <v>6</v>
      </c>
      <c r="J776" s="1">
        <f t="shared" ca="1" si="246"/>
        <v>0</v>
      </c>
      <c r="K776" s="1">
        <f t="shared" ca="1" si="247"/>
        <v>0</v>
      </c>
      <c r="L776" s="13">
        <f t="shared" ca="1" si="248"/>
        <v>682</v>
      </c>
      <c r="M776" s="7">
        <f t="shared" ca="1" si="249"/>
        <v>818</v>
      </c>
      <c r="N776" s="26">
        <f t="shared" ca="1" si="250"/>
        <v>3</v>
      </c>
      <c r="O776" s="44">
        <f t="shared" ca="1" si="251"/>
        <v>2.2758855914378953</v>
      </c>
      <c r="P776" s="44">
        <f t="shared" ca="1" si="252"/>
        <v>22.758855914378952</v>
      </c>
      <c r="Q776" s="44">
        <f t="shared" ca="1" si="253"/>
        <v>22.758855914378952</v>
      </c>
      <c r="R776" s="44">
        <f t="shared" ca="1" si="254"/>
        <v>2.2758855914378953</v>
      </c>
      <c r="S776" s="44">
        <f t="shared" ca="1" si="255"/>
        <v>2.2758855914378953</v>
      </c>
      <c r="T776" s="4">
        <f t="shared" ca="1" si="256"/>
        <v>0</v>
      </c>
      <c r="U776" s="120">
        <f t="shared" ca="1" si="257"/>
        <v>2198.0063598009133</v>
      </c>
      <c r="V776" s="4">
        <f t="shared" ca="1" si="258"/>
        <v>0</v>
      </c>
      <c r="W776" s="13">
        <f t="shared" ca="1" si="259"/>
        <v>46815.131250000006</v>
      </c>
      <c r="X776" s="4">
        <f t="shared" ca="1" si="260"/>
        <v>0</v>
      </c>
      <c r="Y776" s="4">
        <f t="shared" si="261"/>
        <v>0</v>
      </c>
      <c r="Z776" s="13">
        <f t="shared" ca="1" si="262"/>
        <v>46815.131250000006</v>
      </c>
      <c r="AA776" s="4">
        <f t="shared" ca="1" si="263"/>
        <v>0</v>
      </c>
    </row>
    <row r="777" spans="1:27">
      <c r="A777">
        <v>1</v>
      </c>
      <c r="B777">
        <v>3</v>
      </c>
      <c r="C777">
        <f t="shared" ca="1" si="242"/>
        <v>6</v>
      </c>
      <c r="D777">
        <f t="shared" ca="1" si="243"/>
        <v>5</v>
      </c>
      <c r="E777">
        <f t="shared" ca="1" si="244"/>
        <v>1</v>
      </c>
      <c r="F777" s="110">
        <f t="shared" ca="1" si="245"/>
        <v>1.7459999999999997E-3</v>
      </c>
      <c r="G777">
        <v>1</v>
      </c>
      <c r="H777">
        <v>1</v>
      </c>
      <c r="I777">
        <v>5</v>
      </c>
      <c r="J777" s="1">
        <f t="shared" ca="1" si="246"/>
        <v>0</v>
      </c>
      <c r="K777" s="1">
        <f t="shared" ca="1" si="247"/>
        <v>0</v>
      </c>
      <c r="L777" s="13">
        <f t="shared" ca="1" si="248"/>
        <v>663</v>
      </c>
      <c r="M777" s="7">
        <f t="shared" ca="1" si="249"/>
        <v>837</v>
      </c>
      <c r="N777" s="26">
        <f t="shared" ca="1" si="250"/>
        <v>3</v>
      </c>
      <c r="O777" s="44">
        <f t="shared" ca="1" si="251"/>
        <v>2.2758855914378953</v>
      </c>
      <c r="P777" s="44">
        <f t="shared" ca="1" si="252"/>
        <v>22.758855914378952</v>
      </c>
      <c r="Q777" s="44">
        <f t="shared" ca="1" si="253"/>
        <v>22.758855914378952</v>
      </c>
      <c r="R777" s="44">
        <f t="shared" ca="1" si="254"/>
        <v>2.2758855914378953</v>
      </c>
      <c r="S777" s="44">
        <f t="shared" ca="1" si="255"/>
        <v>2.2758855914378953</v>
      </c>
      <c r="T777" s="4">
        <f t="shared" ca="1" si="256"/>
        <v>0</v>
      </c>
      <c r="U777" s="120">
        <f t="shared" ca="1" si="257"/>
        <v>2179.0063598009133</v>
      </c>
      <c r="V777" s="4">
        <f t="shared" ca="1" si="258"/>
        <v>0</v>
      </c>
      <c r="W777" s="13">
        <f t="shared" ca="1" si="259"/>
        <v>44042.006250000006</v>
      </c>
      <c r="X777" s="4">
        <f t="shared" ca="1" si="260"/>
        <v>0</v>
      </c>
      <c r="Y777" s="4">
        <f t="shared" si="261"/>
        <v>0</v>
      </c>
      <c r="Z777" s="13">
        <f t="shared" ca="1" si="262"/>
        <v>44042.006250000006</v>
      </c>
      <c r="AA777" s="4">
        <f t="shared" ca="1" si="263"/>
        <v>0</v>
      </c>
    </row>
    <row r="778" spans="1:27">
      <c r="A778">
        <v>1</v>
      </c>
      <c r="B778">
        <v>3</v>
      </c>
      <c r="C778">
        <f t="shared" ca="1" si="242"/>
        <v>6</v>
      </c>
      <c r="D778">
        <f t="shared" ca="1" si="243"/>
        <v>5</v>
      </c>
      <c r="E778">
        <f t="shared" ca="1" si="244"/>
        <v>1</v>
      </c>
      <c r="F778" s="110">
        <f t="shared" ca="1" si="245"/>
        <v>1.7459999999999997E-3</v>
      </c>
      <c r="G778">
        <v>1</v>
      </c>
      <c r="H778">
        <v>1</v>
      </c>
      <c r="I778">
        <v>4</v>
      </c>
      <c r="J778" s="1">
        <f t="shared" ca="1" si="246"/>
        <v>0</v>
      </c>
      <c r="K778" s="1">
        <f t="shared" ca="1" si="247"/>
        <v>0</v>
      </c>
      <c r="L778" s="13">
        <f t="shared" ca="1" si="248"/>
        <v>644</v>
      </c>
      <c r="M778" s="7">
        <f t="shared" ca="1" si="249"/>
        <v>856</v>
      </c>
      <c r="N778" s="26">
        <f t="shared" ca="1" si="250"/>
        <v>3</v>
      </c>
      <c r="O778" s="44">
        <f t="shared" ca="1" si="251"/>
        <v>2.2758855914378953</v>
      </c>
      <c r="P778" s="44">
        <f t="shared" ca="1" si="252"/>
        <v>22.758855914378952</v>
      </c>
      <c r="Q778" s="44">
        <f t="shared" ca="1" si="253"/>
        <v>22.758855914378952</v>
      </c>
      <c r="R778" s="44">
        <f t="shared" ca="1" si="254"/>
        <v>2.2758855914378953</v>
      </c>
      <c r="S778" s="44">
        <f t="shared" ca="1" si="255"/>
        <v>2.2758855914378953</v>
      </c>
      <c r="T778" s="4">
        <f t="shared" ca="1" si="256"/>
        <v>0</v>
      </c>
      <c r="U778" s="120">
        <f t="shared" ca="1" si="257"/>
        <v>2160.0063598009133</v>
      </c>
      <c r="V778" s="4">
        <f t="shared" ca="1" si="258"/>
        <v>0</v>
      </c>
      <c r="W778" s="13">
        <f t="shared" ca="1" si="259"/>
        <v>41268.881250000006</v>
      </c>
      <c r="X778" s="4">
        <f t="shared" ca="1" si="260"/>
        <v>0</v>
      </c>
      <c r="Y778" s="4">
        <f t="shared" si="261"/>
        <v>0</v>
      </c>
      <c r="Z778" s="13">
        <f t="shared" ca="1" si="262"/>
        <v>41268.881250000006</v>
      </c>
      <c r="AA778" s="4">
        <f t="shared" ca="1" si="263"/>
        <v>0</v>
      </c>
    </row>
    <row r="779" spans="1:27">
      <c r="A779">
        <v>1</v>
      </c>
      <c r="B779">
        <v>3</v>
      </c>
      <c r="C779">
        <f t="shared" ca="1" si="242"/>
        <v>6</v>
      </c>
      <c r="D779">
        <f t="shared" ca="1" si="243"/>
        <v>5</v>
      </c>
      <c r="E779">
        <f t="shared" ca="1" si="244"/>
        <v>1</v>
      </c>
      <c r="F779" s="110">
        <f t="shared" ca="1" si="245"/>
        <v>1.7459999999999997E-3</v>
      </c>
      <c r="G779">
        <v>1</v>
      </c>
      <c r="H779">
        <v>1</v>
      </c>
      <c r="I779">
        <v>3</v>
      </c>
      <c r="J779" s="1">
        <f t="shared" ca="1" si="246"/>
        <v>0</v>
      </c>
      <c r="K779" s="1">
        <f t="shared" ca="1" si="247"/>
        <v>0</v>
      </c>
      <c r="L779" s="13">
        <f t="shared" ca="1" si="248"/>
        <v>625</v>
      </c>
      <c r="M779" s="7">
        <f t="shared" ca="1" si="249"/>
        <v>875</v>
      </c>
      <c r="N779" s="26">
        <f t="shared" ca="1" si="250"/>
        <v>3</v>
      </c>
      <c r="O779" s="44">
        <f t="shared" ca="1" si="251"/>
        <v>2.2758855914378953</v>
      </c>
      <c r="P779" s="44">
        <f t="shared" ca="1" si="252"/>
        <v>22.758855914378952</v>
      </c>
      <c r="Q779" s="44">
        <f t="shared" ca="1" si="253"/>
        <v>22.758855914378952</v>
      </c>
      <c r="R779" s="44">
        <f t="shared" ca="1" si="254"/>
        <v>2.2758855914378953</v>
      </c>
      <c r="S779" s="44">
        <f t="shared" ca="1" si="255"/>
        <v>2.2758855914378953</v>
      </c>
      <c r="T779" s="4">
        <f t="shared" ca="1" si="256"/>
        <v>0</v>
      </c>
      <c r="U779" s="120">
        <f t="shared" ca="1" si="257"/>
        <v>2141.0063598009133</v>
      </c>
      <c r="V779" s="4">
        <f t="shared" ca="1" si="258"/>
        <v>0</v>
      </c>
      <c r="W779" s="13">
        <f t="shared" ca="1" si="259"/>
        <v>38495.756250000006</v>
      </c>
      <c r="X779" s="4">
        <f t="shared" ca="1" si="260"/>
        <v>0</v>
      </c>
      <c r="Y779" s="4">
        <f t="shared" si="261"/>
        <v>0</v>
      </c>
      <c r="Z779" s="13">
        <f t="shared" ca="1" si="262"/>
        <v>38495.756250000006</v>
      </c>
      <c r="AA779" s="4">
        <f t="shared" ca="1" si="263"/>
        <v>0</v>
      </c>
    </row>
    <row r="780" spans="1:27">
      <c r="A780">
        <v>1</v>
      </c>
      <c r="B780">
        <v>3</v>
      </c>
      <c r="C780">
        <f t="shared" ca="1" si="242"/>
        <v>6</v>
      </c>
      <c r="D780">
        <f t="shared" ca="1" si="243"/>
        <v>5</v>
      </c>
      <c r="E780">
        <f t="shared" ca="1" si="244"/>
        <v>1</v>
      </c>
      <c r="F780" s="110">
        <f t="shared" ca="1" si="245"/>
        <v>1.7459999999999997E-3</v>
      </c>
      <c r="G780">
        <v>1</v>
      </c>
      <c r="H780">
        <v>1</v>
      </c>
      <c r="I780">
        <v>2</v>
      </c>
      <c r="J780" s="1">
        <f t="shared" ca="1" si="246"/>
        <v>0</v>
      </c>
      <c r="K780" s="1">
        <f t="shared" ca="1" si="247"/>
        <v>0</v>
      </c>
      <c r="L780" s="13">
        <f t="shared" ca="1" si="248"/>
        <v>606</v>
      </c>
      <c r="M780" s="7">
        <f t="shared" ca="1" si="249"/>
        <v>894</v>
      </c>
      <c r="N780" s="26">
        <f t="shared" ca="1" si="250"/>
        <v>3</v>
      </c>
      <c r="O780" s="44">
        <f t="shared" ca="1" si="251"/>
        <v>2.2758855914378953</v>
      </c>
      <c r="P780" s="44">
        <f t="shared" ca="1" si="252"/>
        <v>22.758855914378952</v>
      </c>
      <c r="Q780" s="44">
        <f t="shared" ca="1" si="253"/>
        <v>22.758855914378952</v>
      </c>
      <c r="R780" s="44">
        <f t="shared" ca="1" si="254"/>
        <v>2.2758855914378953</v>
      </c>
      <c r="S780" s="44">
        <f t="shared" ca="1" si="255"/>
        <v>2.2758855914378953</v>
      </c>
      <c r="T780" s="4">
        <f t="shared" ca="1" si="256"/>
        <v>0</v>
      </c>
      <c r="U780" s="120">
        <f t="shared" ca="1" si="257"/>
        <v>2122.0063598009133</v>
      </c>
      <c r="V780" s="4">
        <f t="shared" ca="1" si="258"/>
        <v>0</v>
      </c>
      <c r="W780" s="13">
        <f t="shared" ca="1" si="259"/>
        <v>35722.631250000006</v>
      </c>
      <c r="X780" s="4">
        <f t="shared" ca="1" si="260"/>
        <v>0</v>
      </c>
      <c r="Y780" s="4">
        <f t="shared" si="261"/>
        <v>0</v>
      </c>
      <c r="Z780" s="13">
        <f t="shared" ca="1" si="262"/>
        <v>35722.631250000006</v>
      </c>
      <c r="AA780" s="4">
        <f t="shared" ca="1" si="263"/>
        <v>0</v>
      </c>
    </row>
    <row r="781" spans="1:27">
      <c r="A781">
        <v>1</v>
      </c>
      <c r="B781">
        <v>3</v>
      </c>
      <c r="C781">
        <f t="shared" ca="1" si="242"/>
        <v>6</v>
      </c>
      <c r="D781">
        <f t="shared" ca="1" si="243"/>
        <v>5</v>
      </c>
      <c r="E781">
        <f t="shared" ca="1" si="244"/>
        <v>1</v>
      </c>
      <c r="F781" s="110">
        <f t="shared" ca="1" si="245"/>
        <v>1.7459999999999997E-3</v>
      </c>
      <c r="G781">
        <v>1</v>
      </c>
      <c r="H781">
        <v>1</v>
      </c>
      <c r="I781">
        <v>1</v>
      </c>
      <c r="J781" s="1">
        <f t="shared" ca="1" si="246"/>
        <v>0</v>
      </c>
      <c r="K781" s="1">
        <f t="shared" ca="1" si="247"/>
        <v>0</v>
      </c>
      <c r="L781" s="13">
        <f t="shared" ca="1" si="248"/>
        <v>587</v>
      </c>
      <c r="M781" s="7">
        <f t="shared" ca="1" si="249"/>
        <v>913</v>
      </c>
      <c r="N781" s="26">
        <f t="shared" ca="1" si="250"/>
        <v>3</v>
      </c>
      <c r="O781" s="44">
        <f t="shared" ca="1" si="251"/>
        <v>2.2758855914378953</v>
      </c>
      <c r="P781" s="44">
        <f t="shared" ca="1" si="252"/>
        <v>22.758855914378952</v>
      </c>
      <c r="Q781" s="44">
        <f t="shared" ca="1" si="253"/>
        <v>22.758855914378952</v>
      </c>
      <c r="R781" s="44">
        <f t="shared" ca="1" si="254"/>
        <v>2.2758855914378953</v>
      </c>
      <c r="S781" s="44">
        <f t="shared" ca="1" si="255"/>
        <v>2.2758855914378953</v>
      </c>
      <c r="T781" s="4">
        <f t="shared" ca="1" si="256"/>
        <v>0</v>
      </c>
      <c r="U781" s="120">
        <f t="shared" ca="1" si="257"/>
        <v>2103.0063598009133</v>
      </c>
      <c r="V781" s="4">
        <f t="shared" ca="1" si="258"/>
        <v>0</v>
      </c>
      <c r="W781" s="13">
        <f t="shared" ca="1" si="259"/>
        <v>32949.506250000006</v>
      </c>
      <c r="X781" s="4">
        <f t="shared" ca="1" si="260"/>
        <v>0</v>
      </c>
      <c r="Y781" s="4">
        <f t="shared" si="261"/>
        <v>0</v>
      </c>
      <c r="Z781" s="13">
        <f t="shared" ca="1" si="262"/>
        <v>32949.506250000006</v>
      </c>
      <c r="AA781" s="4">
        <f t="shared" ca="1" si="263"/>
        <v>0</v>
      </c>
    </row>
    <row r="782" spans="1:27">
      <c r="A782">
        <v>1</v>
      </c>
      <c r="B782">
        <v>3</v>
      </c>
      <c r="C782">
        <f t="shared" ca="1" si="242"/>
        <v>6</v>
      </c>
      <c r="D782">
        <f t="shared" ca="1" si="243"/>
        <v>5</v>
      </c>
      <c r="E782">
        <f t="shared" ca="1" si="244"/>
        <v>1</v>
      </c>
      <c r="F782" s="110">
        <f t="shared" ca="1" si="245"/>
        <v>1.7459999999999997E-3</v>
      </c>
      <c r="G782">
        <v>1</v>
      </c>
      <c r="H782">
        <v>1</v>
      </c>
      <c r="I782">
        <v>0</v>
      </c>
      <c r="J782" s="1">
        <f t="shared" ca="1" si="246"/>
        <v>0</v>
      </c>
      <c r="K782" s="1">
        <f t="shared" ca="1" si="247"/>
        <v>0</v>
      </c>
      <c r="L782" s="13">
        <f t="shared" ca="1" si="248"/>
        <v>568</v>
      </c>
      <c r="M782" s="7">
        <f t="shared" ca="1" si="249"/>
        <v>932</v>
      </c>
      <c r="N782" s="26">
        <f t="shared" ca="1" si="250"/>
        <v>3</v>
      </c>
      <c r="O782" s="44">
        <f t="shared" ca="1" si="251"/>
        <v>2.2758855914378953</v>
      </c>
      <c r="P782" s="44">
        <f t="shared" ca="1" si="252"/>
        <v>22.758855914378952</v>
      </c>
      <c r="Q782" s="44">
        <f t="shared" ca="1" si="253"/>
        <v>22.758855914378952</v>
      </c>
      <c r="R782" s="44">
        <f t="shared" ca="1" si="254"/>
        <v>2.2758855914378953</v>
      </c>
      <c r="S782" s="44">
        <f t="shared" ca="1" si="255"/>
        <v>2.2758855914378953</v>
      </c>
      <c r="T782" s="4">
        <f t="shared" ca="1" si="256"/>
        <v>0</v>
      </c>
      <c r="U782" s="120">
        <f t="shared" ca="1" si="257"/>
        <v>2084.0063598009133</v>
      </c>
      <c r="V782" s="4">
        <f t="shared" ca="1" si="258"/>
        <v>0</v>
      </c>
      <c r="W782" s="13">
        <f t="shared" ca="1" si="259"/>
        <v>30176.381250000002</v>
      </c>
      <c r="X782" s="4">
        <f t="shared" ca="1" si="260"/>
        <v>0</v>
      </c>
      <c r="Y782" s="4">
        <f t="shared" si="261"/>
        <v>0</v>
      </c>
      <c r="Z782" s="13">
        <f t="shared" ca="1" si="262"/>
        <v>30176.381250000002</v>
      </c>
      <c r="AA782" s="4">
        <f t="shared" ca="1" si="263"/>
        <v>0</v>
      </c>
    </row>
    <row r="783" spans="1:27">
      <c r="A783">
        <v>1</v>
      </c>
      <c r="B783">
        <v>3</v>
      </c>
      <c r="C783">
        <f t="shared" ca="1" si="242"/>
        <v>6</v>
      </c>
      <c r="D783">
        <f t="shared" ca="1" si="243"/>
        <v>5</v>
      </c>
      <c r="E783">
        <f t="shared" ca="1" si="244"/>
        <v>1</v>
      </c>
      <c r="F783" s="110">
        <f t="shared" ca="1" si="245"/>
        <v>1.7459999999999997E-3</v>
      </c>
      <c r="G783">
        <v>1</v>
      </c>
      <c r="H783">
        <v>0</v>
      </c>
      <c r="I783">
        <v>7</v>
      </c>
      <c r="J783" s="1">
        <f t="shared" ca="1" si="246"/>
        <v>0</v>
      </c>
      <c r="K783" s="1">
        <f t="shared" ca="1" si="247"/>
        <v>0</v>
      </c>
      <c r="L783" s="13">
        <f t="shared" ca="1" si="248"/>
        <v>417</v>
      </c>
      <c r="M783" s="7">
        <f t="shared" ca="1" si="249"/>
        <v>1083</v>
      </c>
      <c r="N783" s="26">
        <f t="shared" ca="1" si="250"/>
        <v>4</v>
      </c>
      <c r="O783" s="44">
        <f t="shared" ca="1" si="251"/>
        <v>2.8908103757121246</v>
      </c>
      <c r="P783" s="44">
        <f t="shared" ca="1" si="252"/>
        <v>28.908103757121246</v>
      </c>
      <c r="Q783" s="44">
        <f t="shared" ca="1" si="253"/>
        <v>28.908103757121246</v>
      </c>
      <c r="R783" s="44">
        <f t="shared" ca="1" si="254"/>
        <v>2.8908103757121246</v>
      </c>
      <c r="S783" s="44">
        <f t="shared" ca="1" si="255"/>
        <v>2.8908103757121246</v>
      </c>
      <c r="T783" s="4">
        <f t="shared" ca="1" si="256"/>
        <v>0</v>
      </c>
      <c r="U783" s="120">
        <f t="shared" ca="1" si="257"/>
        <v>2268.675062040129</v>
      </c>
      <c r="V783" s="4">
        <f t="shared" ca="1" si="258"/>
        <v>0</v>
      </c>
      <c r="W783" s="13">
        <f t="shared" ca="1" si="259"/>
        <v>49588.256250000006</v>
      </c>
      <c r="X783" s="4">
        <f t="shared" ca="1" si="260"/>
        <v>0</v>
      </c>
      <c r="Y783" s="4">
        <f t="shared" si="261"/>
        <v>0</v>
      </c>
      <c r="Z783" s="13">
        <f t="shared" ca="1" si="262"/>
        <v>49588.256250000006</v>
      </c>
      <c r="AA783" s="4">
        <f t="shared" ca="1" si="263"/>
        <v>0</v>
      </c>
    </row>
    <row r="784" spans="1:27">
      <c r="A784">
        <v>1</v>
      </c>
      <c r="B784">
        <v>3</v>
      </c>
      <c r="C784">
        <f t="shared" ca="1" si="242"/>
        <v>6</v>
      </c>
      <c r="D784">
        <f t="shared" ca="1" si="243"/>
        <v>5</v>
      </c>
      <c r="E784">
        <f t="shared" ca="1" si="244"/>
        <v>1</v>
      </c>
      <c r="F784" s="110">
        <f t="shared" ca="1" si="245"/>
        <v>1.7459999999999997E-3</v>
      </c>
      <c r="G784">
        <v>1</v>
      </c>
      <c r="H784">
        <v>0</v>
      </c>
      <c r="I784">
        <v>6</v>
      </c>
      <c r="J784" s="1">
        <f t="shared" ca="1" si="246"/>
        <v>0</v>
      </c>
      <c r="K784" s="1">
        <f t="shared" ca="1" si="247"/>
        <v>0</v>
      </c>
      <c r="L784" s="13">
        <f t="shared" ca="1" si="248"/>
        <v>398</v>
      </c>
      <c r="M784" s="7">
        <f t="shared" ca="1" si="249"/>
        <v>1102</v>
      </c>
      <c r="N784" s="26">
        <f t="shared" ca="1" si="250"/>
        <v>4</v>
      </c>
      <c r="O784" s="44">
        <f t="shared" ca="1" si="251"/>
        <v>2.8908103757121246</v>
      </c>
      <c r="P784" s="44">
        <f t="shared" ca="1" si="252"/>
        <v>28.908103757121246</v>
      </c>
      <c r="Q784" s="44">
        <f t="shared" ca="1" si="253"/>
        <v>28.908103757121246</v>
      </c>
      <c r="R784" s="44">
        <f t="shared" ca="1" si="254"/>
        <v>2.8908103757121246</v>
      </c>
      <c r="S784" s="44">
        <f t="shared" ca="1" si="255"/>
        <v>2.8908103757121246</v>
      </c>
      <c r="T784" s="4">
        <f t="shared" ca="1" si="256"/>
        <v>0</v>
      </c>
      <c r="U784" s="120">
        <f t="shared" ca="1" si="257"/>
        <v>2249.675062040129</v>
      </c>
      <c r="V784" s="4">
        <f t="shared" ca="1" si="258"/>
        <v>0</v>
      </c>
      <c r="W784" s="13">
        <f t="shared" ca="1" si="259"/>
        <v>46815.131250000006</v>
      </c>
      <c r="X784" s="4">
        <f t="shared" ca="1" si="260"/>
        <v>0</v>
      </c>
      <c r="Y784" s="4">
        <f t="shared" si="261"/>
        <v>0</v>
      </c>
      <c r="Z784" s="13">
        <f t="shared" ca="1" si="262"/>
        <v>46815.131250000006</v>
      </c>
      <c r="AA784" s="4">
        <f t="shared" ca="1" si="263"/>
        <v>0</v>
      </c>
    </row>
    <row r="785" spans="1:27">
      <c r="A785">
        <v>1</v>
      </c>
      <c r="B785">
        <v>3</v>
      </c>
      <c r="C785">
        <f t="shared" ca="1" si="242"/>
        <v>6</v>
      </c>
      <c r="D785">
        <f t="shared" ca="1" si="243"/>
        <v>5</v>
      </c>
      <c r="E785">
        <f t="shared" ca="1" si="244"/>
        <v>1</v>
      </c>
      <c r="F785" s="110">
        <f t="shared" ca="1" si="245"/>
        <v>1.7459999999999997E-3</v>
      </c>
      <c r="G785">
        <v>1</v>
      </c>
      <c r="H785">
        <v>0</v>
      </c>
      <c r="I785">
        <v>5</v>
      </c>
      <c r="J785" s="1">
        <f t="shared" ca="1" si="246"/>
        <v>0.73509189062499991</v>
      </c>
      <c r="K785" s="1">
        <f t="shared" ca="1" si="247"/>
        <v>1.2834704410312496E-3</v>
      </c>
      <c r="L785" s="13">
        <f t="shared" ca="1" si="248"/>
        <v>379</v>
      </c>
      <c r="M785" s="7">
        <f t="shared" ca="1" si="249"/>
        <v>1121</v>
      </c>
      <c r="N785" s="26">
        <f t="shared" ca="1" si="250"/>
        <v>4</v>
      </c>
      <c r="O785" s="44">
        <f t="shared" ca="1" si="251"/>
        <v>2.8908103757121246</v>
      </c>
      <c r="P785" s="44">
        <f t="shared" ca="1" si="252"/>
        <v>28.908103757121246</v>
      </c>
      <c r="Q785" s="44">
        <f t="shared" ca="1" si="253"/>
        <v>28.908103757121246</v>
      </c>
      <c r="R785" s="44">
        <f t="shared" ca="1" si="254"/>
        <v>2.8908103757121246</v>
      </c>
      <c r="S785" s="44">
        <f t="shared" ca="1" si="255"/>
        <v>2.8908103757121246</v>
      </c>
      <c r="T785" s="4">
        <f t="shared" ca="1" si="256"/>
        <v>3.710269667852953E-3</v>
      </c>
      <c r="U785" s="120">
        <f t="shared" ca="1" si="257"/>
        <v>2230.675062040129</v>
      </c>
      <c r="V785" s="4">
        <f t="shared" ca="1" si="258"/>
        <v>2.8630055056740544</v>
      </c>
      <c r="W785" s="13">
        <f t="shared" ca="1" si="259"/>
        <v>44042.006250000006</v>
      </c>
      <c r="X785" s="4">
        <f t="shared" ca="1" si="260"/>
        <v>56.526613185588559</v>
      </c>
      <c r="Y785" s="4">
        <f t="shared" si="261"/>
        <v>0</v>
      </c>
      <c r="Z785" s="13">
        <f t="shared" ca="1" si="262"/>
        <v>44042.006250000006</v>
      </c>
      <c r="AA785" s="4">
        <f t="shared" ca="1" si="263"/>
        <v>56.526613185588559</v>
      </c>
    </row>
    <row r="786" spans="1:27">
      <c r="A786">
        <v>1</v>
      </c>
      <c r="B786">
        <v>3</v>
      </c>
      <c r="C786">
        <f t="shared" ca="1" si="242"/>
        <v>6</v>
      </c>
      <c r="D786">
        <f t="shared" ca="1" si="243"/>
        <v>5</v>
      </c>
      <c r="E786">
        <f t="shared" ca="1" si="244"/>
        <v>1</v>
      </c>
      <c r="F786" s="110">
        <f t="shared" ca="1" si="245"/>
        <v>1.7459999999999997E-3</v>
      </c>
      <c r="G786">
        <v>1</v>
      </c>
      <c r="H786">
        <v>0</v>
      </c>
      <c r="I786">
        <v>4</v>
      </c>
      <c r="J786" s="1">
        <f t="shared" ca="1" si="246"/>
        <v>0.19344523437500014</v>
      </c>
      <c r="K786" s="1">
        <f t="shared" ca="1" si="247"/>
        <v>3.3775537921875017E-4</v>
      </c>
      <c r="L786" s="13">
        <f t="shared" ca="1" si="248"/>
        <v>360</v>
      </c>
      <c r="M786" s="7">
        <f t="shared" ca="1" si="249"/>
        <v>1140</v>
      </c>
      <c r="N786" s="26">
        <f t="shared" ca="1" si="250"/>
        <v>4</v>
      </c>
      <c r="O786" s="44">
        <f t="shared" ca="1" si="251"/>
        <v>2.8908103757121246</v>
      </c>
      <c r="P786" s="44">
        <f t="shared" ca="1" si="252"/>
        <v>28.908103757121246</v>
      </c>
      <c r="Q786" s="44">
        <f t="shared" ca="1" si="253"/>
        <v>28.908103757121246</v>
      </c>
      <c r="R786" s="44">
        <f t="shared" ca="1" si="254"/>
        <v>2.8908103757121246</v>
      </c>
      <c r="S786" s="44">
        <f t="shared" ca="1" si="255"/>
        <v>2.8908103757121246</v>
      </c>
      <c r="T786" s="4">
        <f t="shared" ca="1" si="256"/>
        <v>9.763867546981463E-4</v>
      </c>
      <c r="U786" s="120">
        <f t="shared" ca="1" si="257"/>
        <v>2211.675062040129</v>
      </c>
      <c r="V786" s="4">
        <f t="shared" ca="1" si="258"/>
        <v>0.74700514928801653</v>
      </c>
      <c r="W786" s="13">
        <f t="shared" ca="1" si="259"/>
        <v>41268.881250000006</v>
      </c>
      <c r="X786" s="4">
        <f t="shared" ca="1" si="260"/>
        <v>13.93878663652732</v>
      </c>
      <c r="Y786" s="4">
        <f t="shared" si="261"/>
        <v>0</v>
      </c>
      <c r="Z786" s="13">
        <f t="shared" ca="1" si="262"/>
        <v>41268.881250000006</v>
      </c>
      <c r="AA786" s="4">
        <f t="shared" ca="1" si="263"/>
        <v>13.93878663652732</v>
      </c>
    </row>
    <row r="787" spans="1:27">
      <c r="A787">
        <v>1</v>
      </c>
      <c r="B787">
        <v>3</v>
      </c>
      <c r="C787">
        <f t="shared" ca="1" si="242"/>
        <v>6</v>
      </c>
      <c r="D787">
        <f t="shared" ca="1" si="243"/>
        <v>5</v>
      </c>
      <c r="E787">
        <f t="shared" ca="1" si="244"/>
        <v>1</v>
      </c>
      <c r="F787" s="110">
        <f t="shared" ca="1" si="245"/>
        <v>1.7459999999999997E-3</v>
      </c>
      <c r="G787">
        <v>1</v>
      </c>
      <c r="H787">
        <v>0</v>
      </c>
      <c r="I787">
        <v>3</v>
      </c>
      <c r="J787" s="1">
        <f t="shared" ca="1" si="246"/>
        <v>2.0362656250000031E-2</v>
      </c>
      <c r="K787" s="1">
        <f t="shared" ca="1" si="247"/>
        <v>3.5553197812500046E-5</v>
      </c>
      <c r="L787" s="13">
        <f t="shared" ca="1" si="248"/>
        <v>341</v>
      </c>
      <c r="M787" s="7">
        <f t="shared" ca="1" si="249"/>
        <v>1159</v>
      </c>
      <c r="N787" s="26">
        <f t="shared" ca="1" si="250"/>
        <v>4</v>
      </c>
      <c r="O787" s="44">
        <f t="shared" ca="1" si="251"/>
        <v>2.8908103757121246</v>
      </c>
      <c r="P787" s="44">
        <f t="shared" ca="1" si="252"/>
        <v>28.908103757121246</v>
      </c>
      <c r="Q787" s="44">
        <f t="shared" ca="1" si="253"/>
        <v>28.908103757121246</v>
      </c>
      <c r="R787" s="44">
        <f t="shared" ca="1" si="254"/>
        <v>2.8908103757121246</v>
      </c>
      <c r="S787" s="44">
        <f t="shared" ca="1" si="255"/>
        <v>2.8908103757121246</v>
      </c>
      <c r="T787" s="4">
        <f t="shared" ca="1" si="256"/>
        <v>1.0277755312612075E-4</v>
      </c>
      <c r="U787" s="120">
        <f t="shared" ca="1" si="257"/>
        <v>2192.675062040129</v>
      </c>
      <c r="V787" s="4">
        <f t="shared" ca="1" si="258"/>
        <v>7.7956610219248518E-2</v>
      </c>
      <c r="W787" s="13">
        <f t="shared" ca="1" si="259"/>
        <v>38495.756250000006</v>
      </c>
      <c r="X787" s="4">
        <f t="shared" ca="1" si="260"/>
        <v>1.3686472368980351</v>
      </c>
      <c r="Y787" s="4">
        <f t="shared" si="261"/>
        <v>0</v>
      </c>
      <c r="Z787" s="13">
        <f t="shared" ca="1" si="262"/>
        <v>38495.756250000006</v>
      </c>
      <c r="AA787" s="4">
        <f t="shared" ca="1" si="263"/>
        <v>1.3686472368980351</v>
      </c>
    </row>
    <row r="788" spans="1:27">
      <c r="A788">
        <v>1</v>
      </c>
      <c r="B788">
        <v>3</v>
      </c>
      <c r="C788">
        <f t="shared" ca="1" si="242"/>
        <v>6</v>
      </c>
      <c r="D788">
        <f t="shared" ca="1" si="243"/>
        <v>5</v>
      </c>
      <c r="E788">
        <f t="shared" ca="1" si="244"/>
        <v>1</v>
      </c>
      <c r="F788" s="110">
        <f t="shared" ca="1" si="245"/>
        <v>1.7459999999999997E-3</v>
      </c>
      <c r="G788">
        <v>1</v>
      </c>
      <c r="H788">
        <v>0</v>
      </c>
      <c r="I788">
        <v>2</v>
      </c>
      <c r="J788" s="1">
        <f t="shared" ca="1" si="246"/>
        <v>1.0717187500000028E-3</v>
      </c>
      <c r="K788" s="1">
        <f t="shared" ca="1" si="247"/>
        <v>1.8712209375000046E-6</v>
      </c>
      <c r="L788" s="13">
        <f t="shared" ca="1" si="248"/>
        <v>322</v>
      </c>
      <c r="M788" s="7">
        <f t="shared" ca="1" si="249"/>
        <v>1178</v>
      </c>
      <c r="N788" s="26">
        <f t="shared" ca="1" si="250"/>
        <v>4</v>
      </c>
      <c r="O788" s="44">
        <f t="shared" ca="1" si="251"/>
        <v>2.8908103757121246</v>
      </c>
      <c r="P788" s="44">
        <f t="shared" ca="1" si="252"/>
        <v>28.908103757121246</v>
      </c>
      <c r="Q788" s="44">
        <f t="shared" ca="1" si="253"/>
        <v>28.908103757121246</v>
      </c>
      <c r="R788" s="44">
        <f t="shared" ca="1" si="254"/>
        <v>2.8908103757121246</v>
      </c>
      <c r="S788" s="44">
        <f t="shared" ca="1" si="255"/>
        <v>2.8908103757121246</v>
      </c>
      <c r="T788" s="4">
        <f t="shared" ca="1" si="256"/>
        <v>5.4093449013747826E-6</v>
      </c>
      <c r="U788" s="120">
        <f t="shared" ca="1" si="257"/>
        <v>2173.675062040129</v>
      </c>
      <c r="V788" s="4">
        <f t="shared" ca="1" si="258"/>
        <v>4.0674262874111113E-3</v>
      </c>
      <c r="W788" s="13">
        <f t="shared" ca="1" si="259"/>
        <v>35722.631250000006</v>
      </c>
      <c r="X788" s="4">
        <f t="shared" ca="1" si="260"/>
        <v>6.6844935537591979E-2</v>
      </c>
      <c r="Y788" s="4">
        <f t="shared" si="261"/>
        <v>0</v>
      </c>
      <c r="Z788" s="13">
        <f t="shared" ca="1" si="262"/>
        <v>35722.631250000006</v>
      </c>
      <c r="AA788" s="4">
        <f t="shared" ca="1" si="263"/>
        <v>6.6844935537591979E-2</v>
      </c>
    </row>
    <row r="789" spans="1:27">
      <c r="A789">
        <v>1</v>
      </c>
      <c r="B789">
        <v>3</v>
      </c>
      <c r="C789">
        <f t="shared" ca="1" si="242"/>
        <v>6</v>
      </c>
      <c r="D789">
        <f t="shared" ca="1" si="243"/>
        <v>5</v>
      </c>
      <c r="E789">
        <f t="shared" ca="1" si="244"/>
        <v>1</v>
      </c>
      <c r="F789" s="110">
        <f t="shared" ca="1" si="245"/>
        <v>1.7459999999999997E-3</v>
      </c>
      <c r="G789">
        <v>1</v>
      </c>
      <c r="H789">
        <v>0</v>
      </c>
      <c r="I789">
        <v>1</v>
      </c>
      <c r="J789" s="1">
        <f t="shared" ca="1" si="246"/>
        <v>2.8203125000000098E-5</v>
      </c>
      <c r="K789" s="1">
        <f t="shared" ca="1" si="247"/>
        <v>4.9242656250000162E-8</v>
      </c>
      <c r="L789" s="13">
        <f t="shared" ca="1" si="248"/>
        <v>303</v>
      </c>
      <c r="M789" s="7">
        <f t="shared" ca="1" si="249"/>
        <v>1197</v>
      </c>
      <c r="N789" s="26">
        <f t="shared" ca="1" si="250"/>
        <v>4</v>
      </c>
      <c r="O789" s="44">
        <f t="shared" ca="1" si="251"/>
        <v>2.8908103757121246</v>
      </c>
      <c r="P789" s="44">
        <f t="shared" ca="1" si="252"/>
        <v>28.908103757121246</v>
      </c>
      <c r="Q789" s="44">
        <f t="shared" ca="1" si="253"/>
        <v>28.908103757121246</v>
      </c>
      <c r="R789" s="44">
        <f t="shared" ca="1" si="254"/>
        <v>2.8908103757121246</v>
      </c>
      <c r="S789" s="44">
        <f t="shared" ca="1" si="255"/>
        <v>2.8908103757121246</v>
      </c>
      <c r="T789" s="4">
        <f t="shared" ca="1" si="256"/>
        <v>1.4235118161512596E-7</v>
      </c>
      <c r="U789" s="120">
        <f t="shared" ca="1" si="257"/>
        <v>2154.675062040129</v>
      </c>
      <c r="V789" s="4">
        <f t="shared" ca="1" si="258"/>
        <v>1.0610192341048984E-4</v>
      </c>
      <c r="W789" s="13">
        <f t="shared" ca="1" si="259"/>
        <v>32949.506250000006</v>
      </c>
      <c r="X789" s="4">
        <f t="shared" ca="1" si="260"/>
        <v>1.6225212098759823E-3</v>
      </c>
      <c r="Y789" s="4">
        <f t="shared" si="261"/>
        <v>0</v>
      </c>
      <c r="Z789" s="13">
        <f t="shared" ca="1" si="262"/>
        <v>32949.506250000006</v>
      </c>
      <c r="AA789" s="4">
        <f t="shared" ca="1" si="263"/>
        <v>1.6225212098759823E-3</v>
      </c>
    </row>
    <row r="790" spans="1:27">
      <c r="A790">
        <v>1</v>
      </c>
      <c r="B790">
        <v>3</v>
      </c>
      <c r="C790">
        <f t="shared" ca="1" si="242"/>
        <v>6</v>
      </c>
      <c r="D790">
        <f t="shared" ca="1" si="243"/>
        <v>5</v>
      </c>
      <c r="E790">
        <f t="shared" ca="1" si="244"/>
        <v>1</v>
      </c>
      <c r="F790" s="110">
        <f t="shared" ca="1" si="245"/>
        <v>1.7459999999999997E-3</v>
      </c>
      <c r="G790">
        <v>1</v>
      </c>
      <c r="H790">
        <v>0</v>
      </c>
      <c r="I790">
        <v>0</v>
      </c>
      <c r="J790" s="1">
        <f t="shared" ca="1" si="246"/>
        <v>2.9687500000000134E-7</v>
      </c>
      <c r="K790" s="1">
        <f t="shared" ca="1" si="247"/>
        <v>5.1834375000000222E-10</v>
      </c>
      <c r="L790" s="13">
        <f t="shared" ca="1" si="248"/>
        <v>284</v>
      </c>
      <c r="M790" s="7">
        <f t="shared" ca="1" si="249"/>
        <v>1216</v>
      </c>
      <c r="N790" s="26">
        <f t="shared" ca="1" si="250"/>
        <v>4</v>
      </c>
      <c r="O790" s="44">
        <f t="shared" ca="1" si="251"/>
        <v>2.8908103757121246</v>
      </c>
      <c r="P790" s="44">
        <f t="shared" ca="1" si="252"/>
        <v>28.908103757121246</v>
      </c>
      <c r="Q790" s="44">
        <f t="shared" ca="1" si="253"/>
        <v>28.908103757121246</v>
      </c>
      <c r="R790" s="44">
        <f t="shared" ca="1" si="254"/>
        <v>2.8908103757121246</v>
      </c>
      <c r="S790" s="44">
        <f t="shared" ca="1" si="255"/>
        <v>2.8908103757121246</v>
      </c>
      <c r="T790" s="4">
        <f t="shared" ca="1" si="256"/>
        <v>1.4984334906855379E-9</v>
      </c>
      <c r="U790" s="120">
        <f t="shared" ca="1" si="257"/>
        <v>2135.675062040129</v>
      </c>
      <c r="V790" s="4">
        <f t="shared" ca="1" si="258"/>
        <v>1.1070138204393677E-6</v>
      </c>
      <c r="W790" s="13">
        <f t="shared" ca="1" si="259"/>
        <v>30176.381250000002</v>
      </c>
      <c r="X790" s="4">
        <f t="shared" ca="1" si="260"/>
        <v>1.5641738618554755E-5</v>
      </c>
      <c r="Y790" s="4">
        <f t="shared" si="261"/>
        <v>0</v>
      </c>
      <c r="Z790" s="13">
        <f t="shared" ca="1" si="262"/>
        <v>30176.381250000002</v>
      </c>
      <c r="AA790" s="4">
        <f t="shared" ca="1" si="263"/>
        <v>1.5641738618554755E-5</v>
      </c>
    </row>
    <row r="791" spans="1:27">
      <c r="A791">
        <v>1</v>
      </c>
      <c r="B791">
        <v>3</v>
      </c>
      <c r="C791">
        <f t="shared" ca="1" si="242"/>
        <v>6</v>
      </c>
      <c r="D791">
        <f t="shared" ca="1" si="243"/>
        <v>5</v>
      </c>
      <c r="E791">
        <f t="shared" ca="1" si="244"/>
        <v>1</v>
      </c>
      <c r="F791" s="110">
        <f t="shared" ca="1" si="245"/>
        <v>1.7459999999999997E-3</v>
      </c>
      <c r="G791">
        <v>0</v>
      </c>
      <c r="H791">
        <v>1</v>
      </c>
      <c r="I791">
        <v>7</v>
      </c>
      <c r="J791" s="1">
        <f t="shared" ca="1" si="246"/>
        <v>0</v>
      </c>
      <c r="K791" s="1">
        <f t="shared" ca="1" si="247"/>
        <v>0</v>
      </c>
      <c r="L791" s="13">
        <f t="shared" ca="1" si="248"/>
        <v>417</v>
      </c>
      <c r="M791" s="7">
        <f t="shared" ca="1" si="249"/>
        <v>1083</v>
      </c>
      <c r="N791" s="26">
        <f t="shared" ca="1" si="250"/>
        <v>4</v>
      </c>
      <c r="O791" s="44">
        <f t="shared" ca="1" si="251"/>
        <v>2.8908103757121246</v>
      </c>
      <c r="P791" s="44">
        <f t="shared" ca="1" si="252"/>
        <v>28.908103757121246</v>
      </c>
      <c r="Q791" s="44">
        <f t="shared" ca="1" si="253"/>
        <v>28.908103757121246</v>
      </c>
      <c r="R791" s="44">
        <f t="shared" ca="1" si="254"/>
        <v>2.8908103757121246</v>
      </c>
      <c r="S791" s="44">
        <f t="shared" ca="1" si="255"/>
        <v>2.8908103757121246</v>
      </c>
      <c r="T791" s="4">
        <f t="shared" ca="1" si="256"/>
        <v>0</v>
      </c>
      <c r="U791" s="120">
        <f t="shared" ca="1" si="257"/>
        <v>2268.675062040129</v>
      </c>
      <c r="V791" s="4">
        <f t="shared" ca="1" si="258"/>
        <v>0</v>
      </c>
      <c r="W791" s="13">
        <f t="shared" ca="1" si="259"/>
        <v>19411.875</v>
      </c>
      <c r="X791" s="4">
        <f t="shared" ca="1" si="260"/>
        <v>0</v>
      </c>
      <c r="Y791" s="4">
        <f t="shared" si="261"/>
        <v>0</v>
      </c>
      <c r="Z791" s="13">
        <f t="shared" ca="1" si="262"/>
        <v>19411.875</v>
      </c>
      <c r="AA791" s="4">
        <f t="shared" ca="1" si="263"/>
        <v>0</v>
      </c>
    </row>
    <row r="792" spans="1:27">
      <c r="A792">
        <v>1</v>
      </c>
      <c r="B792">
        <v>3</v>
      </c>
      <c r="C792">
        <f t="shared" ca="1" si="242"/>
        <v>6</v>
      </c>
      <c r="D792">
        <f t="shared" ca="1" si="243"/>
        <v>5</v>
      </c>
      <c r="E792">
        <f t="shared" ca="1" si="244"/>
        <v>1</v>
      </c>
      <c r="F792" s="110">
        <f t="shared" ca="1" si="245"/>
        <v>1.7459999999999997E-3</v>
      </c>
      <c r="G792">
        <v>0</v>
      </c>
      <c r="H792">
        <v>1</v>
      </c>
      <c r="I792">
        <v>6</v>
      </c>
      <c r="J792" s="1">
        <f t="shared" ca="1" si="246"/>
        <v>0</v>
      </c>
      <c r="K792" s="1">
        <f t="shared" ca="1" si="247"/>
        <v>0</v>
      </c>
      <c r="L792" s="13">
        <f t="shared" ca="1" si="248"/>
        <v>398</v>
      </c>
      <c r="M792" s="7">
        <f t="shared" ca="1" si="249"/>
        <v>1102</v>
      </c>
      <c r="N792" s="26">
        <f t="shared" ca="1" si="250"/>
        <v>4</v>
      </c>
      <c r="O792" s="44">
        <f t="shared" ca="1" si="251"/>
        <v>2.8908103757121246</v>
      </c>
      <c r="P792" s="44">
        <f t="shared" ca="1" si="252"/>
        <v>28.908103757121246</v>
      </c>
      <c r="Q792" s="44">
        <f t="shared" ca="1" si="253"/>
        <v>28.908103757121246</v>
      </c>
      <c r="R792" s="44">
        <f t="shared" ca="1" si="254"/>
        <v>2.8908103757121246</v>
      </c>
      <c r="S792" s="44">
        <f t="shared" ca="1" si="255"/>
        <v>2.8908103757121246</v>
      </c>
      <c r="T792" s="4">
        <f t="shared" ca="1" si="256"/>
        <v>0</v>
      </c>
      <c r="U792" s="120">
        <f t="shared" ca="1" si="257"/>
        <v>2249.675062040129</v>
      </c>
      <c r="V792" s="4">
        <f t="shared" ca="1" si="258"/>
        <v>0</v>
      </c>
      <c r="W792" s="13">
        <f t="shared" ca="1" si="259"/>
        <v>16638.75</v>
      </c>
      <c r="X792" s="4">
        <f t="shared" ca="1" si="260"/>
        <v>0</v>
      </c>
      <c r="Y792" s="4">
        <f t="shared" si="261"/>
        <v>0</v>
      </c>
      <c r="Z792" s="13">
        <f t="shared" ca="1" si="262"/>
        <v>16638.75</v>
      </c>
      <c r="AA792" s="4">
        <f t="shared" ca="1" si="263"/>
        <v>0</v>
      </c>
    </row>
    <row r="793" spans="1:27">
      <c r="A793">
        <v>1</v>
      </c>
      <c r="B793">
        <v>3</v>
      </c>
      <c r="C793">
        <f t="shared" ca="1" si="242"/>
        <v>6</v>
      </c>
      <c r="D793">
        <f t="shared" ca="1" si="243"/>
        <v>5</v>
      </c>
      <c r="E793">
        <f t="shared" ca="1" si="244"/>
        <v>1</v>
      </c>
      <c r="F793" s="110">
        <f t="shared" ca="1" si="245"/>
        <v>1.7459999999999997E-3</v>
      </c>
      <c r="G793">
        <v>0</v>
      </c>
      <c r="H793">
        <v>1</v>
      </c>
      <c r="I793">
        <v>5</v>
      </c>
      <c r="J793" s="1">
        <f t="shared" ca="1" si="246"/>
        <v>0</v>
      </c>
      <c r="K793" s="1">
        <f t="shared" ca="1" si="247"/>
        <v>0</v>
      </c>
      <c r="L793" s="13">
        <f t="shared" ca="1" si="248"/>
        <v>379</v>
      </c>
      <c r="M793" s="7">
        <f t="shared" ca="1" si="249"/>
        <v>1121</v>
      </c>
      <c r="N793" s="26">
        <f t="shared" ca="1" si="250"/>
        <v>4</v>
      </c>
      <c r="O793" s="44">
        <f t="shared" ca="1" si="251"/>
        <v>2.8908103757121246</v>
      </c>
      <c r="P793" s="44">
        <f t="shared" ca="1" si="252"/>
        <v>28.908103757121246</v>
      </c>
      <c r="Q793" s="44">
        <f t="shared" ca="1" si="253"/>
        <v>28.908103757121246</v>
      </c>
      <c r="R793" s="44">
        <f t="shared" ca="1" si="254"/>
        <v>2.8908103757121246</v>
      </c>
      <c r="S793" s="44">
        <f t="shared" ca="1" si="255"/>
        <v>2.8908103757121246</v>
      </c>
      <c r="T793" s="4">
        <f t="shared" ca="1" si="256"/>
        <v>0</v>
      </c>
      <c r="U793" s="120">
        <f t="shared" ca="1" si="257"/>
        <v>2230.675062040129</v>
      </c>
      <c r="V793" s="4">
        <f t="shared" ca="1" si="258"/>
        <v>0</v>
      </c>
      <c r="W793" s="13">
        <f t="shared" ca="1" si="259"/>
        <v>13865.625</v>
      </c>
      <c r="X793" s="4">
        <f t="shared" ca="1" si="260"/>
        <v>0</v>
      </c>
      <c r="Y793" s="4">
        <f t="shared" si="261"/>
        <v>0</v>
      </c>
      <c r="Z793" s="13">
        <f t="shared" ca="1" si="262"/>
        <v>13865.625</v>
      </c>
      <c r="AA793" s="4">
        <f t="shared" ca="1" si="263"/>
        <v>0</v>
      </c>
    </row>
    <row r="794" spans="1:27">
      <c r="A794">
        <v>1</v>
      </c>
      <c r="B794">
        <v>3</v>
      </c>
      <c r="C794">
        <f t="shared" ca="1" si="242"/>
        <v>6</v>
      </c>
      <c r="D794">
        <f t="shared" ca="1" si="243"/>
        <v>5</v>
      </c>
      <c r="E794">
        <f t="shared" ca="1" si="244"/>
        <v>1</v>
      </c>
      <c r="F794" s="110">
        <f t="shared" ca="1" si="245"/>
        <v>1.7459999999999997E-3</v>
      </c>
      <c r="G794">
        <v>0</v>
      </c>
      <c r="H794">
        <v>1</v>
      </c>
      <c r="I794">
        <v>4</v>
      </c>
      <c r="J794" s="1">
        <f t="shared" ca="1" si="246"/>
        <v>0</v>
      </c>
      <c r="K794" s="1">
        <f t="shared" ca="1" si="247"/>
        <v>0</v>
      </c>
      <c r="L794" s="13">
        <f t="shared" ca="1" si="248"/>
        <v>360</v>
      </c>
      <c r="M794" s="7">
        <f t="shared" ca="1" si="249"/>
        <v>1140</v>
      </c>
      <c r="N794" s="26">
        <f t="shared" ca="1" si="250"/>
        <v>4</v>
      </c>
      <c r="O794" s="44">
        <f t="shared" ca="1" si="251"/>
        <v>2.8908103757121246</v>
      </c>
      <c r="P794" s="44">
        <f t="shared" ca="1" si="252"/>
        <v>28.908103757121246</v>
      </c>
      <c r="Q794" s="44">
        <f t="shared" ca="1" si="253"/>
        <v>28.908103757121246</v>
      </c>
      <c r="R794" s="44">
        <f t="shared" ca="1" si="254"/>
        <v>2.8908103757121246</v>
      </c>
      <c r="S794" s="44">
        <f t="shared" ca="1" si="255"/>
        <v>2.8908103757121246</v>
      </c>
      <c r="T794" s="4">
        <f t="shared" ca="1" si="256"/>
        <v>0</v>
      </c>
      <c r="U794" s="120">
        <f t="shared" ca="1" si="257"/>
        <v>2211.675062040129</v>
      </c>
      <c r="V794" s="4">
        <f t="shared" ca="1" si="258"/>
        <v>0</v>
      </c>
      <c r="W794" s="13">
        <f t="shared" ca="1" si="259"/>
        <v>11092.5</v>
      </c>
      <c r="X794" s="4">
        <f t="shared" ca="1" si="260"/>
        <v>0</v>
      </c>
      <c r="Y794" s="4">
        <f t="shared" si="261"/>
        <v>0</v>
      </c>
      <c r="Z794" s="13">
        <f t="shared" ca="1" si="262"/>
        <v>11092.5</v>
      </c>
      <c r="AA794" s="4">
        <f t="shared" ca="1" si="263"/>
        <v>0</v>
      </c>
    </row>
    <row r="795" spans="1:27">
      <c r="A795">
        <v>1</v>
      </c>
      <c r="B795">
        <v>3</v>
      </c>
      <c r="C795">
        <f t="shared" ca="1" si="242"/>
        <v>6</v>
      </c>
      <c r="D795">
        <f t="shared" ca="1" si="243"/>
        <v>5</v>
      </c>
      <c r="E795">
        <f t="shared" ca="1" si="244"/>
        <v>1</v>
      </c>
      <c r="F795" s="110">
        <f t="shared" ca="1" si="245"/>
        <v>1.7459999999999997E-3</v>
      </c>
      <c r="G795">
        <v>0</v>
      </c>
      <c r="H795">
        <v>1</v>
      </c>
      <c r="I795">
        <v>3</v>
      </c>
      <c r="J795" s="1">
        <f t="shared" ca="1" si="246"/>
        <v>0</v>
      </c>
      <c r="K795" s="1">
        <f t="shared" ca="1" si="247"/>
        <v>0</v>
      </c>
      <c r="L795" s="13">
        <f t="shared" ca="1" si="248"/>
        <v>341</v>
      </c>
      <c r="M795" s="7">
        <f t="shared" ca="1" si="249"/>
        <v>1159</v>
      </c>
      <c r="N795" s="26">
        <f t="shared" ca="1" si="250"/>
        <v>4</v>
      </c>
      <c r="O795" s="44">
        <f t="shared" ca="1" si="251"/>
        <v>2.8908103757121246</v>
      </c>
      <c r="P795" s="44">
        <f t="shared" ca="1" si="252"/>
        <v>28.908103757121246</v>
      </c>
      <c r="Q795" s="44">
        <f t="shared" ca="1" si="253"/>
        <v>28.908103757121246</v>
      </c>
      <c r="R795" s="44">
        <f t="shared" ca="1" si="254"/>
        <v>2.8908103757121246</v>
      </c>
      <c r="S795" s="44">
        <f t="shared" ca="1" si="255"/>
        <v>2.8908103757121246</v>
      </c>
      <c r="T795" s="4">
        <f t="shared" ca="1" si="256"/>
        <v>0</v>
      </c>
      <c r="U795" s="120">
        <f t="shared" ca="1" si="257"/>
        <v>2192.675062040129</v>
      </c>
      <c r="V795" s="4">
        <f t="shared" ca="1" si="258"/>
        <v>0</v>
      </c>
      <c r="W795" s="13">
        <f t="shared" ca="1" si="259"/>
        <v>8319.375</v>
      </c>
      <c r="X795" s="4">
        <f t="shared" ca="1" si="260"/>
        <v>0</v>
      </c>
      <c r="Y795" s="4">
        <f t="shared" si="261"/>
        <v>0</v>
      </c>
      <c r="Z795" s="13">
        <f t="shared" ca="1" si="262"/>
        <v>8319.375</v>
      </c>
      <c r="AA795" s="4">
        <f t="shared" ca="1" si="263"/>
        <v>0</v>
      </c>
    </row>
    <row r="796" spans="1:27">
      <c r="A796">
        <v>1</v>
      </c>
      <c r="B796">
        <v>3</v>
      </c>
      <c r="C796">
        <f t="shared" ca="1" si="242"/>
        <v>6</v>
      </c>
      <c r="D796">
        <f t="shared" ca="1" si="243"/>
        <v>5</v>
      </c>
      <c r="E796">
        <f t="shared" ca="1" si="244"/>
        <v>1</v>
      </c>
      <c r="F796" s="110">
        <f t="shared" ca="1" si="245"/>
        <v>1.7459999999999997E-3</v>
      </c>
      <c r="G796">
        <v>0</v>
      </c>
      <c r="H796">
        <v>1</v>
      </c>
      <c r="I796">
        <v>2</v>
      </c>
      <c r="J796" s="1">
        <f t="shared" ca="1" si="246"/>
        <v>0</v>
      </c>
      <c r="K796" s="1">
        <f t="shared" ca="1" si="247"/>
        <v>0</v>
      </c>
      <c r="L796" s="13">
        <f t="shared" ca="1" si="248"/>
        <v>322</v>
      </c>
      <c r="M796" s="7">
        <f t="shared" ca="1" si="249"/>
        <v>1178</v>
      </c>
      <c r="N796" s="26">
        <f t="shared" ca="1" si="250"/>
        <v>4</v>
      </c>
      <c r="O796" s="44">
        <f t="shared" ca="1" si="251"/>
        <v>2.8908103757121246</v>
      </c>
      <c r="P796" s="44">
        <f t="shared" ca="1" si="252"/>
        <v>28.908103757121246</v>
      </c>
      <c r="Q796" s="44">
        <f t="shared" ca="1" si="253"/>
        <v>28.908103757121246</v>
      </c>
      <c r="R796" s="44">
        <f t="shared" ca="1" si="254"/>
        <v>2.8908103757121246</v>
      </c>
      <c r="S796" s="44">
        <f t="shared" ca="1" si="255"/>
        <v>2.8908103757121246</v>
      </c>
      <c r="T796" s="4">
        <f t="shared" ca="1" si="256"/>
        <v>0</v>
      </c>
      <c r="U796" s="120">
        <f t="shared" ca="1" si="257"/>
        <v>2173.675062040129</v>
      </c>
      <c r="V796" s="4">
        <f t="shared" ca="1" si="258"/>
        <v>0</v>
      </c>
      <c r="W796" s="13">
        <f t="shared" ca="1" si="259"/>
        <v>5546.25</v>
      </c>
      <c r="X796" s="4">
        <f t="shared" ca="1" si="260"/>
        <v>0</v>
      </c>
      <c r="Y796" s="4">
        <f t="shared" si="261"/>
        <v>0</v>
      </c>
      <c r="Z796" s="13">
        <f t="shared" ca="1" si="262"/>
        <v>5546.25</v>
      </c>
      <c r="AA796" s="4">
        <f t="shared" ca="1" si="263"/>
        <v>0</v>
      </c>
    </row>
    <row r="797" spans="1:27">
      <c r="A797">
        <v>1</v>
      </c>
      <c r="B797">
        <v>3</v>
      </c>
      <c r="C797">
        <f t="shared" ca="1" si="242"/>
        <v>6</v>
      </c>
      <c r="D797">
        <f t="shared" ca="1" si="243"/>
        <v>5</v>
      </c>
      <c r="E797">
        <f t="shared" ca="1" si="244"/>
        <v>1</v>
      </c>
      <c r="F797" s="110">
        <f t="shared" ca="1" si="245"/>
        <v>1.7459999999999997E-3</v>
      </c>
      <c r="G797">
        <v>0</v>
      </c>
      <c r="H797">
        <v>1</v>
      </c>
      <c r="I797">
        <v>1</v>
      </c>
      <c r="J797" s="1">
        <f t="shared" ca="1" si="246"/>
        <v>0</v>
      </c>
      <c r="K797" s="1">
        <f t="shared" ca="1" si="247"/>
        <v>0</v>
      </c>
      <c r="L797" s="13">
        <f t="shared" ca="1" si="248"/>
        <v>303</v>
      </c>
      <c r="M797" s="7">
        <f t="shared" ca="1" si="249"/>
        <v>1197</v>
      </c>
      <c r="N797" s="26">
        <f t="shared" ca="1" si="250"/>
        <v>4</v>
      </c>
      <c r="O797" s="44">
        <f t="shared" ca="1" si="251"/>
        <v>2.8908103757121246</v>
      </c>
      <c r="P797" s="44">
        <f t="shared" ca="1" si="252"/>
        <v>28.908103757121246</v>
      </c>
      <c r="Q797" s="44">
        <f t="shared" ca="1" si="253"/>
        <v>28.908103757121246</v>
      </c>
      <c r="R797" s="44">
        <f t="shared" ca="1" si="254"/>
        <v>2.8908103757121246</v>
      </c>
      <c r="S797" s="44">
        <f t="shared" ca="1" si="255"/>
        <v>2.8908103757121246</v>
      </c>
      <c r="T797" s="4">
        <f t="shared" ca="1" si="256"/>
        <v>0</v>
      </c>
      <c r="U797" s="120">
        <f t="shared" ca="1" si="257"/>
        <v>2154.675062040129</v>
      </c>
      <c r="V797" s="4">
        <f t="shared" ca="1" si="258"/>
        <v>0</v>
      </c>
      <c r="W797" s="13">
        <f t="shared" ca="1" si="259"/>
        <v>2773.125</v>
      </c>
      <c r="X797" s="4">
        <f t="shared" ca="1" si="260"/>
        <v>0</v>
      </c>
      <c r="Y797" s="4">
        <f t="shared" si="261"/>
        <v>0</v>
      </c>
      <c r="Z797" s="13">
        <f t="shared" ca="1" si="262"/>
        <v>2773.125</v>
      </c>
      <c r="AA797" s="4">
        <f t="shared" ca="1" si="263"/>
        <v>0</v>
      </c>
    </row>
    <row r="798" spans="1:27">
      <c r="A798">
        <v>1</v>
      </c>
      <c r="B798">
        <v>3</v>
      </c>
      <c r="C798">
        <f t="shared" ca="1" si="242"/>
        <v>6</v>
      </c>
      <c r="D798">
        <f t="shared" ca="1" si="243"/>
        <v>5</v>
      </c>
      <c r="E798">
        <f t="shared" ca="1" si="244"/>
        <v>1</v>
      </c>
      <c r="F798" s="110">
        <f t="shared" ca="1" si="245"/>
        <v>1.7459999999999997E-3</v>
      </c>
      <c r="G798">
        <v>0</v>
      </c>
      <c r="H798">
        <v>1</v>
      </c>
      <c r="I798">
        <v>0</v>
      </c>
      <c r="J798" s="1">
        <f t="shared" ca="1" si="246"/>
        <v>0</v>
      </c>
      <c r="K798" s="1">
        <f t="shared" ca="1" si="247"/>
        <v>0</v>
      </c>
      <c r="L798" s="13">
        <f t="shared" ca="1" si="248"/>
        <v>284</v>
      </c>
      <c r="M798" s="7">
        <f t="shared" ca="1" si="249"/>
        <v>1216</v>
      </c>
      <c r="N798" s="26">
        <f t="shared" ca="1" si="250"/>
        <v>4</v>
      </c>
      <c r="O798" s="44">
        <f t="shared" ca="1" si="251"/>
        <v>2.8908103757121246</v>
      </c>
      <c r="P798" s="44">
        <f t="shared" ca="1" si="252"/>
        <v>28.908103757121246</v>
      </c>
      <c r="Q798" s="44">
        <f t="shared" ca="1" si="253"/>
        <v>28.908103757121246</v>
      </c>
      <c r="R798" s="44">
        <f t="shared" ca="1" si="254"/>
        <v>2.8908103757121246</v>
      </c>
      <c r="S798" s="44">
        <f t="shared" ca="1" si="255"/>
        <v>2.8908103757121246</v>
      </c>
      <c r="T798" s="4">
        <f t="shared" ca="1" si="256"/>
        <v>0</v>
      </c>
      <c r="U798" s="120">
        <f t="shared" ca="1" si="257"/>
        <v>2135.675062040129</v>
      </c>
      <c r="V798" s="4">
        <f t="shared" ca="1" si="258"/>
        <v>0</v>
      </c>
      <c r="W798" s="13">
        <f t="shared" ca="1" si="259"/>
        <v>0</v>
      </c>
      <c r="X798" s="4">
        <f t="shared" ca="1" si="260"/>
        <v>0</v>
      </c>
      <c r="Y798" s="4">
        <f t="shared" si="261"/>
        <v>0</v>
      </c>
      <c r="Z798" s="13">
        <f t="shared" ca="1" si="262"/>
        <v>0</v>
      </c>
      <c r="AA798" s="4">
        <f t="shared" ca="1" si="263"/>
        <v>0</v>
      </c>
    </row>
    <row r="799" spans="1:27">
      <c r="A799">
        <v>1</v>
      </c>
      <c r="B799">
        <v>3</v>
      </c>
      <c r="C799">
        <f t="shared" ca="1" si="242"/>
        <v>6</v>
      </c>
      <c r="D799">
        <f t="shared" ca="1" si="243"/>
        <v>5</v>
      </c>
      <c r="E799">
        <f t="shared" ca="1" si="244"/>
        <v>1</v>
      </c>
      <c r="F799" s="110">
        <f t="shared" ca="1" si="245"/>
        <v>1.7459999999999997E-3</v>
      </c>
      <c r="G799">
        <v>0</v>
      </c>
      <c r="H799">
        <v>0</v>
      </c>
      <c r="I799">
        <v>7</v>
      </c>
      <c r="J799" s="1">
        <f t="shared" ca="1" si="246"/>
        <v>0</v>
      </c>
      <c r="K799" s="1">
        <f t="shared" ca="1" si="247"/>
        <v>0</v>
      </c>
      <c r="L799" s="13">
        <f t="shared" ca="1" si="248"/>
        <v>133</v>
      </c>
      <c r="M799" s="7">
        <f t="shared" ca="1" si="249"/>
        <v>1367</v>
      </c>
      <c r="N799" s="26">
        <f t="shared" ca="1" si="250"/>
        <v>4</v>
      </c>
      <c r="O799" s="44">
        <f t="shared" ca="1" si="251"/>
        <v>2.8908103757121246</v>
      </c>
      <c r="P799" s="44">
        <f t="shared" ca="1" si="252"/>
        <v>28.908103757121246</v>
      </c>
      <c r="Q799" s="44">
        <f t="shared" ca="1" si="253"/>
        <v>28.908103757121246</v>
      </c>
      <c r="R799" s="44">
        <f t="shared" ca="1" si="254"/>
        <v>2.8908103757121246</v>
      </c>
      <c r="S799" s="44">
        <f t="shared" ca="1" si="255"/>
        <v>2.8908103757121246</v>
      </c>
      <c r="T799" s="4">
        <f t="shared" ca="1" si="256"/>
        <v>0</v>
      </c>
      <c r="U799" s="120">
        <f t="shared" ca="1" si="257"/>
        <v>1984.6750620401288</v>
      </c>
      <c r="V799" s="4">
        <f t="shared" ca="1" si="258"/>
        <v>0</v>
      </c>
      <c r="W799" s="13">
        <f t="shared" ca="1" si="259"/>
        <v>19411.875</v>
      </c>
      <c r="X799" s="4">
        <f t="shared" ca="1" si="260"/>
        <v>0</v>
      </c>
      <c r="Y799" s="4">
        <f t="shared" si="261"/>
        <v>0</v>
      </c>
      <c r="Z799" s="13">
        <f t="shared" ca="1" si="262"/>
        <v>19411.875</v>
      </c>
      <c r="AA799" s="4">
        <f t="shared" ca="1" si="263"/>
        <v>0</v>
      </c>
    </row>
    <row r="800" spans="1:27">
      <c r="A800">
        <v>1</v>
      </c>
      <c r="B800">
        <v>3</v>
      </c>
      <c r="C800">
        <f t="shared" ca="1" si="242"/>
        <v>6</v>
      </c>
      <c r="D800">
        <f t="shared" ca="1" si="243"/>
        <v>5</v>
      </c>
      <c r="E800">
        <f t="shared" ca="1" si="244"/>
        <v>1</v>
      </c>
      <c r="F800" s="110">
        <f t="shared" ca="1" si="245"/>
        <v>1.7459999999999997E-3</v>
      </c>
      <c r="G800">
        <v>0</v>
      </c>
      <c r="H800">
        <v>0</v>
      </c>
      <c r="I800">
        <v>6</v>
      </c>
      <c r="J800" s="1">
        <f t="shared" ca="1" si="246"/>
        <v>0</v>
      </c>
      <c r="K800" s="1">
        <f t="shared" ca="1" si="247"/>
        <v>0</v>
      </c>
      <c r="L800" s="13">
        <f t="shared" ca="1" si="248"/>
        <v>114</v>
      </c>
      <c r="M800" s="7">
        <f t="shared" ca="1" si="249"/>
        <v>1386</v>
      </c>
      <c r="N800" s="26">
        <f t="shared" ca="1" si="250"/>
        <v>4</v>
      </c>
      <c r="O800" s="44">
        <f t="shared" ca="1" si="251"/>
        <v>2.8908103757121246</v>
      </c>
      <c r="P800" s="44">
        <f t="shared" ca="1" si="252"/>
        <v>28.908103757121246</v>
      </c>
      <c r="Q800" s="44">
        <f t="shared" ca="1" si="253"/>
        <v>28.908103757121246</v>
      </c>
      <c r="R800" s="44">
        <f t="shared" ca="1" si="254"/>
        <v>2.8908103757121246</v>
      </c>
      <c r="S800" s="44">
        <f t="shared" ca="1" si="255"/>
        <v>2.8908103757121246</v>
      </c>
      <c r="T800" s="4">
        <f t="shared" ca="1" si="256"/>
        <v>0</v>
      </c>
      <c r="U800" s="120">
        <f t="shared" ca="1" si="257"/>
        <v>1965.6750620401288</v>
      </c>
      <c r="V800" s="4">
        <f t="shared" ca="1" si="258"/>
        <v>0</v>
      </c>
      <c r="W800" s="13">
        <f t="shared" ca="1" si="259"/>
        <v>16638.75</v>
      </c>
      <c r="X800" s="4">
        <f t="shared" ca="1" si="260"/>
        <v>0</v>
      </c>
      <c r="Y800" s="4">
        <f t="shared" si="261"/>
        <v>0</v>
      </c>
      <c r="Z800" s="13">
        <f t="shared" ca="1" si="262"/>
        <v>16638.75</v>
      </c>
      <c r="AA800" s="4">
        <f t="shared" ca="1" si="263"/>
        <v>0</v>
      </c>
    </row>
    <row r="801" spans="1:27">
      <c r="A801">
        <v>1</v>
      </c>
      <c r="B801">
        <v>3</v>
      </c>
      <c r="C801">
        <f t="shared" ca="1" si="242"/>
        <v>6</v>
      </c>
      <c r="D801">
        <f t="shared" ca="1" si="243"/>
        <v>5</v>
      </c>
      <c r="E801">
        <f t="shared" ca="1" si="244"/>
        <v>1</v>
      </c>
      <c r="F801" s="110">
        <f t="shared" ca="1" si="245"/>
        <v>1.7459999999999997E-3</v>
      </c>
      <c r="G801">
        <v>0</v>
      </c>
      <c r="H801">
        <v>0</v>
      </c>
      <c r="I801">
        <v>5</v>
      </c>
      <c r="J801" s="1">
        <f t="shared" ca="1" si="246"/>
        <v>3.8689046875000001E-2</v>
      </c>
      <c r="K801" s="1">
        <f t="shared" ca="1" si="247"/>
        <v>6.7551075843749986E-5</v>
      </c>
      <c r="L801" s="13">
        <f t="shared" ca="1" si="248"/>
        <v>95</v>
      </c>
      <c r="M801" s="7">
        <f t="shared" ca="1" si="249"/>
        <v>1405</v>
      </c>
      <c r="N801" s="26">
        <f t="shared" ca="1" si="250"/>
        <v>5</v>
      </c>
      <c r="O801" s="44">
        <f t="shared" ca="1" si="251"/>
        <v>3.5395046525977252</v>
      </c>
      <c r="P801" s="44">
        <f t="shared" ca="1" si="252"/>
        <v>35.39504652597725</v>
      </c>
      <c r="Q801" s="44">
        <f t="shared" ca="1" si="253"/>
        <v>30.205492310892446</v>
      </c>
      <c r="R801" s="44">
        <f t="shared" ca="1" si="254"/>
        <v>3.2800269418434853</v>
      </c>
      <c r="S801" s="44">
        <f t="shared" ca="1" si="255"/>
        <v>3.5213412128449284</v>
      </c>
      <c r="T801" s="4">
        <f t="shared" ca="1" si="256"/>
        <v>2.3787038734061032E-4</v>
      </c>
      <c r="U801" s="120">
        <f t="shared" ca="1" si="257"/>
        <v>2290.8626329996823</v>
      </c>
      <c r="V801" s="4">
        <f t="shared" ca="1" si="258"/>
        <v>0.15475023546937433</v>
      </c>
      <c r="W801" s="13">
        <f t="shared" ca="1" si="259"/>
        <v>13865.625</v>
      </c>
      <c r="X801" s="4">
        <f t="shared" ca="1" si="260"/>
        <v>0.93663788599599584</v>
      </c>
      <c r="Y801" s="4">
        <f t="shared" si="261"/>
        <v>0</v>
      </c>
      <c r="Z801" s="13">
        <f t="shared" ca="1" si="262"/>
        <v>13865.625</v>
      </c>
      <c r="AA801" s="4">
        <f t="shared" ca="1" si="263"/>
        <v>0.93663788599599584</v>
      </c>
    </row>
    <row r="802" spans="1:27">
      <c r="A802">
        <v>1</v>
      </c>
      <c r="B802">
        <v>3</v>
      </c>
      <c r="C802">
        <f t="shared" ca="1" si="242"/>
        <v>6</v>
      </c>
      <c r="D802">
        <f t="shared" ca="1" si="243"/>
        <v>5</v>
      </c>
      <c r="E802">
        <f t="shared" ca="1" si="244"/>
        <v>1</v>
      </c>
      <c r="F802" s="110">
        <f t="shared" ca="1" si="245"/>
        <v>1.7459999999999997E-3</v>
      </c>
      <c r="G802">
        <v>0</v>
      </c>
      <c r="H802">
        <v>0</v>
      </c>
      <c r="I802">
        <v>4</v>
      </c>
      <c r="J802" s="1">
        <f t="shared" ca="1" si="246"/>
        <v>1.0181328125000009E-2</v>
      </c>
      <c r="K802" s="1">
        <f t="shared" ca="1" si="247"/>
        <v>1.7776598906250013E-5</v>
      </c>
      <c r="L802" s="13">
        <f t="shared" ca="1" si="248"/>
        <v>76</v>
      </c>
      <c r="M802" s="7">
        <f t="shared" ca="1" si="249"/>
        <v>1424</v>
      </c>
      <c r="N802" s="26">
        <f t="shared" ca="1" si="250"/>
        <v>5</v>
      </c>
      <c r="O802" s="44">
        <f t="shared" ca="1" si="251"/>
        <v>3.5395046525977252</v>
      </c>
      <c r="P802" s="44">
        <f t="shared" ca="1" si="252"/>
        <v>35.39504652597725</v>
      </c>
      <c r="Q802" s="44">
        <f t="shared" ca="1" si="253"/>
        <v>35.39504652597725</v>
      </c>
      <c r="R802" s="44">
        <f t="shared" ca="1" si="254"/>
        <v>3.5395046525977252</v>
      </c>
      <c r="S802" s="44">
        <f t="shared" ca="1" si="255"/>
        <v>3.5395046525977252</v>
      </c>
      <c r="T802" s="4">
        <f t="shared" ca="1" si="256"/>
        <v>6.2920354536035553E-5</v>
      </c>
      <c r="U802" s="120">
        <f t="shared" ca="1" si="257"/>
        <v>2281.7775012989287</v>
      </c>
      <c r="V802" s="4">
        <f t="shared" ca="1" si="258"/>
        <v>4.0562243433896424E-2</v>
      </c>
      <c r="W802" s="13">
        <f t="shared" ca="1" si="259"/>
        <v>11092.5</v>
      </c>
      <c r="X802" s="4">
        <f t="shared" ca="1" si="260"/>
        <v>0.19718692336757826</v>
      </c>
      <c r="Y802" s="4">
        <f t="shared" si="261"/>
        <v>0</v>
      </c>
      <c r="Z802" s="13">
        <f t="shared" ca="1" si="262"/>
        <v>11092.5</v>
      </c>
      <c r="AA802" s="4">
        <f t="shared" ca="1" si="263"/>
        <v>0.19718692336757826</v>
      </c>
    </row>
    <row r="803" spans="1:27">
      <c r="A803">
        <v>1</v>
      </c>
      <c r="B803">
        <v>3</v>
      </c>
      <c r="C803">
        <f t="shared" ca="1" si="242"/>
        <v>6</v>
      </c>
      <c r="D803">
        <f t="shared" ca="1" si="243"/>
        <v>5</v>
      </c>
      <c r="E803">
        <f t="shared" ca="1" si="244"/>
        <v>1</v>
      </c>
      <c r="F803" s="110">
        <f t="shared" ca="1" si="245"/>
        <v>1.7459999999999997E-3</v>
      </c>
      <c r="G803">
        <v>0</v>
      </c>
      <c r="H803">
        <v>0</v>
      </c>
      <c r="I803">
        <v>3</v>
      </c>
      <c r="J803" s="1">
        <f t="shared" ca="1" si="246"/>
        <v>1.0717187500000017E-3</v>
      </c>
      <c r="K803" s="1">
        <f t="shared" ca="1" si="247"/>
        <v>1.8712209375000027E-6</v>
      </c>
      <c r="L803" s="13">
        <f t="shared" ca="1" si="248"/>
        <v>57</v>
      </c>
      <c r="M803" s="7">
        <f t="shared" ca="1" si="249"/>
        <v>1443</v>
      </c>
      <c r="N803" s="26">
        <f t="shared" ca="1" si="250"/>
        <v>5</v>
      </c>
      <c r="O803" s="44">
        <f t="shared" ca="1" si="251"/>
        <v>3.5395046525977252</v>
      </c>
      <c r="P803" s="44">
        <f t="shared" ca="1" si="252"/>
        <v>35.39504652597725</v>
      </c>
      <c r="Q803" s="44">
        <f t="shared" ca="1" si="253"/>
        <v>35.39504652597725</v>
      </c>
      <c r="R803" s="44">
        <f t="shared" ca="1" si="254"/>
        <v>3.5395046525977252</v>
      </c>
      <c r="S803" s="44">
        <f t="shared" ca="1" si="255"/>
        <v>3.5395046525977252</v>
      </c>
      <c r="T803" s="4">
        <f t="shared" ca="1" si="256"/>
        <v>6.6231952143195366E-6</v>
      </c>
      <c r="U803" s="120">
        <f t="shared" ca="1" si="257"/>
        <v>2262.7775012989287</v>
      </c>
      <c r="V803" s="4">
        <f t="shared" ca="1" si="258"/>
        <v>4.2341566373344953E-3</v>
      </c>
      <c r="W803" s="13">
        <f t="shared" ca="1" si="259"/>
        <v>8319.375</v>
      </c>
      <c r="X803" s="4">
        <f t="shared" ca="1" si="260"/>
        <v>1.5567388686914084E-2</v>
      </c>
      <c r="Y803" s="4">
        <f t="shared" si="261"/>
        <v>0</v>
      </c>
      <c r="Z803" s="13">
        <f t="shared" ca="1" si="262"/>
        <v>8319.375</v>
      </c>
      <c r="AA803" s="4">
        <f t="shared" ca="1" si="263"/>
        <v>1.5567388686914084E-2</v>
      </c>
    </row>
    <row r="804" spans="1:27">
      <c r="A804">
        <v>1</v>
      </c>
      <c r="B804">
        <v>3</v>
      </c>
      <c r="C804">
        <f t="shared" ca="1" si="242"/>
        <v>6</v>
      </c>
      <c r="D804">
        <f t="shared" ca="1" si="243"/>
        <v>5</v>
      </c>
      <c r="E804">
        <f t="shared" ca="1" si="244"/>
        <v>1</v>
      </c>
      <c r="F804" s="110">
        <f t="shared" ca="1" si="245"/>
        <v>1.7459999999999997E-3</v>
      </c>
      <c r="G804">
        <v>0</v>
      </c>
      <c r="H804">
        <v>0</v>
      </c>
      <c r="I804">
        <v>2</v>
      </c>
      <c r="J804" s="1">
        <f t="shared" ca="1" si="246"/>
        <v>5.6406250000000155E-5</v>
      </c>
      <c r="K804" s="1">
        <f t="shared" ca="1" si="247"/>
        <v>9.8485312500000258E-8</v>
      </c>
      <c r="L804" s="13">
        <f t="shared" ca="1" si="248"/>
        <v>38</v>
      </c>
      <c r="M804" s="7">
        <f t="shared" ca="1" si="249"/>
        <v>1462</v>
      </c>
      <c r="N804" s="26">
        <f t="shared" ca="1" si="250"/>
        <v>5</v>
      </c>
      <c r="O804" s="44">
        <f t="shared" ca="1" si="251"/>
        <v>3.5395046525977252</v>
      </c>
      <c r="P804" s="44">
        <f t="shared" ca="1" si="252"/>
        <v>35.39504652597725</v>
      </c>
      <c r="Q804" s="44">
        <f t="shared" ca="1" si="253"/>
        <v>35.39504652597725</v>
      </c>
      <c r="R804" s="44">
        <f t="shared" ca="1" si="254"/>
        <v>3.5395046525977252</v>
      </c>
      <c r="S804" s="44">
        <f t="shared" ca="1" si="255"/>
        <v>3.5395046525977252</v>
      </c>
      <c r="T804" s="4">
        <f t="shared" ca="1" si="256"/>
        <v>3.4858922180629183E-7</v>
      </c>
      <c r="U804" s="120">
        <f t="shared" ca="1" si="257"/>
        <v>2243.7775012989287</v>
      </c>
      <c r="V804" s="4">
        <f t="shared" ca="1" si="258"/>
        <v>2.2097912839589472E-4</v>
      </c>
      <c r="W804" s="13">
        <f t="shared" ca="1" si="259"/>
        <v>5546.25</v>
      </c>
      <c r="X804" s="4">
        <f t="shared" ca="1" si="260"/>
        <v>5.4622416445312646E-4</v>
      </c>
      <c r="Y804" s="4">
        <f t="shared" si="261"/>
        <v>0</v>
      </c>
      <c r="Z804" s="13">
        <f t="shared" ca="1" si="262"/>
        <v>5546.25</v>
      </c>
      <c r="AA804" s="4">
        <f t="shared" ca="1" si="263"/>
        <v>5.4622416445312646E-4</v>
      </c>
    </row>
    <row r="805" spans="1:27">
      <c r="A805">
        <v>1</v>
      </c>
      <c r="B805">
        <v>3</v>
      </c>
      <c r="C805">
        <f t="shared" ca="1" si="242"/>
        <v>6</v>
      </c>
      <c r="D805">
        <f t="shared" ca="1" si="243"/>
        <v>5</v>
      </c>
      <c r="E805">
        <f t="shared" ca="1" si="244"/>
        <v>1</v>
      </c>
      <c r="F805" s="110">
        <f t="shared" ca="1" si="245"/>
        <v>1.7459999999999997E-3</v>
      </c>
      <c r="G805">
        <v>0</v>
      </c>
      <c r="H805">
        <v>0</v>
      </c>
      <c r="I805">
        <v>1</v>
      </c>
      <c r="J805" s="1">
        <f t="shared" ca="1" si="246"/>
        <v>1.4843750000000054E-6</v>
      </c>
      <c r="K805" s="1">
        <f t="shared" ca="1" si="247"/>
        <v>2.5917187500000089E-9</v>
      </c>
      <c r="L805" s="13">
        <f t="shared" ca="1" si="248"/>
        <v>19</v>
      </c>
      <c r="M805" s="7">
        <f t="shared" ca="1" si="249"/>
        <v>1481</v>
      </c>
      <c r="N805" s="26">
        <f t="shared" ca="1" si="250"/>
        <v>5</v>
      </c>
      <c r="O805" s="44">
        <f t="shared" ca="1" si="251"/>
        <v>3.5395046525977252</v>
      </c>
      <c r="P805" s="44">
        <f t="shared" ca="1" si="252"/>
        <v>35.39504652597725</v>
      </c>
      <c r="Q805" s="44">
        <f t="shared" ca="1" si="253"/>
        <v>35.39504652597725</v>
      </c>
      <c r="R805" s="44">
        <f t="shared" ca="1" si="254"/>
        <v>3.5395046525977252</v>
      </c>
      <c r="S805" s="44">
        <f t="shared" ca="1" si="255"/>
        <v>3.5395046525977252</v>
      </c>
      <c r="T805" s="4">
        <f t="shared" ca="1" si="256"/>
        <v>9.1734005738497925E-9</v>
      </c>
      <c r="U805" s="120">
        <f t="shared" ca="1" si="257"/>
        <v>2224.7775012989287</v>
      </c>
      <c r="V805" s="4">
        <f t="shared" ca="1" si="258"/>
        <v>5.765997564694603E-6</v>
      </c>
      <c r="W805" s="13">
        <f t="shared" ca="1" si="259"/>
        <v>2773.125</v>
      </c>
      <c r="X805" s="4">
        <f t="shared" ca="1" si="260"/>
        <v>7.1871600585937745E-6</v>
      </c>
      <c r="Y805" s="4">
        <f t="shared" si="261"/>
        <v>0</v>
      </c>
      <c r="Z805" s="13">
        <f t="shared" ca="1" si="262"/>
        <v>2773.125</v>
      </c>
      <c r="AA805" s="4">
        <f t="shared" ca="1" si="263"/>
        <v>7.1871600585937745E-6</v>
      </c>
    </row>
    <row r="806" spans="1:27">
      <c r="A806">
        <v>1</v>
      </c>
      <c r="B806">
        <v>3</v>
      </c>
      <c r="C806">
        <f t="shared" ca="1" si="242"/>
        <v>6</v>
      </c>
      <c r="D806">
        <f t="shared" ca="1" si="243"/>
        <v>5</v>
      </c>
      <c r="E806">
        <f t="shared" ca="1" si="244"/>
        <v>1</v>
      </c>
      <c r="F806" s="110">
        <f t="shared" ca="1" si="245"/>
        <v>1.7459999999999997E-3</v>
      </c>
      <c r="G806">
        <v>0</v>
      </c>
      <c r="H806">
        <v>0</v>
      </c>
      <c r="I806">
        <v>0</v>
      </c>
      <c r="J806" s="1">
        <f t="shared" ca="1" si="246"/>
        <v>1.5625000000000072E-8</v>
      </c>
      <c r="K806" s="1">
        <f t="shared" ca="1" si="247"/>
        <v>2.7281250000000122E-11</v>
      </c>
      <c r="L806" s="13">
        <f t="shared" ca="1" si="248"/>
        <v>0</v>
      </c>
      <c r="M806" s="7">
        <f t="shared" ca="1" si="249"/>
        <v>1500</v>
      </c>
      <c r="N806" s="26">
        <f t="shared" ca="1" si="250"/>
        <v>5</v>
      </c>
      <c r="O806" s="44">
        <f t="shared" ca="1" si="251"/>
        <v>3.5395046525977252</v>
      </c>
      <c r="P806" s="44">
        <f t="shared" ca="1" si="252"/>
        <v>35.39504652597725</v>
      </c>
      <c r="Q806" s="44">
        <f t="shared" ca="1" si="253"/>
        <v>35.39504652597725</v>
      </c>
      <c r="R806" s="44">
        <f t="shared" ca="1" si="254"/>
        <v>3.5395046525977252</v>
      </c>
      <c r="S806" s="44">
        <f t="shared" ca="1" si="255"/>
        <v>3.5395046525977252</v>
      </c>
      <c r="T806" s="4">
        <f t="shared" ca="1" si="256"/>
        <v>9.6562111303682118E-11</v>
      </c>
      <c r="U806" s="120">
        <f t="shared" ca="1" si="257"/>
        <v>2205.7775012989287</v>
      </c>
      <c r="V806" s="4">
        <f t="shared" ca="1" si="258"/>
        <v>6.0176367457311662E-8</v>
      </c>
      <c r="W806" s="13">
        <f t="shared" ca="1" si="259"/>
        <v>0</v>
      </c>
      <c r="X806" s="4">
        <f t="shared" ca="1" si="260"/>
        <v>0</v>
      </c>
      <c r="Y806" s="4">
        <f t="shared" si="261"/>
        <v>0</v>
      </c>
      <c r="Z806" s="13">
        <f t="shared" ca="1" si="262"/>
        <v>0</v>
      </c>
      <c r="AA806" s="4">
        <f t="shared" ca="1" si="263"/>
        <v>0</v>
      </c>
    </row>
    <row r="807" spans="1:27">
      <c r="A807">
        <v>2</v>
      </c>
      <c r="B807">
        <v>0</v>
      </c>
      <c r="C807">
        <f t="shared" ref="C807:C870" ca="1" si="264">MIN(8, 1+$B$543+$B$542+A807+B807)</f>
        <v>4</v>
      </c>
      <c r="D807">
        <f t="shared" ref="D807:D870" ca="1" si="265">C807-(1+$B$543)</f>
        <v>3</v>
      </c>
      <c r="E807">
        <f t="shared" ref="E807:E870" ca="1" si="266">MIN(A807, C807-(1+$B$543+$B$542))</f>
        <v>2</v>
      </c>
      <c r="F807" s="110">
        <f t="shared" ref="F807:F870" ca="1" si="267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0</v>
      </c>
      <c r="G807">
        <v>1</v>
      </c>
      <c r="H807">
        <v>1</v>
      </c>
      <c r="I807">
        <v>7</v>
      </c>
      <c r="J807" s="1">
        <f t="shared" ref="J807:J870" ca="1" si="268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69">F807*J807</f>
        <v>0</v>
      </c>
      <c r="L807" s="13">
        <f t="shared" ref="L807:L870" ca="1" si="270">MAX((G807+H807)*Set2WSTP + I807*$B$539, Set2SaveTP)</f>
        <v>701</v>
      </c>
      <c r="M807" s="7">
        <f t="shared" ref="M807:M870" ca="1" si="271">MAX(Set2MinTP-(L807+Set2Regain), 0)</f>
        <v>799</v>
      </c>
      <c r="N807" s="26">
        <f t="shared" ref="N807:N870" ca="1" si="272">CEILING(M807/Set2MeleeTP, 1)</f>
        <v>3</v>
      </c>
      <c r="O807" s="44">
        <f t="shared" ref="O807:O870" ca="1" si="273">VLOOKUP(N807, AvgRoundsSet2, 2)</f>
        <v>2.2758855914378953</v>
      </c>
      <c r="P807" s="44">
        <f t="shared" ref="P807:P870" ca="1" si="274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22.758855914378952</v>
      </c>
      <c r="Q807" s="44">
        <f t="shared" ref="Q807:Q870" ca="1" si="275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22.758855914378952</v>
      </c>
      <c r="R807" s="44">
        <f t="shared" ref="R807:R870" ca="1" si="276">(P807+Q807)/20</f>
        <v>2.2758855914378953</v>
      </c>
      <c r="S807" s="44">
        <f t="shared" ref="S807:S870" ca="1" si="277">R807*Set2ConserveTP + O807*(1-Set2ConserveTP)</f>
        <v>2.2758855914378953</v>
      </c>
      <c r="T807" s="4">
        <f t="shared" ref="T807:T870" ca="1" si="278">K807*S807</f>
        <v>0</v>
      </c>
      <c r="U807" s="120">
        <f t="shared" ref="U807:U870" ca="1" si="279">MIN(L807+(S807+Set2OverTP)*AvgHitsPerRound2*Set2MeleeTP + Set2Regain + 10.5*Set2ConserveTP, 3000)</f>
        <v>2217.0063598009133</v>
      </c>
      <c r="V807" s="4">
        <f t="shared" ref="V807:V870" ca="1" si="280">U807*K807</f>
        <v>0</v>
      </c>
      <c r="W807" s="13">
        <f t="shared" ref="W807:W870" ca="1" si="281">G807*$K$543*((1-$L$543)*$L$547 + $L$543*$M$547*$M$543)*Set2WSDmg + H807*$K$546*((1-$L$546)*$L$548 + $L$546*$M$548*$M$544) + I807*$K$544*((1-$L$544)*$L$547 + $L$544*$M$547*$M$544) + E807*$K$545*$L$545*$M$543</f>
        <v>49588.256250000006</v>
      </c>
      <c r="X807" s="4">
        <f t="shared" ref="X807:X870" ca="1" si="282">K807*W807</f>
        <v>0</v>
      </c>
      <c r="Y807" s="4">
        <f t="shared" ref="Y807:Y870" si="283">IF($B$545=1, (VLOOKUP(C807, IF($B$546=10%,Souleater10,Souleater12), 6, FALSE) * $B$547), 0)</f>
        <v>0</v>
      </c>
      <c r="Z807" s="13">
        <f t="shared" ca="1" si="262"/>
        <v>49588.256250000006</v>
      </c>
      <c r="AA807" s="4">
        <f t="shared" ca="1" si="263"/>
        <v>0</v>
      </c>
    </row>
    <row r="808" spans="1:27">
      <c r="A808">
        <v>2</v>
      </c>
      <c r="B808">
        <v>0</v>
      </c>
      <c r="C808">
        <f t="shared" ca="1" si="264"/>
        <v>4</v>
      </c>
      <c r="D808">
        <f t="shared" ca="1" si="265"/>
        <v>3</v>
      </c>
      <c r="E808">
        <f t="shared" ca="1" si="266"/>
        <v>2</v>
      </c>
      <c r="F808" s="110">
        <f t="shared" ca="1" si="267"/>
        <v>0</v>
      </c>
      <c r="G808">
        <v>1</v>
      </c>
      <c r="H808">
        <v>1</v>
      </c>
      <c r="I808">
        <v>6</v>
      </c>
      <c r="J808" s="1">
        <f t="shared" ca="1" si="268"/>
        <v>0</v>
      </c>
      <c r="K808" s="1">
        <f t="shared" ca="1" si="269"/>
        <v>0</v>
      </c>
      <c r="L808" s="13">
        <f t="shared" ca="1" si="270"/>
        <v>682</v>
      </c>
      <c r="M808" s="7">
        <f t="shared" ca="1" si="271"/>
        <v>818</v>
      </c>
      <c r="N808" s="26">
        <f t="shared" ca="1" si="272"/>
        <v>3</v>
      </c>
      <c r="O808" s="44">
        <f t="shared" ca="1" si="273"/>
        <v>2.2758855914378953</v>
      </c>
      <c r="P808" s="44">
        <f t="shared" ca="1" si="274"/>
        <v>22.758855914378952</v>
      </c>
      <c r="Q808" s="44">
        <f t="shared" ca="1" si="275"/>
        <v>22.758855914378952</v>
      </c>
      <c r="R808" s="44">
        <f t="shared" ca="1" si="276"/>
        <v>2.2758855914378953</v>
      </c>
      <c r="S808" s="44">
        <f t="shared" ca="1" si="277"/>
        <v>2.2758855914378953</v>
      </c>
      <c r="T808" s="4">
        <f t="shared" ca="1" si="278"/>
        <v>0</v>
      </c>
      <c r="U808" s="120">
        <f t="shared" ca="1" si="279"/>
        <v>2198.0063598009133</v>
      </c>
      <c r="V808" s="4">
        <f t="shared" ca="1" si="280"/>
        <v>0</v>
      </c>
      <c r="W808" s="13">
        <f t="shared" ca="1" si="281"/>
        <v>46815.131250000006</v>
      </c>
      <c r="X808" s="4">
        <f t="shared" ca="1" si="282"/>
        <v>0</v>
      </c>
      <c r="Y808" s="4">
        <f t="shared" si="283"/>
        <v>0</v>
      </c>
      <c r="Z808" s="13">
        <f t="shared" ref="Z808:Z871" ca="1" si="284">Y808+W808</f>
        <v>46815.131250000006</v>
      </c>
      <c r="AA808" s="4">
        <f t="shared" ref="AA808:AA871" ca="1" si="285">Z808*K808</f>
        <v>0</v>
      </c>
    </row>
    <row r="809" spans="1:27">
      <c r="A809">
        <v>2</v>
      </c>
      <c r="B809">
        <v>0</v>
      </c>
      <c r="C809">
        <f t="shared" ca="1" si="264"/>
        <v>4</v>
      </c>
      <c r="D809">
        <f t="shared" ca="1" si="265"/>
        <v>3</v>
      </c>
      <c r="E809">
        <f t="shared" ca="1" si="266"/>
        <v>2</v>
      </c>
      <c r="F809" s="110">
        <f t="shared" ca="1" si="267"/>
        <v>0</v>
      </c>
      <c r="G809">
        <v>1</v>
      </c>
      <c r="H809">
        <v>1</v>
      </c>
      <c r="I809">
        <v>5</v>
      </c>
      <c r="J809" s="1">
        <f t="shared" ca="1" si="268"/>
        <v>0</v>
      </c>
      <c r="K809" s="1">
        <f t="shared" ca="1" si="269"/>
        <v>0</v>
      </c>
      <c r="L809" s="13">
        <f t="shared" ca="1" si="270"/>
        <v>663</v>
      </c>
      <c r="M809" s="7">
        <f t="shared" ca="1" si="271"/>
        <v>837</v>
      </c>
      <c r="N809" s="26">
        <f t="shared" ca="1" si="272"/>
        <v>3</v>
      </c>
      <c r="O809" s="44">
        <f t="shared" ca="1" si="273"/>
        <v>2.2758855914378953</v>
      </c>
      <c r="P809" s="44">
        <f t="shared" ca="1" si="274"/>
        <v>22.758855914378952</v>
      </c>
      <c r="Q809" s="44">
        <f t="shared" ca="1" si="275"/>
        <v>22.758855914378952</v>
      </c>
      <c r="R809" s="44">
        <f t="shared" ca="1" si="276"/>
        <v>2.2758855914378953</v>
      </c>
      <c r="S809" s="44">
        <f t="shared" ca="1" si="277"/>
        <v>2.2758855914378953</v>
      </c>
      <c r="T809" s="4">
        <f t="shared" ca="1" si="278"/>
        <v>0</v>
      </c>
      <c r="U809" s="120">
        <f t="shared" ca="1" si="279"/>
        <v>2179.0063598009133</v>
      </c>
      <c r="V809" s="4">
        <f t="shared" ca="1" si="280"/>
        <v>0</v>
      </c>
      <c r="W809" s="13">
        <f t="shared" ca="1" si="281"/>
        <v>44042.006250000006</v>
      </c>
      <c r="X809" s="4">
        <f t="shared" ca="1" si="282"/>
        <v>0</v>
      </c>
      <c r="Y809" s="4">
        <f t="shared" si="283"/>
        <v>0</v>
      </c>
      <c r="Z809" s="13">
        <f t="shared" ca="1" si="284"/>
        <v>44042.006250000006</v>
      </c>
      <c r="AA809" s="4">
        <f t="shared" ca="1" si="285"/>
        <v>0</v>
      </c>
    </row>
    <row r="810" spans="1:27">
      <c r="A810">
        <v>2</v>
      </c>
      <c r="B810">
        <v>0</v>
      </c>
      <c r="C810">
        <f t="shared" ca="1" si="264"/>
        <v>4</v>
      </c>
      <c r="D810">
        <f t="shared" ca="1" si="265"/>
        <v>3</v>
      </c>
      <c r="E810">
        <f t="shared" ca="1" si="266"/>
        <v>2</v>
      </c>
      <c r="F810" s="110">
        <f t="shared" ca="1" si="267"/>
        <v>0</v>
      </c>
      <c r="G810">
        <v>1</v>
      </c>
      <c r="H810">
        <v>1</v>
      </c>
      <c r="I810">
        <v>4</v>
      </c>
      <c r="J810" s="1">
        <f t="shared" ca="1" si="268"/>
        <v>0</v>
      </c>
      <c r="K810" s="1">
        <f t="shared" ca="1" si="269"/>
        <v>0</v>
      </c>
      <c r="L810" s="13">
        <f t="shared" ca="1" si="270"/>
        <v>644</v>
      </c>
      <c r="M810" s="7">
        <f t="shared" ca="1" si="271"/>
        <v>856</v>
      </c>
      <c r="N810" s="26">
        <f t="shared" ca="1" si="272"/>
        <v>3</v>
      </c>
      <c r="O810" s="44">
        <f t="shared" ca="1" si="273"/>
        <v>2.2758855914378953</v>
      </c>
      <c r="P810" s="44">
        <f t="shared" ca="1" si="274"/>
        <v>22.758855914378952</v>
      </c>
      <c r="Q810" s="44">
        <f t="shared" ca="1" si="275"/>
        <v>22.758855914378952</v>
      </c>
      <c r="R810" s="44">
        <f t="shared" ca="1" si="276"/>
        <v>2.2758855914378953</v>
      </c>
      <c r="S810" s="44">
        <f t="shared" ca="1" si="277"/>
        <v>2.2758855914378953</v>
      </c>
      <c r="T810" s="4">
        <f t="shared" ca="1" si="278"/>
        <v>0</v>
      </c>
      <c r="U810" s="120">
        <f t="shared" ca="1" si="279"/>
        <v>2160.0063598009133</v>
      </c>
      <c r="V810" s="4">
        <f t="shared" ca="1" si="280"/>
        <v>0</v>
      </c>
      <c r="W810" s="13">
        <f t="shared" ca="1" si="281"/>
        <v>41268.881250000006</v>
      </c>
      <c r="X810" s="4">
        <f t="shared" ca="1" si="282"/>
        <v>0</v>
      </c>
      <c r="Y810" s="4">
        <f t="shared" si="283"/>
        <v>0</v>
      </c>
      <c r="Z810" s="13">
        <f t="shared" ca="1" si="284"/>
        <v>41268.881250000006</v>
      </c>
      <c r="AA810" s="4">
        <f t="shared" ca="1" si="285"/>
        <v>0</v>
      </c>
    </row>
    <row r="811" spans="1:27">
      <c r="A811">
        <v>2</v>
      </c>
      <c r="B811">
        <v>0</v>
      </c>
      <c r="C811">
        <f t="shared" ca="1" si="264"/>
        <v>4</v>
      </c>
      <c r="D811">
        <f t="shared" ca="1" si="265"/>
        <v>3</v>
      </c>
      <c r="E811">
        <f t="shared" ca="1" si="266"/>
        <v>2</v>
      </c>
      <c r="F811" s="110">
        <f t="shared" ca="1" si="267"/>
        <v>0</v>
      </c>
      <c r="G811">
        <v>1</v>
      </c>
      <c r="H811">
        <v>1</v>
      </c>
      <c r="I811">
        <v>3</v>
      </c>
      <c r="J811" s="1">
        <f t="shared" ca="1" si="268"/>
        <v>0</v>
      </c>
      <c r="K811" s="1">
        <f t="shared" ca="1" si="269"/>
        <v>0</v>
      </c>
      <c r="L811" s="13">
        <f t="shared" ca="1" si="270"/>
        <v>625</v>
      </c>
      <c r="M811" s="7">
        <f t="shared" ca="1" si="271"/>
        <v>875</v>
      </c>
      <c r="N811" s="26">
        <f t="shared" ca="1" si="272"/>
        <v>3</v>
      </c>
      <c r="O811" s="44">
        <f t="shared" ca="1" si="273"/>
        <v>2.2758855914378953</v>
      </c>
      <c r="P811" s="44">
        <f t="shared" ca="1" si="274"/>
        <v>22.758855914378952</v>
      </c>
      <c r="Q811" s="44">
        <f t="shared" ca="1" si="275"/>
        <v>22.758855914378952</v>
      </c>
      <c r="R811" s="44">
        <f t="shared" ca="1" si="276"/>
        <v>2.2758855914378953</v>
      </c>
      <c r="S811" s="44">
        <f t="shared" ca="1" si="277"/>
        <v>2.2758855914378953</v>
      </c>
      <c r="T811" s="4">
        <f t="shared" ca="1" si="278"/>
        <v>0</v>
      </c>
      <c r="U811" s="120">
        <f t="shared" ca="1" si="279"/>
        <v>2141.0063598009133</v>
      </c>
      <c r="V811" s="4">
        <f t="shared" ca="1" si="280"/>
        <v>0</v>
      </c>
      <c r="W811" s="13">
        <f t="shared" ca="1" si="281"/>
        <v>38495.756250000006</v>
      </c>
      <c r="X811" s="4">
        <f t="shared" ca="1" si="282"/>
        <v>0</v>
      </c>
      <c r="Y811" s="4">
        <f t="shared" si="283"/>
        <v>0</v>
      </c>
      <c r="Z811" s="13">
        <f t="shared" ca="1" si="284"/>
        <v>38495.756250000006</v>
      </c>
      <c r="AA811" s="4">
        <f t="shared" ca="1" si="285"/>
        <v>0</v>
      </c>
    </row>
    <row r="812" spans="1:27">
      <c r="A812">
        <v>2</v>
      </c>
      <c r="B812">
        <v>0</v>
      </c>
      <c r="C812">
        <f t="shared" ca="1" si="264"/>
        <v>4</v>
      </c>
      <c r="D812">
        <f t="shared" ca="1" si="265"/>
        <v>3</v>
      </c>
      <c r="E812">
        <f t="shared" ca="1" si="266"/>
        <v>2</v>
      </c>
      <c r="F812" s="110">
        <f t="shared" ca="1" si="267"/>
        <v>0</v>
      </c>
      <c r="G812">
        <v>1</v>
      </c>
      <c r="H812">
        <v>1</v>
      </c>
      <c r="I812">
        <v>2</v>
      </c>
      <c r="J812" s="1">
        <f t="shared" ca="1" si="268"/>
        <v>0</v>
      </c>
      <c r="K812" s="1">
        <f t="shared" ca="1" si="269"/>
        <v>0</v>
      </c>
      <c r="L812" s="13">
        <f t="shared" ca="1" si="270"/>
        <v>606</v>
      </c>
      <c r="M812" s="7">
        <f t="shared" ca="1" si="271"/>
        <v>894</v>
      </c>
      <c r="N812" s="26">
        <f t="shared" ca="1" si="272"/>
        <v>3</v>
      </c>
      <c r="O812" s="44">
        <f t="shared" ca="1" si="273"/>
        <v>2.2758855914378953</v>
      </c>
      <c r="P812" s="44">
        <f t="shared" ca="1" si="274"/>
        <v>22.758855914378952</v>
      </c>
      <c r="Q812" s="44">
        <f t="shared" ca="1" si="275"/>
        <v>22.758855914378952</v>
      </c>
      <c r="R812" s="44">
        <f t="shared" ca="1" si="276"/>
        <v>2.2758855914378953</v>
      </c>
      <c r="S812" s="44">
        <f t="shared" ca="1" si="277"/>
        <v>2.2758855914378953</v>
      </c>
      <c r="T812" s="4">
        <f t="shared" ca="1" si="278"/>
        <v>0</v>
      </c>
      <c r="U812" s="120">
        <f t="shared" ca="1" si="279"/>
        <v>2122.0063598009133</v>
      </c>
      <c r="V812" s="4">
        <f t="shared" ca="1" si="280"/>
        <v>0</v>
      </c>
      <c r="W812" s="13">
        <f t="shared" ca="1" si="281"/>
        <v>35722.631250000006</v>
      </c>
      <c r="X812" s="4">
        <f t="shared" ca="1" si="282"/>
        <v>0</v>
      </c>
      <c r="Y812" s="4">
        <f t="shared" si="283"/>
        <v>0</v>
      </c>
      <c r="Z812" s="13">
        <f t="shared" ca="1" si="284"/>
        <v>35722.631250000006</v>
      </c>
      <c r="AA812" s="4">
        <f t="shared" ca="1" si="285"/>
        <v>0</v>
      </c>
    </row>
    <row r="813" spans="1:27">
      <c r="A813">
        <v>2</v>
      </c>
      <c r="B813">
        <v>0</v>
      </c>
      <c r="C813">
        <f t="shared" ca="1" si="264"/>
        <v>4</v>
      </c>
      <c r="D813">
        <f t="shared" ca="1" si="265"/>
        <v>3</v>
      </c>
      <c r="E813">
        <f t="shared" ca="1" si="266"/>
        <v>2</v>
      </c>
      <c r="F813" s="110">
        <f t="shared" ca="1" si="267"/>
        <v>0</v>
      </c>
      <c r="G813">
        <v>1</v>
      </c>
      <c r="H813">
        <v>1</v>
      </c>
      <c r="I813">
        <v>1</v>
      </c>
      <c r="J813" s="1">
        <f t="shared" ca="1" si="268"/>
        <v>0</v>
      </c>
      <c r="K813" s="1">
        <f t="shared" ca="1" si="269"/>
        <v>0</v>
      </c>
      <c r="L813" s="13">
        <f t="shared" ca="1" si="270"/>
        <v>587</v>
      </c>
      <c r="M813" s="7">
        <f t="shared" ca="1" si="271"/>
        <v>913</v>
      </c>
      <c r="N813" s="26">
        <f t="shared" ca="1" si="272"/>
        <v>3</v>
      </c>
      <c r="O813" s="44">
        <f t="shared" ca="1" si="273"/>
        <v>2.2758855914378953</v>
      </c>
      <c r="P813" s="44">
        <f t="shared" ca="1" si="274"/>
        <v>22.758855914378952</v>
      </c>
      <c r="Q813" s="44">
        <f t="shared" ca="1" si="275"/>
        <v>22.758855914378952</v>
      </c>
      <c r="R813" s="44">
        <f t="shared" ca="1" si="276"/>
        <v>2.2758855914378953</v>
      </c>
      <c r="S813" s="44">
        <f t="shared" ca="1" si="277"/>
        <v>2.2758855914378953</v>
      </c>
      <c r="T813" s="4">
        <f t="shared" ca="1" si="278"/>
        <v>0</v>
      </c>
      <c r="U813" s="120">
        <f t="shared" ca="1" si="279"/>
        <v>2103.0063598009133</v>
      </c>
      <c r="V813" s="4">
        <f t="shared" ca="1" si="280"/>
        <v>0</v>
      </c>
      <c r="W813" s="13">
        <f t="shared" ca="1" si="281"/>
        <v>32949.506250000006</v>
      </c>
      <c r="X813" s="4">
        <f t="shared" ca="1" si="282"/>
        <v>0</v>
      </c>
      <c r="Y813" s="4">
        <f t="shared" si="283"/>
        <v>0</v>
      </c>
      <c r="Z813" s="13">
        <f t="shared" ca="1" si="284"/>
        <v>32949.506250000006</v>
      </c>
      <c r="AA813" s="4">
        <f t="shared" ca="1" si="285"/>
        <v>0</v>
      </c>
    </row>
    <row r="814" spans="1:27">
      <c r="A814">
        <v>2</v>
      </c>
      <c r="B814">
        <v>0</v>
      </c>
      <c r="C814">
        <f t="shared" ca="1" si="264"/>
        <v>4</v>
      </c>
      <c r="D814">
        <f t="shared" ca="1" si="265"/>
        <v>3</v>
      </c>
      <c r="E814">
        <f t="shared" ca="1" si="266"/>
        <v>2</v>
      </c>
      <c r="F814" s="110">
        <f t="shared" ca="1" si="267"/>
        <v>0</v>
      </c>
      <c r="G814">
        <v>1</v>
      </c>
      <c r="H814">
        <v>1</v>
      </c>
      <c r="I814">
        <v>0</v>
      </c>
      <c r="J814" s="1">
        <f t="shared" ca="1" si="268"/>
        <v>0</v>
      </c>
      <c r="K814" s="1">
        <f t="shared" ca="1" si="269"/>
        <v>0</v>
      </c>
      <c r="L814" s="13">
        <f t="shared" ca="1" si="270"/>
        <v>568</v>
      </c>
      <c r="M814" s="7">
        <f t="shared" ca="1" si="271"/>
        <v>932</v>
      </c>
      <c r="N814" s="26">
        <f t="shared" ca="1" si="272"/>
        <v>3</v>
      </c>
      <c r="O814" s="44">
        <f t="shared" ca="1" si="273"/>
        <v>2.2758855914378953</v>
      </c>
      <c r="P814" s="44">
        <f t="shared" ca="1" si="274"/>
        <v>22.758855914378952</v>
      </c>
      <c r="Q814" s="44">
        <f t="shared" ca="1" si="275"/>
        <v>22.758855914378952</v>
      </c>
      <c r="R814" s="44">
        <f t="shared" ca="1" si="276"/>
        <v>2.2758855914378953</v>
      </c>
      <c r="S814" s="44">
        <f t="shared" ca="1" si="277"/>
        <v>2.2758855914378953</v>
      </c>
      <c r="T814" s="4">
        <f t="shared" ca="1" si="278"/>
        <v>0</v>
      </c>
      <c r="U814" s="120">
        <f t="shared" ca="1" si="279"/>
        <v>2084.0063598009133</v>
      </c>
      <c r="V814" s="4">
        <f t="shared" ca="1" si="280"/>
        <v>0</v>
      </c>
      <c r="W814" s="13">
        <f t="shared" ca="1" si="281"/>
        <v>30176.381250000002</v>
      </c>
      <c r="X814" s="4">
        <f t="shared" ca="1" si="282"/>
        <v>0</v>
      </c>
      <c r="Y814" s="4">
        <f t="shared" si="283"/>
        <v>0</v>
      </c>
      <c r="Z814" s="13">
        <f t="shared" ca="1" si="284"/>
        <v>30176.381250000002</v>
      </c>
      <c r="AA814" s="4">
        <f t="shared" ca="1" si="285"/>
        <v>0</v>
      </c>
    </row>
    <row r="815" spans="1:27">
      <c r="A815">
        <v>2</v>
      </c>
      <c r="B815">
        <v>0</v>
      </c>
      <c r="C815">
        <f t="shared" ca="1" si="264"/>
        <v>4</v>
      </c>
      <c r="D815">
        <f t="shared" ca="1" si="265"/>
        <v>3</v>
      </c>
      <c r="E815">
        <f t="shared" ca="1" si="266"/>
        <v>2</v>
      </c>
      <c r="F815" s="110">
        <f t="shared" ca="1" si="267"/>
        <v>0</v>
      </c>
      <c r="G815">
        <v>1</v>
      </c>
      <c r="H815">
        <v>0</v>
      </c>
      <c r="I815">
        <v>7</v>
      </c>
      <c r="J815" s="1">
        <f t="shared" ca="1" si="268"/>
        <v>0</v>
      </c>
      <c r="K815" s="1">
        <f t="shared" ca="1" si="269"/>
        <v>0</v>
      </c>
      <c r="L815" s="13">
        <f t="shared" ca="1" si="270"/>
        <v>417</v>
      </c>
      <c r="M815" s="7">
        <f t="shared" ca="1" si="271"/>
        <v>1083</v>
      </c>
      <c r="N815" s="26">
        <f t="shared" ca="1" si="272"/>
        <v>4</v>
      </c>
      <c r="O815" s="44">
        <f t="shared" ca="1" si="273"/>
        <v>2.8908103757121246</v>
      </c>
      <c r="P815" s="44">
        <f t="shared" ca="1" si="274"/>
        <v>28.908103757121246</v>
      </c>
      <c r="Q815" s="44">
        <f t="shared" ca="1" si="275"/>
        <v>28.908103757121246</v>
      </c>
      <c r="R815" s="44">
        <f t="shared" ca="1" si="276"/>
        <v>2.8908103757121246</v>
      </c>
      <c r="S815" s="44">
        <f t="shared" ca="1" si="277"/>
        <v>2.8908103757121246</v>
      </c>
      <c r="T815" s="4">
        <f t="shared" ca="1" si="278"/>
        <v>0</v>
      </c>
      <c r="U815" s="120">
        <f t="shared" ca="1" si="279"/>
        <v>2268.675062040129</v>
      </c>
      <c r="V815" s="4">
        <f t="shared" ca="1" si="280"/>
        <v>0</v>
      </c>
      <c r="W815" s="13">
        <f t="shared" ca="1" si="281"/>
        <v>49588.256250000006</v>
      </c>
      <c r="X815" s="4">
        <f t="shared" ca="1" si="282"/>
        <v>0</v>
      </c>
      <c r="Y815" s="4">
        <f t="shared" si="283"/>
        <v>0</v>
      </c>
      <c r="Z815" s="13">
        <f t="shared" ca="1" si="284"/>
        <v>49588.256250000006</v>
      </c>
      <c r="AA815" s="4">
        <f t="shared" ca="1" si="285"/>
        <v>0</v>
      </c>
    </row>
    <row r="816" spans="1:27">
      <c r="A816">
        <v>2</v>
      </c>
      <c r="B816">
        <v>0</v>
      </c>
      <c r="C816">
        <f t="shared" ca="1" si="264"/>
        <v>4</v>
      </c>
      <c r="D816">
        <f t="shared" ca="1" si="265"/>
        <v>3</v>
      </c>
      <c r="E816">
        <f t="shared" ca="1" si="266"/>
        <v>2</v>
      </c>
      <c r="F816" s="110">
        <f t="shared" ca="1" si="267"/>
        <v>0</v>
      </c>
      <c r="G816">
        <v>1</v>
      </c>
      <c r="H816">
        <v>0</v>
      </c>
      <c r="I816">
        <v>6</v>
      </c>
      <c r="J816" s="1">
        <f t="shared" ca="1" si="268"/>
        <v>0</v>
      </c>
      <c r="K816" s="1">
        <f t="shared" ca="1" si="269"/>
        <v>0</v>
      </c>
      <c r="L816" s="13">
        <f t="shared" ca="1" si="270"/>
        <v>398</v>
      </c>
      <c r="M816" s="7">
        <f t="shared" ca="1" si="271"/>
        <v>1102</v>
      </c>
      <c r="N816" s="26">
        <f t="shared" ca="1" si="272"/>
        <v>4</v>
      </c>
      <c r="O816" s="44">
        <f t="shared" ca="1" si="273"/>
        <v>2.8908103757121246</v>
      </c>
      <c r="P816" s="44">
        <f t="shared" ca="1" si="274"/>
        <v>28.908103757121246</v>
      </c>
      <c r="Q816" s="44">
        <f t="shared" ca="1" si="275"/>
        <v>28.908103757121246</v>
      </c>
      <c r="R816" s="44">
        <f t="shared" ca="1" si="276"/>
        <v>2.8908103757121246</v>
      </c>
      <c r="S816" s="44">
        <f t="shared" ca="1" si="277"/>
        <v>2.8908103757121246</v>
      </c>
      <c r="T816" s="4">
        <f t="shared" ca="1" si="278"/>
        <v>0</v>
      </c>
      <c r="U816" s="120">
        <f t="shared" ca="1" si="279"/>
        <v>2249.675062040129</v>
      </c>
      <c r="V816" s="4">
        <f t="shared" ca="1" si="280"/>
        <v>0</v>
      </c>
      <c r="W816" s="13">
        <f t="shared" ca="1" si="281"/>
        <v>46815.131250000006</v>
      </c>
      <c r="X816" s="4">
        <f t="shared" ca="1" si="282"/>
        <v>0</v>
      </c>
      <c r="Y816" s="4">
        <f t="shared" si="283"/>
        <v>0</v>
      </c>
      <c r="Z816" s="13">
        <f t="shared" ca="1" si="284"/>
        <v>46815.131250000006</v>
      </c>
      <c r="AA816" s="4">
        <f t="shared" ca="1" si="285"/>
        <v>0</v>
      </c>
    </row>
    <row r="817" spans="1:27">
      <c r="A817">
        <v>2</v>
      </c>
      <c r="B817">
        <v>0</v>
      </c>
      <c r="C817">
        <f t="shared" ca="1" si="264"/>
        <v>4</v>
      </c>
      <c r="D817">
        <f t="shared" ca="1" si="265"/>
        <v>3</v>
      </c>
      <c r="E817">
        <f t="shared" ca="1" si="266"/>
        <v>2</v>
      </c>
      <c r="F817" s="110">
        <f t="shared" ca="1" si="267"/>
        <v>0</v>
      </c>
      <c r="G817">
        <v>1</v>
      </c>
      <c r="H817">
        <v>0</v>
      </c>
      <c r="I817">
        <v>5</v>
      </c>
      <c r="J817" s="1">
        <f t="shared" ca="1" si="268"/>
        <v>0</v>
      </c>
      <c r="K817" s="1">
        <f t="shared" ca="1" si="269"/>
        <v>0</v>
      </c>
      <c r="L817" s="13">
        <f t="shared" ca="1" si="270"/>
        <v>379</v>
      </c>
      <c r="M817" s="7">
        <f t="shared" ca="1" si="271"/>
        <v>1121</v>
      </c>
      <c r="N817" s="26">
        <f t="shared" ca="1" si="272"/>
        <v>4</v>
      </c>
      <c r="O817" s="44">
        <f t="shared" ca="1" si="273"/>
        <v>2.8908103757121246</v>
      </c>
      <c r="P817" s="44">
        <f t="shared" ca="1" si="274"/>
        <v>28.908103757121246</v>
      </c>
      <c r="Q817" s="44">
        <f t="shared" ca="1" si="275"/>
        <v>28.908103757121246</v>
      </c>
      <c r="R817" s="44">
        <f t="shared" ca="1" si="276"/>
        <v>2.8908103757121246</v>
      </c>
      <c r="S817" s="44">
        <f t="shared" ca="1" si="277"/>
        <v>2.8908103757121246</v>
      </c>
      <c r="T817" s="4">
        <f t="shared" ca="1" si="278"/>
        <v>0</v>
      </c>
      <c r="U817" s="120">
        <f t="shared" ca="1" si="279"/>
        <v>2230.675062040129</v>
      </c>
      <c r="V817" s="4">
        <f t="shared" ca="1" si="280"/>
        <v>0</v>
      </c>
      <c r="W817" s="13">
        <f t="shared" ca="1" si="281"/>
        <v>44042.006250000006</v>
      </c>
      <c r="X817" s="4">
        <f t="shared" ca="1" si="282"/>
        <v>0</v>
      </c>
      <c r="Y817" s="4">
        <f t="shared" si="283"/>
        <v>0</v>
      </c>
      <c r="Z817" s="13">
        <f t="shared" ca="1" si="284"/>
        <v>44042.006250000006</v>
      </c>
      <c r="AA817" s="4">
        <f t="shared" ca="1" si="285"/>
        <v>0</v>
      </c>
    </row>
    <row r="818" spans="1:27">
      <c r="A818">
        <v>2</v>
      </c>
      <c r="B818">
        <v>0</v>
      </c>
      <c r="C818">
        <f t="shared" ca="1" si="264"/>
        <v>4</v>
      </c>
      <c r="D818">
        <f t="shared" ca="1" si="265"/>
        <v>3</v>
      </c>
      <c r="E818">
        <f t="shared" ca="1" si="266"/>
        <v>2</v>
      </c>
      <c r="F818" s="110">
        <f t="shared" ca="1" si="267"/>
        <v>0</v>
      </c>
      <c r="G818">
        <v>1</v>
      </c>
      <c r="H818">
        <v>0</v>
      </c>
      <c r="I818">
        <v>4</v>
      </c>
      <c r="J818" s="1">
        <f t="shared" ca="1" si="268"/>
        <v>0</v>
      </c>
      <c r="K818" s="1">
        <f t="shared" ca="1" si="269"/>
        <v>0</v>
      </c>
      <c r="L818" s="13">
        <f t="shared" ca="1" si="270"/>
        <v>360</v>
      </c>
      <c r="M818" s="7">
        <f t="shared" ca="1" si="271"/>
        <v>1140</v>
      </c>
      <c r="N818" s="26">
        <f t="shared" ca="1" si="272"/>
        <v>4</v>
      </c>
      <c r="O818" s="44">
        <f t="shared" ca="1" si="273"/>
        <v>2.8908103757121246</v>
      </c>
      <c r="P818" s="44">
        <f t="shared" ca="1" si="274"/>
        <v>28.908103757121246</v>
      </c>
      <c r="Q818" s="44">
        <f t="shared" ca="1" si="275"/>
        <v>28.908103757121246</v>
      </c>
      <c r="R818" s="44">
        <f t="shared" ca="1" si="276"/>
        <v>2.8908103757121246</v>
      </c>
      <c r="S818" s="44">
        <f t="shared" ca="1" si="277"/>
        <v>2.8908103757121246</v>
      </c>
      <c r="T818" s="4">
        <f t="shared" ca="1" si="278"/>
        <v>0</v>
      </c>
      <c r="U818" s="120">
        <f t="shared" ca="1" si="279"/>
        <v>2211.675062040129</v>
      </c>
      <c r="V818" s="4">
        <f t="shared" ca="1" si="280"/>
        <v>0</v>
      </c>
      <c r="W818" s="13">
        <f t="shared" ca="1" si="281"/>
        <v>41268.881250000006</v>
      </c>
      <c r="X818" s="4">
        <f t="shared" ca="1" si="282"/>
        <v>0</v>
      </c>
      <c r="Y818" s="4">
        <f t="shared" si="283"/>
        <v>0</v>
      </c>
      <c r="Z818" s="13">
        <f t="shared" ca="1" si="284"/>
        <v>41268.881250000006</v>
      </c>
      <c r="AA818" s="4">
        <f t="shared" ca="1" si="285"/>
        <v>0</v>
      </c>
    </row>
    <row r="819" spans="1:27">
      <c r="A819">
        <v>2</v>
      </c>
      <c r="B819">
        <v>0</v>
      </c>
      <c r="C819">
        <f t="shared" ca="1" si="264"/>
        <v>4</v>
      </c>
      <c r="D819">
        <f t="shared" ca="1" si="265"/>
        <v>3</v>
      </c>
      <c r="E819">
        <f t="shared" ca="1" si="266"/>
        <v>2</v>
      </c>
      <c r="F819" s="110">
        <f t="shared" ca="1" si="267"/>
        <v>0</v>
      </c>
      <c r="G819">
        <v>1</v>
      </c>
      <c r="H819">
        <v>0</v>
      </c>
      <c r="I819">
        <v>3</v>
      </c>
      <c r="J819" s="1">
        <f t="shared" ca="1" si="268"/>
        <v>0.81450624999999988</v>
      </c>
      <c r="K819" s="1">
        <f t="shared" ca="1" si="269"/>
        <v>0</v>
      </c>
      <c r="L819" s="13">
        <f t="shared" ca="1" si="270"/>
        <v>341</v>
      </c>
      <c r="M819" s="7">
        <f t="shared" ca="1" si="271"/>
        <v>1159</v>
      </c>
      <c r="N819" s="26">
        <f t="shared" ca="1" si="272"/>
        <v>4</v>
      </c>
      <c r="O819" s="44">
        <f t="shared" ca="1" si="273"/>
        <v>2.8908103757121246</v>
      </c>
      <c r="P819" s="44">
        <f t="shared" ca="1" si="274"/>
        <v>28.908103757121246</v>
      </c>
      <c r="Q819" s="44">
        <f t="shared" ca="1" si="275"/>
        <v>28.908103757121246</v>
      </c>
      <c r="R819" s="44">
        <f t="shared" ca="1" si="276"/>
        <v>2.8908103757121246</v>
      </c>
      <c r="S819" s="44">
        <f t="shared" ca="1" si="277"/>
        <v>2.8908103757121246</v>
      </c>
      <c r="T819" s="4">
        <f t="shared" ca="1" si="278"/>
        <v>0</v>
      </c>
      <c r="U819" s="120">
        <f t="shared" ca="1" si="279"/>
        <v>2192.675062040129</v>
      </c>
      <c r="V819" s="4">
        <f t="shared" ca="1" si="280"/>
        <v>0</v>
      </c>
      <c r="W819" s="13">
        <f t="shared" ca="1" si="281"/>
        <v>38495.756250000006</v>
      </c>
      <c r="X819" s="4">
        <f t="shared" ca="1" si="282"/>
        <v>0</v>
      </c>
      <c r="Y819" s="4">
        <f t="shared" si="283"/>
        <v>0</v>
      </c>
      <c r="Z819" s="13">
        <f t="shared" ca="1" si="284"/>
        <v>38495.756250000006</v>
      </c>
      <c r="AA819" s="4">
        <f t="shared" ca="1" si="285"/>
        <v>0</v>
      </c>
    </row>
    <row r="820" spans="1:27">
      <c r="A820">
        <v>2</v>
      </c>
      <c r="B820">
        <v>0</v>
      </c>
      <c r="C820">
        <f t="shared" ca="1" si="264"/>
        <v>4</v>
      </c>
      <c r="D820">
        <f t="shared" ca="1" si="265"/>
        <v>3</v>
      </c>
      <c r="E820">
        <f t="shared" ca="1" si="266"/>
        <v>2</v>
      </c>
      <c r="F820" s="110">
        <f t="shared" ca="1" si="267"/>
        <v>0</v>
      </c>
      <c r="G820">
        <v>1</v>
      </c>
      <c r="H820">
        <v>0</v>
      </c>
      <c r="I820">
        <v>2</v>
      </c>
      <c r="J820" s="1">
        <f t="shared" ca="1" si="268"/>
        <v>0.12860625000000012</v>
      </c>
      <c r="K820" s="1">
        <f t="shared" ca="1" si="269"/>
        <v>0</v>
      </c>
      <c r="L820" s="13">
        <f t="shared" ca="1" si="270"/>
        <v>322</v>
      </c>
      <c r="M820" s="7">
        <f t="shared" ca="1" si="271"/>
        <v>1178</v>
      </c>
      <c r="N820" s="26">
        <f t="shared" ca="1" si="272"/>
        <v>4</v>
      </c>
      <c r="O820" s="44">
        <f t="shared" ca="1" si="273"/>
        <v>2.8908103757121246</v>
      </c>
      <c r="P820" s="44">
        <f t="shared" ca="1" si="274"/>
        <v>28.908103757121246</v>
      </c>
      <c r="Q820" s="44">
        <f t="shared" ca="1" si="275"/>
        <v>28.908103757121246</v>
      </c>
      <c r="R820" s="44">
        <f t="shared" ca="1" si="276"/>
        <v>2.8908103757121246</v>
      </c>
      <c r="S820" s="44">
        <f t="shared" ca="1" si="277"/>
        <v>2.8908103757121246</v>
      </c>
      <c r="T820" s="4">
        <f t="shared" ca="1" si="278"/>
        <v>0</v>
      </c>
      <c r="U820" s="120">
        <f t="shared" ca="1" si="279"/>
        <v>2173.675062040129</v>
      </c>
      <c r="V820" s="4">
        <f t="shared" ca="1" si="280"/>
        <v>0</v>
      </c>
      <c r="W820" s="13">
        <f t="shared" ca="1" si="281"/>
        <v>35722.631250000006</v>
      </c>
      <c r="X820" s="4">
        <f t="shared" ca="1" si="282"/>
        <v>0</v>
      </c>
      <c r="Y820" s="4">
        <f t="shared" si="283"/>
        <v>0</v>
      </c>
      <c r="Z820" s="13">
        <f t="shared" ca="1" si="284"/>
        <v>35722.631250000006</v>
      </c>
      <c r="AA820" s="4">
        <f t="shared" ca="1" si="285"/>
        <v>0</v>
      </c>
    </row>
    <row r="821" spans="1:27">
      <c r="A821">
        <v>2</v>
      </c>
      <c r="B821">
        <v>0</v>
      </c>
      <c r="C821">
        <f t="shared" ca="1" si="264"/>
        <v>4</v>
      </c>
      <c r="D821">
        <f t="shared" ca="1" si="265"/>
        <v>3</v>
      </c>
      <c r="E821">
        <f t="shared" ca="1" si="266"/>
        <v>2</v>
      </c>
      <c r="F821" s="110">
        <f t="shared" ca="1" si="267"/>
        <v>0</v>
      </c>
      <c r="G821">
        <v>1</v>
      </c>
      <c r="H821">
        <v>0</v>
      </c>
      <c r="I821">
        <v>1</v>
      </c>
      <c r="J821" s="1">
        <f t="shared" ca="1" si="268"/>
        <v>6.7687500000000109E-3</v>
      </c>
      <c r="K821" s="1">
        <f t="shared" ca="1" si="269"/>
        <v>0</v>
      </c>
      <c r="L821" s="13">
        <f t="shared" ca="1" si="270"/>
        <v>303</v>
      </c>
      <c r="M821" s="7">
        <f t="shared" ca="1" si="271"/>
        <v>1197</v>
      </c>
      <c r="N821" s="26">
        <f t="shared" ca="1" si="272"/>
        <v>4</v>
      </c>
      <c r="O821" s="44">
        <f t="shared" ca="1" si="273"/>
        <v>2.8908103757121246</v>
      </c>
      <c r="P821" s="44">
        <f t="shared" ca="1" si="274"/>
        <v>28.908103757121246</v>
      </c>
      <c r="Q821" s="44">
        <f t="shared" ca="1" si="275"/>
        <v>28.908103757121246</v>
      </c>
      <c r="R821" s="44">
        <f t="shared" ca="1" si="276"/>
        <v>2.8908103757121246</v>
      </c>
      <c r="S821" s="44">
        <f t="shared" ca="1" si="277"/>
        <v>2.8908103757121246</v>
      </c>
      <c r="T821" s="4">
        <f t="shared" ca="1" si="278"/>
        <v>0</v>
      </c>
      <c r="U821" s="120">
        <f t="shared" ca="1" si="279"/>
        <v>2154.675062040129</v>
      </c>
      <c r="V821" s="4">
        <f t="shared" ca="1" si="280"/>
        <v>0</v>
      </c>
      <c r="W821" s="13">
        <f t="shared" ca="1" si="281"/>
        <v>32949.506250000006</v>
      </c>
      <c r="X821" s="4">
        <f t="shared" ca="1" si="282"/>
        <v>0</v>
      </c>
      <c r="Y821" s="4">
        <f t="shared" si="283"/>
        <v>0</v>
      </c>
      <c r="Z821" s="13">
        <f t="shared" ca="1" si="284"/>
        <v>32949.506250000006</v>
      </c>
      <c r="AA821" s="4">
        <f t="shared" ca="1" si="285"/>
        <v>0</v>
      </c>
    </row>
    <row r="822" spans="1:27">
      <c r="A822">
        <v>2</v>
      </c>
      <c r="B822">
        <v>0</v>
      </c>
      <c r="C822">
        <f t="shared" ca="1" si="264"/>
        <v>4</v>
      </c>
      <c r="D822">
        <f t="shared" ca="1" si="265"/>
        <v>3</v>
      </c>
      <c r="E822">
        <f t="shared" ca="1" si="266"/>
        <v>2</v>
      </c>
      <c r="F822" s="110">
        <f t="shared" ca="1" si="267"/>
        <v>0</v>
      </c>
      <c r="G822">
        <v>1</v>
      </c>
      <c r="H822">
        <v>0</v>
      </c>
      <c r="I822">
        <v>0</v>
      </c>
      <c r="J822" s="1">
        <f t="shared" ca="1" si="268"/>
        <v>1.1875000000000031E-4</v>
      </c>
      <c r="K822" s="1">
        <f t="shared" ca="1" si="269"/>
        <v>0</v>
      </c>
      <c r="L822" s="13">
        <f t="shared" ca="1" si="270"/>
        <v>284</v>
      </c>
      <c r="M822" s="7">
        <f t="shared" ca="1" si="271"/>
        <v>1216</v>
      </c>
      <c r="N822" s="26">
        <f t="shared" ca="1" si="272"/>
        <v>4</v>
      </c>
      <c r="O822" s="44">
        <f t="shared" ca="1" si="273"/>
        <v>2.8908103757121246</v>
      </c>
      <c r="P822" s="44">
        <f t="shared" ca="1" si="274"/>
        <v>28.908103757121246</v>
      </c>
      <c r="Q822" s="44">
        <f t="shared" ca="1" si="275"/>
        <v>28.908103757121246</v>
      </c>
      <c r="R822" s="44">
        <f t="shared" ca="1" si="276"/>
        <v>2.8908103757121246</v>
      </c>
      <c r="S822" s="44">
        <f t="shared" ca="1" si="277"/>
        <v>2.8908103757121246</v>
      </c>
      <c r="T822" s="4">
        <f t="shared" ca="1" si="278"/>
        <v>0</v>
      </c>
      <c r="U822" s="120">
        <f t="shared" ca="1" si="279"/>
        <v>2135.675062040129</v>
      </c>
      <c r="V822" s="4">
        <f t="shared" ca="1" si="280"/>
        <v>0</v>
      </c>
      <c r="W822" s="13">
        <f t="shared" ca="1" si="281"/>
        <v>30176.381250000002</v>
      </c>
      <c r="X822" s="4">
        <f t="shared" ca="1" si="282"/>
        <v>0</v>
      </c>
      <c r="Y822" s="4">
        <f t="shared" si="283"/>
        <v>0</v>
      </c>
      <c r="Z822" s="13">
        <f t="shared" ca="1" si="284"/>
        <v>30176.381250000002</v>
      </c>
      <c r="AA822" s="4">
        <f t="shared" ca="1" si="285"/>
        <v>0</v>
      </c>
    </row>
    <row r="823" spans="1:27">
      <c r="A823">
        <v>2</v>
      </c>
      <c r="B823">
        <v>0</v>
      </c>
      <c r="C823">
        <f t="shared" ca="1" si="264"/>
        <v>4</v>
      </c>
      <c r="D823">
        <f t="shared" ca="1" si="265"/>
        <v>3</v>
      </c>
      <c r="E823">
        <f t="shared" ca="1" si="266"/>
        <v>2</v>
      </c>
      <c r="F823" s="110">
        <f t="shared" ca="1" si="267"/>
        <v>0</v>
      </c>
      <c r="G823">
        <v>0</v>
      </c>
      <c r="H823">
        <v>1</v>
      </c>
      <c r="I823">
        <v>7</v>
      </c>
      <c r="J823" s="1">
        <f t="shared" ca="1" si="268"/>
        <v>0</v>
      </c>
      <c r="K823" s="1">
        <f t="shared" ca="1" si="269"/>
        <v>0</v>
      </c>
      <c r="L823" s="13">
        <f t="shared" ca="1" si="270"/>
        <v>417</v>
      </c>
      <c r="M823" s="7">
        <f t="shared" ca="1" si="271"/>
        <v>1083</v>
      </c>
      <c r="N823" s="26">
        <f t="shared" ca="1" si="272"/>
        <v>4</v>
      </c>
      <c r="O823" s="44">
        <f t="shared" ca="1" si="273"/>
        <v>2.8908103757121246</v>
      </c>
      <c r="P823" s="44">
        <f t="shared" ca="1" si="274"/>
        <v>28.908103757121246</v>
      </c>
      <c r="Q823" s="44">
        <f t="shared" ca="1" si="275"/>
        <v>28.908103757121246</v>
      </c>
      <c r="R823" s="44">
        <f t="shared" ca="1" si="276"/>
        <v>2.8908103757121246</v>
      </c>
      <c r="S823" s="44">
        <f t="shared" ca="1" si="277"/>
        <v>2.8908103757121246</v>
      </c>
      <c r="T823" s="4">
        <f t="shared" ca="1" si="278"/>
        <v>0</v>
      </c>
      <c r="U823" s="120">
        <f t="shared" ca="1" si="279"/>
        <v>2268.675062040129</v>
      </c>
      <c r="V823" s="4">
        <f t="shared" ca="1" si="280"/>
        <v>0</v>
      </c>
      <c r="W823" s="13">
        <f t="shared" ca="1" si="281"/>
        <v>19411.875</v>
      </c>
      <c r="X823" s="4">
        <f t="shared" ca="1" si="282"/>
        <v>0</v>
      </c>
      <c r="Y823" s="4">
        <f t="shared" si="283"/>
        <v>0</v>
      </c>
      <c r="Z823" s="13">
        <f t="shared" ca="1" si="284"/>
        <v>19411.875</v>
      </c>
      <c r="AA823" s="4">
        <f t="shared" ca="1" si="285"/>
        <v>0</v>
      </c>
    </row>
    <row r="824" spans="1:27">
      <c r="A824">
        <v>2</v>
      </c>
      <c r="B824">
        <v>0</v>
      </c>
      <c r="C824">
        <f t="shared" ca="1" si="264"/>
        <v>4</v>
      </c>
      <c r="D824">
        <f t="shared" ca="1" si="265"/>
        <v>3</v>
      </c>
      <c r="E824">
        <f t="shared" ca="1" si="266"/>
        <v>2</v>
      </c>
      <c r="F824" s="110">
        <f t="shared" ca="1" si="267"/>
        <v>0</v>
      </c>
      <c r="G824">
        <v>0</v>
      </c>
      <c r="H824">
        <v>1</v>
      </c>
      <c r="I824">
        <v>6</v>
      </c>
      <c r="J824" s="1">
        <f t="shared" ca="1" si="268"/>
        <v>0</v>
      </c>
      <c r="K824" s="1">
        <f t="shared" ca="1" si="269"/>
        <v>0</v>
      </c>
      <c r="L824" s="13">
        <f t="shared" ca="1" si="270"/>
        <v>398</v>
      </c>
      <c r="M824" s="7">
        <f t="shared" ca="1" si="271"/>
        <v>1102</v>
      </c>
      <c r="N824" s="26">
        <f t="shared" ca="1" si="272"/>
        <v>4</v>
      </c>
      <c r="O824" s="44">
        <f t="shared" ca="1" si="273"/>
        <v>2.8908103757121246</v>
      </c>
      <c r="P824" s="44">
        <f t="shared" ca="1" si="274"/>
        <v>28.908103757121246</v>
      </c>
      <c r="Q824" s="44">
        <f t="shared" ca="1" si="275"/>
        <v>28.908103757121246</v>
      </c>
      <c r="R824" s="44">
        <f t="shared" ca="1" si="276"/>
        <v>2.8908103757121246</v>
      </c>
      <c r="S824" s="44">
        <f t="shared" ca="1" si="277"/>
        <v>2.8908103757121246</v>
      </c>
      <c r="T824" s="4">
        <f t="shared" ca="1" si="278"/>
        <v>0</v>
      </c>
      <c r="U824" s="120">
        <f t="shared" ca="1" si="279"/>
        <v>2249.675062040129</v>
      </c>
      <c r="V824" s="4">
        <f t="shared" ca="1" si="280"/>
        <v>0</v>
      </c>
      <c r="W824" s="13">
        <f t="shared" ca="1" si="281"/>
        <v>16638.75</v>
      </c>
      <c r="X824" s="4">
        <f t="shared" ca="1" si="282"/>
        <v>0</v>
      </c>
      <c r="Y824" s="4">
        <f t="shared" si="283"/>
        <v>0</v>
      </c>
      <c r="Z824" s="13">
        <f t="shared" ca="1" si="284"/>
        <v>16638.75</v>
      </c>
      <c r="AA824" s="4">
        <f t="shared" ca="1" si="285"/>
        <v>0</v>
      </c>
    </row>
    <row r="825" spans="1:27">
      <c r="A825">
        <v>2</v>
      </c>
      <c r="B825">
        <v>0</v>
      </c>
      <c r="C825">
        <f t="shared" ca="1" si="264"/>
        <v>4</v>
      </c>
      <c r="D825">
        <f t="shared" ca="1" si="265"/>
        <v>3</v>
      </c>
      <c r="E825">
        <f t="shared" ca="1" si="266"/>
        <v>2</v>
      </c>
      <c r="F825" s="110">
        <f t="shared" ca="1" si="267"/>
        <v>0</v>
      </c>
      <c r="G825">
        <v>0</v>
      </c>
      <c r="H825">
        <v>1</v>
      </c>
      <c r="I825">
        <v>5</v>
      </c>
      <c r="J825" s="1">
        <f t="shared" ca="1" si="268"/>
        <v>0</v>
      </c>
      <c r="K825" s="1">
        <f t="shared" ca="1" si="269"/>
        <v>0</v>
      </c>
      <c r="L825" s="13">
        <f t="shared" ca="1" si="270"/>
        <v>379</v>
      </c>
      <c r="M825" s="7">
        <f t="shared" ca="1" si="271"/>
        <v>1121</v>
      </c>
      <c r="N825" s="26">
        <f t="shared" ca="1" si="272"/>
        <v>4</v>
      </c>
      <c r="O825" s="44">
        <f t="shared" ca="1" si="273"/>
        <v>2.8908103757121246</v>
      </c>
      <c r="P825" s="44">
        <f t="shared" ca="1" si="274"/>
        <v>28.908103757121246</v>
      </c>
      <c r="Q825" s="44">
        <f t="shared" ca="1" si="275"/>
        <v>28.908103757121246</v>
      </c>
      <c r="R825" s="44">
        <f t="shared" ca="1" si="276"/>
        <v>2.8908103757121246</v>
      </c>
      <c r="S825" s="44">
        <f t="shared" ca="1" si="277"/>
        <v>2.8908103757121246</v>
      </c>
      <c r="T825" s="4">
        <f t="shared" ca="1" si="278"/>
        <v>0</v>
      </c>
      <c r="U825" s="120">
        <f t="shared" ca="1" si="279"/>
        <v>2230.675062040129</v>
      </c>
      <c r="V825" s="4">
        <f t="shared" ca="1" si="280"/>
        <v>0</v>
      </c>
      <c r="W825" s="13">
        <f t="shared" ca="1" si="281"/>
        <v>13865.625</v>
      </c>
      <c r="X825" s="4">
        <f t="shared" ca="1" si="282"/>
        <v>0</v>
      </c>
      <c r="Y825" s="4">
        <f t="shared" si="283"/>
        <v>0</v>
      </c>
      <c r="Z825" s="13">
        <f t="shared" ca="1" si="284"/>
        <v>13865.625</v>
      </c>
      <c r="AA825" s="4">
        <f t="shared" ca="1" si="285"/>
        <v>0</v>
      </c>
    </row>
    <row r="826" spans="1:27">
      <c r="A826">
        <v>2</v>
      </c>
      <c r="B826">
        <v>0</v>
      </c>
      <c r="C826">
        <f t="shared" ca="1" si="264"/>
        <v>4</v>
      </c>
      <c r="D826">
        <f t="shared" ca="1" si="265"/>
        <v>3</v>
      </c>
      <c r="E826">
        <f t="shared" ca="1" si="266"/>
        <v>2</v>
      </c>
      <c r="F826" s="110">
        <f t="shared" ca="1" si="267"/>
        <v>0</v>
      </c>
      <c r="G826">
        <v>0</v>
      </c>
      <c r="H826">
        <v>1</v>
      </c>
      <c r="I826">
        <v>4</v>
      </c>
      <c r="J826" s="1">
        <f t="shared" ca="1" si="268"/>
        <v>0</v>
      </c>
      <c r="K826" s="1">
        <f t="shared" ca="1" si="269"/>
        <v>0</v>
      </c>
      <c r="L826" s="13">
        <f t="shared" ca="1" si="270"/>
        <v>360</v>
      </c>
      <c r="M826" s="7">
        <f t="shared" ca="1" si="271"/>
        <v>1140</v>
      </c>
      <c r="N826" s="26">
        <f t="shared" ca="1" si="272"/>
        <v>4</v>
      </c>
      <c r="O826" s="44">
        <f t="shared" ca="1" si="273"/>
        <v>2.8908103757121246</v>
      </c>
      <c r="P826" s="44">
        <f t="shared" ca="1" si="274"/>
        <v>28.908103757121246</v>
      </c>
      <c r="Q826" s="44">
        <f t="shared" ca="1" si="275"/>
        <v>28.908103757121246</v>
      </c>
      <c r="R826" s="44">
        <f t="shared" ca="1" si="276"/>
        <v>2.8908103757121246</v>
      </c>
      <c r="S826" s="44">
        <f t="shared" ca="1" si="277"/>
        <v>2.8908103757121246</v>
      </c>
      <c r="T826" s="4">
        <f t="shared" ca="1" si="278"/>
        <v>0</v>
      </c>
      <c r="U826" s="120">
        <f t="shared" ca="1" si="279"/>
        <v>2211.675062040129</v>
      </c>
      <c r="V826" s="4">
        <f t="shared" ca="1" si="280"/>
        <v>0</v>
      </c>
      <c r="W826" s="13">
        <f t="shared" ca="1" si="281"/>
        <v>11092.5</v>
      </c>
      <c r="X826" s="4">
        <f t="shared" ca="1" si="282"/>
        <v>0</v>
      </c>
      <c r="Y826" s="4">
        <f t="shared" si="283"/>
        <v>0</v>
      </c>
      <c r="Z826" s="13">
        <f t="shared" ca="1" si="284"/>
        <v>11092.5</v>
      </c>
      <c r="AA826" s="4">
        <f t="shared" ca="1" si="285"/>
        <v>0</v>
      </c>
    </row>
    <row r="827" spans="1:27">
      <c r="A827">
        <v>2</v>
      </c>
      <c r="B827">
        <v>0</v>
      </c>
      <c r="C827">
        <f t="shared" ca="1" si="264"/>
        <v>4</v>
      </c>
      <c r="D827">
        <f t="shared" ca="1" si="265"/>
        <v>3</v>
      </c>
      <c r="E827">
        <f t="shared" ca="1" si="266"/>
        <v>2</v>
      </c>
      <c r="F827" s="110">
        <f t="shared" ca="1" si="267"/>
        <v>0</v>
      </c>
      <c r="G827">
        <v>0</v>
      </c>
      <c r="H827">
        <v>1</v>
      </c>
      <c r="I827">
        <v>3</v>
      </c>
      <c r="J827" s="1">
        <f t="shared" ca="1" si="268"/>
        <v>0</v>
      </c>
      <c r="K827" s="1">
        <f t="shared" ca="1" si="269"/>
        <v>0</v>
      </c>
      <c r="L827" s="13">
        <f t="shared" ca="1" si="270"/>
        <v>341</v>
      </c>
      <c r="M827" s="7">
        <f t="shared" ca="1" si="271"/>
        <v>1159</v>
      </c>
      <c r="N827" s="26">
        <f t="shared" ca="1" si="272"/>
        <v>4</v>
      </c>
      <c r="O827" s="44">
        <f t="shared" ca="1" si="273"/>
        <v>2.8908103757121246</v>
      </c>
      <c r="P827" s="44">
        <f t="shared" ca="1" si="274"/>
        <v>28.908103757121246</v>
      </c>
      <c r="Q827" s="44">
        <f t="shared" ca="1" si="275"/>
        <v>28.908103757121246</v>
      </c>
      <c r="R827" s="44">
        <f t="shared" ca="1" si="276"/>
        <v>2.8908103757121246</v>
      </c>
      <c r="S827" s="44">
        <f t="shared" ca="1" si="277"/>
        <v>2.8908103757121246</v>
      </c>
      <c r="T827" s="4">
        <f t="shared" ca="1" si="278"/>
        <v>0</v>
      </c>
      <c r="U827" s="120">
        <f t="shared" ca="1" si="279"/>
        <v>2192.675062040129</v>
      </c>
      <c r="V827" s="4">
        <f t="shared" ca="1" si="280"/>
        <v>0</v>
      </c>
      <c r="W827" s="13">
        <f t="shared" ca="1" si="281"/>
        <v>8319.375</v>
      </c>
      <c r="X827" s="4">
        <f t="shared" ca="1" si="282"/>
        <v>0</v>
      </c>
      <c r="Y827" s="4">
        <f t="shared" si="283"/>
        <v>0</v>
      </c>
      <c r="Z827" s="13">
        <f t="shared" ca="1" si="284"/>
        <v>8319.375</v>
      </c>
      <c r="AA827" s="4">
        <f t="shared" ca="1" si="285"/>
        <v>0</v>
      </c>
    </row>
    <row r="828" spans="1:27">
      <c r="A828">
        <v>2</v>
      </c>
      <c r="B828">
        <v>0</v>
      </c>
      <c r="C828">
        <f t="shared" ca="1" si="264"/>
        <v>4</v>
      </c>
      <c r="D828">
        <f t="shared" ca="1" si="265"/>
        <v>3</v>
      </c>
      <c r="E828">
        <f t="shared" ca="1" si="266"/>
        <v>2</v>
      </c>
      <c r="F828" s="110">
        <f t="shared" ca="1" si="267"/>
        <v>0</v>
      </c>
      <c r="G828">
        <v>0</v>
      </c>
      <c r="H828">
        <v>1</v>
      </c>
      <c r="I828">
        <v>2</v>
      </c>
      <c r="J828" s="1">
        <f t="shared" ca="1" si="268"/>
        <v>0</v>
      </c>
      <c r="K828" s="1">
        <f t="shared" ca="1" si="269"/>
        <v>0</v>
      </c>
      <c r="L828" s="13">
        <f t="shared" ca="1" si="270"/>
        <v>322</v>
      </c>
      <c r="M828" s="7">
        <f t="shared" ca="1" si="271"/>
        <v>1178</v>
      </c>
      <c r="N828" s="26">
        <f t="shared" ca="1" si="272"/>
        <v>4</v>
      </c>
      <c r="O828" s="44">
        <f t="shared" ca="1" si="273"/>
        <v>2.8908103757121246</v>
      </c>
      <c r="P828" s="44">
        <f t="shared" ca="1" si="274"/>
        <v>28.908103757121246</v>
      </c>
      <c r="Q828" s="44">
        <f t="shared" ca="1" si="275"/>
        <v>28.908103757121246</v>
      </c>
      <c r="R828" s="44">
        <f t="shared" ca="1" si="276"/>
        <v>2.8908103757121246</v>
      </c>
      <c r="S828" s="44">
        <f t="shared" ca="1" si="277"/>
        <v>2.8908103757121246</v>
      </c>
      <c r="T828" s="4">
        <f t="shared" ca="1" si="278"/>
        <v>0</v>
      </c>
      <c r="U828" s="120">
        <f t="shared" ca="1" si="279"/>
        <v>2173.675062040129</v>
      </c>
      <c r="V828" s="4">
        <f t="shared" ca="1" si="280"/>
        <v>0</v>
      </c>
      <c r="W828" s="13">
        <f t="shared" ca="1" si="281"/>
        <v>5546.25</v>
      </c>
      <c r="X828" s="4">
        <f t="shared" ca="1" si="282"/>
        <v>0</v>
      </c>
      <c r="Y828" s="4">
        <f t="shared" si="283"/>
        <v>0</v>
      </c>
      <c r="Z828" s="13">
        <f t="shared" ca="1" si="284"/>
        <v>5546.25</v>
      </c>
      <c r="AA828" s="4">
        <f t="shared" ca="1" si="285"/>
        <v>0</v>
      </c>
    </row>
    <row r="829" spans="1:27">
      <c r="A829">
        <v>2</v>
      </c>
      <c r="B829">
        <v>0</v>
      </c>
      <c r="C829">
        <f t="shared" ca="1" si="264"/>
        <v>4</v>
      </c>
      <c r="D829">
        <f t="shared" ca="1" si="265"/>
        <v>3</v>
      </c>
      <c r="E829">
        <f t="shared" ca="1" si="266"/>
        <v>2</v>
      </c>
      <c r="F829" s="110">
        <f t="shared" ca="1" si="267"/>
        <v>0</v>
      </c>
      <c r="G829">
        <v>0</v>
      </c>
      <c r="H829">
        <v>1</v>
      </c>
      <c r="I829">
        <v>1</v>
      </c>
      <c r="J829" s="1">
        <f t="shared" ca="1" si="268"/>
        <v>0</v>
      </c>
      <c r="K829" s="1">
        <f t="shared" ca="1" si="269"/>
        <v>0</v>
      </c>
      <c r="L829" s="13">
        <f t="shared" ca="1" si="270"/>
        <v>303</v>
      </c>
      <c r="M829" s="7">
        <f t="shared" ca="1" si="271"/>
        <v>1197</v>
      </c>
      <c r="N829" s="26">
        <f t="shared" ca="1" si="272"/>
        <v>4</v>
      </c>
      <c r="O829" s="44">
        <f t="shared" ca="1" si="273"/>
        <v>2.8908103757121246</v>
      </c>
      <c r="P829" s="44">
        <f t="shared" ca="1" si="274"/>
        <v>28.908103757121246</v>
      </c>
      <c r="Q829" s="44">
        <f t="shared" ca="1" si="275"/>
        <v>28.908103757121246</v>
      </c>
      <c r="R829" s="44">
        <f t="shared" ca="1" si="276"/>
        <v>2.8908103757121246</v>
      </c>
      <c r="S829" s="44">
        <f t="shared" ca="1" si="277"/>
        <v>2.8908103757121246</v>
      </c>
      <c r="T829" s="4">
        <f t="shared" ca="1" si="278"/>
        <v>0</v>
      </c>
      <c r="U829" s="120">
        <f t="shared" ca="1" si="279"/>
        <v>2154.675062040129</v>
      </c>
      <c r="V829" s="4">
        <f t="shared" ca="1" si="280"/>
        <v>0</v>
      </c>
      <c r="W829" s="13">
        <f t="shared" ca="1" si="281"/>
        <v>2773.125</v>
      </c>
      <c r="X829" s="4">
        <f t="shared" ca="1" si="282"/>
        <v>0</v>
      </c>
      <c r="Y829" s="4">
        <f t="shared" si="283"/>
        <v>0</v>
      </c>
      <c r="Z829" s="13">
        <f t="shared" ca="1" si="284"/>
        <v>2773.125</v>
      </c>
      <c r="AA829" s="4">
        <f t="shared" ca="1" si="285"/>
        <v>0</v>
      </c>
    </row>
    <row r="830" spans="1:27">
      <c r="A830">
        <v>2</v>
      </c>
      <c r="B830">
        <v>0</v>
      </c>
      <c r="C830">
        <f t="shared" ca="1" si="264"/>
        <v>4</v>
      </c>
      <c r="D830">
        <f t="shared" ca="1" si="265"/>
        <v>3</v>
      </c>
      <c r="E830">
        <f t="shared" ca="1" si="266"/>
        <v>2</v>
      </c>
      <c r="F830" s="110">
        <f t="shared" ca="1" si="267"/>
        <v>0</v>
      </c>
      <c r="G830">
        <v>0</v>
      </c>
      <c r="H830">
        <v>1</v>
      </c>
      <c r="I830">
        <v>0</v>
      </c>
      <c r="J830" s="1">
        <f t="shared" ca="1" si="268"/>
        <v>0</v>
      </c>
      <c r="K830" s="1">
        <f t="shared" ca="1" si="269"/>
        <v>0</v>
      </c>
      <c r="L830" s="13">
        <f t="shared" ca="1" si="270"/>
        <v>284</v>
      </c>
      <c r="M830" s="7">
        <f t="shared" ca="1" si="271"/>
        <v>1216</v>
      </c>
      <c r="N830" s="26">
        <f t="shared" ca="1" si="272"/>
        <v>4</v>
      </c>
      <c r="O830" s="44">
        <f t="shared" ca="1" si="273"/>
        <v>2.8908103757121246</v>
      </c>
      <c r="P830" s="44">
        <f t="shared" ca="1" si="274"/>
        <v>28.908103757121246</v>
      </c>
      <c r="Q830" s="44">
        <f t="shared" ca="1" si="275"/>
        <v>28.908103757121246</v>
      </c>
      <c r="R830" s="44">
        <f t="shared" ca="1" si="276"/>
        <v>2.8908103757121246</v>
      </c>
      <c r="S830" s="44">
        <f t="shared" ca="1" si="277"/>
        <v>2.8908103757121246</v>
      </c>
      <c r="T830" s="4">
        <f t="shared" ca="1" si="278"/>
        <v>0</v>
      </c>
      <c r="U830" s="120">
        <f t="shared" ca="1" si="279"/>
        <v>2135.675062040129</v>
      </c>
      <c r="V830" s="4">
        <f t="shared" ca="1" si="280"/>
        <v>0</v>
      </c>
      <c r="W830" s="13">
        <f t="shared" ca="1" si="281"/>
        <v>0</v>
      </c>
      <c r="X830" s="4">
        <f t="shared" ca="1" si="282"/>
        <v>0</v>
      </c>
      <c r="Y830" s="4">
        <f t="shared" si="283"/>
        <v>0</v>
      </c>
      <c r="Z830" s="13">
        <f t="shared" ca="1" si="284"/>
        <v>0</v>
      </c>
      <c r="AA830" s="4">
        <f t="shared" ca="1" si="285"/>
        <v>0</v>
      </c>
    </row>
    <row r="831" spans="1:27">
      <c r="A831">
        <v>2</v>
      </c>
      <c r="B831">
        <v>0</v>
      </c>
      <c r="C831">
        <f t="shared" ca="1" si="264"/>
        <v>4</v>
      </c>
      <c r="D831">
        <f t="shared" ca="1" si="265"/>
        <v>3</v>
      </c>
      <c r="E831">
        <f t="shared" ca="1" si="266"/>
        <v>2</v>
      </c>
      <c r="F831" s="110">
        <f t="shared" ca="1" si="267"/>
        <v>0</v>
      </c>
      <c r="G831">
        <v>0</v>
      </c>
      <c r="H831">
        <v>0</v>
      </c>
      <c r="I831">
        <v>7</v>
      </c>
      <c r="J831" s="1">
        <f t="shared" ca="1" si="268"/>
        <v>0</v>
      </c>
      <c r="K831" s="1">
        <f t="shared" ca="1" si="269"/>
        <v>0</v>
      </c>
      <c r="L831" s="13">
        <f t="shared" ca="1" si="270"/>
        <v>133</v>
      </c>
      <c r="M831" s="7">
        <f t="shared" ca="1" si="271"/>
        <v>1367</v>
      </c>
      <c r="N831" s="26">
        <f t="shared" ca="1" si="272"/>
        <v>4</v>
      </c>
      <c r="O831" s="44">
        <f t="shared" ca="1" si="273"/>
        <v>2.8908103757121246</v>
      </c>
      <c r="P831" s="44">
        <f t="shared" ca="1" si="274"/>
        <v>28.908103757121246</v>
      </c>
      <c r="Q831" s="44">
        <f t="shared" ca="1" si="275"/>
        <v>28.908103757121246</v>
      </c>
      <c r="R831" s="44">
        <f t="shared" ca="1" si="276"/>
        <v>2.8908103757121246</v>
      </c>
      <c r="S831" s="44">
        <f t="shared" ca="1" si="277"/>
        <v>2.8908103757121246</v>
      </c>
      <c r="T831" s="4">
        <f t="shared" ca="1" si="278"/>
        <v>0</v>
      </c>
      <c r="U831" s="120">
        <f t="shared" ca="1" si="279"/>
        <v>1984.6750620401288</v>
      </c>
      <c r="V831" s="4">
        <f t="shared" ca="1" si="280"/>
        <v>0</v>
      </c>
      <c r="W831" s="13">
        <f t="shared" ca="1" si="281"/>
        <v>19411.875</v>
      </c>
      <c r="X831" s="4">
        <f t="shared" ca="1" si="282"/>
        <v>0</v>
      </c>
      <c r="Y831" s="4">
        <f t="shared" si="283"/>
        <v>0</v>
      </c>
      <c r="Z831" s="13">
        <f t="shared" ca="1" si="284"/>
        <v>19411.875</v>
      </c>
      <c r="AA831" s="4">
        <f t="shared" ca="1" si="285"/>
        <v>0</v>
      </c>
    </row>
    <row r="832" spans="1:27">
      <c r="A832">
        <v>2</v>
      </c>
      <c r="B832">
        <v>0</v>
      </c>
      <c r="C832">
        <f t="shared" ca="1" si="264"/>
        <v>4</v>
      </c>
      <c r="D832">
        <f t="shared" ca="1" si="265"/>
        <v>3</v>
      </c>
      <c r="E832">
        <f t="shared" ca="1" si="266"/>
        <v>2</v>
      </c>
      <c r="F832" s="110">
        <f t="shared" ca="1" si="267"/>
        <v>0</v>
      </c>
      <c r="G832">
        <v>0</v>
      </c>
      <c r="H832">
        <v>0</v>
      </c>
      <c r="I832">
        <v>6</v>
      </c>
      <c r="J832" s="1">
        <f t="shared" ca="1" si="268"/>
        <v>0</v>
      </c>
      <c r="K832" s="1">
        <f t="shared" ca="1" si="269"/>
        <v>0</v>
      </c>
      <c r="L832" s="13">
        <f t="shared" ca="1" si="270"/>
        <v>114</v>
      </c>
      <c r="M832" s="7">
        <f t="shared" ca="1" si="271"/>
        <v>1386</v>
      </c>
      <c r="N832" s="26">
        <f t="shared" ca="1" si="272"/>
        <v>4</v>
      </c>
      <c r="O832" s="44">
        <f t="shared" ca="1" si="273"/>
        <v>2.8908103757121246</v>
      </c>
      <c r="P832" s="44">
        <f t="shared" ca="1" si="274"/>
        <v>28.908103757121246</v>
      </c>
      <c r="Q832" s="44">
        <f t="shared" ca="1" si="275"/>
        <v>28.908103757121246</v>
      </c>
      <c r="R832" s="44">
        <f t="shared" ca="1" si="276"/>
        <v>2.8908103757121246</v>
      </c>
      <c r="S832" s="44">
        <f t="shared" ca="1" si="277"/>
        <v>2.8908103757121246</v>
      </c>
      <c r="T832" s="4">
        <f t="shared" ca="1" si="278"/>
        <v>0</v>
      </c>
      <c r="U832" s="120">
        <f t="shared" ca="1" si="279"/>
        <v>1965.6750620401288</v>
      </c>
      <c r="V832" s="4">
        <f t="shared" ca="1" si="280"/>
        <v>0</v>
      </c>
      <c r="W832" s="13">
        <f t="shared" ca="1" si="281"/>
        <v>16638.75</v>
      </c>
      <c r="X832" s="4">
        <f t="shared" ca="1" si="282"/>
        <v>0</v>
      </c>
      <c r="Y832" s="4">
        <f t="shared" si="283"/>
        <v>0</v>
      </c>
      <c r="Z832" s="13">
        <f t="shared" ca="1" si="284"/>
        <v>16638.75</v>
      </c>
      <c r="AA832" s="4">
        <f t="shared" ca="1" si="285"/>
        <v>0</v>
      </c>
    </row>
    <row r="833" spans="1:27">
      <c r="A833">
        <v>2</v>
      </c>
      <c r="B833">
        <v>0</v>
      </c>
      <c r="C833">
        <f t="shared" ca="1" si="264"/>
        <v>4</v>
      </c>
      <c r="D833">
        <f t="shared" ca="1" si="265"/>
        <v>3</v>
      </c>
      <c r="E833">
        <f t="shared" ca="1" si="266"/>
        <v>2</v>
      </c>
      <c r="F833" s="110">
        <f t="shared" ca="1" si="267"/>
        <v>0</v>
      </c>
      <c r="G833">
        <v>0</v>
      </c>
      <c r="H833">
        <v>0</v>
      </c>
      <c r="I833">
        <v>5</v>
      </c>
      <c r="J833" s="1">
        <f t="shared" ca="1" si="268"/>
        <v>0</v>
      </c>
      <c r="K833" s="1">
        <f t="shared" ca="1" si="269"/>
        <v>0</v>
      </c>
      <c r="L833" s="13">
        <f t="shared" ca="1" si="270"/>
        <v>95</v>
      </c>
      <c r="M833" s="7">
        <f t="shared" ca="1" si="271"/>
        <v>1405</v>
      </c>
      <c r="N833" s="26">
        <f t="shared" ca="1" si="272"/>
        <v>5</v>
      </c>
      <c r="O833" s="44">
        <f t="shared" ca="1" si="273"/>
        <v>3.5395046525977252</v>
      </c>
      <c r="P833" s="44">
        <f t="shared" ca="1" si="274"/>
        <v>35.39504652597725</v>
      </c>
      <c r="Q833" s="44">
        <f t="shared" ca="1" si="275"/>
        <v>30.205492310892446</v>
      </c>
      <c r="R833" s="44">
        <f t="shared" ca="1" si="276"/>
        <v>3.2800269418434853</v>
      </c>
      <c r="S833" s="44">
        <f t="shared" ca="1" si="277"/>
        <v>3.5213412128449284</v>
      </c>
      <c r="T833" s="4">
        <f t="shared" ca="1" si="278"/>
        <v>0</v>
      </c>
      <c r="U833" s="120">
        <f t="shared" ca="1" si="279"/>
        <v>2290.8626329996823</v>
      </c>
      <c r="V833" s="4">
        <f t="shared" ca="1" si="280"/>
        <v>0</v>
      </c>
      <c r="W833" s="13">
        <f t="shared" ca="1" si="281"/>
        <v>13865.625</v>
      </c>
      <c r="X833" s="4">
        <f t="shared" ca="1" si="282"/>
        <v>0</v>
      </c>
      <c r="Y833" s="4">
        <f t="shared" si="283"/>
        <v>0</v>
      </c>
      <c r="Z833" s="13">
        <f t="shared" ca="1" si="284"/>
        <v>13865.625</v>
      </c>
      <c r="AA833" s="4">
        <f t="shared" ca="1" si="285"/>
        <v>0</v>
      </c>
    </row>
    <row r="834" spans="1:27">
      <c r="A834">
        <v>2</v>
      </c>
      <c r="B834">
        <v>0</v>
      </c>
      <c r="C834">
        <f t="shared" ca="1" si="264"/>
        <v>4</v>
      </c>
      <c r="D834">
        <f t="shared" ca="1" si="265"/>
        <v>3</v>
      </c>
      <c r="E834">
        <f t="shared" ca="1" si="266"/>
        <v>2</v>
      </c>
      <c r="F834" s="110">
        <f t="shared" ca="1" si="267"/>
        <v>0</v>
      </c>
      <c r="G834">
        <v>0</v>
      </c>
      <c r="H834">
        <v>0</v>
      </c>
      <c r="I834">
        <v>4</v>
      </c>
      <c r="J834" s="1">
        <f t="shared" ca="1" si="268"/>
        <v>0</v>
      </c>
      <c r="K834" s="1">
        <f t="shared" ca="1" si="269"/>
        <v>0</v>
      </c>
      <c r="L834" s="13">
        <f t="shared" ca="1" si="270"/>
        <v>76</v>
      </c>
      <c r="M834" s="7">
        <f t="shared" ca="1" si="271"/>
        <v>1424</v>
      </c>
      <c r="N834" s="26">
        <f t="shared" ca="1" si="272"/>
        <v>5</v>
      </c>
      <c r="O834" s="44">
        <f t="shared" ca="1" si="273"/>
        <v>3.5395046525977252</v>
      </c>
      <c r="P834" s="44">
        <f t="shared" ca="1" si="274"/>
        <v>35.39504652597725</v>
      </c>
      <c r="Q834" s="44">
        <f t="shared" ca="1" si="275"/>
        <v>35.39504652597725</v>
      </c>
      <c r="R834" s="44">
        <f t="shared" ca="1" si="276"/>
        <v>3.5395046525977252</v>
      </c>
      <c r="S834" s="44">
        <f t="shared" ca="1" si="277"/>
        <v>3.5395046525977252</v>
      </c>
      <c r="T834" s="4">
        <f t="shared" ca="1" si="278"/>
        <v>0</v>
      </c>
      <c r="U834" s="120">
        <f t="shared" ca="1" si="279"/>
        <v>2281.7775012989287</v>
      </c>
      <c r="V834" s="4">
        <f t="shared" ca="1" si="280"/>
        <v>0</v>
      </c>
      <c r="W834" s="13">
        <f t="shared" ca="1" si="281"/>
        <v>11092.5</v>
      </c>
      <c r="X834" s="4">
        <f t="shared" ca="1" si="282"/>
        <v>0</v>
      </c>
      <c r="Y834" s="4">
        <f t="shared" si="283"/>
        <v>0</v>
      </c>
      <c r="Z834" s="13">
        <f t="shared" ca="1" si="284"/>
        <v>11092.5</v>
      </c>
      <c r="AA834" s="4">
        <f t="shared" ca="1" si="285"/>
        <v>0</v>
      </c>
    </row>
    <row r="835" spans="1:27">
      <c r="A835">
        <v>2</v>
      </c>
      <c r="B835">
        <v>0</v>
      </c>
      <c r="C835">
        <f t="shared" ca="1" si="264"/>
        <v>4</v>
      </c>
      <c r="D835">
        <f t="shared" ca="1" si="265"/>
        <v>3</v>
      </c>
      <c r="E835">
        <f t="shared" ca="1" si="266"/>
        <v>2</v>
      </c>
      <c r="F835" s="110">
        <f t="shared" ca="1" si="267"/>
        <v>0</v>
      </c>
      <c r="G835">
        <v>0</v>
      </c>
      <c r="H835">
        <v>0</v>
      </c>
      <c r="I835">
        <v>3</v>
      </c>
      <c r="J835" s="1">
        <f t="shared" ca="1" si="268"/>
        <v>4.2868749999999997E-2</v>
      </c>
      <c r="K835" s="1">
        <f t="shared" ca="1" si="269"/>
        <v>0</v>
      </c>
      <c r="L835" s="13">
        <f t="shared" ca="1" si="270"/>
        <v>57</v>
      </c>
      <c r="M835" s="7">
        <f t="shared" ca="1" si="271"/>
        <v>1443</v>
      </c>
      <c r="N835" s="26">
        <f t="shared" ca="1" si="272"/>
        <v>5</v>
      </c>
      <c r="O835" s="44">
        <f t="shared" ca="1" si="273"/>
        <v>3.5395046525977252</v>
      </c>
      <c r="P835" s="44">
        <f t="shared" ca="1" si="274"/>
        <v>35.39504652597725</v>
      </c>
      <c r="Q835" s="44">
        <f t="shared" ca="1" si="275"/>
        <v>35.39504652597725</v>
      </c>
      <c r="R835" s="44">
        <f t="shared" ca="1" si="276"/>
        <v>3.5395046525977252</v>
      </c>
      <c r="S835" s="44">
        <f t="shared" ca="1" si="277"/>
        <v>3.5395046525977252</v>
      </c>
      <c r="T835" s="4">
        <f t="shared" ca="1" si="278"/>
        <v>0</v>
      </c>
      <c r="U835" s="120">
        <f t="shared" ca="1" si="279"/>
        <v>2262.7775012989287</v>
      </c>
      <c r="V835" s="4">
        <f t="shared" ca="1" si="280"/>
        <v>0</v>
      </c>
      <c r="W835" s="13">
        <f t="shared" ca="1" si="281"/>
        <v>8319.375</v>
      </c>
      <c r="X835" s="4">
        <f t="shared" ca="1" si="282"/>
        <v>0</v>
      </c>
      <c r="Y835" s="4">
        <f t="shared" si="283"/>
        <v>0</v>
      </c>
      <c r="Z835" s="13">
        <f t="shared" ca="1" si="284"/>
        <v>8319.375</v>
      </c>
      <c r="AA835" s="4">
        <f t="shared" ca="1" si="285"/>
        <v>0</v>
      </c>
    </row>
    <row r="836" spans="1:27">
      <c r="A836">
        <v>2</v>
      </c>
      <c r="B836">
        <v>0</v>
      </c>
      <c r="C836">
        <f t="shared" ca="1" si="264"/>
        <v>4</v>
      </c>
      <c r="D836">
        <f t="shared" ca="1" si="265"/>
        <v>3</v>
      </c>
      <c r="E836">
        <f t="shared" ca="1" si="266"/>
        <v>2</v>
      </c>
      <c r="F836" s="110">
        <f t="shared" ca="1" si="267"/>
        <v>0</v>
      </c>
      <c r="G836">
        <v>0</v>
      </c>
      <c r="H836">
        <v>0</v>
      </c>
      <c r="I836">
        <v>2</v>
      </c>
      <c r="J836" s="1">
        <f t="shared" ca="1" si="268"/>
        <v>6.7687500000000074E-3</v>
      </c>
      <c r="K836" s="1">
        <f t="shared" ca="1" si="269"/>
        <v>0</v>
      </c>
      <c r="L836" s="13">
        <f t="shared" ca="1" si="270"/>
        <v>38</v>
      </c>
      <c r="M836" s="7">
        <f t="shared" ca="1" si="271"/>
        <v>1462</v>
      </c>
      <c r="N836" s="26">
        <f t="shared" ca="1" si="272"/>
        <v>5</v>
      </c>
      <c r="O836" s="44">
        <f t="shared" ca="1" si="273"/>
        <v>3.5395046525977252</v>
      </c>
      <c r="P836" s="44">
        <f t="shared" ca="1" si="274"/>
        <v>35.39504652597725</v>
      </c>
      <c r="Q836" s="44">
        <f t="shared" ca="1" si="275"/>
        <v>35.39504652597725</v>
      </c>
      <c r="R836" s="44">
        <f t="shared" ca="1" si="276"/>
        <v>3.5395046525977252</v>
      </c>
      <c r="S836" s="44">
        <f t="shared" ca="1" si="277"/>
        <v>3.5395046525977252</v>
      </c>
      <c r="T836" s="4">
        <f t="shared" ca="1" si="278"/>
        <v>0</v>
      </c>
      <c r="U836" s="120">
        <f t="shared" ca="1" si="279"/>
        <v>2243.7775012989287</v>
      </c>
      <c r="V836" s="4">
        <f t="shared" ca="1" si="280"/>
        <v>0</v>
      </c>
      <c r="W836" s="13">
        <f t="shared" ca="1" si="281"/>
        <v>5546.25</v>
      </c>
      <c r="X836" s="4">
        <f t="shared" ca="1" si="282"/>
        <v>0</v>
      </c>
      <c r="Y836" s="4">
        <f t="shared" si="283"/>
        <v>0</v>
      </c>
      <c r="Z836" s="13">
        <f t="shared" ca="1" si="284"/>
        <v>5546.25</v>
      </c>
      <c r="AA836" s="4">
        <f t="shared" ca="1" si="285"/>
        <v>0</v>
      </c>
    </row>
    <row r="837" spans="1:27">
      <c r="A837">
        <v>2</v>
      </c>
      <c r="B837">
        <v>0</v>
      </c>
      <c r="C837">
        <f t="shared" ca="1" si="264"/>
        <v>4</v>
      </c>
      <c r="D837">
        <f t="shared" ca="1" si="265"/>
        <v>3</v>
      </c>
      <c r="E837">
        <f t="shared" ca="1" si="266"/>
        <v>2</v>
      </c>
      <c r="F837" s="110">
        <f t="shared" ca="1" si="267"/>
        <v>0</v>
      </c>
      <c r="G837">
        <v>0</v>
      </c>
      <c r="H837">
        <v>0</v>
      </c>
      <c r="I837">
        <v>1</v>
      </c>
      <c r="J837" s="1">
        <f t="shared" ca="1" si="268"/>
        <v>3.5625000000000061E-4</v>
      </c>
      <c r="K837" s="1">
        <f t="shared" ca="1" si="269"/>
        <v>0</v>
      </c>
      <c r="L837" s="13">
        <f t="shared" ca="1" si="270"/>
        <v>19</v>
      </c>
      <c r="M837" s="7">
        <f t="shared" ca="1" si="271"/>
        <v>1481</v>
      </c>
      <c r="N837" s="26">
        <f t="shared" ca="1" si="272"/>
        <v>5</v>
      </c>
      <c r="O837" s="44">
        <f t="shared" ca="1" si="273"/>
        <v>3.5395046525977252</v>
      </c>
      <c r="P837" s="44">
        <f t="shared" ca="1" si="274"/>
        <v>35.39504652597725</v>
      </c>
      <c r="Q837" s="44">
        <f t="shared" ca="1" si="275"/>
        <v>35.39504652597725</v>
      </c>
      <c r="R837" s="44">
        <f t="shared" ca="1" si="276"/>
        <v>3.5395046525977252</v>
      </c>
      <c r="S837" s="44">
        <f t="shared" ca="1" si="277"/>
        <v>3.5395046525977252</v>
      </c>
      <c r="T837" s="4">
        <f t="shared" ca="1" si="278"/>
        <v>0</v>
      </c>
      <c r="U837" s="120">
        <f t="shared" ca="1" si="279"/>
        <v>2224.7775012989287</v>
      </c>
      <c r="V837" s="4">
        <f t="shared" ca="1" si="280"/>
        <v>0</v>
      </c>
      <c r="W837" s="13">
        <f t="shared" ca="1" si="281"/>
        <v>2773.125</v>
      </c>
      <c r="X837" s="4">
        <f t="shared" ca="1" si="282"/>
        <v>0</v>
      </c>
      <c r="Y837" s="4">
        <f t="shared" si="283"/>
        <v>0</v>
      </c>
      <c r="Z837" s="13">
        <f t="shared" ca="1" si="284"/>
        <v>2773.125</v>
      </c>
      <c r="AA837" s="4">
        <f t="shared" ca="1" si="285"/>
        <v>0</v>
      </c>
    </row>
    <row r="838" spans="1:27">
      <c r="A838">
        <v>2</v>
      </c>
      <c r="B838">
        <v>0</v>
      </c>
      <c r="C838">
        <f t="shared" ca="1" si="264"/>
        <v>4</v>
      </c>
      <c r="D838">
        <f t="shared" ca="1" si="265"/>
        <v>3</v>
      </c>
      <c r="E838">
        <f t="shared" ca="1" si="266"/>
        <v>2</v>
      </c>
      <c r="F838" s="110">
        <f t="shared" ca="1" si="267"/>
        <v>0</v>
      </c>
      <c r="G838">
        <v>0</v>
      </c>
      <c r="H838">
        <v>0</v>
      </c>
      <c r="I838">
        <v>0</v>
      </c>
      <c r="J838" s="1">
        <f t="shared" ca="1" si="268"/>
        <v>6.2500000000000164E-6</v>
      </c>
      <c r="K838" s="1">
        <f t="shared" ca="1" si="269"/>
        <v>0</v>
      </c>
      <c r="L838" s="13">
        <f t="shared" ca="1" si="270"/>
        <v>0</v>
      </c>
      <c r="M838" s="7">
        <f t="shared" ca="1" si="271"/>
        <v>1500</v>
      </c>
      <c r="N838" s="26">
        <f t="shared" ca="1" si="272"/>
        <v>5</v>
      </c>
      <c r="O838" s="44">
        <f t="shared" ca="1" si="273"/>
        <v>3.5395046525977252</v>
      </c>
      <c r="P838" s="44">
        <f t="shared" ca="1" si="274"/>
        <v>35.39504652597725</v>
      </c>
      <c r="Q838" s="44">
        <f t="shared" ca="1" si="275"/>
        <v>35.39504652597725</v>
      </c>
      <c r="R838" s="44">
        <f t="shared" ca="1" si="276"/>
        <v>3.5395046525977252</v>
      </c>
      <c r="S838" s="44">
        <f t="shared" ca="1" si="277"/>
        <v>3.5395046525977252</v>
      </c>
      <c r="T838" s="4">
        <f t="shared" ca="1" si="278"/>
        <v>0</v>
      </c>
      <c r="U838" s="120">
        <f t="shared" ca="1" si="279"/>
        <v>2205.7775012989287</v>
      </c>
      <c r="V838" s="4">
        <f t="shared" ca="1" si="280"/>
        <v>0</v>
      </c>
      <c r="W838" s="13">
        <f t="shared" ca="1" si="281"/>
        <v>0</v>
      </c>
      <c r="X838" s="4">
        <f t="shared" ca="1" si="282"/>
        <v>0</v>
      </c>
      <c r="Y838" s="4">
        <f t="shared" si="283"/>
        <v>0</v>
      </c>
      <c r="Z838" s="13">
        <f t="shared" ca="1" si="284"/>
        <v>0</v>
      </c>
      <c r="AA838" s="4">
        <f t="shared" ca="1" si="285"/>
        <v>0</v>
      </c>
    </row>
    <row r="839" spans="1:27">
      <c r="A839">
        <v>2</v>
      </c>
      <c r="B839">
        <v>1</v>
      </c>
      <c r="C839">
        <f t="shared" ca="1" si="264"/>
        <v>5</v>
      </c>
      <c r="D839">
        <f t="shared" ca="1" si="265"/>
        <v>4</v>
      </c>
      <c r="E839">
        <f t="shared" ca="1" si="266"/>
        <v>2</v>
      </c>
      <c r="F839" s="110">
        <f t="shared" ca="1" si="267"/>
        <v>0</v>
      </c>
      <c r="G839">
        <v>1</v>
      </c>
      <c r="H839">
        <v>1</v>
      </c>
      <c r="I839">
        <v>7</v>
      </c>
      <c r="J839" s="1">
        <f t="shared" ca="1" si="268"/>
        <v>0</v>
      </c>
      <c r="K839" s="1">
        <f t="shared" ca="1" si="269"/>
        <v>0</v>
      </c>
      <c r="L839" s="13">
        <f t="shared" ca="1" si="270"/>
        <v>701</v>
      </c>
      <c r="M839" s="7">
        <f t="shared" ca="1" si="271"/>
        <v>799</v>
      </c>
      <c r="N839" s="26">
        <f t="shared" ca="1" si="272"/>
        <v>3</v>
      </c>
      <c r="O839" s="44">
        <f t="shared" ca="1" si="273"/>
        <v>2.2758855914378953</v>
      </c>
      <c r="P839" s="44">
        <f t="shared" ca="1" si="274"/>
        <v>22.758855914378952</v>
      </c>
      <c r="Q839" s="44">
        <f t="shared" ca="1" si="275"/>
        <v>22.758855914378952</v>
      </c>
      <c r="R839" s="44">
        <f t="shared" ca="1" si="276"/>
        <v>2.2758855914378953</v>
      </c>
      <c r="S839" s="44">
        <f t="shared" ca="1" si="277"/>
        <v>2.2758855914378953</v>
      </c>
      <c r="T839" s="4">
        <f t="shared" ca="1" si="278"/>
        <v>0</v>
      </c>
      <c r="U839" s="120">
        <f t="shared" ca="1" si="279"/>
        <v>2217.0063598009133</v>
      </c>
      <c r="V839" s="4">
        <f t="shared" ca="1" si="280"/>
        <v>0</v>
      </c>
      <c r="W839" s="13">
        <f t="shared" ca="1" si="281"/>
        <v>49588.256250000006</v>
      </c>
      <c r="X839" s="4">
        <f t="shared" ca="1" si="282"/>
        <v>0</v>
      </c>
      <c r="Y839" s="4">
        <f t="shared" si="283"/>
        <v>0</v>
      </c>
      <c r="Z839" s="13">
        <f t="shared" ca="1" si="284"/>
        <v>49588.256250000006</v>
      </c>
      <c r="AA839" s="4">
        <f t="shared" ca="1" si="285"/>
        <v>0</v>
      </c>
    </row>
    <row r="840" spans="1:27">
      <c r="A840">
        <v>2</v>
      </c>
      <c r="B840">
        <v>1</v>
      </c>
      <c r="C840">
        <f t="shared" ca="1" si="264"/>
        <v>5</v>
      </c>
      <c r="D840">
        <f t="shared" ca="1" si="265"/>
        <v>4</v>
      </c>
      <c r="E840">
        <f t="shared" ca="1" si="266"/>
        <v>2</v>
      </c>
      <c r="F840" s="110">
        <f t="shared" ca="1" si="267"/>
        <v>0</v>
      </c>
      <c r="G840">
        <v>1</v>
      </c>
      <c r="H840">
        <v>1</v>
      </c>
      <c r="I840">
        <v>6</v>
      </c>
      <c r="J840" s="1">
        <f t="shared" ca="1" si="268"/>
        <v>0</v>
      </c>
      <c r="K840" s="1">
        <f t="shared" ca="1" si="269"/>
        <v>0</v>
      </c>
      <c r="L840" s="13">
        <f t="shared" ca="1" si="270"/>
        <v>682</v>
      </c>
      <c r="M840" s="7">
        <f t="shared" ca="1" si="271"/>
        <v>818</v>
      </c>
      <c r="N840" s="26">
        <f t="shared" ca="1" si="272"/>
        <v>3</v>
      </c>
      <c r="O840" s="44">
        <f t="shared" ca="1" si="273"/>
        <v>2.2758855914378953</v>
      </c>
      <c r="P840" s="44">
        <f t="shared" ca="1" si="274"/>
        <v>22.758855914378952</v>
      </c>
      <c r="Q840" s="44">
        <f t="shared" ca="1" si="275"/>
        <v>22.758855914378952</v>
      </c>
      <c r="R840" s="44">
        <f t="shared" ca="1" si="276"/>
        <v>2.2758855914378953</v>
      </c>
      <c r="S840" s="44">
        <f t="shared" ca="1" si="277"/>
        <v>2.2758855914378953</v>
      </c>
      <c r="T840" s="4">
        <f t="shared" ca="1" si="278"/>
        <v>0</v>
      </c>
      <c r="U840" s="120">
        <f t="shared" ca="1" si="279"/>
        <v>2198.0063598009133</v>
      </c>
      <c r="V840" s="4">
        <f t="shared" ca="1" si="280"/>
        <v>0</v>
      </c>
      <c r="W840" s="13">
        <f t="shared" ca="1" si="281"/>
        <v>46815.131250000006</v>
      </c>
      <c r="X840" s="4">
        <f t="shared" ca="1" si="282"/>
        <v>0</v>
      </c>
      <c r="Y840" s="4">
        <f t="shared" si="283"/>
        <v>0</v>
      </c>
      <c r="Z840" s="13">
        <f t="shared" ca="1" si="284"/>
        <v>46815.131250000006</v>
      </c>
      <c r="AA840" s="4">
        <f t="shared" ca="1" si="285"/>
        <v>0</v>
      </c>
    </row>
    <row r="841" spans="1:27">
      <c r="A841">
        <v>2</v>
      </c>
      <c r="B841">
        <v>1</v>
      </c>
      <c r="C841">
        <f t="shared" ca="1" si="264"/>
        <v>5</v>
      </c>
      <c r="D841">
        <f t="shared" ca="1" si="265"/>
        <v>4</v>
      </c>
      <c r="E841">
        <f t="shared" ca="1" si="266"/>
        <v>2</v>
      </c>
      <c r="F841" s="110">
        <f t="shared" ca="1" si="267"/>
        <v>0</v>
      </c>
      <c r="G841">
        <v>1</v>
      </c>
      <c r="H841">
        <v>1</v>
      </c>
      <c r="I841">
        <v>5</v>
      </c>
      <c r="J841" s="1">
        <f t="shared" ca="1" si="268"/>
        <v>0</v>
      </c>
      <c r="K841" s="1">
        <f t="shared" ca="1" si="269"/>
        <v>0</v>
      </c>
      <c r="L841" s="13">
        <f t="shared" ca="1" si="270"/>
        <v>663</v>
      </c>
      <c r="M841" s="7">
        <f t="shared" ca="1" si="271"/>
        <v>837</v>
      </c>
      <c r="N841" s="26">
        <f t="shared" ca="1" si="272"/>
        <v>3</v>
      </c>
      <c r="O841" s="44">
        <f t="shared" ca="1" si="273"/>
        <v>2.2758855914378953</v>
      </c>
      <c r="P841" s="44">
        <f t="shared" ca="1" si="274"/>
        <v>22.758855914378952</v>
      </c>
      <c r="Q841" s="44">
        <f t="shared" ca="1" si="275"/>
        <v>22.758855914378952</v>
      </c>
      <c r="R841" s="44">
        <f t="shared" ca="1" si="276"/>
        <v>2.2758855914378953</v>
      </c>
      <c r="S841" s="44">
        <f t="shared" ca="1" si="277"/>
        <v>2.2758855914378953</v>
      </c>
      <c r="T841" s="4">
        <f t="shared" ca="1" si="278"/>
        <v>0</v>
      </c>
      <c r="U841" s="120">
        <f t="shared" ca="1" si="279"/>
        <v>2179.0063598009133</v>
      </c>
      <c r="V841" s="4">
        <f t="shared" ca="1" si="280"/>
        <v>0</v>
      </c>
      <c r="W841" s="13">
        <f t="shared" ca="1" si="281"/>
        <v>44042.006250000006</v>
      </c>
      <c r="X841" s="4">
        <f t="shared" ca="1" si="282"/>
        <v>0</v>
      </c>
      <c r="Y841" s="4">
        <f t="shared" si="283"/>
        <v>0</v>
      </c>
      <c r="Z841" s="13">
        <f t="shared" ca="1" si="284"/>
        <v>44042.006250000006</v>
      </c>
      <c r="AA841" s="4">
        <f t="shared" ca="1" si="285"/>
        <v>0</v>
      </c>
    </row>
    <row r="842" spans="1:27">
      <c r="A842">
        <v>2</v>
      </c>
      <c r="B842">
        <v>1</v>
      </c>
      <c r="C842">
        <f t="shared" ca="1" si="264"/>
        <v>5</v>
      </c>
      <c r="D842">
        <f t="shared" ca="1" si="265"/>
        <v>4</v>
      </c>
      <c r="E842">
        <f t="shared" ca="1" si="266"/>
        <v>2</v>
      </c>
      <c r="F842" s="110">
        <f t="shared" ca="1" si="267"/>
        <v>0</v>
      </c>
      <c r="G842">
        <v>1</v>
      </c>
      <c r="H842">
        <v>1</v>
      </c>
      <c r="I842">
        <v>4</v>
      </c>
      <c r="J842" s="1">
        <f t="shared" ca="1" si="268"/>
        <v>0</v>
      </c>
      <c r="K842" s="1">
        <f t="shared" ca="1" si="269"/>
        <v>0</v>
      </c>
      <c r="L842" s="13">
        <f t="shared" ca="1" si="270"/>
        <v>644</v>
      </c>
      <c r="M842" s="7">
        <f t="shared" ca="1" si="271"/>
        <v>856</v>
      </c>
      <c r="N842" s="26">
        <f t="shared" ca="1" si="272"/>
        <v>3</v>
      </c>
      <c r="O842" s="44">
        <f t="shared" ca="1" si="273"/>
        <v>2.2758855914378953</v>
      </c>
      <c r="P842" s="44">
        <f t="shared" ca="1" si="274"/>
        <v>22.758855914378952</v>
      </c>
      <c r="Q842" s="44">
        <f t="shared" ca="1" si="275"/>
        <v>22.758855914378952</v>
      </c>
      <c r="R842" s="44">
        <f t="shared" ca="1" si="276"/>
        <v>2.2758855914378953</v>
      </c>
      <c r="S842" s="44">
        <f t="shared" ca="1" si="277"/>
        <v>2.2758855914378953</v>
      </c>
      <c r="T842" s="4">
        <f t="shared" ca="1" si="278"/>
        <v>0</v>
      </c>
      <c r="U842" s="120">
        <f t="shared" ca="1" si="279"/>
        <v>2160.0063598009133</v>
      </c>
      <c r="V842" s="4">
        <f t="shared" ca="1" si="280"/>
        <v>0</v>
      </c>
      <c r="W842" s="13">
        <f t="shared" ca="1" si="281"/>
        <v>41268.881250000006</v>
      </c>
      <c r="X842" s="4">
        <f t="shared" ca="1" si="282"/>
        <v>0</v>
      </c>
      <c r="Y842" s="4">
        <f t="shared" si="283"/>
        <v>0</v>
      </c>
      <c r="Z842" s="13">
        <f t="shared" ca="1" si="284"/>
        <v>41268.881250000006</v>
      </c>
      <c r="AA842" s="4">
        <f t="shared" ca="1" si="285"/>
        <v>0</v>
      </c>
    </row>
    <row r="843" spans="1:27">
      <c r="A843">
        <v>2</v>
      </c>
      <c r="B843">
        <v>1</v>
      </c>
      <c r="C843">
        <f t="shared" ca="1" si="264"/>
        <v>5</v>
      </c>
      <c r="D843">
        <f t="shared" ca="1" si="265"/>
        <v>4</v>
      </c>
      <c r="E843">
        <f t="shared" ca="1" si="266"/>
        <v>2</v>
      </c>
      <c r="F843" s="110">
        <f t="shared" ca="1" si="267"/>
        <v>0</v>
      </c>
      <c r="G843">
        <v>1</v>
      </c>
      <c r="H843">
        <v>1</v>
      </c>
      <c r="I843">
        <v>3</v>
      </c>
      <c r="J843" s="1">
        <f t="shared" ca="1" si="268"/>
        <v>0</v>
      </c>
      <c r="K843" s="1">
        <f t="shared" ca="1" si="269"/>
        <v>0</v>
      </c>
      <c r="L843" s="13">
        <f t="shared" ca="1" si="270"/>
        <v>625</v>
      </c>
      <c r="M843" s="7">
        <f t="shared" ca="1" si="271"/>
        <v>875</v>
      </c>
      <c r="N843" s="26">
        <f t="shared" ca="1" si="272"/>
        <v>3</v>
      </c>
      <c r="O843" s="44">
        <f t="shared" ca="1" si="273"/>
        <v>2.2758855914378953</v>
      </c>
      <c r="P843" s="44">
        <f t="shared" ca="1" si="274"/>
        <v>22.758855914378952</v>
      </c>
      <c r="Q843" s="44">
        <f t="shared" ca="1" si="275"/>
        <v>22.758855914378952</v>
      </c>
      <c r="R843" s="44">
        <f t="shared" ca="1" si="276"/>
        <v>2.2758855914378953</v>
      </c>
      <c r="S843" s="44">
        <f t="shared" ca="1" si="277"/>
        <v>2.2758855914378953</v>
      </c>
      <c r="T843" s="4">
        <f t="shared" ca="1" si="278"/>
        <v>0</v>
      </c>
      <c r="U843" s="120">
        <f t="shared" ca="1" si="279"/>
        <v>2141.0063598009133</v>
      </c>
      <c r="V843" s="4">
        <f t="shared" ca="1" si="280"/>
        <v>0</v>
      </c>
      <c r="W843" s="13">
        <f t="shared" ca="1" si="281"/>
        <v>38495.756250000006</v>
      </c>
      <c r="X843" s="4">
        <f t="shared" ca="1" si="282"/>
        <v>0</v>
      </c>
      <c r="Y843" s="4">
        <f t="shared" si="283"/>
        <v>0</v>
      </c>
      <c r="Z843" s="13">
        <f t="shared" ca="1" si="284"/>
        <v>38495.756250000006</v>
      </c>
      <c r="AA843" s="4">
        <f t="shared" ca="1" si="285"/>
        <v>0</v>
      </c>
    </row>
    <row r="844" spans="1:27">
      <c r="A844">
        <v>2</v>
      </c>
      <c r="B844">
        <v>1</v>
      </c>
      <c r="C844">
        <f t="shared" ca="1" si="264"/>
        <v>5</v>
      </c>
      <c r="D844">
        <f t="shared" ca="1" si="265"/>
        <v>4</v>
      </c>
      <c r="E844">
        <f t="shared" ca="1" si="266"/>
        <v>2</v>
      </c>
      <c r="F844" s="110">
        <f t="shared" ca="1" si="267"/>
        <v>0</v>
      </c>
      <c r="G844">
        <v>1</v>
      </c>
      <c r="H844">
        <v>1</v>
      </c>
      <c r="I844">
        <v>2</v>
      </c>
      <c r="J844" s="1">
        <f t="shared" ca="1" si="268"/>
        <v>0</v>
      </c>
      <c r="K844" s="1">
        <f t="shared" ca="1" si="269"/>
        <v>0</v>
      </c>
      <c r="L844" s="13">
        <f t="shared" ca="1" si="270"/>
        <v>606</v>
      </c>
      <c r="M844" s="7">
        <f t="shared" ca="1" si="271"/>
        <v>894</v>
      </c>
      <c r="N844" s="26">
        <f t="shared" ca="1" si="272"/>
        <v>3</v>
      </c>
      <c r="O844" s="44">
        <f t="shared" ca="1" si="273"/>
        <v>2.2758855914378953</v>
      </c>
      <c r="P844" s="44">
        <f t="shared" ca="1" si="274"/>
        <v>22.758855914378952</v>
      </c>
      <c r="Q844" s="44">
        <f t="shared" ca="1" si="275"/>
        <v>22.758855914378952</v>
      </c>
      <c r="R844" s="44">
        <f t="shared" ca="1" si="276"/>
        <v>2.2758855914378953</v>
      </c>
      <c r="S844" s="44">
        <f t="shared" ca="1" si="277"/>
        <v>2.2758855914378953</v>
      </c>
      <c r="T844" s="4">
        <f t="shared" ca="1" si="278"/>
        <v>0</v>
      </c>
      <c r="U844" s="120">
        <f t="shared" ca="1" si="279"/>
        <v>2122.0063598009133</v>
      </c>
      <c r="V844" s="4">
        <f t="shared" ca="1" si="280"/>
        <v>0</v>
      </c>
      <c r="W844" s="13">
        <f t="shared" ca="1" si="281"/>
        <v>35722.631250000006</v>
      </c>
      <c r="X844" s="4">
        <f t="shared" ca="1" si="282"/>
        <v>0</v>
      </c>
      <c r="Y844" s="4">
        <f t="shared" si="283"/>
        <v>0</v>
      </c>
      <c r="Z844" s="13">
        <f t="shared" ca="1" si="284"/>
        <v>35722.631250000006</v>
      </c>
      <c r="AA844" s="4">
        <f t="shared" ca="1" si="285"/>
        <v>0</v>
      </c>
    </row>
    <row r="845" spans="1:27">
      <c r="A845">
        <v>2</v>
      </c>
      <c r="B845">
        <v>1</v>
      </c>
      <c r="C845">
        <f t="shared" ca="1" si="264"/>
        <v>5</v>
      </c>
      <c r="D845">
        <f t="shared" ca="1" si="265"/>
        <v>4</v>
      </c>
      <c r="E845">
        <f t="shared" ca="1" si="266"/>
        <v>2</v>
      </c>
      <c r="F845" s="110">
        <f t="shared" ca="1" si="267"/>
        <v>0</v>
      </c>
      <c r="G845">
        <v>1</v>
      </c>
      <c r="H845">
        <v>1</v>
      </c>
      <c r="I845">
        <v>1</v>
      </c>
      <c r="J845" s="1">
        <f t="shared" ca="1" si="268"/>
        <v>0</v>
      </c>
      <c r="K845" s="1">
        <f t="shared" ca="1" si="269"/>
        <v>0</v>
      </c>
      <c r="L845" s="13">
        <f t="shared" ca="1" si="270"/>
        <v>587</v>
      </c>
      <c r="M845" s="7">
        <f t="shared" ca="1" si="271"/>
        <v>913</v>
      </c>
      <c r="N845" s="26">
        <f t="shared" ca="1" si="272"/>
        <v>3</v>
      </c>
      <c r="O845" s="44">
        <f t="shared" ca="1" si="273"/>
        <v>2.2758855914378953</v>
      </c>
      <c r="P845" s="44">
        <f t="shared" ca="1" si="274"/>
        <v>22.758855914378952</v>
      </c>
      <c r="Q845" s="44">
        <f t="shared" ca="1" si="275"/>
        <v>22.758855914378952</v>
      </c>
      <c r="R845" s="44">
        <f t="shared" ca="1" si="276"/>
        <v>2.2758855914378953</v>
      </c>
      <c r="S845" s="44">
        <f t="shared" ca="1" si="277"/>
        <v>2.2758855914378953</v>
      </c>
      <c r="T845" s="4">
        <f t="shared" ca="1" si="278"/>
        <v>0</v>
      </c>
      <c r="U845" s="120">
        <f t="shared" ca="1" si="279"/>
        <v>2103.0063598009133</v>
      </c>
      <c r="V845" s="4">
        <f t="shared" ca="1" si="280"/>
        <v>0</v>
      </c>
      <c r="W845" s="13">
        <f t="shared" ca="1" si="281"/>
        <v>32949.506250000006</v>
      </c>
      <c r="X845" s="4">
        <f t="shared" ca="1" si="282"/>
        <v>0</v>
      </c>
      <c r="Y845" s="4">
        <f t="shared" si="283"/>
        <v>0</v>
      </c>
      <c r="Z845" s="13">
        <f t="shared" ca="1" si="284"/>
        <v>32949.506250000006</v>
      </c>
      <c r="AA845" s="4">
        <f t="shared" ca="1" si="285"/>
        <v>0</v>
      </c>
    </row>
    <row r="846" spans="1:27">
      <c r="A846">
        <v>2</v>
      </c>
      <c r="B846">
        <v>1</v>
      </c>
      <c r="C846">
        <f t="shared" ca="1" si="264"/>
        <v>5</v>
      </c>
      <c r="D846">
        <f t="shared" ca="1" si="265"/>
        <v>4</v>
      </c>
      <c r="E846">
        <f t="shared" ca="1" si="266"/>
        <v>2</v>
      </c>
      <c r="F846" s="110">
        <f t="shared" ca="1" si="267"/>
        <v>0</v>
      </c>
      <c r="G846">
        <v>1</v>
      </c>
      <c r="H846">
        <v>1</v>
      </c>
      <c r="I846">
        <v>0</v>
      </c>
      <c r="J846" s="1">
        <f t="shared" ca="1" si="268"/>
        <v>0</v>
      </c>
      <c r="K846" s="1">
        <f t="shared" ca="1" si="269"/>
        <v>0</v>
      </c>
      <c r="L846" s="13">
        <f t="shared" ca="1" si="270"/>
        <v>568</v>
      </c>
      <c r="M846" s="7">
        <f t="shared" ca="1" si="271"/>
        <v>932</v>
      </c>
      <c r="N846" s="26">
        <f t="shared" ca="1" si="272"/>
        <v>3</v>
      </c>
      <c r="O846" s="44">
        <f t="shared" ca="1" si="273"/>
        <v>2.2758855914378953</v>
      </c>
      <c r="P846" s="44">
        <f t="shared" ca="1" si="274"/>
        <v>22.758855914378952</v>
      </c>
      <c r="Q846" s="44">
        <f t="shared" ca="1" si="275"/>
        <v>22.758855914378952</v>
      </c>
      <c r="R846" s="44">
        <f t="shared" ca="1" si="276"/>
        <v>2.2758855914378953</v>
      </c>
      <c r="S846" s="44">
        <f t="shared" ca="1" si="277"/>
        <v>2.2758855914378953</v>
      </c>
      <c r="T846" s="4">
        <f t="shared" ca="1" si="278"/>
        <v>0</v>
      </c>
      <c r="U846" s="120">
        <f t="shared" ca="1" si="279"/>
        <v>2084.0063598009133</v>
      </c>
      <c r="V846" s="4">
        <f t="shared" ca="1" si="280"/>
        <v>0</v>
      </c>
      <c r="W846" s="13">
        <f t="shared" ca="1" si="281"/>
        <v>30176.381250000002</v>
      </c>
      <c r="X846" s="4">
        <f t="shared" ca="1" si="282"/>
        <v>0</v>
      </c>
      <c r="Y846" s="4">
        <f t="shared" si="283"/>
        <v>0</v>
      </c>
      <c r="Z846" s="13">
        <f t="shared" ca="1" si="284"/>
        <v>30176.381250000002</v>
      </c>
      <c r="AA846" s="4">
        <f t="shared" ca="1" si="285"/>
        <v>0</v>
      </c>
    </row>
    <row r="847" spans="1:27">
      <c r="A847">
        <v>2</v>
      </c>
      <c r="B847">
        <v>1</v>
      </c>
      <c r="C847">
        <f t="shared" ca="1" si="264"/>
        <v>5</v>
      </c>
      <c r="D847">
        <f t="shared" ca="1" si="265"/>
        <v>4</v>
      </c>
      <c r="E847">
        <f t="shared" ca="1" si="266"/>
        <v>2</v>
      </c>
      <c r="F847" s="110">
        <f t="shared" ca="1" si="267"/>
        <v>0</v>
      </c>
      <c r="G847">
        <v>1</v>
      </c>
      <c r="H847">
        <v>0</v>
      </c>
      <c r="I847">
        <v>7</v>
      </c>
      <c r="J847" s="1">
        <f t="shared" ca="1" si="268"/>
        <v>0</v>
      </c>
      <c r="K847" s="1">
        <f t="shared" ca="1" si="269"/>
        <v>0</v>
      </c>
      <c r="L847" s="13">
        <f t="shared" ca="1" si="270"/>
        <v>417</v>
      </c>
      <c r="M847" s="7">
        <f t="shared" ca="1" si="271"/>
        <v>1083</v>
      </c>
      <c r="N847" s="26">
        <f t="shared" ca="1" si="272"/>
        <v>4</v>
      </c>
      <c r="O847" s="44">
        <f t="shared" ca="1" si="273"/>
        <v>2.8908103757121246</v>
      </c>
      <c r="P847" s="44">
        <f t="shared" ca="1" si="274"/>
        <v>28.908103757121246</v>
      </c>
      <c r="Q847" s="44">
        <f t="shared" ca="1" si="275"/>
        <v>28.908103757121246</v>
      </c>
      <c r="R847" s="44">
        <f t="shared" ca="1" si="276"/>
        <v>2.8908103757121246</v>
      </c>
      <c r="S847" s="44">
        <f t="shared" ca="1" si="277"/>
        <v>2.8908103757121246</v>
      </c>
      <c r="T847" s="4">
        <f t="shared" ca="1" si="278"/>
        <v>0</v>
      </c>
      <c r="U847" s="120">
        <f t="shared" ca="1" si="279"/>
        <v>2268.675062040129</v>
      </c>
      <c r="V847" s="4">
        <f t="shared" ca="1" si="280"/>
        <v>0</v>
      </c>
      <c r="W847" s="13">
        <f t="shared" ca="1" si="281"/>
        <v>49588.256250000006</v>
      </c>
      <c r="X847" s="4">
        <f t="shared" ca="1" si="282"/>
        <v>0</v>
      </c>
      <c r="Y847" s="4">
        <f t="shared" si="283"/>
        <v>0</v>
      </c>
      <c r="Z847" s="13">
        <f t="shared" ca="1" si="284"/>
        <v>49588.256250000006</v>
      </c>
      <c r="AA847" s="4">
        <f t="shared" ca="1" si="285"/>
        <v>0</v>
      </c>
    </row>
    <row r="848" spans="1:27">
      <c r="A848">
        <v>2</v>
      </c>
      <c r="B848">
        <v>1</v>
      </c>
      <c r="C848">
        <f t="shared" ca="1" si="264"/>
        <v>5</v>
      </c>
      <c r="D848">
        <f t="shared" ca="1" si="265"/>
        <v>4</v>
      </c>
      <c r="E848">
        <f t="shared" ca="1" si="266"/>
        <v>2</v>
      </c>
      <c r="F848" s="110">
        <f t="shared" ca="1" si="267"/>
        <v>0</v>
      </c>
      <c r="G848">
        <v>1</v>
      </c>
      <c r="H848">
        <v>0</v>
      </c>
      <c r="I848">
        <v>6</v>
      </c>
      <c r="J848" s="1">
        <f t="shared" ca="1" si="268"/>
        <v>0</v>
      </c>
      <c r="K848" s="1">
        <f t="shared" ca="1" si="269"/>
        <v>0</v>
      </c>
      <c r="L848" s="13">
        <f t="shared" ca="1" si="270"/>
        <v>398</v>
      </c>
      <c r="M848" s="7">
        <f t="shared" ca="1" si="271"/>
        <v>1102</v>
      </c>
      <c r="N848" s="26">
        <f t="shared" ca="1" si="272"/>
        <v>4</v>
      </c>
      <c r="O848" s="44">
        <f t="shared" ca="1" si="273"/>
        <v>2.8908103757121246</v>
      </c>
      <c r="P848" s="44">
        <f t="shared" ca="1" si="274"/>
        <v>28.908103757121246</v>
      </c>
      <c r="Q848" s="44">
        <f t="shared" ca="1" si="275"/>
        <v>28.908103757121246</v>
      </c>
      <c r="R848" s="44">
        <f t="shared" ca="1" si="276"/>
        <v>2.8908103757121246</v>
      </c>
      <c r="S848" s="44">
        <f t="shared" ca="1" si="277"/>
        <v>2.8908103757121246</v>
      </c>
      <c r="T848" s="4">
        <f t="shared" ca="1" si="278"/>
        <v>0</v>
      </c>
      <c r="U848" s="120">
        <f t="shared" ca="1" si="279"/>
        <v>2249.675062040129</v>
      </c>
      <c r="V848" s="4">
        <f t="shared" ca="1" si="280"/>
        <v>0</v>
      </c>
      <c r="W848" s="13">
        <f t="shared" ca="1" si="281"/>
        <v>46815.131250000006</v>
      </c>
      <c r="X848" s="4">
        <f t="shared" ca="1" si="282"/>
        <v>0</v>
      </c>
      <c r="Y848" s="4">
        <f t="shared" si="283"/>
        <v>0</v>
      </c>
      <c r="Z848" s="13">
        <f t="shared" ca="1" si="284"/>
        <v>46815.131250000006</v>
      </c>
      <c r="AA848" s="4">
        <f t="shared" ca="1" si="285"/>
        <v>0</v>
      </c>
    </row>
    <row r="849" spans="1:27">
      <c r="A849">
        <v>2</v>
      </c>
      <c r="B849">
        <v>1</v>
      </c>
      <c r="C849">
        <f t="shared" ca="1" si="264"/>
        <v>5</v>
      </c>
      <c r="D849">
        <f t="shared" ca="1" si="265"/>
        <v>4</v>
      </c>
      <c r="E849">
        <f t="shared" ca="1" si="266"/>
        <v>2</v>
      </c>
      <c r="F849" s="110">
        <f t="shared" ca="1" si="267"/>
        <v>0</v>
      </c>
      <c r="G849">
        <v>1</v>
      </c>
      <c r="H849">
        <v>0</v>
      </c>
      <c r="I849">
        <v>5</v>
      </c>
      <c r="J849" s="1">
        <f t="shared" ca="1" si="268"/>
        <v>0</v>
      </c>
      <c r="K849" s="1">
        <f t="shared" ca="1" si="269"/>
        <v>0</v>
      </c>
      <c r="L849" s="13">
        <f t="shared" ca="1" si="270"/>
        <v>379</v>
      </c>
      <c r="M849" s="7">
        <f t="shared" ca="1" si="271"/>
        <v>1121</v>
      </c>
      <c r="N849" s="26">
        <f t="shared" ca="1" si="272"/>
        <v>4</v>
      </c>
      <c r="O849" s="44">
        <f t="shared" ca="1" si="273"/>
        <v>2.8908103757121246</v>
      </c>
      <c r="P849" s="44">
        <f t="shared" ca="1" si="274"/>
        <v>28.908103757121246</v>
      </c>
      <c r="Q849" s="44">
        <f t="shared" ca="1" si="275"/>
        <v>28.908103757121246</v>
      </c>
      <c r="R849" s="44">
        <f t="shared" ca="1" si="276"/>
        <v>2.8908103757121246</v>
      </c>
      <c r="S849" s="44">
        <f t="shared" ca="1" si="277"/>
        <v>2.8908103757121246</v>
      </c>
      <c r="T849" s="4">
        <f t="shared" ca="1" si="278"/>
        <v>0</v>
      </c>
      <c r="U849" s="120">
        <f t="shared" ca="1" si="279"/>
        <v>2230.675062040129</v>
      </c>
      <c r="V849" s="4">
        <f t="shared" ca="1" si="280"/>
        <v>0</v>
      </c>
      <c r="W849" s="13">
        <f t="shared" ca="1" si="281"/>
        <v>44042.006250000006</v>
      </c>
      <c r="X849" s="4">
        <f t="shared" ca="1" si="282"/>
        <v>0</v>
      </c>
      <c r="Y849" s="4">
        <f t="shared" si="283"/>
        <v>0</v>
      </c>
      <c r="Z849" s="13">
        <f t="shared" ca="1" si="284"/>
        <v>44042.006250000006</v>
      </c>
      <c r="AA849" s="4">
        <f t="shared" ca="1" si="285"/>
        <v>0</v>
      </c>
    </row>
    <row r="850" spans="1:27">
      <c r="A850">
        <v>2</v>
      </c>
      <c r="B850">
        <v>1</v>
      </c>
      <c r="C850">
        <f t="shared" ca="1" si="264"/>
        <v>5</v>
      </c>
      <c r="D850">
        <f t="shared" ca="1" si="265"/>
        <v>4</v>
      </c>
      <c r="E850">
        <f t="shared" ca="1" si="266"/>
        <v>2</v>
      </c>
      <c r="F850" s="110">
        <f t="shared" ca="1" si="267"/>
        <v>0</v>
      </c>
      <c r="G850">
        <v>1</v>
      </c>
      <c r="H850">
        <v>0</v>
      </c>
      <c r="I850">
        <v>4</v>
      </c>
      <c r="J850" s="1">
        <f t="shared" ca="1" si="268"/>
        <v>0.77378093749999999</v>
      </c>
      <c r="K850" s="1">
        <f t="shared" ca="1" si="269"/>
        <v>0</v>
      </c>
      <c r="L850" s="13">
        <f t="shared" ca="1" si="270"/>
        <v>360</v>
      </c>
      <c r="M850" s="7">
        <f t="shared" ca="1" si="271"/>
        <v>1140</v>
      </c>
      <c r="N850" s="26">
        <f t="shared" ca="1" si="272"/>
        <v>4</v>
      </c>
      <c r="O850" s="44">
        <f t="shared" ca="1" si="273"/>
        <v>2.8908103757121246</v>
      </c>
      <c r="P850" s="44">
        <f t="shared" ca="1" si="274"/>
        <v>28.908103757121246</v>
      </c>
      <c r="Q850" s="44">
        <f t="shared" ca="1" si="275"/>
        <v>28.908103757121246</v>
      </c>
      <c r="R850" s="44">
        <f t="shared" ca="1" si="276"/>
        <v>2.8908103757121246</v>
      </c>
      <c r="S850" s="44">
        <f t="shared" ca="1" si="277"/>
        <v>2.8908103757121246</v>
      </c>
      <c r="T850" s="4">
        <f t="shared" ca="1" si="278"/>
        <v>0</v>
      </c>
      <c r="U850" s="120">
        <f t="shared" ca="1" si="279"/>
        <v>2211.675062040129</v>
      </c>
      <c r="V850" s="4">
        <f t="shared" ca="1" si="280"/>
        <v>0</v>
      </c>
      <c r="W850" s="13">
        <f t="shared" ca="1" si="281"/>
        <v>41268.881250000006</v>
      </c>
      <c r="X850" s="4">
        <f t="shared" ca="1" si="282"/>
        <v>0</v>
      </c>
      <c r="Y850" s="4">
        <f t="shared" si="283"/>
        <v>0</v>
      </c>
      <c r="Z850" s="13">
        <f t="shared" ca="1" si="284"/>
        <v>41268.881250000006</v>
      </c>
      <c r="AA850" s="4">
        <f t="shared" ca="1" si="285"/>
        <v>0</v>
      </c>
    </row>
    <row r="851" spans="1:27">
      <c r="A851">
        <v>2</v>
      </c>
      <c r="B851">
        <v>1</v>
      </c>
      <c r="C851">
        <f t="shared" ca="1" si="264"/>
        <v>5</v>
      </c>
      <c r="D851">
        <f t="shared" ca="1" si="265"/>
        <v>4</v>
      </c>
      <c r="E851">
        <f t="shared" ca="1" si="266"/>
        <v>2</v>
      </c>
      <c r="F851" s="110">
        <f t="shared" ca="1" si="267"/>
        <v>0</v>
      </c>
      <c r="G851">
        <v>1</v>
      </c>
      <c r="H851">
        <v>0</v>
      </c>
      <c r="I851">
        <v>3</v>
      </c>
      <c r="J851" s="1">
        <f t="shared" ca="1" si="268"/>
        <v>0.16290125000000011</v>
      </c>
      <c r="K851" s="1">
        <f t="shared" ca="1" si="269"/>
        <v>0</v>
      </c>
      <c r="L851" s="13">
        <f t="shared" ca="1" si="270"/>
        <v>341</v>
      </c>
      <c r="M851" s="7">
        <f t="shared" ca="1" si="271"/>
        <v>1159</v>
      </c>
      <c r="N851" s="26">
        <f t="shared" ca="1" si="272"/>
        <v>4</v>
      </c>
      <c r="O851" s="44">
        <f t="shared" ca="1" si="273"/>
        <v>2.8908103757121246</v>
      </c>
      <c r="P851" s="44">
        <f t="shared" ca="1" si="274"/>
        <v>28.908103757121246</v>
      </c>
      <c r="Q851" s="44">
        <f t="shared" ca="1" si="275"/>
        <v>28.908103757121246</v>
      </c>
      <c r="R851" s="44">
        <f t="shared" ca="1" si="276"/>
        <v>2.8908103757121246</v>
      </c>
      <c r="S851" s="44">
        <f t="shared" ca="1" si="277"/>
        <v>2.8908103757121246</v>
      </c>
      <c r="T851" s="4">
        <f t="shared" ca="1" si="278"/>
        <v>0</v>
      </c>
      <c r="U851" s="120">
        <f t="shared" ca="1" si="279"/>
        <v>2192.675062040129</v>
      </c>
      <c r="V851" s="4">
        <f t="shared" ca="1" si="280"/>
        <v>0</v>
      </c>
      <c r="W851" s="13">
        <f t="shared" ca="1" si="281"/>
        <v>38495.756250000006</v>
      </c>
      <c r="X851" s="4">
        <f t="shared" ca="1" si="282"/>
        <v>0</v>
      </c>
      <c r="Y851" s="4">
        <f t="shared" si="283"/>
        <v>0</v>
      </c>
      <c r="Z851" s="13">
        <f t="shared" ca="1" si="284"/>
        <v>38495.756250000006</v>
      </c>
      <c r="AA851" s="4">
        <f t="shared" ca="1" si="285"/>
        <v>0</v>
      </c>
    </row>
    <row r="852" spans="1:27">
      <c r="A852">
        <v>2</v>
      </c>
      <c r="B852">
        <v>1</v>
      </c>
      <c r="C852">
        <f t="shared" ca="1" si="264"/>
        <v>5</v>
      </c>
      <c r="D852">
        <f t="shared" ca="1" si="265"/>
        <v>4</v>
      </c>
      <c r="E852">
        <f t="shared" ca="1" si="266"/>
        <v>2</v>
      </c>
      <c r="F852" s="110">
        <f t="shared" ca="1" si="267"/>
        <v>0</v>
      </c>
      <c r="G852">
        <v>1</v>
      </c>
      <c r="H852">
        <v>0</v>
      </c>
      <c r="I852">
        <v>2</v>
      </c>
      <c r="J852" s="1">
        <f t="shared" ca="1" si="268"/>
        <v>1.2860625000000021E-2</v>
      </c>
      <c r="K852" s="1">
        <f t="shared" ca="1" si="269"/>
        <v>0</v>
      </c>
      <c r="L852" s="13">
        <f t="shared" ca="1" si="270"/>
        <v>322</v>
      </c>
      <c r="M852" s="7">
        <f t="shared" ca="1" si="271"/>
        <v>1178</v>
      </c>
      <c r="N852" s="26">
        <f t="shared" ca="1" si="272"/>
        <v>4</v>
      </c>
      <c r="O852" s="44">
        <f t="shared" ca="1" si="273"/>
        <v>2.8908103757121246</v>
      </c>
      <c r="P852" s="44">
        <f t="shared" ca="1" si="274"/>
        <v>28.908103757121246</v>
      </c>
      <c r="Q852" s="44">
        <f t="shared" ca="1" si="275"/>
        <v>28.908103757121246</v>
      </c>
      <c r="R852" s="44">
        <f t="shared" ca="1" si="276"/>
        <v>2.8908103757121246</v>
      </c>
      <c r="S852" s="44">
        <f t="shared" ca="1" si="277"/>
        <v>2.8908103757121246</v>
      </c>
      <c r="T852" s="4">
        <f t="shared" ca="1" si="278"/>
        <v>0</v>
      </c>
      <c r="U852" s="120">
        <f t="shared" ca="1" si="279"/>
        <v>2173.675062040129</v>
      </c>
      <c r="V852" s="4">
        <f t="shared" ca="1" si="280"/>
        <v>0</v>
      </c>
      <c r="W852" s="13">
        <f t="shared" ca="1" si="281"/>
        <v>35722.631250000006</v>
      </c>
      <c r="X852" s="4">
        <f t="shared" ca="1" si="282"/>
        <v>0</v>
      </c>
      <c r="Y852" s="4">
        <f t="shared" si="283"/>
        <v>0</v>
      </c>
      <c r="Z852" s="13">
        <f t="shared" ca="1" si="284"/>
        <v>35722.631250000006</v>
      </c>
      <c r="AA852" s="4">
        <f t="shared" ca="1" si="285"/>
        <v>0</v>
      </c>
    </row>
    <row r="853" spans="1:27">
      <c r="A853">
        <v>2</v>
      </c>
      <c r="B853">
        <v>1</v>
      </c>
      <c r="C853">
        <f t="shared" ca="1" si="264"/>
        <v>5</v>
      </c>
      <c r="D853">
        <f t="shared" ca="1" si="265"/>
        <v>4</v>
      </c>
      <c r="E853">
        <f t="shared" ca="1" si="266"/>
        <v>2</v>
      </c>
      <c r="F853" s="110">
        <f t="shared" ca="1" si="267"/>
        <v>0</v>
      </c>
      <c r="G853">
        <v>1</v>
      </c>
      <c r="H853">
        <v>0</v>
      </c>
      <c r="I853">
        <v>1</v>
      </c>
      <c r="J853" s="1">
        <f t="shared" ca="1" si="268"/>
        <v>4.5125000000000118E-4</v>
      </c>
      <c r="K853" s="1">
        <f t="shared" ca="1" si="269"/>
        <v>0</v>
      </c>
      <c r="L853" s="13">
        <f t="shared" ca="1" si="270"/>
        <v>303</v>
      </c>
      <c r="M853" s="7">
        <f t="shared" ca="1" si="271"/>
        <v>1197</v>
      </c>
      <c r="N853" s="26">
        <f t="shared" ca="1" si="272"/>
        <v>4</v>
      </c>
      <c r="O853" s="44">
        <f t="shared" ca="1" si="273"/>
        <v>2.8908103757121246</v>
      </c>
      <c r="P853" s="44">
        <f t="shared" ca="1" si="274"/>
        <v>28.908103757121246</v>
      </c>
      <c r="Q853" s="44">
        <f t="shared" ca="1" si="275"/>
        <v>28.908103757121246</v>
      </c>
      <c r="R853" s="44">
        <f t="shared" ca="1" si="276"/>
        <v>2.8908103757121246</v>
      </c>
      <c r="S853" s="44">
        <f t="shared" ca="1" si="277"/>
        <v>2.8908103757121246</v>
      </c>
      <c r="T853" s="4">
        <f t="shared" ca="1" si="278"/>
        <v>0</v>
      </c>
      <c r="U853" s="120">
        <f t="shared" ca="1" si="279"/>
        <v>2154.675062040129</v>
      </c>
      <c r="V853" s="4">
        <f t="shared" ca="1" si="280"/>
        <v>0</v>
      </c>
      <c r="W853" s="13">
        <f t="shared" ca="1" si="281"/>
        <v>32949.506250000006</v>
      </c>
      <c r="X853" s="4">
        <f t="shared" ca="1" si="282"/>
        <v>0</v>
      </c>
      <c r="Y853" s="4">
        <f t="shared" si="283"/>
        <v>0</v>
      </c>
      <c r="Z853" s="13">
        <f t="shared" ca="1" si="284"/>
        <v>32949.506250000006</v>
      </c>
      <c r="AA853" s="4">
        <f t="shared" ca="1" si="285"/>
        <v>0</v>
      </c>
    </row>
    <row r="854" spans="1:27">
      <c r="A854">
        <v>2</v>
      </c>
      <c r="B854">
        <v>1</v>
      </c>
      <c r="C854">
        <f t="shared" ca="1" si="264"/>
        <v>5</v>
      </c>
      <c r="D854">
        <f t="shared" ca="1" si="265"/>
        <v>4</v>
      </c>
      <c r="E854">
        <f t="shared" ca="1" si="266"/>
        <v>2</v>
      </c>
      <c r="F854" s="110">
        <f t="shared" ca="1" si="267"/>
        <v>0</v>
      </c>
      <c r="G854">
        <v>1</v>
      </c>
      <c r="H854">
        <v>0</v>
      </c>
      <c r="I854">
        <v>0</v>
      </c>
      <c r="J854" s="1">
        <f t="shared" ca="1" si="268"/>
        <v>5.9375000000000207E-6</v>
      </c>
      <c r="K854" s="1">
        <f t="shared" ca="1" si="269"/>
        <v>0</v>
      </c>
      <c r="L854" s="13">
        <f t="shared" ca="1" si="270"/>
        <v>284</v>
      </c>
      <c r="M854" s="7">
        <f t="shared" ca="1" si="271"/>
        <v>1216</v>
      </c>
      <c r="N854" s="26">
        <f t="shared" ca="1" si="272"/>
        <v>4</v>
      </c>
      <c r="O854" s="44">
        <f t="shared" ca="1" si="273"/>
        <v>2.8908103757121246</v>
      </c>
      <c r="P854" s="44">
        <f t="shared" ca="1" si="274"/>
        <v>28.908103757121246</v>
      </c>
      <c r="Q854" s="44">
        <f t="shared" ca="1" si="275"/>
        <v>28.908103757121246</v>
      </c>
      <c r="R854" s="44">
        <f t="shared" ca="1" si="276"/>
        <v>2.8908103757121246</v>
      </c>
      <c r="S854" s="44">
        <f t="shared" ca="1" si="277"/>
        <v>2.8908103757121246</v>
      </c>
      <c r="T854" s="4">
        <f t="shared" ca="1" si="278"/>
        <v>0</v>
      </c>
      <c r="U854" s="120">
        <f t="shared" ca="1" si="279"/>
        <v>2135.675062040129</v>
      </c>
      <c r="V854" s="4">
        <f t="shared" ca="1" si="280"/>
        <v>0</v>
      </c>
      <c r="W854" s="13">
        <f t="shared" ca="1" si="281"/>
        <v>30176.381250000002</v>
      </c>
      <c r="X854" s="4">
        <f t="shared" ca="1" si="282"/>
        <v>0</v>
      </c>
      <c r="Y854" s="4">
        <f t="shared" si="283"/>
        <v>0</v>
      </c>
      <c r="Z854" s="13">
        <f t="shared" ca="1" si="284"/>
        <v>30176.381250000002</v>
      </c>
      <c r="AA854" s="4">
        <f t="shared" ca="1" si="285"/>
        <v>0</v>
      </c>
    </row>
    <row r="855" spans="1:27">
      <c r="A855">
        <v>2</v>
      </c>
      <c r="B855">
        <v>1</v>
      </c>
      <c r="C855">
        <f t="shared" ca="1" si="264"/>
        <v>5</v>
      </c>
      <c r="D855">
        <f t="shared" ca="1" si="265"/>
        <v>4</v>
      </c>
      <c r="E855">
        <f t="shared" ca="1" si="266"/>
        <v>2</v>
      </c>
      <c r="F855" s="110">
        <f t="shared" ca="1" si="267"/>
        <v>0</v>
      </c>
      <c r="G855">
        <v>0</v>
      </c>
      <c r="H855">
        <v>1</v>
      </c>
      <c r="I855">
        <v>7</v>
      </c>
      <c r="J855" s="1">
        <f t="shared" ca="1" si="268"/>
        <v>0</v>
      </c>
      <c r="K855" s="1">
        <f t="shared" ca="1" si="269"/>
        <v>0</v>
      </c>
      <c r="L855" s="13">
        <f t="shared" ca="1" si="270"/>
        <v>417</v>
      </c>
      <c r="M855" s="7">
        <f t="shared" ca="1" si="271"/>
        <v>1083</v>
      </c>
      <c r="N855" s="26">
        <f t="shared" ca="1" si="272"/>
        <v>4</v>
      </c>
      <c r="O855" s="44">
        <f t="shared" ca="1" si="273"/>
        <v>2.8908103757121246</v>
      </c>
      <c r="P855" s="44">
        <f t="shared" ca="1" si="274"/>
        <v>28.908103757121246</v>
      </c>
      <c r="Q855" s="44">
        <f t="shared" ca="1" si="275"/>
        <v>28.908103757121246</v>
      </c>
      <c r="R855" s="44">
        <f t="shared" ca="1" si="276"/>
        <v>2.8908103757121246</v>
      </c>
      <c r="S855" s="44">
        <f t="shared" ca="1" si="277"/>
        <v>2.8908103757121246</v>
      </c>
      <c r="T855" s="4">
        <f t="shared" ca="1" si="278"/>
        <v>0</v>
      </c>
      <c r="U855" s="120">
        <f t="shared" ca="1" si="279"/>
        <v>2268.675062040129</v>
      </c>
      <c r="V855" s="4">
        <f t="shared" ca="1" si="280"/>
        <v>0</v>
      </c>
      <c r="W855" s="13">
        <f t="shared" ca="1" si="281"/>
        <v>19411.875</v>
      </c>
      <c r="X855" s="4">
        <f t="shared" ca="1" si="282"/>
        <v>0</v>
      </c>
      <c r="Y855" s="4">
        <f t="shared" si="283"/>
        <v>0</v>
      </c>
      <c r="Z855" s="13">
        <f t="shared" ca="1" si="284"/>
        <v>19411.875</v>
      </c>
      <c r="AA855" s="4">
        <f t="shared" ca="1" si="285"/>
        <v>0</v>
      </c>
    </row>
    <row r="856" spans="1:27">
      <c r="A856">
        <v>2</v>
      </c>
      <c r="B856">
        <v>1</v>
      </c>
      <c r="C856">
        <f t="shared" ca="1" si="264"/>
        <v>5</v>
      </c>
      <c r="D856">
        <f t="shared" ca="1" si="265"/>
        <v>4</v>
      </c>
      <c r="E856">
        <f t="shared" ca="1" si="266"/>
        <v>2</v>
      </c>
      <c r="F856" s="110">
        <f t="shared" ca="1" si="267"/>
        <v>0</v>
      </c>
      <c r="G856">
        <v>0</v>
      </c>
      <c r="H856">
        <v>1</v>
      </c>
      <c r="I856">
        <v>6</v>
      </c>
      <c r="J856" s="1">
        <f t="shared" ca="1" si="268"/>
        <v>0</v>
      </c>
      <c r="K856" s="1">
        <f t="shared" ca="1" si="269"/>
        <v>0</v>
      </c>
      <c r="L856" s="13">
        <f t="shared" ca="1" si="270"/>
        <v>398</v>
      </c>
      <c r="M856" s="7">
        <f t="shared" ca="1" si="271"/>
        <v>1102</v>
      </c>
      <c r="N856" s="26">
        <f t="shared" ca="1" si="272"/>
        <v>4</v>
      </c>
      <c r="O856" s="44">
        <f t="shared" ca="1" si="273"/>
        <v>2.8908103757121246</v>
      </c>
      <c r="P856" s="44">
        <f t="shared" ca="1" si="274"/>
        <v>28.908103757121246</v>
      </c>
      <c r="Q856" s="44">
        <f t="shared" ca="1" si="275"/>
        <v>28.908103757121246</v>
      </c>
      <c r="R856" s="44">
        <f t="shared" ca="1" si="276"/>
        <v>2.8908103757121246</v>
      </c>
      <c r="S856" s="44">
        <f t="shared" ca="1" si="277"/>
        <v>2.8908103757121246</v>
      </c>
      <c r="T856" s="4">
        <f t="shared" ca="1" si="278"/>
        <v>0</v>
      </c>
      <c r="U856" s="120">
        <f t="shared" ca="1" si="279"/>
        <v>2249.675062040129</v>
      </c>
      <c r="V856" s="4">
        <f t="shared" ca="1" si="280"/>
        <v>0</v>
      </c>
      <c r="W856" s="13">
        <f t="shared" ca="1" si="281"/>
        <v>16638.75</v>
      </c>
      <c r="X856" s="4">
        <f t="shared" ca="1" si="282"/>
        <v>0</v>
      </c>
      <c r="Y856" s="4">
        <f t="shared" si="283"/>
        <v>0</v>
      </c>
      <c r="Z856" s="13">
        <f t="shared" ca="1" si="284"/>
        <v>16638.75</v>
      </c>
      <c r="AA856" s="4">
        <f t="shared" ca="1" si="285"/>
        <v>0</v>
      </c>
    </row>
    <row r="857" spans="1:27">
      <c r="A857">
        <v>2</v>
      </c>
      <c r="B857">
        <v>1</v>
      </c>
      <c r="C857">
        <f t="shared" ca="1" si="264"/>
        <v>5</v>
      </c>
      <c r="D857">
        <f t="shared" ca="1" si="265"/>
        <v>4</v>
      </c>
      <c r="E857">
        <f t="shared" ca="1" si="266"/>
        <v>2</v>
      </c>
      <c r="F857" s="110">
        <f t="shared" ca="1" si="267"/>
        <v>0</v>
      </c>
      <c r="G857">
        <v>0</v>
      </c>
      <c r="H857">
        <v>1</v>
      </c>
      <c r="I857">
        <v>5</v>
      </c>
      <c r="J857" s="1">
        <f t="shared" ca="1" si="268"/>
        <v>0</v>
      </c>
      <c r="K857" s="1">
        <f t="shared" ca="1" si="269"/>
        <v>0</v>
      </c>
      <c r="L857" s="13">
        <f t="shared" ca="1" si="270"/>
        <v>379</v>
      </c>
      <c r="M857" s="7">
        <f t="shared" ca="1" si="271"/>
        <v>1121</v>
      </c>
      <c r="N857" s="26">
        <f t="shared" ca="1" si="272"/>
        <v>4</v>
      </c>
      <c r="O857" s="44">
        <f t="shared" ca="1" si="273"/>
        <v>2.8908103757121246</v>
      </c>
      <c r="P857" s="44">
        <f t="shared" ca="1" si="274"/>
        <v>28.908103757121246</v>
      </c>
      <c r="Q857" s="44">
        <f t="shared" ca="1" si="275"/>
        <v>28.908103757121246</v>
      </c>
      <c r="R857" s="44">
        <f t="shared" ca="1" si="276"/>
        <v>2.8908103757121246</v>
      </c>
      <c r="S857" s="44">
        <f t="shared" ca="1" si="277"/>
        <v>2.8908103757121246</v>
      </c>
      <c r="T857" s="4">
        <f t="shared" ca="1" si="278"/>
        <v>0</v>
      </c>
      <c r="U857" s="120">
        <f t="shared" ca="1" si="279"/>
        <v>2230.675062040129</v>
      </c>
      <c r="V857" s="4">
        <f t="shared" ca="1" si="280"/>
        <v>0</v>
      </c>
      <c r="W857" s="13">
        <f t="shared" ca="1" si="281"/>
        <v>13865.625</v>
      </c>
      <c r="X857" s="4">
        <f t="shared" ca="1" si="282"/>
        <v>0</v>
      </c>
      <c r="Y857" s="4">
        <f t="shared" si="283"/>
        <v>0</v>
      </c>
      <c r="Z857" s="13">
        <f t="shared" ca="1" si="284"/>
        <v>13865.625</v>
      </c>
      <c r="AA857" s="4">
        <f t="shared" ca="1" si="285"/>
        <v>0</v>
      </c>
    </row>
    <row r="858" spans="1:27">
      <c r="A858">
        <v>2</v>
      </c>
      <c r="B858">
        <v>1</v>
      </c>
      <c r="C858">
        <f t="shared" ca="1" si="264"/>
        <v>5</v>
      </c>
      <c r="D858">
        <f t="shared" ca="1" si="265"/>
        <v>4</v>
      </c>
      <c r="E858">
        <f t="shared" ca="1" si="266"/>
        <v>2</v>
      </c>
      <c r="F858" s="110">
        <f t="shared" ca="1" si="267"/>
        <v>0</v>
      </c>
      <c r="G858">
        <v>0</v>
      </c>
      <c r="H858">
        <v>1</v>
      </c>
      <c r="I858">
        <v>4</v>
      </c>
      <c r="J858" s="1">
        <f t="shared" ca="1" si="268"/>
        <v>0</v>
      </c>
      <c r="K858" s="1">
        <f t="shared" ca="1" si="269"/>
        <v>0</v>
      </c>
      <c r="L858" s="13">
        <f t="shared" ca="1" si="270"/>
        <v>360</v>
      </c>
      <c r="M858" s="7">
        <f t="shared" ca="1" si="271"/>
        <v>1140</v>
      </c>
      <c r="N858" s="26">
        <f t="shared" ca="1" si="272"/>
        <v>4</v>
      </c>
      <c r="O858" s="44">
        <f t="shared" ca="1" si="273"/>
        <v>2.8908103757121246</v>
      </c>
      <c r="P858" s="44">
        <f t="shared" ca="1" si="274"/>
        <v>28.908103757121246</v>
      </c>
      <c r="Q858" s="44">
        <f t="shared" ca="1" si="275"/>
        <v>28.908103757121246</v>
      </c>
      <c r="R858" s="44">
        <f t="shared" ca="1" si="276"/>
        <v>2.8908103757121246</v>
      </c>
      <c r="S858" s="44">
        <f t="shared" ca="1" si="277"/>
        <v>2.8908103757121246</v>
      </c>
      <c r="T858" s="4">
        <f t="shared" ca="1" si="278"/>
        <v>0</v>
      </c>
      <c r="U858" s="120">
        <f t="shared" ca="1" si="279"/>
        <v>2211.675062040129</v>
      </c>
      <c r="V858" s="4">
        <f t="shared" ca="1" si="280"/>
        <v>0</v>
      </c>
      <c r="W858" s="13">
        <f t="shared" ca="1" si="281"/>
        <v>11092.5</v>
      </c>
      <c r="X858" s="4">
        <f t="shared" ca="1" si="282"/>
        <v>0</v>
      </c>
      <c r="Y858" s="4">
        <f t="shared" si="283"/>
        <v>0</v>
      </c>
      <c r="Z858" s="13">
        <f t="shared" ca="1" si="284"/>
        <v>11092.5</v>
      </c>
      <c r="AA858" s="4">
        <f t="shared" ca="1" si="285"/>
        <v>0</v>
      </c>
    </row>
    <row r="859" spans="1:27">
      <c r="A859">
        <v>2</v>
      </c>
      <c r="B859">
        <v>1</v>
      </c>
      <c r="C859">
        <f t="shared" ca="1" si="264"/>
        <v>5</v>
      </c>
      <c r="D859">
        <f t="shared" ca="1" si="265"/>
        <v>4</v>
      </c>
      <c r="E859">
        <f t="shared" ca="1" si="266"/>
        <v>2</v>
      </c>
      <c r="F859" s="110">
        <f t="shared" ca="1" si="267"/>
        <v>0</v>
      </c>
      <c r="G859">
        <v>0</v>
      </c>
      <c r="H859">
        <v>1</v>
      </c>
      <c r="I859">
        <v>3</v>
      </c>
      <c r="J859" s="1">
        <f t="shared" ca="1" si="268"/>
        <v>0</v>
      </c>
      <c r="K859" s="1">
        <f t="shared" ca="1" si="269"/>
        <v>0</v>
      </c>
      <c r="L859" s="13">
        <f t="shared" ca="1" si="270"/>
        <v>341</v>
      </c>
      <c r="M859" s="7">
        <f t="shared" ca="1" si="271"/>
        <v>1159</v>
      </c>
      <c r="N859" s="26">
        <f t="shared" ca="1" si="272"/>
        <v>4</v>
      </c>
      <c r="O859" s="44">
        <f t="shared" ca="1" si="273"/>
        <v>2.8908103757121246</v>
      </c>
      <c r="P859" s="44">
        <f t="shared" ca="1" si="274"/>
        <v>28.908103757121246</v>
      </c>
      <c r="Q859" s="44">
        <f t="shared" ca="1" si="275"/>
        <v>28.908103757121246</v>
      </c>
      <c r="R859" s="44">
        <f t="shared" ca="1" si="276"/>
        <v>2.8908103757121246</v>
      </c>
      <c r="S859" s="44">
        <f t="shared" ca="1" si="277"/>
        <v>2.8908103757121246</v>
      </c>
      <c r="T859" s="4">
        <f t="shared" ca="1" si="278"/>
        <v>0</v>
      </c>
      <c r="U859" s="120">
        <f t="shared" ca="1" si="279"/>
        <v>2192.675062040129</v>
      </c>
      <c r="V859" s="4">
        <f t="shared" ca="1" si="280"/>
        <v>0</v>
      </c>
      <c r="W859" s="13">
        <f t="shared" ca="1" si="281"/>
        <v>8319.375</v>
      </c>
      <c r="X859" s="4">
        <f t="shared" ca="1" si="282"/>
        <v>0</v>
      </c>
      <c r="Y859" s="4">
        <f t="shared" si="283"/>
        <v>0</v>
      </c>
      <c r="Z859" s="13">
        <f t="shared" ca="1" si="284"/>
        <v>8319.375</v>
      </c>
      <c r="AA859" s="4">
        <f t="shared" ca="1" si="285"/>
        <v>0</v>
      </c>
    </row>
    <row r="860" spans="1:27">
      <c r="A860">
        <v>2</v>
      </c>
      <c r="B860">
        <v>1</v>
      </c>
      <c r="C860">
        <f t="shared" ca="1" si="264"/>
        <v>5</v>
      </c>
      <c r="D860">
        <f t="shared" ca="1" si="265"/>
        <v>4</v>
      </c>
      <c r="E860">
        <f t="shared" ca="1" si="266"/>
        <v>2</v>
      </c>
      <c r="F860" s="110">
        <f t="shared" ca="1" si="267"/>
        <v>0</v>
      </c>
      <c r="G860">
        <v>0</v>
      </c>
      <c r="H860">
        <v>1</v>
      </c>
      <c r="I860">
        <v>2</v>
      </c>
      <c r="J860" s="1">
        <f t="shared" ca="1" si="268"/>
        <v>0</v>
      </c>
      <c r="K860" s="1">
        <f t="shared" ca="1" si="269"/>
        <v>0</v>
      </c>
      <c r="L860" s="13">
        <f t="shared" ca="1" si="270"/>
        <v>322</v>
      </c>
      <c r="M860" s="7">
        <f t="shared" ca="1" si="271"/>
        <v>1178</v>
      </c>
      <c r="N860" s="26">
        <f t="shared" ca="1" si="272"/>
        <v>4</v>
      </c>
      <c r="O860" s="44">
        <f t="shared" ca="1" si="273"/>
        <v>2.8908103757121246</v>
      </c>
      <c r="P860" s="44">
        <f t="shared" ca="1" si="274"/>
        <v>28.908103757121246</v>
      </c>
      <c r="Q860" s="44">
        <f t="shared" ca="1" si="275"/>
        <v>28.908103757121246</v>
      </c>
      <c r="R860" s="44">
        <f t="shared" ca="1" si="276"/>
        <v>2.8908103757121246</v>
      </c>
      <c r="S860" s="44">
        <f t="shared" ca="1" si="277"/>
        <v>2.8908103757121246</v>
      </c>
      <c r="T860" s="4">
        <f t="shared" ca="1" si="278"/>
        <v>0</v>
      </c>
      <c r="U860" s="120">
        <f t="shared" ca="1" si="279"/>
        <v>2173.675062040129</v>
      </c>
      <c r="V860" s="4">
        <f t="shared" ca="1" si="280"/>
        <v>0</v>
      </c>
      <c r="W860" s="13">
        <f t="shared" ca="1" si="281"/>
        <v>5546.25</v>
      </c>
      <c r="X860" s="4">
        <f t="shared" ca="1" si="282"/>
        <v>0</v>
      </c>
      <c r="Y860" s="4">
        <f t="shared" si="283"/>
        <v>0</v>
      </c>
      <c r="Z860" s="13">
        <f t="shared" ca="1" si="284"/>
        <v>5546.25</v>
      </c>
      <c r="AA860" s="4">
        <f t="shared" ca="1" si="285"/>
        <v>0</v>
      </c>
    </row>
    <row r="861" spans="1:27">
      <c r="A861">
        <v>2</v>
      </c>
      <c r="B861">
        <v>1</v>
      </c>
      <c r="C861">
        <f t="shared" ca="1" si="264"/>
        <v>5</v>
      </c>
      <c r="D861">
        <f t="shared" ca="1" si="265"/>
        <v>4</v>
      </c>
      <c r="E861">
        <f t="shared" ca="1" si="266"/>
        <v>2</v>
      </c>
      <c r="F861" s="110">
        <f t="shared" ca="1" si="267"/>
        <v>0</v>
      </c>
      <c r="G861">
        <v>0</v>
      </c>
      <c r="H861">
        <v>1</v>
      </c>
      <c r="I861">
        <v>1</v>
      </c>
      <c r="J861" s="1">
        <f t="shared" ca="1" si="268"/>
        <v>0</v>
      </c>
      <c r="K861" s="1">
        <f t="shared" ca="1" si="269"/>
        <v>0</v>
      </c>
      <c r="L861" s="13">
        <f t="shared" ca="1" si="270"/>
        <v>303</v>
      </c>
      <c r="M861" s="7">
        <f t="shared" ca="1" si="271"/>
        <v>1197</v>
      </c>
      <c r="N861" s="26">
        <f t="shared" ca="1" si="272"/>
        <v>4</v>
      </c>
      <c r="O861" s="44">
        <f t="shared" ca="1" si="273"/>
        <v>2.8908103757121246</v>
      </c>
      <c r="P861" s="44">
        <f t="shared" ca="1" si="274"/>
        <v>28.908103757121246</v>
      </c>
      <c r="Q861" s="44">
        <f t="shared" ca="1" si="275"/>
        <v>28.908103757121246</v>
      </c>
      <c r="R861" s="44">
        <f t="shared" ca="1" si="276"/>
        <v>2.8908103757121246</v>
      </c>
      <c r="S861" s="44">
        <f t="shared" ca="1" si="277"/>
        <v>2.8908103757121246</v>
      </c>
      <c r="T861" s="4">
        <f t="shared" ca="1" si="278"/>
        <v>0</v>
      </c>
      <c r="U861" s="120">
        <f t="shared" ca="1" si="279"/>
        <v>2154.675062040129</v>
      </c>
      <c r="V861" s="4">
        <f t="shared" ca="1" si="280"/>
        <v>0</v>
      </c>
      <c r="W861" s="13">
        <f t="shared" ca="1" si="281"/>
        <v>2773.125</v>
      </c>
      <c r="X861" s="4">
        <f t="shared" ca="1" si="282"/>
        <v>0</v>
      </c>
      <c r="Y861" s="4">
        <f t="shared" si="283"/>
        <v>0</v>
      </c>
      <c r="Z861" s="13">
        <f t="shared" ca="1" si="284"/>
        <v>2773.125</v>
      </c>
      <c r="AA861" s="4">
        <f t="shared" ca="1" si="285"/>
        <v>0</v>
      </c>
    </row>
    <row r="862" spans="1:27">
      <c r="A862">
        <v>2</v>
      </c>
      <c r="B862">
        <v>1</v>
      </c>
      <c r="C862">
        <f t="shared" ca="1" si="264"/>
        <v>5</v>
      </c>
      <c r="D862">
        <f t="shared" ca="1" si="265"/>
        <v>4</v>
      </c>
      <c r="E862">
        <f t="shared" ca="1" si="266"/>
        <v>2</v>
      </c>
      <c r="F862" s="110">
        <f t="shared" ca="1" si="267"/>
        <v>0</v>
      </c>
      <c r="G862">
        <v>0</v>
      </c>
      <c r="H862">
        <v>1</v>
      </c>
      <c r="I862">
        <v>0</v>
      </c>
      <c r="J862" s="1">
        <f t="shared" ca="1" si="268"/>
        <v>0</v>
      </c>
      <c r="K862" s="1">
        <f t="shared" ca="1" si="269"/>
        <v>0</v>
      </c>
      <c r="L862" s="13">
        <f t="shared" ca="1" si="270"/>
        <v>284</v>
      </c>
      <c r="M862" s="7">
        <f t="shared" ca="1" si="271"/>
        <v>1216</v>
      </c>
      <c r="N862" s="26">
        <f t="shared" ca="1" si="272"/>
        <v>4</v>
      </c>
      <c r="O862" s="44">
        <f t="shared" ca="1" si="273"/>
        <v>2.8908103757121246</v>
      </c>
      <c r="P862" s="44">
        <f t="shared" ca="1" si="274"/>
        <v>28.908103757121246</v>
      </c>
      <c r="Q862" s="44">
        <f t="shared" ca="1" si="275"/>
        <v>28.908103757121246</v>
      </c>
      <c r="R862" s="44">
        <f t="shared" ca="1" si="276"/>
        <v>2.8908103757121246</v>
      </c>
      <c r="S862" s="44">
        <f t="shared" ca="1" si="277"/>
        <v>2.8908103757121246</v>
      </c>
      <c r="T862" s="4">
        <f t="shared" ca="1" si="278"/>
        <v>0</v>
      </c>
      <c r="U862" s="120">
        <f t="shared" ca="1" si="279"/>
        <v>2135.675062040129</v>
      </c>
      <c r="V862" s="4">
        <f t="shared" ca="1" si="280"/>
        <v>0</v>
      </c>
      <c r="W862" s="13">
        <f t="shared" ca="1" si="281"/>
        <v>0</v>
      </c>
      <c r="X862" s="4">
        <f t="shared" ca="1" si="282"/>
        <v>0</v>
      </c>
      <c r="Y862" s="4">
        <f t="shared" si="283"/>
        <v>0</v>
      </c>
      <c r="Z862" s="13">
        <f t="shared" ca="1" si="284"/>
        <v>0</v>
      </c>
      <c r="AA862" s="4">
        <f t="shared" ca="1" si="285"/>
        <v>0</v>
      </c>
    </row>
    <row r="863" spans="1:27">
      <c r="A863">
        <v>2</v>
      </c>
      <c r="B863">
        <v>1</v>
      </c>
      <c r="C863">
        <f t="shared" ca="1" si="264"/>
        <v>5</v>
      </c>
      <c r="D863">
        <f t="shared" ca="1" si="265"/>
        <v>4</v>
      </c>
      <c r="E863">
        <f t="shared" ca="1" si="266"/>
        <v>2</v>
      </c>
      <c r="F863" s="110">
        <f t="shared" ca="1" si="267"/>
        <v>0</v>
      </c>
      <c r="G863">
        <v>0</v>
      </c>
      <c r="H863">
        <v>0</v>
      </c>
      <c r="I863">
        <v>7</v>
      </c>
      <c r="J863" s="1">
        <f t="shared" ca="1" si="268"/>
        <v>0</v>
      </c>
      <c r="K863" s="1">
        <f t="shared" ca="1" si="269"/>
        <v>0</v>
      </c>
      <c r="L863" s="13">
        <f t="shared" ca="1" si="270"/>
        <v>133</v>
      </c>
      <c r="M863" s="7">
        <f t="shared" ca="1" si="271"/>
        <v>1367</v>
      </c>
      <c r="N863" s="26">
        <f t="shared" ca="1" si="272"/>
        <v>4</v>
      </c>
      <c r="O863" s="44">
        <f t="shared" ca="1" si="273"/>
        <v>2.8908103757121246</v>
      </c>
      <c r="P863" s="44">
        <f t="shared" ca="1" si="274"/>
        <v>28.908103757121246</v>
      </c>
      <c r="Q863" s="44">
        <f t="shared" ca="1" si="275"/>
        <v>28.908103757121246</v>
      </c>
      <c r="R863" s="44">
        <f t="shared" ca="1" si="276"/>
        <v>2.8908103757121246</v>
      </c>
      <c r="S863" s="44">
        <f t="shared" ca="1" si="277"/>
        <v>2.8908103757121246</v>
      </c>
      <c r="T863" s="4">
        <f t="shared" ca="1" si="278"/>
        <v>0</v>
      </c>
      <c r="U863" s="120">
        <f t="shared" ca="1" si="279"/>
        <v>1984.6750620401288</v>
      </c>
      <c r="V863" s="4">
        <f t="shared" ca="1" si="280"/>
        <v>0</v>
      </c>
      <c r="W863" s="13">
        <f t="shared" ca="1" si="281"/>
        <v>19411.875</v>
      </c>
      <c r="X863" s="4">
        <f t="shared" ca="1" si="282"/>
        <v>0</v>
      </c>
      <c r="Y863" s="4">
        <f t="shared" si="283"/>
        <v>0</v>
      </c>
      <c r="Z863" s="13">
        <f t="shared" ca="1" si="284"/>
        <v>19411.875</v>
      </c>
      <c r="AA863" s="4">
        <f t="shared" ca="1" si="285"/>
        <v>0</v>
      </c>
    </row>
    <row r="864" spans="1:27">
      <c r="A864">
        <v>2</v>
      </c>
      <c r="B864">
        <v>1</v>
      </c>
      <c r="C864">
        <f t="shared" ca="1" si="264"/>
        <v>5</v>
      </c>
      <c r="D864">
        <f t="shared" ca="1" si="265"/>
        <v>4</v>
      </c>
      <c r="E864">
        <f t="shared" ca="1" si="266"/>
        <v>2</v>
      </c>
      <c r="F864" s="110">
        <f t="shared" ca="1" si="267"/>
        <v>0</v>
      </c>
      <c r="G864">
        <v>0</v>
      </c>
      <c r="H864">
        <v>0</v>
      </c>
      <c r="I864">
        <v>6</v>
      </c>
      <c r="J864" s="1">
        <f t="shared" ca="1" si="268"/>
        <v>0</v>
      </c>
      <c r="K864" s="1">
        <f t="shared" ca="1" si="269"/>
        <v>0</v>
      </c>
      <c r="L864" s="13">
        <f t="shared" ca="1" si="270"/>
        <v>114</v>
      </c>
      <c r="M864" s="7">
        <f t="shared" ca="1" si="271"/>
        <v>1386</v>
      </c>
      <c r="N864" s="26">
        <f t="shared" ca="1" si="272"/>
        <v>4</v>
      </c>
      <c r="O864" s="44">
        <f t="shared" ca="1" si="273"/>
        <v>2.8908103757121246</v>
      </c>
      <c r="P864" s="44">
        <f t="shared" ca="1" si="274"/>
        <v>28.908103757121246</v>
      </c>
      <c r="Q864" s="44">
        <f t="shared" ca="1" si="275"/>
        <v>28.908103757121246</v>
      </c>
      <c r="R864" s="44">
        <f t="shared" ca="1" si="276"/>
        <v>2.8908103757121246</v>
      </c>
      <c r="S864" s="44">
        <f t="shared" ca="1" si="277"/>
        <v>2.8908103757121246</v>
      </c>
      <c r="T864" s="4">
        <f t="shared" ca="1" si="278"/>
        <v>0</v>
      </c>
      <c r="U864" s="120">
        <f t="shared" ca="1" si="279"/>
        <v>1965.6750620401288</v>
      </c>
      <c r="V864" s="4">
        <f t="shared" ca="1" si="280"/>
        <v>0</v>
      </c>
      <c r="W864" s="13">
        <f t="shared" ca="1" si="281"/>
        <v>16638.75</v>
      </c>
      <c r="X864" s="4">
        <f t="shared" ca="1" si="282"/>
        <v>0</v>
      </c>
      <c r="Y864" s="4">
        <f t="shared" si="283"/>
        <v>0</v>
      </c>
      <c r="Z864" s="13">
        <f t="shared" ca="1" si="284"/>
        <v>16638.75</v>
      </c>
      <c r="AA864" s="4">
        <f t="shared" ca="1" si="285"/>
        <v>0</v>
      </c>
    </row>
    <row r="865" spans="1:27">
      <c r="A865">
        <v>2</v>
      </c>
      <c r="B865">
        <v>1</v>
      </c>
      <c r="C865">
        <f t="shared" ca="1" si="264"/>
        <v>5</v>
      </c>
      <c r="D865">
        <f t="shared" ca="1" si="265"/>
        <v>4</v>
      </c>
      <c r="E865">
        <f t="shared" ca="1" si="266"/>
        <v>2</v>
      </c>
      <c r="F865" s="110">
        <f t="shared" ca="1" si="267"/>
        <v>0</v>
      </c>
      <c r="G865">
        <v>0</v>
      </c>
      <c r="H865">
        <v>0</v>
      </c>
      <c r="I865">
        <v>5</v>
      </c>
      <c r="J865" s="1">
        <f t="shared" ca="1" si="268"/>
        <v>0</v>
      </c>
      <c r="K865" s="1">
        <f t="shared" ca="1" si="269"/>
        <v>0</v>
      </c>
      <c r="L865" s="13">
        <f t="shared" ca="1" si="270"/>
        <v>95</v>
      </c>
      <c r="M865" s="7">
        <f t="shared" ca="1" si="271"/>
        <v>1405</v>
      </c>
      <c r="N865" s="26">
        <f t="shared" ca="1" si="272"/>
        <v>5</v>
      </c>
      <c r="O865" s="44">
        <f t="shared" ca="1" si="273"/>
        <v>3.5395046525977252</v>
      </c>
      <c r="P865" s="44">
        <f t="shared" ca="1" si="274"/>
        <v>35.39504652597725</v>
      </c>
      <c r="Q865" s="44">
        <f t="shared" ca="1" si="275"/>
        <v>30.205492310892446</v>
      </c>
      <c r="R865" s="44">
        <f t="shared" ca="1" si="276"/>
        <v>3.2800269418434853</v>
      </c>
      <c r="S865" s="44">
        <f t="shared" ca="1" si="277"/>
        <v>3.5213412128449284</v>
      </c>
      <c r="T865" s="4">
        <f t="shared" ca="1" si="278"/>
        <v>0</v>
      </c>
      <c r="U865" s="120">
        <f t="shared" ca="1" si="279"/>
        <v>2290.8626329996823</v>
      </c>
      <c r="V865" s="4">
        <f t="shared" ca="1" si="280"/>
        <v>0</v>
      </c>
      <c r="W865" s="13">
        <f t="shared" ca="1" si="281"/>
        <v>13865.625</v>
      </c>
      <c r="X865" s="4">
        <f t="shared" ca="1" si="282"/>
        <v>0</v>
      </c>
      <c r="Y865" s="4">
        <f t="shared" si="283"/>
        <v>0</v>
      </c>
      <c r="Z865" s="13">
        <f t="shared" ca="1" si="284"/>
        <v>13865.625</v>
      </c>
      <c r="AA865" s="4">
        <f t="shared" ca="1" si="285"/>
        <v>0</v>
      </c>
    </row>
    <row r="866" spans="1:27">
      <c r="A866">
        <v>2</v>
      </c>
      <c r="B866">
        <v>1</v>
      </c>
      <c r="C866">
        <f t="shared" ca="1" si="264"/>
        <v>5</v>
      </c>
      <c r="D866">
        <f t="shared" ca="1" si="265"/>
        <v>4</v>
      </c>
      <c r="E866">
        <f t="shared" ca="1" si="266"/>
        <v>2</v>
      </c>
      <c r="F866" s="110">
        <f t="shared" ca="1" si="267"/>
        <v>0</v>
      </c>
      <c r="G866">
        <v>0</v>
      </c>
      <c r="H866">
        <v>0</v>
      </c>
      <c r="I866">
        <v>4</v>
      </c>
      <c r="J866" s="1">
        <f t="shared" ca="1" si="268"/>
        <v>4.0725312499999999E-2</v>
      </c>
      <c r="K866" s="1">
        <f t="shared" ca="1" si="269"/>
        <v>0</v>
      </c>
      <c r="L866" s="13">
        <f t="shared" ca="1" si="270"/>
        <v>76</v>
      </c>
      <c r="M866" s="7">
        <f t="shared" ca="1" si="271"/>
        <v>1424</v>
      </c>
      <c r="N866" s="26">
        <f t="shared" ca="1" si="272"/>
        <v>5</v>
      </c>
      <c r="O866" s="44">
        <f t="shared" ca="1" si="273"/>
        <v>3.5395046525977252</v>
      </c>
      <c r="P866" s="44">
        <f t="shared" ca="1" si="274"/>
        <v>35.39504652597725</v>
      </c>
      <c r="Q866" s="44">
        <f t="shared" ca="1" si="275"/>
        <v>35.39504652597725</v>
      </c>
      <c r="R866" s="44">
        <f t="shared" ca="1" si="276"/>
        <v>3.5395046525977252</v>
      </c>
      <c r="S866" s="44">
        <f t="shared" ca="1" si="277"/>
        <v>3.5395046525977252</v>
      </c>
      <c r="T866" s="4">
        <f t="shared" ca="1" si="278"/>
        <v>0</v>
      </c>
      <c r="U866" s="120">
        <f t="shared" ca="1" si="279"/>
        <v>2281.7775012989287</v>
      </c>
      <c r="V866" s="4">
        <f t="shared" ca="1" si="280"/>
        <v>0</v>
      </c>
      <c r="W866" s="13">
        <f t="shared" ca="1" si="281"/>
        <v>11092.5</v>
      </c>
      <c r="X866" s="4">
        <f t="shared" ca="1" si="282"/>
        <v>0</v>
      </c>
      <c r="Y866" s="4">
        <f t="shared" si="283"/>
        <v>0</v>
      </c>
      <c r="Z866" s="13">
        <f t="shared" ca="1" si="284"/>
        <v>11092.5</v>
      </c>
      <c r="AA866" s="4">
        <f t="shared" ca="1" si="285"/>
        <v>0</v>
      </c>
    </row>
    <row r="867" spans="1:27">
      <c r="A867">
        <v>2</v>
      </c>
      <c r="B867">
        <v>1</v>
      </c>
      <c r="C867">
        <f t="shared" ca="1" si="264"/>
        <v>5</v>
      </c>
      <c r="D867">
        <f t="shared" ca="1" si="265"/>
        <v>4</v>
      </c>
      <c r="E867">
        <f t="shared" ca="1" si="266"/>
        <v>2</v>
      </c>
      <c r="F867" s="110">
        <f t="shared" ca="1" si="267"/>
        <v>0</v>
      </c>
      <c r="G867">
        <v>0</v>
      </c>
      <c r="H867">
        <v>0</v>
      </c>
      <c r="I867">
        <v>3</v>
      </c>
      <c r="J867" s="1">
        <f t="shared" ca="1" si="268"/>
        <v>8.5737500000000067E-3</v>
      </c>
      <c r="K867" s="1">
        <f t="shared" ca="1" si="269"/>
        <v>0</v>
      </c>
      <c r="L867" s="13">
        <f t="shared" ca="1" si="270"/>
        <v>57</v>
      </c>
      <c r="M867" s="7">
        <f t="shared" ca="1" si="271"/>
        <v>1443</v>
      </c>
      <c r="N867" s="26">
        <f t="shared" ca="1" si="272"/>
        <v>5</v>
      </c>
      <c r="O867" s="44">
        <f t="shared" ca="1" si="273"/>
        <v>3.5395046525977252</v>
      </c>
      <c r="P867" s="44">
        <f t="shared" ca="1" si="274"/>
        <v>35.39504652597725</v>
      </c>
      <c r="Q867" s="44">
        <f t="shared" ca="1" si="275"/>
        <v>35.39504652597725</v>
      </c>
      <c r="R867" s="44">
        <f t="shared" ca="1" si="276"/>
        <v>3.5395046525977252</v>
      </c>
      <c r="S867" s="44">
        <f t="shared" ca="1" si="277"/>
        <v>3.5395046525977252</v>
      </c>
      <c r="T867" s="4">
        <f t="shared" ca="1" si="278"/>
        <v>0</v>
      </c>
      <c r="U867" s="120">
        <f t="shared" ca="1" si="279"/>
        <v>2262.7775012989287</v>
      </c>
      <c r="V867" s="4">
        <f t="shared" ca="1" si="280"/>
        <v>0</v>
      </c>
      <c r="W867" s="13">
        <f t="shared" ca="1" si="281"/>
        <v>8319.375</v>
      </c>
      <c r="X867" s="4">
        <f t="shared" ca="1" si="282"/>
        <v>0</v>
      </c>
      <c r="Y867" s="4">
        <f t="shared" si="283"/>
        <v>0</v>
      </c>
      <c r="Z867" s="13">
        <f t="shared" ca="1" si="284"/>
        <v>8319.375</v>
      </c>
      <c r="AA867" s="4">
        <f t="shared" ca="1" si="285"/>
        <v>0</v>
      </c>
    </row>
    <row r="868" spans="1:27">
      <c r="A868">
        <v>2</v>
      </c>
      <c r="B868">
        <v>1</v>
      </c>
      <c r="C868">
        <f t="shared" ca="1" si="264"/>
        <v>5</v>
      </c>
      <c r="D868">
        <f t="shared" ca="1" si="265"/>
        <v>4</v>
      </c>
      <c r="E868">
        <f t="shared" ca="1" si="266"/>
        <v>2</v>
      </c>
      <c r="F868" s="110">
        <f t="shared" ca="1" si="267"/>
        <v>0</v>
      </c>
      <c r="G868">
        <v>0</v>
      </c>
      <c r="H868">
        <v>0</v>
      </c>
      <c r="I868">
        <v>2</v>
      </c>
      <c r="J868" s="1">
        <f t="shared" ca="1" si="268"/>
        <v>6.7687500000000126E-4</v>
      </c>
      <c r="K868" s="1">
        <f t="shared" ca="1" si="269"/>
        <v>0</v>
      </c>
      <c r="L868" s="13">
        <f t="shared" ca="1" si="270"/>
        <v>38</v>
      </c>
      <c r="M868" s="7">
        <f t="shared" ca="1" si="271"/>
        <v>1462</v>
      </c>
      <c r="N868" s="26">
        <f t="shared" ca="1" si="272"/>
        <v>5</v>
      </c>
      <c r="O868" s="44">
        <f t="shared" ca="1" si="273"/>
        <v>3.5395046525977252</v>
      </c>
      <c r="P868" s="44">
        <f t="shared" ca="1" si="274"/>
        <v>35.39504652597725</v>
      </c>
      <c r="Q868" s="44">
        <f t="shared" ca="1" si="275"/>
        <v>35.39504652597725</v>
      </c>
      <c r="R868" s="44">
        <f t="shared" ca="1" si="276"/>
        <v>3.5395046525977252</v>
      </c>
      <c r="S868" s="44">
        <f t="shared" ca="1" si="277"/>
        <v>3.5395046525977252</v>
      </c>
      <c r="T868" s="4">
        <f t="shared" ca="1" si="278"/>
        <v>0</v>
      </c>
      <c r="U868" s="120">
        <f t="shared" ca="1" si="279"/>
        <v>2243.7775012989287</v>
      </c>
      <c r="V868" s="4">
        <f t="shared" ca="1" si="280"/>
        <v>0</v>
      </c>
      <c r="W868" s="13">
        <f t="shared" ca="1" si="281"/>
        <v>5546.25</v>
      </c>
      <c r="X868" s="4">
        <f t="shared" ca="1" si="282"/>
        <v>0</v>
      </c>
      <c r="Y868" s="4">
        <f t="shared" si="283"/>
        <v>0</v>
      </c>
      <c r="Z868" s="13">
        <f t="shared" ca="1" si="284"/>
        <v>5546.25</v>
      </c>
      <c r="AA868" s="4">
        <f t="shared" ca="1" si="285"/>
        <v>0</v>
      </c>
    </row>
    <row r="869" spans="1:27">
      <c r="A869">
        <v>2</v>
      </c>
      <c r="B869">
        <v>1</v>
      </c>
      <c r="C869">
        <f t="shared" ca="1" si="264"/>
        <v>5</v>
      </c>
      <c r="D869">
        <f t="shared" ca="1" si="265"/>
        <v>4</v>
      </c>
      <c r="E869">
        <f t="shared" ca="1" si="266"/>
        <v>2</v>
      </c>
      <c r="F869" s="110">
        <f t="shared" ca="1" si="267"/>
        <v>0</v>
      </c>
      <c r="G869">
        <v>0</v>
      </c>
      <c r="H869">
        <v>0</v>
      </c>
      <c r="I869">
        <v>1</v>
      </c>
      <c r="J869" s="1">
        <f t="shared" ca="1" si="268"/>
        <v>2.3750000000000062E-5</v>
      </c>
      <c r="K869" s="1">
        <f t="shared" ca="1" si="269"/>
        <v>0</v>
      </c>
      <c r="L869" s="13">
        <f t="shared" ca="1" si="270"/>
        <v>19</v>
      </c>
      <c r="M869" s="7">
        <f t="shared" ca="1" si="271"/>
        <v>1481</v>
      </c>
      <c r="N869" s="26">
        <f t="shared" ca="1" si="272"/>
        <v>5</v>
      </c>
      <c r="O869" s="44">
        <f t="shared" ca="1" si="273"/>
        <v>3.5395046525977252</v>
      </c>
      <c r="P869" s="44">
        <f t="shared" ca="1" si="274"/>
        <v>35.39504652597725</v>
      </c>
      <c r="Q869" s="44">
        <f t="shared" ca="1" si="275"/>
        <v>35.39504652597725</v>
      </c>
      <c r="R869" s="44">
        <f t="shared" ca="1" si="276"/>
        <v>3.5395046525977252</v>
      </c>
      <c r="S869" s="44">
        <f t="shared" ca="1" si="277"/>
        <v>3.5395046525977252</v>
      </c>
      <c r="T869" s="4">
        <f t="shared" ca="1" si="278"/>
        <v>0</v>
      </c>
      <c r="U869" s="120">
        <f t="shared" ca="1" si="279"/>
        <v>2224.7775012989287</v>
      </c>
      <c r="V869" s="4">
        <f t="shared" ca="1" si="280"/>
        <v>0</v>
      </c>
      <c r="W869" s="13">
        <f t="shared" ca="1" si="281"/>
        <v>2773.125</v>
      </c>
      <c r="X869" s="4">
        <f t="shared" ca="1" si="282"/>
        <v>0</v>
      </c>
      <c r="Y869" s="4">
        <f t="shared" si="283"/>
        <v>0</v>
      </c>
      <c r="Z869" s="13">
        <f t="shared" ca="1" si="284"/>
        <v>2773.125</v>
      </c>
      <c r="AA869" s="4">
        <f t="shared" ca="1" si="285"/>
        <v>0</v>
      </c>
    </row>
    <row r="870" spans="1:27">
      <c r="A870">
        <v>2</v>
      </c>
      <c r="B870">
        <v>1</v>
      </c>
      <c r="C870">
        <f t="shared" ca="1" si="264"/>
        <v>5</v>
      </c>
      <c r="D870">
        <f t="shared" ca="1" si="265"/>
        <v>4</v>
      </c>
      <c r="E870">
        <f t="shared" ca="1" si="266"/>
        <v>2</v>
      </c>
      <c r="F870" s="110">
        <f t="shared" ca="1" si="267"/>
        <v>0</v>
      </c>
      <c r="G870">
        <v>0</v>
      </c>
      <c r="H870">
        <v>0</v>
      </c>
      <c r="I870">
        <v>0</v>
      </c>
      <c r="J870" s="1">
        <f t="shared" ca="1" si="268"/>
        <v>3.1250000000000114E-7</v>
      </c>
      <c r="K870" s="1">
        <f t="shared" ca="1" si="269"/>
        <v>0</v>
      </c>
      <c r="L870" s="13">
        <f t="shared" ca="1" si="270"/>
        <v>0</v>
      </c>
      <c r="M870" s="7">
        <f t="shared" ca="1" si="271"/>
        <v>1500</v>
      </c>
      <c r="N870" s="26">
        <f t="shared" ca="1" si="272"/>
        <v>5</v>
      </c>
      <c r="O870" s="44">
        <f t="shared" ca="1" si="273"/>
        <v>3.5395046525977252</v>
      </c>
      <c r="P870" s="44">
        <f t="shared" ca="1" si="274"/>
        <v>35.39504652597725</v>
      </c>
      <c r="Q870" s="44">
        <f t="shared" ca="1" si="275"/>
        <v>35.39504652597725</v>
      </c>
      <c r="R870" s="44">
        <f t="shared" ca="1" si="276"/>
        <v>3.5395046525977252</v>
      </c>
      <c r="S870" s="44">
        <f t="shared" ca="1" si="277"/>
        <v>3.5395046525977252</v>
      </c>
      <c r="T870" s="4">
        <f t="shared" ca="1" si="278"/>
        <v>0</v>
      </c>
      <c r="U870" s="120">
        <f t="shared" ca="1" si="279"/>
        <v>2205.7775012989287</v>
      </c>
      <c r="V870" s="4">
        <f t="shared" ca="1" si="280"/>
        <v>0</v>
      </c>
      <c r="W870" s="13">
        <f t="shared" ca="1" si="281"/>
        <v>0</v>
      </c>
      <c r="X870" s="4">
        <f t="shared" ca="1" si="282"/>
        <v>0</v>
      </c>
      <c r="Y870" s="4">
        <f t="shared" si="283"/>
        <v>0</v>
      </c>
      <c r="Z870" s="13">
        <f t="shared" ca="1" si="284"/>
        <v>0</v>
      </c>
      <c r="AA870" s="4">
        <f t="shared" ca="1" si="285"/>
        <v>0</v>
      </c>
    </row>
    <row r="871" spans="1:27">
      <c r="A871">
        <v>2</v>
      </c>
      <c r="B871">
        <v>2</v>
      </c>
      <c r="C871">
        <f t="shared" ref="C871:C934" ca="1" si="286">MIN(8, 1+$B$543+$B$542+A871+B871)</f>
        <v>6</v>
      </c>
      <c r="D871">
        <f t="shared" ref="D871:D934" ca="1" si="287">C871-(1+$B$543)</f>
        <v>5</v>
      </c>
      <c r="E871">
        <f t="shared" ref="E871:E934" ca="1" si="288">MIN(A871, C871-(1+$B$543+$B$542))</f>
        <v>2</v>
      </c>
      <c r="F871" s="110">
        <f t="shared" ref="F871:F934" ca="1" si="289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0</v>
      </c>
      <c r="G871">
        <v>1</v>
      </c>
      <c r="H871">
        <v>1</v>
      </c>
      <c r="I871">
        <v>7</v>
      </c>
      <c r="J871" s="1">
        <f t="shared" ref="J871:J934" ca="1" si="290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91">F871*J871</f>
        <v>0</v>
      </c>
      <c r="L871" s="13">
        <f t="shared" ref="L871:L934" ca="1" si="292">MAX((G871+H871)*Set2WSTP + I871*$B$539, Set2SaveTP)</f>
        <v>701</v>
      </c>
      <c r="M871" s="7">
        <f t="shared" ref="M871:M934" ca="1" si="293">MAX(Set2MinTP-(L871+Set2Regain), 0)</f>
        <v>799</v>
      </c>
      <c r="N871" s="26">
        <f t="shared" ref="N871:N934" ca="1" si="294">CEILING(M871/Set2MeleeTP, 1)</f>
        <v>3</v>
      </c>
      <c r="O871" s="44">
        <f t="shared" ref="O871:O934" ca="1" si="295">VLOOKUP(N871, AvgRoundsSet2, 2)</f>
        <v>2.2758855914378953</v>
      </c>
      <c r="P871" s="44">
        <f t="shared" ref="P871:P934" ca="1" si="296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22.758855914378952</v>
      </c>
      <c r="Q871" s="44">
        <f t="shared" ref="Q871:Q934" ca="1" si="297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22.758855914378952</v>
      </c>
      <c r="R871" s="44">
        <f t="shared" ref="R871:R934" ca="1" si="298">(P871+Q871)/20</f>
        <v>2.2758855914378953</v>
      </c>
      <c r="S871" s="44">
        <f t="shared" ref="S871:S934" ca="1" si="299">R871*Set2ConserveTP + O871*(1-Set2ConserveTP)</f>
        <v>2.2758855914378953</v>
      </c>
      <c r="T871" s="4">
        <f t="shared" ref="T871:T934" ca="1" si="300">K871*S871</f>
        <v>0</v>
      </c>
      <c r="U871" s="120">
        <f t="shared" ref="U871:U934" ca="1" si="301">MIN(L871+(S871+Set2OverTP)*AvgHitsPerRound2*Set2MeleeTP + Set2Regain + 10.5*Set2ConserveTP, 3000)</f>
        <v>2217.0063598009133</v>
      </c>
      <c r="V871" s="4">
        <f t="shared" ref="V871:V934" ca="1" si="302">U871*K871</f>
        <v>0</v>
      </c>
      <c r="W871" s="13">
        <f t="shared" ref="W871:W934" ca="1" si="303">G871*$K$543*((1-$L$543)*$L$547 + $L$543*$M$547*$M$543)*Set2WSDmg + H871*$K$546*((1-$L$546)*$L$548 + $L$546*$M$548*$M$544) + I871*$K$544*((1-$L$544)*$L$547 + $L$544*$M$547*$M$544) + E871*$K$545*$L$545*$M$543</f>
        <v>49588.256250000006</v>
      </c>
      <c r="X871" s="4">
        <f t="shared" ref="X871:X934" ca="1" si="304">K871*W871</f>
        <v>0</v>
      </c>
      <c r="Y871" s="4">
        <f t="shared" ref="Y871:Y934" si="305">IF($B$545=1, (VLOOKUP(C871, IF($B$546=10%,Souleater10,Souleater12), 6, FALSE) * $B$547), 0)</f>
        <v>0</v>
      </c>
      <c r="Z871" s="13">
        <f t="shared" ca="1" si="284"/>
        <v>49588.256250000006</v>
      </c>
      <c r="AA871" s="4">
        <f t="shared" ca="1" si="285"/>
        <v>0</v>
      </c>
    </row>
    <row r="872" spans="1:27">
      <c r="A872">
        <v>2</v>
      </c>
      <c r="B872">
        <v>2</v>
      </c>
      <c r="C872">
        <f t="shared" ca="1" si="286"/>
        <v>6</v>
      </c>
      <c r="D872">
        <f t="shared" ca="1" si="287"/>
        <v>5</v>
      </c>
      <c r="E872">
        <f t="shared" ca="1" si="288"/>
        <v>2</v>
      </c>
      <c r="F872" s="110">
        <f t="shared" ca="1" si="289"/>
        <v>0</v>
      </c>
      <c r="G872">
        <v>1</v>
      </c>
      <c r="H872">
        <v>1</v>
      </c>
      <c r="I872">
        <v>6</v>
      </c>
      <c r="J872" s="1">
        <f t="shared" ca="1" si="290"/>
        <v>0</v>
      </c>
      <c r="K872" s="1">
        <f t="shared" ca="1" si="291"/>
        <v>0</v>
      </c>
      <c r="L872" s="13">
        <f t="shared" ca="1" si="292"/>
        <v>682</v>
      </c>
      <c r="M872" s="7">
        <f t="shared" ca="1" si="293"/>
        <v>818</v>
      </c>
      <c r="N872" s="26">
        <f t="shared" ca="1" si="294"/>
        <v>3</v>
      </c>
      <c r="O872" s="44">
        <f t="shared" ca="1" si="295"/>
        <v>2.2758855914378953</v>
      </c>
      <c r="P872" s="44">
        <f t="shared" ca="1" si="296"/>
        <v>22.758855914378952</v>
      </c>
      <c r="Q872" s="44">
        <f t="shared" ca="1" si="297"/>
        <v>22.758855914378952</v>
      </c>
      <c r="R872" s="44">
        <f t="shared" ca="1" si="298"/>
        <v>2.2758855914378953</v>
      </c>
      <c r="S872" s="44">
        <f t="shared" ca="1" si="299"/>
        <v>2.2758855914378953</v>
      </c>
      <c r="T872" s="4">
        <f t="shared" ca="1" si="300"/>
        <v>0</v>
      </c>
      <c r="U872" s="120">
        <f t="shared" ca="1" si="301"/>
        <v>2198.0063598009133</v>
      </c>
      <c r="V872" s="4">
        <f t="shared" ca="1" si="302"/>
        <v>0</v>
      </c>
      <c r="W872" s="13">
        <f t="shared" ca="1" si="303"/>
        <v>46815.131250000006</v>
      </c>
      <c r="X872" s="4">
        <f t="shared" ca="1" si="304"/>
        <v>0</v>
      </c>
      <c r="Y872" s="4">
        <f t="shared" si="305"/>
        <v>0</v>
      </c>
      <c r="Z872" s="13">
        <f t="shared" ref="Z872:Z935" ca="1" si="306">Y872+W872</f>
        <v>46815.131250000006</v>
      </c>
      <c r="AA872" s="4">
        <f t="shared" ref="AA872:AA935" ca="1" si="307">Z872*K872</f>
        <v>0</v>
      </c>
    </row>
    <row r="873" spans="1:27">
      <c r="A873">
        <v>2</v>
      </c>
      <c r="B873">
        <v>2</v>
      </c>
      <c r="C873">
        <f t="shared" ca="1" si="286"/>
        <v>6</v>
      </c>
      <c r="D873">
        <f t="shared" ca="1" si="287"/>
        <v>5</v>
      </c>
      <c r="E873">
        <f t="shared" ca="1" si="288"/>
        <v>2</v>
      </c>
      <c r="F873" s="110">
        <f t="shared" ca="1" si="289"/>
        <v>0</v>
      </c>
      <c r="G873">
        <v>1</v>
      </c>
      <c r="H873">
        <v>1</v>
      </c>
      <c r="I873">
        <v>5</v>
      </c>
      <c r="J873" s="1">
        <f t="shared" ca="1" si="290"/>
        <v>0</v>
      </c>
      <c r="K873" s="1">
        <f t="shared" ca="1" si="291"/>
        <v>0</v>
      </c>
      <c r="L873" s="13">
        <f t="shared" ca="1" si="292"/>
        <v>663</v>
      </c>
      <c r="M873" s="7">
        <f t="shared" ca="1" si="293"/>
        <v>837</v>
      </c>
      <c r="N873" s="26">
        <f t="shared" ca="1" si="294"/>
        <v>3</v>
      </c>
      <c r="O873" s="44">
        <f t="shared" ca="1" si="295"/>
        <v>2.2758855914378953</v>
      </c>
      <c r="P873" s="44">
        <f t="shared" ca="1" si="296"/>
        <v>22.758855914378952</v>
      </c>
      <c r="Q873" s="44">
        <f t="shared" ca="1" si="297"/>
        <v>22.758855914378952</v>
      </c>
      <c r="R873" s="44">
        <f t="shared" ca="1" si="298"/>
        <v>2.2758855914378953</v>
      </c>
      <c r="S873" s="44">
        <f t="shared" ca="1" si="299"/>
        <v>2.2758855914378953</v>
      </c>
      <c r="T873" s="4">
        <f t="shared" ca="1" si="300"/>
        <v>0</v>
      </c>
      <c r="U873" s="120">
        <f t="shared" ca="1" si="301"/>
        <v>2179.0063598009133</v>
      </c>
      <c r="V873" s="4">
        <f t="shared" ca="1" si="302"/>
        <v>0</v>
      </c>
      <c r="W873" s="13">
        <f t="shared" ca="1" si="303"/>
        <v>44042.006250000006</v>
      </c>
      <c r="X873" s="4">
        <f t="shared" ca="1" si="304"/>
        <v>0</v>
      </c>
      <c r="Y873" s="4">
        <f t="shared" si="305"/>
        <v>0</v>
      </c>
      <c r="Z873" s="13">
        <f t="shared" ca="1" si="306"/>
        <v>44042.006250000006</v>
      </c>
      <c r="AA873" s="4">
        <f t="shared" ca="1" si="307"/>
        <v>0</v>
      </c>
    </row>
    <row r="874" spans="1:27">
      <c r="A874">
        <v>2</v>
      </c>
      <c r="B874">
        <v>2</v>
      </c>
      <c r="C874">
        <f t="shared" ca="1" si="286"/>
        <v>6</v>
      </c>
      <c r="D874">
        <f t="shared" ca="1" si="287"/>
        <v>5</v>
      </c>
      <c r="E874">
        <f t="shared" ca="1" si="288"/>
        <v>2</v>
      </c>
      <c r="F874" s="110">
        <f t="shared" ca="1" si="289"/>
        <v>0</v>
      </c>
      <c r="G874">
        <v>1</v>
      </c>
      <c r="H874">
        <v>1</v>
      </c>
      <c r="I874">
        <v>4</v>
      </c>
      <c r="J874" s="1">
        <f t="shared" ca="1" si="290"/>
        <v>0</v>
      </c>
      <c r="K874" s="1">
        <f t="shared" ca="1" si="291"/>
        <v>0</v>
      </c>
      <c r="L874" s="13">
        <f t="shared" ca="1" si="292"/>
        <v>644</v>
      </c>
      <c r="M874" s="7">
        <f t="shared" ca="1" si="293"/>
        <v>856</v>
      </c>
      <c r="N874" s="26">
        <f t="shared" ca="1" si="294"/>
        <v>3</v>
      </c>
      <c r="O874" s="44">
        <f t="shared" ca="1" si="295"/>
        <v>2.2758855914378953</v>
      </c>
      <c r="P874" s="44">
        <f t="shared" ca="1" si="296"/>
        <v>22.758855914378952</v>
      </c>
      <c r="Q874" s="44">
        <f t="shared" ca="1" si="297"/>
        <v>22.758855914378952</v>
      </c>
      <c r="R874" s="44">
        <f t="shared" ca="1" si="298"/>
        <v>2.2758855914378953</v>
      </c>
      <c r="S874" s="44">
        <f t="shared" ca="1" si="299"/>
        <v>2.2758855914378953</v>
      </c>
      <c r="T874" s="4">
        <f t="shared" ca="1" si="300"/>
        <v>0</v>
      </c>
      <c r="U874" s="120">
        <f t="shared" ca="1" si="301"/>
        <v>2160.0063598009133</v>
      </c>
      <c r="V874" s="4">
        <f t="shared" ca="1" si="302"/>
        <v>0</v>
      </c>
      <c r="W874" s="13">
        <f t="shared" ca="1" si="303"/>
        <v>41268.881250000006</v>
      </c>
      <c r="X874" s="4">
        <f t="shared" ca="1" si="304"/>
        <v>0</v>
      </c>
      <c r="Y874" s="4">
        <f t="shared" si="305"/>
        <v>0</v>
      </c>
      <c r="Z874" s="13">
        <f t="shared" ca="1" si="306"/>
        <v>41268.881250000006</v>
      </c>
      <c r="AA874" s="4">
        <f t="shared" ca="1" si="307"/>
        <v>0</v>
      </c>
    </row>
    <row r="875" spans="1:27">
      <c r="A875">
        <v>2</v>
      </c>
      <c r="B875">
        <v>2</v>
      </c>
      <c r="C875">
        <f t="shared" ca="1" si="286"/>
        <v>6</v>
      </c>
      <c r="D875">
        <f t="shared" ca="1" si="287"/>
        <v>5</v>
      </c>
      <c r="E875">
        <f t="shared" ca="1" si="288"/>
        <v>2</v>
      </c>
      <c r="F875" s="110">
        <f t="shared" ca="1" si="289"/>
        <v>0</v>
      </c>
      <c r="G875">
        <v>1</v>
      </c>
      <c r="H875">
        <v>1</v>
      </c>
      <c r="I875">
        <v>3</v>
      </c>
      <c r="J875" s="1">
        <f t="shared" ca="1" si="290"/>
        <v>0</v>
      </c>
      <c r="K875" s="1">
        <f t="shared" ca="1" si="291"/>
        <v>0</v>
      </c>
      <c r="L875" s="13">
        <f t="shared" ca="1" si="292"/>
        <v>625</v>
      </c>
      <c r="M875" s="7">
        <f t="shared" ca="1" si="293"/>
        <v>875</v>
      </c>
      <c r="N875" s="26">
        <f t="shared" ca="1" si="294"/>
        <v>3</v>
      </c>
      <c r="O875" s="44">
        <f t="shared" ca="1" si="295"/>
        <v>2.2758855914378953</v>
      </c>
      <c r="P875" s="44">
        <f t="shared" ca="1" si="296"/>
        <v>22.758855914378952</v>
      </c>
      <c r="Q875" s="44">
        <f t="shared" ca="1" si="297"/>
        <v>22.758855914378952</v>
      </c>
      <c r="R875" s="44">
        <f t="shared" ca="1" si="298"/>
        <v>2.2758855914378953</v>
      </c>
      <c r="S875" s="44">
        <f t="shared" ca="1" si="299"/>
        <v>2.2758855914378953</v>
      </c>
      <c r="T875" s="4">
        <f t="shared" ca="1" si="300"/>
        <v>0</v>
      </c>
      <c r="U875" s="120">
        <f t="shared" ca="1" si="301"/>
        <v>2141.0063598009133</v>
      </c>
      <c r="V875" s="4">
        <f t="shared" ca="1" si="302"/>
        <v>0</v>
      </c>
      <c r="W875" s="13">
        <f t="shared" ca="1" si="303"/>
        <v>38495.756250000006</v>
      </c>
      <c r="X875" s="4">
        <f t="shared" ca="1" si="304"/>
        <v>0</v>
      </c>
      <c r="Y875" s="4">
        <f t="shared" si="305"/>
        <v>0</v>
      </c>
      <c r="Z875" s="13">
        <f t="shared" ca="1" si="306"/>
        <v>38495.756250000006</v>
      </c>
      <c r="AA875" s="4">
        <f t="shared" ca="1" si="307"/>
        <v>0</v>
      </c>
    </row>
    <row r="876" spans="1:27">
      <c r="A876">
        <v>2</v>
      </c>
      <c r="B876">
        <v>2</v>
      </c>
      <c r="C876">
        <f t="shared" ca="1" si="286"/>
        <v>6</v>
      </c>
      <c r="D876">
        <f t="shared" ca="1" si="287"/>
        <v>5</v>
      </c>
      <c r="E876">
        <f t="shared" ca="1" si="288"/>
        <v>2</v>
      </c>
      <c r="F876" s="110">
        <f t="shared" ca="1" si="289"/>
        <v>0</v>
      </c>
      <c r="G876">
        <v>1</v>
      </c>
      <c r="H876">
        <v>1</v>
      </c>
      <c r="I876">
        <v>2</v>
      </c>
      <c r="J876" s="1">
        <f t="shared" ca="1" si="290"/>
        <v>0</v>
      </c>
      <c r="K876" s="1">
        <f t="shared" ca="1" si="291"/>
        <v>0</v>
      </c>
      <c r="L876" s="13">
        <f t="shared" ca="1" si="292"/>
        <v>606</v>
      </c>
      <c r="M876" s="7">
        <f t="shared" ca="1" si="293"/>
        <v>894</v>
      </c>
      <c r="N876" s="26">
        <f t="shared" ca="1" si="294"/>
        <v>3</v>
      </c>
      <c r="O876" s="44">
        <f t="shared" ca="1" si="295"/>
        <v>2.2758855914378953</v>
      </c>
      <c r="P876" s="44">
        <f t="shared" ca="1" si="296"/>
        <v>22.758855914378952</v>
      </c>
      <c r="Q876" s="44">
        <f t="shared" ca="1" si="297"/>
        <v>22.758855914378952</v>
      </c>
      <c r="R876" s="44">
        <f t="shared" ca="1" si="298"/>
        <v>2.2758855914378953</v>
      </c>
      <c r="S876" s="44">
        <f t="shared" ca="1" si="299"/>
        <v>2.2758855914378953</v>
      </c>
      <c r="T876" s="4">
        <f t="shared" ca="1" si="300"/>
        <v>0</v>
      </c>
      <c r="U876" s="120">
        <f t="shared" ca="1" si="301"/>
        <v>2122.0063598009133</v>
      </c>
      <c r="V876" s="4">
        <f t="shared" ca="1" si="302"/>
        <v>0</v>
      </c>
      <c r="W876" s="13">
        <f t="shared" ca="1" si="303"/>
        <v>35722.631250000006</v>
      </c>
      <c r="X876" s="4">
        <f t="shared" ca="1" si="304"/>
        <v>0</v>
      </c>
      <c r="Y876" s="4">
        <f t="shared" si="305"/>
        <v>0</v>
      </c>
      <c r="Z876" s="13">
        <f t="shared" ca="1" si="306"/>
        <v>35722.631250000006</v>
      </c>
      <c r="AA876" s="4">
        <f t="shared" ca="1" si="307"/>
        <v>0</v>
      </c>
    </row>
    <row r="877" spans="1:27">
      <c r="A877">
        <v>2</v>
      </c>
      <c r="B877">
        <v>2</v>
      </c>
      <c r="C877">
        <f t="shared" ca="1" si="286"/>
        <v>6</v>
      </c>
      <c r="D877">
        <f t="shared" ca="1" si="287"/>
        <v>5</v>
      </c>
      <c r="E877">
        <f t="shared" ca="1" si="288"/>
        <v>2</v>
      </c>
      <c r="F877" s="110">
        <f t="shared" ca="1" si="289"/>
        <v>0</v>
      </c>
      <c r="G877">
        <v>1</v>
      </c>
      <c r="H877">
        <v>1</v>
      </c>
      <c r="I877">
        <v>1</v>
      </c>
      <c r="J877" s="1">
        <f t="shared" ca="1" si="290"/>
        <v>0</v>
      </c>
      <c r="K877" s="1">
        <f t="shared" ca="1" si="291"/>
        <v>0</v>
      </c>
      <c r="L877" s="13">
        <f t="shared" ca="1" si="292"/>
        <v>587</v>
      </c>
      <c r="M877" s="7">
        <f t="shared" ca="1" si="293"/>
        <v>913</v>
      </c>
      <c r="N877" s="26">
        <f t="shared" ca="1" si="294"/>
        <v>3</v>
      </c>
      <c r="O877" s="44">
        <f t="shared" ca="1" si="295"/>
        <v>2.2758855914378953</v>
      </c>
      <c r="P877" s="44">
        <f t="shared" ca="1" si="296"/>
        <v>22.758855914378952</v>
      </c>
      <c r="Q877" s="44">
        <f t="shared" ca="1" si="297"/>
        <v>22.758855914378952</v>
      </c>
      <c r="R877" s="44">
        <f t="shared" ca="1" si="298"/>
        <v>2.2758855914378953</v>
      </c>
      <c r="S877" s="44">
        <f t="shared" ca="1" si="299"/>
        <v>2.2758855914378953</v>
      </c>
      <c r="T877" s="4">
        <f t="shared" ca="1" si="300"/>
        <v>0</v>
      </c>
      <c r="U877" s="120">
        <f t="shared" ca="1" si="301"/>
        <v>2103.0063598009133</v>
      </c>
      <c r="V877" s="4">
        <f t="shared" ca="1" si="302"/>
        <v>0</v>
      </c>
      <c r="W877" s="13">
        <f t="shared" ca="1" si="303"/>
        <v>32949.506250000006</v>
      </c>
      <c r="X877" s="4">
        <f t="shared" ca="1" si="304"/>
        <v>0</v>
      </c>
      <c r="Y877" s="4">
        <f t="shared" si="305"/>
        <v>0</v>
      </c>
      <c r="Z877" s="13">
        <f t="shared" ca="1" si="306"/>
        <v>32949.506250000006</v>
      </c>
      <c r="AA877" s="4">
        <f t="shared" ca="1" si="307"/>
        <v>0</v>
      </c>
    </row>
    <row r="878" spans="1:27">
      <c r="A878">
        <v>2</v>
      </c>
      <c r="B878">
        <v>2</v>
      </c>
      <c r="C878">
        <f t="shared" ca="1" si="286"/>
        <v>6</v>
      </c>
      <c r="D878">
        <f t="shared" ca="1" si="287"/>
        <v>5</v>
      </c>
      <c r="E878">
        <f t="shared" ca="1" si="288"/>
        <v>2</v>
      </c>
      <c r="F878" s="110">
        <f t="shared" ca="1" si="289"/>
        <v>0</v>
      </c>
      <c r="G878">
        <v>1</v>
      </c>
      <c r="H878">
        <v>1</v>
      </c>
      <c r="I878">
        <v>0</v>
      </c>
      <c r="J878" s="1">
        <f t="shared" ca="1" si="290"/>
        <v>0</v>
      </c>
      <c r="K878" s="1">
        <f t="shared" ca="1" si="291"/>
        <v>0</v>
      </c>
      <c r="L878" s="13">
        <f t="shared" ca="1" si="292"/>
        <v>568</v>
      </c>
      <c r="M878" s="7">
        <f t="shared" ca="1" si="293"/>
        <v>932</v>
      </c>
      <c r="N878" s="26">
        <f t="shared" ca="1" si="294"/>
        <v>3</v>
      </c>
      <c r="O878" s="44">
        <f t="shared" ca="1" si="295"/>
        <v>2.2758855914378953</v>
      </c>
      <c r="P878" s="44">
        <f t="shared" ca="1" si="296"/>
        <v>22.758855914378952</v>
      </c>
      <c r="Q878" s="44">
        <f t="shared" ca="1" si="297"/>
        <v>22.758855914378952</v>
      </c>
      <c r="R878" s="44">
        <f t="shared" ca="1" si="298"/>
        <v>2.2758855914378953</v>
      </c>
      <c r="S878" s="44">
        <f t="shared" ca="1" si="299"/>
        <v>2.2758855914378953</v>
      </c>
      <c r="T878" s="4">
        <f t="shared" ca="1" si="300"/>
        <v>0</v>
      </c>
      <c r="U878" s="120">
        <f t="shared" ca="1" si="301"/>
        <v>2084.0063598009133</v>
      </c>
      <c r="V878" s="4">
        <f t="shared" ca="1" si="302"/>
        <v>0</v>
      </c>
      <c r="W878" s="13">
        <f t="shared" ca="1" si="303"/>
        <v>30176.381250000002</v>
      </c>
      <c r="X878" s="4">
        <f t="shared" ca="1" si="304"/>
        <v>0</v>
      </c>
      <c r="Y878" s="4">
        <f t="shared" si="305"/>
        <v>0</v>
      </c>
      <c r="Z878" s="13">
        <f t="shared" ca="1" si="306"/>
        <v>30176.381250000002</v>
      </c>
      <c r="AA878" s="4">
        <f t="shared" ca="1" si="307"/>
        <v>0</v>
      </c>
    </row>
    <row r="879" spans="1:27">
      <c r="A879">
        <v>2</v>
      </c>
      <c r="B879">
        <v>2</v>
      </c>
      <c r="C879">
        <f t="shared" ca="1" si="286"/>
        <v>6</v>
      </c>
      <c r="D879">
        <f t="shared" ca="1" si="287"/>
        <v>5</v>
      </c>
      <c r="E879">
        <f t="shared" ca="1" si="288"/>
        <v>2</v>
      </c>
      <c r="F879" s="110">
        <f t="shared" ca="1" si="289"/>
        <v>0</v>
      </c>
      <c r="G879">
        <v>1</v>
      </c>
      <c r="H879">
        <v>0</v>
      </c>
      <c r="I879">
        <v>7</v>
      </c>
      <c r="J879" s="1">
        <f t="shared" ca="1" si="290"/>
        <v>0</v>
      </c>
      <c r="K879" s="1">
        <f t="shared" ca="1" si="291"/>
        <v>0</v>
      </c>
      <c r="L879" s="13">
        <f t="shared" ca="1" si="292"/>
        <v>417</v>
      </c>
      <c r="M879" s="7">
        <f t="shared" ca="1" si="293"/>
        <v>1083</v>
      </c>
      <c r="N879" s="26">
        <f t="shared" ca="1" si="294"/>
        <v>4</v>
      </c>
      <c r="O879" s="44">
        <f t="shared" ca="1" si="295"/>
        <v>2.8908103757121246</v>
      </c>
      <c r="P879" s="44">
        <f t="shared" ca="1" si="296"/>
        <v>28.908103757121246</v>
      </c>
      <c r="Q879" s="44">
        <f t="shared" ca="1" si="297"/>
        <v>28.908103757121246</v>
      </c>
      <c r="R879" s="44">
        <f t="shared" ca="1" si="298"/>
        <v>2.8908103757121246</v>
      </c>
      <c r="S879" s="44">
        <f t="shared" ca="1" si="299"/>
        <v>2.8908103757121246</v>
      </c>
      <c r="T879" s="4">
        <f t="shared" ca="1" si="300"/>
        <v>0</v>
      </c>
      <c r="U879" s="120">
        <f t="shared" ca="1" si="301"/>
        <v>2268.675062040129</v>
      </c>
      <c r="V879" s="4">
        <f t="shared" ca="1" si="302"/>
        <v>0</v>
      </c>
      <c r="W879" s="13">
        <f t="shared" ca="1" si="303"/>
        <v>49588.256250000006</v>
      </c>
      <c r="X879" s="4">
        <f t="shared" ca="1" si="304"/>
        <v>0</v>
      </c>
      <c r="Y879" s="4">
        <f t="shared" si="305"/>
        <v>0</v>
      </c>
      <c r="Z879" s="13">
        <f t="shared" ca="1" si="306"/>
        <v>49588.256250000006</v>
      </c>
      <c r="AA879" s="4">
        <f t="shared" ca="1" si="307"/>
        <v>0</v>
      </c>
    </row>
    <row r="880" spans="1:27">
      <c r="A880">
        <v>2</v>
      </c>
      <c r="B880">
        <v>2</v>
      </c>
      <c r="C880">
        <f t="shared" ca="1" si="286"/>
        <v>6</v>
      </c>
      <c r="D880">
        <f t="shared" ca="1" si="287"/>
        <v>5</v>
      </c>
      <c r="E880">
        <f t="shared" ca="1" si="288"/>
        <v>2</v>
      </c>
      <c r="F880" s="110">
        <f t="shared" ca="1" si="289"/>
        <v>0</v>
      </c>
      <c r="G880">
        <v>1</v>
      </c>
      <c r="H880">
        <v>0</v>
      </c>
      <c r="I880">
        <v>6</v>
      </c>
      <c r="J880" s="1">
        <f t="shared" ca="1" si="290"/>
        <v>0</v>
      </c>
      <c r="K880" s="1">
        <f t="shared" ca="1" si="291"/>
        <v>0</v>
      </c>
      <c r="L880" s="13">
        <f t="shared" ca="1" si="292"/>
        <v>398</v>
      </c>
      <c r="M880" s="7">
        <f t="shared" ca="1" si="293"/>
        <v>1102</v>
      </c>
      <c r="N880" s="26">
        <f t="shared" ca="1" si="294"/>
        <v>4</v>
      </c>
      <c r="O880" s="44">
        <f t="shared" ca="1" si="295"/>
        <v>2.8908103757121246</v>
      </c>
      <c r="P880" s="44">
        <f t="shared" ca="1" si="296"/>
        <v>28.908103757121246</v>
      </c>
      <c r="Q880" s="44">
        <f t="shared" ca="1" si="297"/>
        <v>28.908103757121246</v>
      </c>
      <c r="R880" s="44">
        <f t="shared" ca="1" si="298"/>
        <v>2.8908103757121246</v>
      </c>
      <c r="S880" s="44">
        <f t="shared" ca="1" si="299"/>
        <v>2.8908103757121246</v>
      </c>
      <c r="T880" s="4">
        <f t="shared" ca="1" si="300"/>
        <v>0</v>
      </c>
      <c r="U880" s="120">
        <f t="shared" ca="1" si="301"/>
        <v>2249.675062040129</v>
      </c>
      <c r="V880" s="4">
        <f t="shared" ca="1" si="302"/>
        <v>0</v>
      </c>
      <c r="W880" s="13">
        <f t="shared" ca="1" si="303"/>
        <v>46815.131250000006</v>
      </c>
      <c r="X880" s="4">
        <f t="shared" ca="1" si="304"/>
        <v>0</v>
      </c>
      <c r="Y880" s="4">
        <f t="shared" si="305"/>
        <v>0</v>
      </c>
      <c r="Z880" s="13">
        <f t="shared" ca="1" si="306"/>
        <v>46815.131250000006</v>
      </c>
      <c r="AA880" s="4">
        <f t="shared" ca="1" si="307"/>
        <v>0</v>
      </c>
    </row>
    <row r="881" spans="1:27">
      <c r="A881">
        <v>2</v>
      </c>
      <c r="B881">
        <v>2</v>
      </c>
      <c r="C881">
        <f t="shared" ca="1" si="286"/>
        <v>6</v>
      </c>
      <c r="D881">
        <f t="shared" ca="1" si="287"/>
        <v>5</v>
      </c>
      <c r="E881">
        <f t="shared" ca="1" si="288"/>
        <v>2</v>
      </c>
      <c r="F881" s="110">
        <f t="shared" ca="1" si="289"/>
        <v>0</v>
      </c>
      <c r="G881">
        <v>1</v>
      </c>
      <c r="H881">
        <v>0</v>
      </c>
      <c r="I881">
        <v>5</v>
      </c>
      <c r="J881" s="1">
        <f t="shared" ca="1" si="290"/>
        <v>0.73509189062499991</v>
      </c>
      <c r="K881" s="1">
        <f t="shared" ca="1" si="291"/>
        <v>0</v>
      </c>
      <c r="L881" s="13">
        <f t="shared" ca="1" si="292"/>
        <v>379</v>
      </c>
      <c r="M881" s="7">
        <f t="shared" ca="1" si="293"/>
        <v>1121</v>
      </c>
      <c r="N881" s="26">
        <f t="shared" ca="1" si="294"/>
        <v>4</v>
      </c>
      <c r="O881" s="44">
        <f t="shared" ca="1" si="295"/>
        <v>2.8908103757121246</v>
      </c>
      <c r="P881" s="44">
        <f t="shared" ca="1" si="296"/>
        <v>28.908103757121246</v>
      </c>
      <c r="Q881" s="44">
        <f t="shared" ca="1" si="297"/>
        <v>28.908103757121246</v>
      </c>
      <c r="R881" s="44">
        <f t="shared" ca="1" si="298"/>
        <v>2.8908103757121246</v>
      </c>
      <c r="S881" s="44">
        <f t="shared" ca="1" si="299"/>
        <v>2.8908103757121246</v>
      </c>
      <c r="T881" s="4">
        <f t="shared" ca="1" si="300"/>
        <v>0</v>
      </c>
      <c r="U881" s="120">
        <f t="shared" ca="1" si="301"/>
        <v>2230.675062040129</v>
      </c>
      <c r="V881" s="4">
        <f t="shared" ca="1" si="302"/>
        <v>0</v>
      </c>
      <c r="W881" s="13">
        <f t="shared" ca="1" si="303"/>
        <v>44042.006250000006</v>
      </c>
      <c r="X881" s="4">
        <f t="shared" ca="1" si="304"/>
        <v>0</v>
      </c>
      <c r="Y881" s="4">
        <f t="shared" si="305"/>
        <v>0</v>
      </c>
      <c r="Z881" s="13">
        <f t="shared" ca="1" si="306"/>
        <v>44042.006250000006</v>
      </c>
      <c r="AA881" s="4">
        <f t="shared" ca="1" si="307"/>
        <v>0</v>
      </c>
    </row>
    <row r="882" spans="1:27">
      <c r="A882">
        <v>2</v>
      </c>
      <c r="B882">
        <v>2</v>
      </c>
      <c r="C882">
        <f t="shared" ca="1" si="286"/>
        <v>6</v>
      </c>
      <c r="D882">
        <f t="shared" ca="1" si="287"/>
        <v>5</v>
      </c>
      <c r="E882">
        <f t="shared" ca="1" si="288"/>
        <v>2</v>
      </c>
      <c r="F882" s="110">
        <f t="shared" ca="1" si="289"/>
        <v>0</v>
      </c>
      <c r="G882">
        <v>1</v>
      </c>
      <c r="H882">
        <v>0</v>
      </c>
      <c r="I882">
        <v>4</v>
      </c>
      <c r="J882" s="1">
        <f t="shared" ca="1" si="290"/>
        <v>0.19344523437500014</v>
      </c>
      <c r="K882" s="1">
        <f t="shared" ca="1" si="291"/>
        <v>0</v>
      </c>
      <c r="L882" s="13">
        <f t="shared" ca="1" si="292"/>
        <v>360</v>
      </c>
      <c r="M882" s="7">
        <f t="shared" ca="1" si="293"/>
        <v>1140</v>
      </c>
      <c r="N882" s="26">
        <f t="shared" ca="1" si="294"/>
        <v>4</v>
      </c>
      <c r="O882" s="44">
        <f t="shared" ca="1" si="295"/>
        <v>2.8908103757121246</v>
      </c>
      <c r="P882" s="44">
        <f t="shared" ca="1" si="296"/>
        <v>28.908103757121246</v>
      </c>
      <c r="Q882" s="44">
        <f t="shared" ca="1" si="297"/>
        <v>28.908103757121246</v>
      </c>
      <c r="R882" s="44">
        <f t="shared" ca="1" si="298"/>
        <v>2.8908103757121246</v>
      </c>
      <c r="S882" s="44">
        <f t="shared" ca="1" si="299"/>
        <v>2.8908103757121246</v>
      </c>
      <c r="T882" s="4">
        <f t="shared" ca="1" si="300"/>
        <v>0</v>
      </c>
      <c r="U882" s="120">
        <f t="shared" ca="1" si="301"/>
        <v>2211.675062040129</v>
      </c>
      <c r="V882" s="4">
        <f t="shared" ca="1" si="302"/>
        <v>0</v>
      </c>
      <c r="W882" s="13">
        <f t="shared" ca="1" si="303"/>
        <v>41268.881250000006</v>
      </c>
      <c r="X882" s="4">
        <f t="shared" ca="1" si="304"/>
        <v>0</v>
      </c>
      <c r="Y882" s="4">
        <f t="shared" si="305"/>
        <v>0</v>
      </c>
      <c r="Z882" s="13">
        <f t="shared" ca="1" si="306"/>
        <v>41268.881250000006</v>
      </c>
      <c r="AA882" s="4">
        <f t="shared" ca="1" si="307"/>
        <v>0</v>
      </c>
    </row>
    <row r="883" spans="1:27">
      <c r="A883">
        <v>2</v>
      </c>
      <c r="B883">
        <v>2</v>
      </c>
      <c r="C883">
        <f t="shared" ca="1" si="286"/>
        <v>6</v>
      </c>
      <c r="D883">
        <f t="shared" ca="1" si="287"/>
        <v>5</v>
      </c>
      <c r="E883">
        <f t="shared" ca="1" si="288"/>
        <v>2</v>
      </c>
      <c r="F883" s="110">
        <f t="shared" ca="1" si="289"/>
        <v>0</v>
      </c>
      <c r="G883">
        <v>1</v>
      </c>
      <c r="H883">
        <v>0</v>
      </c>
      <c r="I883">
        <v>3</v>
      </c>
      <c r="J883" s="1">
        <f t="shared" ca="1" si="290"/>
        <v>2.0362656250000031E-2</v>
      </c>
      <c r="K883" s="1">
        <f t="shared" ca="1" si="291"/>
        <v>0</v>
      </c>
      <c r="L883" s="13">
        <f t="shared" ca="1" si="292"/>
        <v>341</v>
      </c>
      <c r="M883" s="7">
        <f t="shared" ca="1" si="293"/>
        <v>1159</v>
      </c>
      <c r="N883" s="26">
        <f t="shared" ca="1" si="294"/>
        <v>4</v>
      </c>
      <c r="O883" s="44">
        <f t="shared" ca="1" si="295"/>
        <v>2.8908103757121246</v>
      </c>
      <c r="P883" s="44">
        <f t="shared" ca="1" si="296"/>
        <v>28.908103757121246</v>
      </c>
      <c r="Q883" s="44">
        <f t="shared" ca="1" si="297"/>
        <v>28.908103757121246</v>
      </c>
      <c r="R883" s="44">
        <f t="shared" ca="1" si="298"/>
        <v>2.8908103757121246</v>
      </c>
      <c r="S883" s="44">
        <f t="shared" ca="1" si="299"/>
        <v>2.8908103757121246</v>
      </c>
      <c r="T883" s="4">
        <f t="shared" ca="1" si="300"/>
        <v>0</v>
      </c>
      <c r="U883" s="120">
        <f t="shared" ca="1" si="301"/>
        <v>2192.675062040129</v>
      </c>
      <c r="V883" s="4">
        <f t="shared" ca="1" si="302"/>
        <v>0</v>
      </c>
      <c r="W883" s="13">
        <f t="shared" ca="1" si="303"/>
        <v>38495.756250000006</v>
      </c>
      <c r="X883" s="4">
        <f t="shared" ca="1" si="304"/>
        <v>0</v>
      </c>
      <c r="Y883" s="4">
        <f t="shared" si="305"/>
        <v>0</v>
      </c>
      <c r="Z883" s="13">
        <f t="shared" ca="1" si="306"/>
        <v>38495.756250000006</v>
      </c>
      <c r="AA883" s="4">
        <f t="shared" ca="1" si="307"/>
        <v>0</v>
      </c>
    </row>
    <row r="884" spans="1:27">
      <c r="A884">
        <v>2</v>
      </c>
      <c r="B884">
        <v>2</v>
      </c>
      <c r="C884">
        <f t="shared" ca="1" si="286"/>
        <v>6</v>
      </c>
      <c r="D884">
        <f t="shared" ca="1" si="287"/>
        <v>5</v>
      </c>
      <c r="E884">
        <f t="shared" ca="1" si="288"/>
        <v>2</v>
      </c>
      <c r="F884" s="110">
        <f t="shared" ca="1" si="289"/>
        <v>0</v>
      </c>
      <c r="G884">
        <v>1</v>
      </c>
      <c r="H884">
        <v>0</v>
      </c>
      <c r="I884">
        <v>2</v>
      </c>
      <c r="J884" s="1">
        <f t="shared" ca="1" si="290"/>
        <v>1.0717187500000028E-3</v>
      </c>
      <c r="K884" s="1">
        <f t="shared" ca="1" si="291"/>
        <v>0</v>
      </c>
      <c r="L884" s="13">
        <f t="shared" ca="1" si="292"/>
        <v>322</v>
      </c>
      <c r="M884" s="7">
        <f t="shared" ca="1" si="293"/>
        <v>1178</v>
      </c>
      <c r="N884" s="26">
        <f t="shared" ca="1" si="294"/>
        <v>4</v>
      </c>
      <c r="O884" s="44">
        <f t="shared" ca="1" si="295"/>
        <v>2.8908103757121246</v>
      </c>
      <c r="P884" s="44">
        <f t="shared" ca="1" si="296"/>
        <v>28.908103757121246</v>
      </c>
      <c r="Q884" s="44">
        <f t="shared" ca="1" si="297"/>
        <v>28.908103757121246</v>
      </c>
      <c r="R884" s="44">
        <f t="shared" ca="1" si="298"/>
        <v>2.8908103757121246</v>
      </c>
      <c r="S884" s="44">
        <f t="shared" ca="1" si="299"/>
        <v>2.8908103757121246</v>
      </c>
      <c r="T884" s="4">
        <f t="shared" ca="1" si="300"/>
        <v>0</v>
      </c>
      <c r="U884" s="120">
        <f t="shared" ca="1" si="301"/>
        <v>2173.675062040129</v>
      </c>
      <c r="V884" s="4">
        <f t="shared" ca="1" si="302"/>
        <v>0</v>
      </c>
      <c r="W884" s="13">
        <f t="shared" ca="1" si="303"/>
        <v>35722.631250000006</v>
      </c>
      <c r="X884" s="4">
        <f t="shared" ca="1" si="304"/>
        <v>0</v>
      </c>
      <c r="Y884" s="4">
        <f t="shared" si="305"/>
        <v>0</v>
      </c>
      <c r="Z884" s="13">
        <f t="shared" ca="1" si="306"/>
        <v>35722.631250000006</v>
      </c>
      <c r="AA884" s="4">
        <f t="shared" ca="1" si="307"/>
        <v>0</v>
      </c>
    </row>
    <row r="885" spans="1:27">
      <c r="A885">
        <v>2</v>
      </c>
      <c r="B885">
        <v>2</v>
      </c>
      <c r="C885">
        <f t="shared" ca="1" si="286"/>
        <v>6</v>
      </c>
      <c r="D885">
        <f t="shared" ca="1" si="287"/>
        <v>5</v>
      </c>
      <c r="E885">
        <f t="shared" ca="1" si="288"/>
        <v>2</v>
      </c>
      <c r="F885" s="110">
        <f t="shared" ca="1" si="289"/>
        <v>0</v>
      </c>
      <c r="G885">
        <v>1</v>
      </c>
      <c r="H885">
        <v>0</v>
      </c>
      <c r="I885">
        <v>1</v>
      </c>
      <c r="J885" s="1">
        <f t="shared" ca="1" si="290"/>
        <v>2.8203125000000098E-5</v>
      </c>
      <c r="K885" s="1">
        <f t="shared" ca="1" si="291"/>
        <v>0</v>
      </c>
      <c r="L885" s="13">
        <f t="shared" ca="1" si="292"/>
        <v>303</v>
      </c>
      <c r="M885" s="7">
        <f t="shared" ca="1" si="293"/>
        <v>1197</v>
      </c>
      <c r="N885" s="26">
        <f t="shared" ca="1" si="294"/>
        <v>4</v>
      </c>
      <c r="O885" s="44">
        <f t="shared" ca="1" si="295"/>
        <v>2.8908103757121246</v>
      </c>
      <c r="P885" s="44">
        <f t="shared" ca="1" si="296"/>
        <v>28.908103757121246</v>
      </c>
      <c r="Q885" s="44">
        <f t="shared" ca="1" si="297"/>
        <v>28.908103757121246</v>
      </c>
      <c r="R885" s="44">
        <f t="shared" ca="1" si="298"/>
        <v>2.8908103757121246</v>
      </c>
      <c r="S885" s="44">
        <f t="shared" ca="1" si="299"/>
        <v>2.8908103757121246</v>
      </c>
      <c r="T885" s="4">
        <f t="shared" ca="1" si="300"/>
        <v>0</v>
      </c>
      <c r="U885" s="120">
        <f t="shared" ca="1" si="301"/>
        <v>2154.675062040129</v>
      </c>
      <c r="V885" s="4">
        <f t="shared" ca="1" si="302"/>
        <v>0</v>
      </c>
      <c r="W885" s="13">
        <f t="shared" ca="1" si="303"/>
        <v>32949.506250000006</v>
      </c>
      <c r="X885" s="4">
        <f t="shared" ca="1" si="304"/>
        <v>0</v>
      </c>
      <c r="Y885" s="4">
        <f t="shared" si="305"/>
        <v>0</v>
      </c>
      <c r="Z885" s="13">
        <f t="shared" ca="1" si="306"/>
        <v>32949.506250000006</v>
      </c>
      <c r="AA885" s="4">
        <f t="shared" ca="1" si="307"/>
        <v>0</v>
      </c>
    </row>
    <row r="886" spans="1:27">
      <c r="A886">
        <v>2</v>
      </c>
      <c r="B886">
        <v>2</v>
      </c>
      <c r="C886">
        <f t="shared" ca="1" si="286"/>
        <v>6</v>
      </c>
      <c r="D886">
        <f t="shared" ca="1" si="287"/>
        <v>5</v>
      </c>
      <c r="E886">
        <f t="shared" ca="1" si="288"/>
        <v>2</v>
      </c>
      <c r="F886" s="110">
        <f t="shared" ca="1" si="289"/>
        <v>0</v>
      </c>
      <c r="G886">
        <v>1</v>
      </c>
      <c r="H886">
        <v>0</v>
      </c>
      <c r="I886">
        <v>0</v>
      </c>
      <c r="J886" s="1">
        <f t="shared" ca="1" si="290"/>
        <v>2.9687500000000134E-7</v>
      </c>
      <c r="K886" s="1">
        <f t="shared" ca="1" si="291"/>
        <v>0</v>
      </c>
      <c r="L886" s="13">
        <f t="shared" ca="1" si="292"/>
        <v>284</v>
      </c>
      <c r="M886" s="7">
        <f t="shared" ca="1" si="293"/>
        <v>1216</v>
      </c>
      <c r="N886" s="26">
        <f t="shared" ca="1" si="294"/>
        <v>4</v>
      </c>
      <c r="O886" s="44">
        <f t="shared" ca="1" si="295"/>
        <v>2.8908103757121246</v>
      </c>
      <c r="P886" s="44">
        <f t="shared" ca="1" si="296"/>
        <v>28.908103757121246</v>
      </c>
      <c r="Q886" s="44">
        <f t="shared" ca="1" si="297"/>
        <v>28.908103757121246</v>
      </c>
      <c r="R886" s="44">
        <f t="shared" ca="1" si="298"/>
        <v>2.8908103757121246</v>
      </c>
      <c r="S886" s="44">
        <f t="shared" ca="1" si="299"/>
        <v>2.8908103757121246</v>
      </c>
      <c r="T886" s="4">
        <f t="shared" ca="1" si="300"/>
        <v>0</v>
      </c>
      <c r="U886" s="120">
        <f t="shared" ca="1" si="301"/>
        <v>2135.675062040129</v>
      </c>
      <c r="V886" s="4">
        <f t="shared" ca="1" si="302"/>
        <v>0</v>
      </c>
      <c r="W886" s="13">
        <f t="shared" ca="1" si="303"/>
        <v>30176.381250000002</v>
      </c>
      <c r="X886" s="4">
        <f t="shared" ca="1" si="304"/>
        <v>0</v>
      </c>
      <c r="Y886" s="4">
        <f t="shared" si="305"/>
        <v>0</v>
      </c>
      <c r="Z886" s="13">
        <f t="shared" ca="1" si="306"/>
        <v>30176.381250000002</v>
      </c>
      <c r="AA886" s="4">
        <f t="shared" ca="1" si="307"/>
        <v>0</v>
      </c>
    </row>
    <row r="887" spans="1:27">
      <c r="A887">
        <v>2</v>
      </c>
      <c r="B887">
        <v>2</v>
      </c>
      <c r="C887">
        <f t="shared" ca="1" si="286"/>
        <v>6</v>
      </c>
      <c r="D887">
        <f t="shared" ca="1" si="287"/>
        <v>5</v>
      </c>
      <c r="E887">
        <f t="shared" ca="1" si="288"/>
        <v>2</v>
      </c>
      <c r="F887" s="110">
        <f t="shared" ca="1" si="289"/>
        <v>0</v>
      </c>
      <c r="G887">
        <v>0</v>
      </c>
      <c r="H887">
        <v>1</v>
      </c>
      <c r="I887">
        <v>7</v>
      </c>
      <c r="J887" s="1">
        <f t="shared" ca="1" si="290"/>
        <v>0</v>
      </c>
      <c r="K887" s="1">
        <f t="shared" ca="1" si="291"/>
        <v>0</v>
      </c>
      <c r="L887" s="13">
        <f t="shared" ca="1" si="292"/>
        <v>417</v>
      </c>
      <c r="M887" s="7">
        <f t="shared" ca="1" si="293"/>
        <v>1083</v>
      </c>
      <c r="N887" s="26">
        <f t="shared" ca="1" si="294"/>
        <v>4</v>
      </c>
      <c r="O887" s="44">
        <f t="shared" ca="1" si="295"/>
        <v>2.8908103757121246</v>
      </c>
      <c r="P887" s="44">
        <f t="shared" ca="1" si="296"/>
        <v>28.908103757121246</v>
      </c>
      <c r="Q887" s="44">
        <f t="shared" ca="1" si="297"/>
        <v>28.908103757121246</v>
      </c>
      <c r="R887" s="44">
        <f t="shared" ca="1" si="298"/>
        <v>2.8908103757121246</v>
      </c>
      <c r="S887" s="44">
        <f t="shared" ca="1" si="299"/>
        <v>2.8908103757121246</v>
      </c>
      <c r="T887" s="4">
        <f t="shared" ca="1" si="300"/>
        <v>0</v>
      </c>
      <c r="U887" s="120">
        <f t="shared" ca="1" si="301"/>
        <v>2268.675062040129</v>
      </c>
      <c r="V887" s="4">
        <f t="shared" ca="1" si="302"/>
        <v>0</v>
      </c>
      <c r="W887" s="13">
        <f t="shared" ca="1" si="303"/>
        <v>19411.875</v>
      </c>
      <c r="X887" s="4">
        <f t="shared" ca="1" si="304"/>
        <v>0</v>
      </c>
      <c r="Y887" s="4">
        <f t="shared" si="305"/>
        <v>0</v>
      </c>
      <c r="Z887" s="13">
        <f t="shared" ca="1" si="306"/>
        <v>19411.875</v>
      </c>
      <c r="AA887" s="4">
        <f t="shared" ca="1" si="307"/>
        <v>0</v>
      </c>
    </row>
    <row r="888" spans="1:27">
      <c r="A888">
        <v>2</v>
      </c>
      <c r="B888">
        <v>2</v>
      </c>
      <c r="C888">
        <f t="shared" ca="1" si="286"/>
        <v>6</v>
      </c>
      <c r="D888">
        <f t="shared" ca="1" si="287"/>
        <v>5</v>
      </c>
      <c r="E888">
        <f t="shared" ca="1" si="288"/>
        <v>2</v>
      </c>
      <c r="F888" s="110">
        <f t="shared" ca="1" si="289"/>
        <v>0</v>
      </c>
      <c r="G888">
        <v>0</v>
      </c>
      <c r="H888">
        <v>1</v>
      </c>
      <c r="I888">
        <v>6</v>
      </c>
      <c r="J888" s="1">
        <f t="shared" ca="1" si="290"/>
        <v>0</v>
      </c>
      <c r="K888" s="1">
        <f t="shared" ca="1" si="291"/>
        <v>0</v>
      </c>
      <c r="L888" s="13">
        <f t="shared" ca="1" si="292"/>
        <v>398</v>
      </c>
      <c r="M888" s="7">
        <f t="shared" ca="1" si="293"/>
        <v>1102</v>
      </c>
      <c r="N888" s="26">
        <f t="shared" ca="1" si="294"/>
        <v>4</v>
      </c>
      <c r="O888" s="44">
        <f t="shared" ca="1" si="295"/>
        <v>2.8908103757121246</v>
      </c>
      <c r="P888" s="44">
        <f t="shared" ca="1" si="296"/>
        <v>28.908103757121246</v>
      </c>
      <c r="Q888" s="44">
        <f t="shared" ca="1" si="297"/>
        <v>28.908103757121246</v>
      </c>
      <c r="R888" s="44">
        <f t="shared" ca="1" si="298"/>
        <v>2.8908103757121246</v>
      </c>
      <c r="S888" s="44">
        <f t="shared" ca="1" si="299"/>
        <v>2.8908103757121246</v>
      </c>
      <c r="T888" s="4">
        <f t="shared" ca="1" si="300"/>
        <v>0</v>
      </c>
      <c r="U888" s="120">
        <f t="shared" ca="1" si="301"/>
        <v>2249.675062040129</v>
      </c>
      <c r="V888" s="4">
        <f t="shared" ca="1" si="302"/>
        <v>0</v>
      </c>
      <c r="W888" s="13">
        <f t="shared" ca="1" si="303"/>
        <v>16638.75</v>
      </c>
      <c r="X888" s="4">
        <f t="shared" ca="1" si="304"/>
        <v>0</v>
      </c>
      <c r="Y888" s="4">
        <f t="shared" si="305"/>
        <v>0</v>
      </c>
      <c r="Z888" s="13">
        <f t="shared" ca="1" si="306"/>
        <v>16638.75</v>
      </c>
      <c r="AA888" s="4">
        <f t="shared" ca="1" si="307"/>
        <v>0</v>
      </c>
    </row>
    <row r="889" spans="1:27">
      <c r="A889">
        <v>2</v>
      </c>
      <c r="B889">
        <v>2</v>
      </c>
      <c r="C889">
        <f t="shared" ca="1" si="286"/>
        <v>6</v>
      </c>
      <c r="D889">
        <f t="shared" ca="1" si="287"/>
        <v>5</v>
      </c>
      <c r="E889">
        <f t="shared" ca="1" si="288"/>
        <v>2</v>
      </c>
      <c r="F889" s="110">
        <f t="shared" ca="1" si="289"/>
        <v>0</v>
      </c>
      <c r="G889">
        <v>0</v>
      </c>
      <c r="H889">
        <v>1</v>
      </c>
      <c r="I889">
        <v>5</v>
      </c>
      <c r="J889" s="1">
        <f t="shared" ca="1" si="290"/>
        <v>0</v>
      </c>
      <c r="K889" s="1">
        <f t="shared" ca="1" si="291"/>
        <v>0</v>
      </c>
      <c r="L889" s="13">
        <f t="shared" ca="1" si="292"/>
        <v>379</v>
      </c>
      <c r="M889" s="7">
        <f t="shared" ca="1" si="293"/>
        <v>1121</v>
      </c>
      <c r="N889" s="26">
        <f t="shared" ca="1" si="294"/>
        <v>4</v>
      </c>
      <c r="O889" s="44">
        <f t="shared" ca="1" si="295"/>
        <v>2.8908103757121246</v>
      </c>
      <c r="P889" s="44">
        <f t="shared" ca="1" si="296"/>
        <v>28.908103757121246</v>
      </c>
      <c r="Q889" s="44">
        <f t="shared" ca="1" si="297"/>
        <v>28.908103757121246</v>
      </c>
      <c r="R889" s="44">
        <f t="shared" ca="1" si="298"/>
        <v>2.8908103757121246</v>
      </c>
      <c r="S889" s="44">
        <f t="shared" ca="1" si="299"/>
        <v>2.8908103757121246</v>
      </c>
      <c r="T889" s="4">
        <f t="shared" ca="1" si="300"/>
        <v>0</v>
      </c>
      <c r="U889" s="120">
        <f t="shared" ca="1" si="301"/>
        <v>2230.675062040129</v>
      </c>
      <c r="V889" s="4">
        <f t="shared" ca="1" si="302"/>
        <v>0</v>
      </c>
      <c r="W889" s="13">
        <f t="shared" ca="1" si="303"/>
        <v>13865.625</v>
      </c>
      <c r="X889" s="4">
        <f t="shared" ca="1" si="304"/>
        <v>0</v>
      </c>
      <c r="Y889" s="4">
        <f t="shared" si="305"/>
        <v>0</v>
      </c>
      <c r="Z889" s="13">
        <f t="shared" ca="1" si="306"/>
        <v>13865.625</v>
      </c>
      <c r="AA889" s="4">
        <f t="shared" ca="1" si="307"/>
        <v>0</v>
      </c>
    </row>
    <row r="890" spans="1:27">
      <c r="A890">
        <v>2</v>
      </c>
      <c r="B890">
        <v>2</v>
      </c>
      <c r="C890">
        <f t="shared" ca="1" si="286"/>
        <v>6</v>
      </c>
      <c r="D890">
        <f t="shared" ca="1" si="287"/>
        <v>5</v>
      </c>
      <c r="E890">
        <f t="shared" ca="1" si="288"/>
        <v>2</v>
      </c>
      <c r="F890" s="110">
        <f t="shared" ca="1" si="289"/>
        <v>0</v>
      </c>
      <c r="G890">
        <v>0</v>
      </c>
      <c r="H890">
        <v>1</v>
      </c>
      <c r="I890">
        <v>4</v>
      </c>
      <c r="J890" s="1">
        <f t="shared" ca="1" si="290"/>
        <v>0</v>
      </c>
      <c r="K890" s="1">
        <f t="shared" ca="1" si="291"/>
        <v>0</v>
      </c>
      <c r="L890" s="13">
        <f t="shared" ca="1" si="292"/>
        <v>360</v>
      </c>
      <c r="M890" s="7">
        <f t="shared" ca="1" si="293"/>
        <v>1140</v>
      </c>
      <c r="N890" s="26">
        <f t="shared" ca="1" si="294"/>
        <v>4</v>
      </c>
      <c r="O890" s="44">
        <f t="shared" ca="1" si="295"/>
        <v>2.8908103757121246</v>
      </c>
      <c r="P890" s="44">
        <f t="shared" ca="1" si="296"/>
        <v>28.908103757121246</v>
      </c>
      <c r="Q890" s="44">
        <f t="shared" ca="1" si="297"/>
        <v>28.908103757121246</v>
      </c>
      <c r="R890" s="44">
        <f t="shared" ca="1" si="298"/>
        <v>2.8908103757121246</v>
      </c>
      <c r="S890" s="44">
        <f t="shared" ca="1" si="299"/>
        <v>2.8908103757121246</v>
      </c>
      <c r="T890" s="4">
        <f t="shared" ca="1" si="300"/>
        <v>0</v>
      </c>
      <c r="U890" s="120">
        <f t="shared" ca="1" si="301"/>
        <v>2211.675062040129</v>
      </c>
      <c r="V890" s="4">
        <f t="shared" ca="1" si="302"/>
        <v>0</v>
      </c>
      <c r="W890" s="13">
        <f t="shared" ca="1" si="303"/>
        <v>11092.5</v>
      </c>
      <c r="X890" s="4">
        <f t="shared" ca="1" si="304"/>
        <v>0</v>
      </c>
      <c r="Y890" s="4">
        <f t="shared" si="305"/>
        <v>0</v>
      </c>
      <c r="Z890" s="13">
        <f t="shared" ca="1" si="306"/>
        <v>11092.5</v>
      </c>
      <c r="AA890" s="4">
        <f t="shared" ca="1" si="307"/>
        <v>0</v>
      </c>
    </row>
    <row r="891" spans="1:27">
      <c r="A891">
        <v>2</v>
      </c>
      <c r="B891">
        <v>2</v>
      </c>
      <c r="C891">
        <f t="shared" ca="1" si="286"/>
        <v>6</v>
      </c>
      <c r="D891">
        <f t="shared" ca="1" si="287"/>
        <v>5</v>
      </c>
      <c r="E891">
        <f t="shared" ca="1" si="288"/>
        <v>2</v>
      </c>
      <c r="F891" s="110">
        <f t="shared" ca="1" si="289"/>
        <v>0</v>
      </c>
      <c r="G891">
        <v>0</v>
      </c>
      <c r="H891">
        <v>1</v>
      </c>
      <c r="I891">
        <v>3</v>
      </c>
      <c r="J891" s="1">
        <f t="shared" ca="1" si="290"/>
        <v>0</v>
      </c>
      <c r="K891" s="1">
        <f t="shared" ca="1" si="291"/>
        <v>0</v>
      </c>
      <c r="L891" s="13">
        <f t="shared" ca="1" si="292"/>
        <v>341</v>
      </c>
      <c r="M891" s="7">
        <f t="shared" ca="1" si="293"/>
        <v>1159</v>
      </c>
      <c r="N891" s="26">
        <f t="shared" ca="1" si="294"/>
        <v>4</v>
      </c>
      <c r="O891" s="44">
        <f t="shared" ca="1" si="295"/>
        <v>2.8908103757121246</v>
      </c>
      <c r="P891" s="44">
        <f t="shared" ca="1" si="296"/>
        <v>28.908103757121246</v>
      </c>
      <c r="Q891" s="44">
        <f t="shared" ca="1" si="297"/>
        <v>28.908103757121246</v>
      </c>
      <c r="R891" s="44">
        <f t="shared" ca="1" si="298"/>
        <v>2.8908103757121246</v>
      </c>
      <c r="S891" s="44">
        <f t="shared" ca="1" si="299"/>
        <v>2.8908103757121246</v>
      </c>
      <c r="T891" s="4">
        <f t="shared" ca="1" si="300"/>
        <v>0</v>
      </c>
      <c r="U891" s="120">
        <f t="shared" ca="1" si="301"/>
        <v>2192.675062040129</v>
      </c>
      <c r="V891" s="4">
        <f t="shared" ca="1" si="302"/>
        <v>0</v>
      </c>
      <c r="W891" s="13">
        <f t="shared" ca="1" si="303"/>
        <v>8319.375</v>
      </c>
      <c r="X891" s="4">
        <f t="shared" ca="1" si="304"/>
        <v>0</v>
      </c>
      <c r="Y891" s="4">
        <f t="shared" si="305"/>
        <v>0</v>
      </c>
      <c r="Z891" s="13">
        <f t="shared" ca="1" si="306"/>
        <v>8319.375</v>
      </c>
      <c r="AA891" s="4">
        <f t="shared" ca="1" si="307"/>
        <v>0</v>
      </c>
    </row>
    <row r="892" spans="1:27">
      <c r="A892">
        <v>2</v>
      </c>
      <c r="B892">
        <v>2</v>
      </c>
      <c r="C892">
        <f t="shared" ca="1" si="286"/>
        <v>6</v>
      </c>
      <c r="D892">
        <f t="shared" ca="1" si="287"/>
        <v>5</v>
      </c>
      <c r="E892">
        <f t="shared" ca="1" si="288"/>
        <v>2</v>
      </c>
      <c r="F892" s="110">
        <f t="shared" ca="1" si="289"/>
        <v>0</v>
      </c>
      <c r="G892">
        <v>0</v>
      </c>
      <c r="H892">
        <v>1</v>
      </c>
      <c r="I892">
        <v>2</v>
      </c>
      <c r="J892" s="1">
        <f t="shared" ca="1" si="290"/>
        <v>0</v>
      </c>
      <c r="K892" s="1">
        <f t="shared" ca="1" si="291"/>
        <v>0</v>
      </c>
      <c r="L892" s="13">
        <f t="shared" ca="1" si="292"/>
        <v>322</v>
      </c>
      <c r="M892" s="7">
        <f t="shared" ca="1" si="293"/>
        <v>1178</v>
      </c>
      <c r="N892" s="26">
        <f t="shared" ca="1" si="294"/>
        <v>4</v>
      </c>
      <c r="O892" s="44">
        <f t="shared" ca="1" si="295"/>
        <v>2.8908103757121246</v>
      </c>
      <c r="P892" s="44">
        <f t="shared" ca="1" si="296"/>
        <v>28.908103757121246</v>
      </c>
      <c r="Q892" s="44">
        <f t="shared" ca="1" si="297"/>
        <v>28.908103757121246</v>
      </c>
      <c r="R892" s="44">
        <f t="shared" ca="1" si="298"/>
        <v>2.8908103757121246</v>
      </c>
      <c r="S892" s="44">
        <f t="shared" ca="1" si="299"/>
        <v>2.8908103757121246</v>
      </c>
      <c r="T892" s="4">
        <f t="shared" ca="1" si="300"/>
        <v>0</v>
      </c>
      <c r="U892" s="120">
        <f t="shared" ca="1" si="301"/>
        <v>2173.675062040129</v>
      </c>
      <c r="V892" s="4">
        <f t="shared" ca="1" si="302"/>
        <v>0</v>
      </c>
      <c r="W892" s="13">
        <f t="shared" ca="1" si="303"/>
        <v>5546.25</v>
      </c>
      <c r="X892" s="4">
        <f t="shared" ca="1" si="304"/>
        <v>0</v>
      </c>
      <c r="Y892" s="4">
        <f t="shared" si="305"/>
        <v>0</v>
      </c>
      <c r="Z892" s="13">
        <f t="shared" ca="1" si="306"/>
        <v>5546.25</v>
      </c>
      <c r="AA892" s="4">
        <f t="shared" ca="1" si="307"/>
        <v>0</v>
      </c>
    </row>
    <row r="893" spans="1:27">
      <c r="A893">
        <v>2</v>
      </c>
      <c r="B893">
        <v>2</v>
      </c>
      <c r="C893">
        <f t="shared" ca="1" si="286"/>
        <v>6</v>
      </c>
      <c r="D893">
        <f t="shared" ca="1" si="287"/>
        <v>5</v>
      </c>
      <c r="E893">
        <f t="shared" ca="1" si="288"/>
        <v>2</v>
      </c>
      <c r="F893" s="110">
        <f t="shared" ca="1" si="289"/>
        <v>0</v>
      </c>
      <c r="G893">
        <v>0</v>
      </c>
      <c r="H893">
        <v>1</v>
      </c>
      <c r="I893">
        <v>1</v>
      </c>
      <c r="J893" s="1">
        <f t="shared" ca="1" si="290"/>
        <v>0</v>
      </c>
      <c r="K893" s="1">
        <f t="shared" ca="1" si="291"/>
        <v>0</v>
      </c>
      <c r="L893" s="13">
        <f t="shared" ca="1" si="292"/>
        <v>303</v>
      </c>
      <c r="M893" s="7">
        <f t="shared" ca="1" si="293"/>
        <v>1197</v>
      </c>
      <c r="N893" s="26">
        <f t="shared" ca="1" si="294"/>
        <v>4</v>
      </c>
      <c r="O893" s="44">
        <f t="shared" ca="1" si="295"/>
        <v>2.8908103757121246</v>
      </c>
      <c r="P893" s="44">
        <f t="shared" ca="1" si="296"/>
        <v>28.908103757121246</v>
      </c>
      <c r="Q893" s="44">
        <f t="shared" ca="1" si="297"/>
        <v>28.908103757121246</v>
      </c>
      <c r="R893" s="44">
        <f t="shared" ca="1" si="298"/>
        <v>2.8908103757121246</v>
      </c>
      <c r="S893" s="44">
        <f t="shared" ca="1" si="299"/>
        <v>2.8908103757121246</v>
      </c>
      <c r="T893" s="4">
        <f t="shared" ca="1" si="300"/>
        <v>0</v>
      </c>
      <c r="U893" s="120">
        <f t="shared" ca="1" si="301"/>
        <v>2154.675062040129</v>
      </c>
      <c r="V893" s="4">
        <f t="shared" ca="1" si="302"/>
        <v>0</v>
      </c>
      <c r="W893" s="13">
        <f t="shared" ca="1" si="303"/>
        <v>2773.125</v>
      </c>
      <c r="X893" s="4">
        <f t="shared" ca="1" si="304"/>
        <v>0</v>
      </c>
      <c r="Y893" s="4">
        <f t="shared" si="305"/>
        <v>0</v>
      </c>
      <c r="Z893" s="13">
        <f t="shared" ca="1" si="306"/>
        <v>2773.125</v>
      </c>
      <c r="AA893" s="4">
        <f t="shared" ca="1" si="307"/>
        <v>0</v>
      </c>
    </row>
    <row r="894" spans="1:27">
      <c r="A894">
        <v>2</v>
      </c>
      <c r="B894">
        <v>2</v>
      </c>
      <c r="C894">
        <f t="shared" ca="1" si="286"/>
        <v>6</v>
      </c>
      <c r="D894">
        <f t="shared" ca="1" si="287"/>
        <v>5</v>
      </c>
      <c r="E894">
        <f t="shared" ca="1" si="288"/>
        <v>2</v>
      </c>
      <c r="F894" s="110">
        <f t="shared" ca="1" si="289"/>
        <v>0</v>
      </c>
      <c r="G894">
        <v>0</v>
      </c>
      <c r="H894">
        <v>1</v>
      </c>
      <c r="I894">
        <v>0</v>
      </c>
      <c r="J894" s="1">
        <f t="shared" ca="1" si="290"/>
        <v>0</v>
      </c>
      <c r="K894" s="1">
        <f t="shared" ca="1" si="291"/>
        <v>0</v>
      </c>
      <c r="L894" s="13">
        <f t="shared" ca="1" si="292"/>
        <v>284</v>
      </c>
      <c r="M894" s="7">
        <f t="shared" ca="1" si="293"/>
        <v>1216</v>
      </c>
      <c r="N894" s="26">
        <f t="shared" ca="1" si="294"/>
        <v>4</v>
      </c>
      <c r="O894" s="44">
        <f t="shared" ca="1" si="295"/>
        <v>2.8908103757121246</v>
      </c>
      <c r="P894" s="44">
        <f t="shared" ca="1" si="296"/>
        <v>28.908103757121246</v>
      </c>
      <c r="Q894" s="44">
        <f t="shared" ca="1" si="297"/>
        <v>28.908103757121246</v>
      </c>
      <c r="R894" s="44">
        <f t="shared" ca="1" si="298"/>
        <v>2.8908103757121246</v>
      </c>
      <c r="S894" s="44">
        <f t="shared" ca="1" si="299"/>
        <v>2.8908103757121246</v>
      </c>
      <c r="T894" s="4">
        <f t="shared" ca="1" si="300"/>
        <v>0</v>
      </c>
      <c r="U894" s="120">
        <f t="shared" ca="1" si="301"/>
        <v>2135.675062040129</v>
      </c>
      <c r="V894" s="4">
        <f t="shared" ca="1" si="302"/>
        <v>0</v>
      </c>
      <c r="W894" s="13">
        <f t="shared" ca="1" si="303"/>
        <v>0</v>
      </c>
      <c r="X894" s="4">
        <f t="shared" ca="1" si="304"/>
        <v>0</v>
      </c>
      <c r="Y894" s="4">
        <f t="shared" si="305"/>
        <v>0</v>
      </c>
      <c r="Z894" s="13">
        <f t="shared" ca="1" si="306"/>
        <v>0</v>
      </c>
      <c r="AA894" s="4">
        <f t="shared" ca="1" si="307"/>
        <v>0</v>
      </c>
    </row>
    <row r="895" spans="1:27">
      <c r="A895">
        <v>2</v>
      </c>
      <c r="B895">
        <v>2</v>
      </c>
      <c r="C895">
        <f t="shared" ca="1" si="286"/>
        <v>6</v>
      </c>
      <c r="D895">
        <f t="shared" ca="1" si="287"/>
        <v>5</v>
      </c>
      <c r="E895">
        <f t="shared" ca="1" si="288"/>
        <v>2</v>
      </c>
      <c r="F895" s="110">
        <f t="shared" ca="1" si="289"/>
        <v>0</v>
      </c>
      <c r="G895">
        <v>0</v>
      </c>
      <c r="H895">
        <v>0</v>
      </c>
      <c r="I895">
        <v>7</v>
      </c>
      <c r="J895" s="1">
        <f t="shared" ca="1" si="290"/>
        <v>0</v>
      </c>
      <c r="K895" s="1">
        <f t="shared" ca="1" si="291"/>
        <v>0</v>
      </c>
      <c r="L895" s="13">
        <f t="shared" ca="1" si="292"/>
        <v>133</v>
      </c>
      <c r="M895" s="7">
        <f t="shared" ca="1" si="293"/>
        <v>1367</v>
      </c>
      <c r="N895" s="26">
        <f t="shared" ca="1" si="294"/>
        <v>4</v>
      </c>
      <c r="O895" s="44">
        <f t="shared" ca="1" si="295"/>
        <v>2.8908103757121246</v>
      </c>
      <c r="P895" s="44">
        <f t="shared" ca="1" si="296"/>
        <v>28.908103757121246</v>
      </c>
      <c r="Q895" s="44">
        <f t="shared" ca="1" si="297"/>
        <v>28.908103757121246</v>
      </c>
      <c r="R895" s="44">
        <f t="shared" ca="1" si="298"/>
        <v>2.8908103757121246</v>
      </c>
      <c r="S895" s="44">
        <f t="shared" ca="1" si="299"/>
        <v>2.8908103757121246</v>
      </c>
      <c r="T895" s="4">
        <f t="shared" ca="1" si="300"/>
        <v>0</v>
      </c>
      <c r="U895" s="120">
        <f t="shared" ca="1" si="301"/>
        <v>1984.6750620401288</v>
      </c>
      <c r="V895" s="4">
        <f t="shared" ca="1" si="302"/>
        <v>0</v>
      </c>
      <c r="W895" s="13">
        <f t="shared" ca="1" si="303"/>
        <v>19411.875</v>
      </c>
      <c r="X895" s="4">
        <f t="shared" ca="1" si="304"/>
        <v>0</v>
      </c>
      <c r="Y895" s="4">
        <f t="shared" si="305"/>
        <v>0</v>
      </c>
      <c r="Z895" s="13">
        <f t="shared" ca="1" si="306"/>
        <v>19411.875</v>
      </c>
      <c r="AA895" s="4">
        <f t="shared" ca="1" si="307"/>
        <v>0</v>
      </c>
    </row>
    <row r="896" spans="1:27">
      <c r="A896">
        <v>2</v>
      </c>
      <c r="B896">
        <v>2</v>
      </c>
      <c r="C896">
        <f t="shared" ca="1" si="286"/>
        <v>6</v>
      </c>
      <c r="D896">
        <f t="shared" ca="1" si="287"/>
        <v>5</v>
      </c>
      <c r="E896">
        <f t="shared" ca="1" si="288"/>
        <v>2</v>
      </c>
      <c r="F896" s="110">
        <f t="shared" ca="1" si="289"/>
        <v>0</v>
      </c>
      <c r="G896">
        <v>0</v>
      </c>
      <c r="H896">
        <v>0</v>
      </c>
      <c r="I896">
        <v>6</v>
      </c>
      <c r="J896" s="1">
        <f t="shared" ca="1" si="290"/>
        <v>0</v>
      </c>
      <c r="K896" s="1">
        <f t="shared" ca="1" si="291"/>
        <v>0</v>
      </c>
      <c r="L896" s="13">
        <f t="shared" ca="1" si="292"/>
        <v>114</v>
      </c>
      <c r="M896" s="7">
        <f t="shared" ca="1" si="293"/>
        <v>1386</v>
      </c>
      <c r="N896" s="26">
        <f t="shared" ca="1" si="294"/>
        <v>4</v>
      </c>
      <c r="O896" s="44">
        <f t="shared" ca="1" si="295"/>
        <v>2.8908103757121246</v>
      </c>
      <c r="P896" s="44">
        <f t="shared" ca="1" si="296"/>
        <v>28.908103757121246</v>
      </c>
      <c r="Q896" s="44">
        <f t="shared" ca="1" si="297"/>
        <v>28.908103757121246</v>
      </c>
      <c r="R896" s="44">
        <f t="shared" ca="1" si="298"/>
        <v>2.8908103757121246</v>
      </c>
      <c r="S896" s="44">
        <f t="shared" ca="1" si="299"/>
        <v>2.8908103757121246</v>
      </c>
      <c r="T896" s="4">
        <f t="shared" ca="1" si="300"/>
        <v>0</v>
      </c>
      <c r="U896" s="120">
        <f t="shared" ca="1" si="301"/>
        <v>1965.6750620401288</v>
      </c>
      <c r="V896" s="4">
        <f t="shared" ca="1" si="302"/>
        <v>0</v>
      </c>
      <c r="W896" s="13">
        <f t="shared" ca="1" si="303"/>
        <v>16638.75</v>
      </c>
      <c r="X896" s="4">
        <f t="shared" ca="1" si="304"/>
        <v>0</v>
      </c>
      <c r="Y896" s="4">
        <f t="shared" si="305"/>
        <v>0</v>
      </c>
      <c r="Z896" s="13">
        <f t="shared" ca="1" si="306"/>
        <v>16638.75</v>
      </c>
      <c r="AA896" s="4">
        <f t="shared" ca="1" si="307"/>
        <v>0</v>
      </c>
    </row>
    <row r="897" spans="1:27">
      <c r="A897">
        <v>2</v>
      </c>
      <c r="B897">
        <v>2</v>
      </c>
      <c r="C897">
        <f t="shared" ca="1" si="286"/>
        <v>6</v>
      </c>
      <c r="D897">
        <f t="shared" ca="1" si="287"/>
        <v>5</v>
      </c>
      <c r="E897">
        <f t="shared" ca="1" si="288"/>
        <v>2</v>
      </c>
      <c r="F897" s="110">
        <f t="shared" ca="1" si="289"/>
        <v>0</v>
      </c>
      <c r="G897">
        <v>0</v>
      </c>
      <c r="H897">
        <v>0</v>
      </c>
      <c r="I897">
        <v>5</v>
      </c>
      <c r="J897" s="1">
        <f t="shared" ca="1" si="290"/>
        <v>3.8689046875000001E-2</v>
      </c>
      <c r="K897" s="1">
        <f t="shared" ca="1" si="291"/>
        <v>0</v>
      </c>
      <c r="L897" s="13">
        <f t="shared" ca="1" si="292"/>
        <v>95</v>
      </c>
      <c r="M897" s="7">
        <f t="shared" ca="1" si="293"/>
        <v>1405</v>
      </c>
      <c r="N897" s="26">
        <f t="shared" ca="1" si="294"/>
        <v>5</v>
      </c>
      <c r="O897" s="44">
        <f t="shared" ca="1" si="295"/>
        <v>3.5395046525977252</v>
      </c>
      <c r="P897" s="44">
        <f t="shared" ca="1" si="296"/>
        <v>35.39504652597725</v>
      </c>
      <c r="Q897" s="44">
        <f t="shared" ca="1" si="297"/>
        <v>30.205492310892446</v>
      </c>
      <c r="R897" s="44">
        <f t="shared" ca="1" si="298"/>
        <v>3.2800269418434853</v>
      </c>
      <c r="S897" s="44">
        <f t="shared" ca="1" si="299"/>
        <v>3.5213412128449284</v>
      </c>
      <c r="T897" s="4">
        <f t="shared" ca="1" si="300"/>
        <v>0</v>
      </c>
      <c r="U897" s="120">
        <f t="shared" ca="1" si="301"/>
        <v>2290.8626329996823</v>
      </c>
      <c r="V897" s="4">
        <f t="shared" ca="1" si="302"/>
        <v>0</v>
      </c>
      <c r="W897" s="13">
        <f t="shared" ca="1" si="303"/>
        <v>13865.625</v>
      </c>
      <c r="X897" s="4">
        <f t="shared" ca="1" si="304"/>
        <v>0</v>
      </c>
      <c r="Y897" s="4">
        <f t="shared" si="305"/>
        <v>0</v>
      </c>
      <c r="Z897" s="13">
        <f t="shared" ca="1" si="306"/>
        <v>13865.625</v>
      </c>
      <c r="AA897" s="4">
        <f t="shared" ca="1" si="307"/>
        <v>0</v>
      </c>
    </row>
    <row r="898" spans="1:27">
      <c r="A898">
        <v>2</v>
      </c>
      <c r="B898">
        <v>2</v>
      </c>
      <c r="C898">
        <f t="shared" ca="1" si="286"/>
        <v>6</v>
      </c>
      <c r="D898">
        <f t="shared" ca="1" si="287"/>
        <v>5</v>
      </c>
      <c r="E898">
        <f t="shared" ca="1" si="288"/>
        <v>2</v>
      </c>
      <c r="F898" s="110">
        <f t="shared" ca="1" si="289"/>
        <v>0</v>
      </c>
      <c r="G898">
        <v>0</v>
      </c>
      <c r="H898">
        <v>0</v>
      </c>
      <c r="I898">
        <v>4</v>
      </c>
      <c r="J898" s="1">
        <f t="shared" ca="1" si="290"/>
        <v>1.0181328125000009E-2</v>
      </c>
      <c r="K898" s="1">
        <f t="shared" ca="1" si="291"/>
        <v>0</v>
      </c>
      <c r="L898" s="13">
        <f t="shared" ca="1" si="292"/>
        <v>76</v>
      </c>
      <c r="M898" s="7">
        <f t="shared" ca="1" si="293"/>
        <v>1424</v>
      </c>
      <c r="N898" s="26">
        <f t="shared" ca="1" si="294"/>
        <v>5</v>
      </c>
      <c r="O898" s="44">
        <f t="shared" ca="1" si="295"/>
        <v>3.5395046525977252</v>
      </c>
      <c r="P898" s="44">
        <f t="shared" ca="1" si="296"/>
        <v>35.39504652597725</v>
      </c>
      <c r="Q898" s="44">
        <f t="shared" ca="1" si="297"/>
        <v>35.39504652597725</v>
      </c>
      <c r="R898" s="44">
        <f t="shared" ca="1" si="298"/>
        <v>3.5395046525977252</v>
      </c>
      <c r="S898" s="44">
        <f t="shared" ca="1" si="299"/>
        <v>3.5395046525977252</v>
      </c>
      <c r="T898" s="4">
        <f t="shared" ca="1" si="300"/>
        <v>0</v>
      </c>
      <c r="U898" s="120">
        <f t="shared" ca="1" si="301"/>
        <v>2281.7775012989287</v>
      </c>
      <c r="V898" s="4">
        <f t="shared" ca="1" si="302"/>
        <v>0</v>
      </c>
      <c r="W898" s="13">
        <f t="shared" ca="1" si="303"/>
        <v>11092.5</v>
      </c>
      <c r="X898" s="4">
        <f t="shared" ca="1" si="304"/>
        <v>0</v>
      </c>
      <c r="Y898" s="4">
        <f t="shared" si="305"/>
        <v>0</v>
      </c>
      <c r="Z898" s="13">
        <f t="shared" ca="1" si="306"/>
        <v>11092.5</v>
      </c>
      <c r="AA898" s="4">
        <f t="shared" ca="1" si="307"/>
        <v>0</v>
      </c>
    </row>
    <row r="899" spans="1:27">
      <c r="A899">
        <v>2</v>
      </c>
      <c r="B899">
        <v>2</v>
      </c>
      <c r="C899">
        <f t="shared" ca="1" si="286"/>
        <v>6</v>
      </c>
      <c r="D899">
        <f t="shared" ca="1" si="287"/>
        <v>5</v>
      </c>
      <c r="E899">
        <f t="shared" ca="1" si="288"/>
        <v>2</v>
      </c>
      <c r="F899" s="110">
        <f t="shared" ca="1" si="289"/>
        <v>0</v>
      </c>
      <c r="G899">
        <v>0</v>
      </c>
      <c r="H899">
        <v>0</v>
      </c>
      <c r="I899">
        <v>3</v>
      </c>
      <c r="J899" s="1">
        <f t="shared" ca="1" si="290"/>
        <v>1.0717187500000017E-3</v>
      </c>
      <c r="K899" s="1">
        <f t="shared" ca="1" si="291"/>
        <v>0</v>
      </c>
      <c r="L899" s="13">
        <f t="shared" ca="1" si="292"/>
        <v>57</v>
      </c>
      <c r="M899" s="7">
        <f t="shared" ca="1" si="293"/>
        <v>1443</v>
      </c>
      <c r="N899" s="26">
        <f t="shared" ca="1" si="294"/>
        <v>5</v>
      </c>
      <c r="O899" s="44">
        <f t="shared" ca="1" si="295"/>
        <v>3.5395046525977252</v>
      </c>
      <c r="P899" s="44">
        <f t="shared" ca="1" si="296"/>
        <v>35.39504652597725</v>
      </c>
      <c r="Q899" s="44">
        <f t="shared" ca="1" si="297"/>
        <v>35.39504652597725</v>
      </c>
      <c r="R899" s="44">
        <f t="shared" ca="1" si="298"/>
        <v>3.5395046525977252</v>
      </c>
      <c r="S899" s="44">
        <f t="shared" ca="1" si="299"/>
        <v>3.5395046525977252</v>
      </c>
      <c r="T899" s="4">
        <f t="shared" ca="1" si="300"/>
        <v>0</v>
      </c>
      <c r="U899" s="120">
        <f t="shared" ca="1" si="301"/>
        <v>2262.7775012989287</v>
      </c>
      <c r="V899" s="4">
        <f t="shared" ca="1" si="302"/>
        <v>0</v>
      </c>
      <c r="W899" s="13">
        <f t="shared" ca="1" si="303"/>
        <v>8319.375</v>
      </c>
      <c r="X899" s="4">
        <f t="shared" ca="1" si="304"/>
        <v>0</v>
      </c>
      <c r="Y899" s="4">
        <f t="shared" si="305"/>
        <v>0</v>
      </c>
      <c r="Z899" s="13">
        <f t="shared" ca="1" si="306"/>
        <v>8319.375</v>
      </c>
      <c r="AA899" s="4">
        <f t="shared" ca="1" si="307"/>
        <v>0</v>
      </c>
    </row>
    <row r="900" spans="1:27">
      <c r="A900">
        <v>2</v>
      </c>
      <c r="B900">
        <v>2</v>
      </c>
      <c r="C900">
        <f t="shared" ca="1" si="286"/>
        <v>6</v>
      </c>
      <c r="D900">
        <f t="shared" ca="1" si="287"/>
        <v>5</v>
      </c>
      <c r="E900">
        <f t="shared" ca="1" si="288"/>
        <v>2</v>
      </c>
      <c r="F900" s="110">
        <f t="shared" ca="1" si="289"/>
        <v>0</v>
      </c>
      <c r="G900">
        <v>0</v>
      </c>
      <c r="H900">
        <v>0</v>
      </c>
      <c r="I900">
        <v>2</v>
      </c>
      <c r="J900" s="1">
        <f t="shared" ca="1" si="290"/>
        <v>5.6406250000000155E-5</v>
      </c>
      <c r="K900" s="1">
        <f t="shared" ca="1" si="291"/>
        <v>0</v>
      </c>
      <c r="L900" s="13">
        <f t="shared" ca="1" si="292"/>
        <v>38</v>
      </c>
      <c r="M900" s="7">
        <f t="shared" ca="1" si="293"/>
        <v>1462</v>
      </c>
      <c r="N900" s="26">
        <f t="shared" ca="1" si="294"/>
        <v>5</v>
      </c>
      <c r="O900" s="44">
        <f t="shared" ca="1" si="295"/>
        <v>3.5395046525977252</v>
      </c>
      <c r="P900" s="44">
        <f t="shared" ca="1" si="296"/>
        <v>35.39504652597725</v>
      </c>
      <c r="Q900" s="44">
        <f t="shared" ca="1" si="297"/>
        <v>35.39504652597725</v>
      </c>
      <c r="R900" s="44">
        <f t="shared" ca="1" si="298"/>
        <v>3.5395046525977252</v>
      </c>
      <c r="S900" s="44">
        <f t="shared" ca="1" si="299"/>
        <v>3.5395046525977252</v>
      </c>
      <c r="T900" s="4">
        <f t="shared" ca="1" si="300"/>
        <v>0</v>
      </c>
      <c r="U900" s="120">
        <f t="shared" ca="1" si="301"/>
        <v>2243.7775012989287</v>
      </c>
      <c r="V900" s="4">
        <f t="shared" ca="1" si="302"/>
        <v>0</v>
      </c>
      <c r="W900" s="13">
        <f t="shared" ca="1" si="303"/>
        <v>5546.25</v>
      </c>
      <c r="X900" s="4">
        <f t="shared" ca="1" si="304"/>
        <v>0</v>
      </c>
      <c r="Y900" s="4">
        <f t="shared" si="305"/>
        <v>0</v>
      </c>
      <c r="Z900" s="13">
        <f t="shared" ca="1" si="306"/>
        <v>5546.25</v>
      </c>
      <c r="AA900" s="4">
        <f t="shared" ca="1" si="307"/>
        <v>0</v>
      </c>
    </row>
    <row r="901" spans="1:27">
      <c r="A901">
        <v>2</v>
      </c>
      <c r="B901">
        <v>2</v>
      </c>
      <c r="C901">
        <f t="shared" ca="1" si="286"/>
        <v>6</v>
      </c>
      <c r="D901">
        <f t="shared" ca="1" si="287"/>
        <v>5</v>
      </c>
      <c r="E901">
        <f t="shared" ca="1" si="288"/>
        <v>2</v>
      </c>
      <c r="F901" s="110">
        <f t="shared" ca="1" si="289"/>
        <v>0</v>
      </c>
      <c r="G901">
        <v>0</v>
      </c>
      <c r="H901">
        <v>0</v>
      </c>
      <c r="I901">
        <v>1</v>
      </c>
      <c r="J901" s="1">
        <f t="shared" ca="1" si="290"/>
        <v>1.4843750000000054E-6</v>
      </c>
      <c r="K901" s="1">
        <f t="shared" ca="1" si="291"/>
        <v>0</v>
      </c>
      <c r="L901" s="13">
        <f t="shared" ca="1" si="292"/>
        <v>19</v>
      </c>
      <c r="M901" s="7">
        <f t="shared" ca="1" si="293"/>
        <v>1481</v>
      </c>
      <c r="N901" s="26">
        <f t="shared" ca="1" si="294"/>
        <v>5</v>
      </c>
      <c r="O901" s="44">
        <f t="shared" ca="1" si="295"/>
        <v>3.5395046525977252</v>
      </c>
      <c r="P901" s="44">
        <f t="shared" ca="1" si="296"/>
        <v>35.39504652597725</v>
      </c>
      <c r="Q901" s="44">
        <f t="shared" ca="1" si="297"/>
        <v>35.39504652597725</v>
      </c>
      <c r="R901" s="44">
        <f t="shared" ca="1" si="298"/>
        <v>3.5395046525977252</v>
      </c>
      <c r="S901" s="44">
        <f t="shared" ca="1" si="299"/>
        <v>3.5395046525977252</v>
      </c>
      <c r="T901" s="4">
        <f t="shared" ca="1" si="300"/>
        <v>0</v>
      </c>
      <c r="U901" s="120">
        <f t="shared" ca="1" si="301"/>
        <v>2224.7775012989287</v>
      </c>
      <c r="V901" s="4">
        <f t="shared" ca="1" si="302"/>
        <v>0</v>
      </c>
      <c r="W901" s="13">
        <f t="shared" ca="1" si="303"/>
        <v>2773.125</v>
      </c>
      <c r="X901" s="4">
        <f t="shared" ca="1" si="304"/>
        <v>0</v>
      </c>
      <c r="Y901" s="4">
        <f t="shared" si="305"/>
        <v>0</v>
      </c>
      <c r="Z901" s="13">
        <f t="shared" ca="1" si="306"/>
        <v>2773.125</v>
      </c>
      <c r="AA901" s="4">
        <f t="shared" ca="1" si="307"/>
        <v>0</v>
      </c>
    </row>
    <row r="902" spans="1:27">
      <c r="A902">
        <v>2</v>
      </c>
      <c r="B902">
        <v>2</v>
      </c>
      <c r="C902">
        <f t="shared" ca="1" si="286"/>
        <v>6</v>
      </c>
      <c r="D902">
        <f t="shared" ca="1" si="287"/>
        <v>5</v>
      </c>
      <c r="E902">
        <f t="shared" ca="1" si="288"/>
        <v>2</v>
      </c>
      <c r="F902" s="110">
        <f t="shared" ca="1" si="289"/>
        <v>0</v>
      </c>
      <c r="G902">
        <v>0</v>
      </c>
      <c r="H902">
        <v>0</v>
      </c>
      <c r="I902">
        <v>0</v>
      </c>
      <c r="J902" s="1">
        <f t="shared" ca="1" si="290"/>
        <v>1.5625000000000072E-8</v>
      </c>
      <c r="K902" s="1">
        <f t="shared" ca="1" si="291"/>
        <v>0</v>
      </c>
      <c r="L902" s="13">
        <f t="shared" ca="1" si="292"/>
        <v>0</v>
      </c>
      <c r="M902" s="7">
        <f t="shared" ca="1" si="293"/>
        <v>1500</v>
      </c>
      <c r="N902" s="26">
        <f t="shared" ca="1" si="294"/>
        <v>5</v>
      </c>
      <c r="O902" s="44">
        <f t="shared" ca="1" si="295"/>
        <v>3.5395046525977252</v>
      </c>
      <c r="P902" s="44">
        <f t="shared" ca="1" si="296"/>
        <v>35.39504652597725</v>
      </c>
      <c r="Q902" s="44">
        <f t="shared" ca="1" si="297"/>
        <v>35.39504652597725</v>
      </c>
      <c r="R902" s="44">
        <f t="shared" ca="1" si="298"/>
        <v>3.5395046525977252</v>
      </c>
      <c r="S902" s="44">
        <f t="shared" ca="1" si="299"/>
        <v>3.5395046525977252</v>
      </c>
      <c r="T902" s="4">
        <f t="shared" ca="1" si="300"/>
        <v>0</v>
      </c>
      <c r="U902" s="120">
        <f t="shared" ca="1" si="301"/>
        <v>2205.7775012989287</v>
      </c>
      <c r="V902" s="4">
        <f t="shared" ca="1" si="302"/>
        <v>0</v>
      </c>
      <c r="W902" s="13">
        <f t="shared" ca="1" si="303"/>
        <v>0</v>
      </c>
      <c r="X902" s="4">
        <f t="shared" ca="1" si="304"/>
        <v>0</v>
      </c>
      <c r="Y902" s="4">
        <f t="shared" si="305"/>
        <v>0</v>
      </c>
      <c r="Z902" s="13">
        <f t="shared" ca="1" si="306"/>
        <v>0</v>
      </c>
      <c r="AA902" s="4">
        <f t="shared" ca="1" si="307"/>
        <v>0</v>
      </c>
    </row>
    <row r="903" spans="1:27">
      <c r="A903">
        <v>2</v>
      </c>
      <c r="B903">
        <v>3</v>
      </c>
      <c r="C903">
        <f t="shared" ca="1" si="286"/>
        <v>7</v>
      </c>
      <c r="D903">
        <f t="shared" ca="1" si="287"/>
        <v>6</v>
      </c>
      <c r="E903">
        <f t="shared" ca="1" si="288"/>
        <v>2</v>
      </c>
      <c r="F903" s="110">
        <f t="shared" ca="1" si="289"/>
        <v>0</v>
      </c>
      <c r="G903">
        <v>1</v>
      </c>
      <c r="H903">
        <v>1</v>
      </c>
      <c r="I903">
        <v>7</v>
      </c>
      <c r="J903" s="1">
        <f t="shared" ca="1" si="290"/>
        <v>0</v>
      </c>
      <c r="K903" s="1">
        <f t="shared" ca="1" si="291"/>
        <v>0</v>
      </c>
      <c r="L903" s="13">
        <f t="shared" ca="1" si="292"/>
        <v>701</v>
      </c>
      <c r="M903" s="7">
        <f t="shared" ca="1" si="293"/>
        <v>799</v>
      </c>
      <c r="N903" s="26">
        <f t="shared" ca="1" si="294"/>
        <v>3</v>
      </c>
      <c r="O903" s="44">
        <f t="shared" ca="1" si="295"/>
        <v>2.2758855914378953</v>
      </c>
      <c r="P903" s="44">
        <f t="shared" ca="1" si="296"/>
        <v>22.758855914378952</v>
      </c>
      <c r="Q903" s="44">
        <f t="shared" ca="1" si="297"/>
        <v>22.758855914378952</v>
      </c>
      <c r="R903" s="44">
        <f t="shared" ca="1" si="298"/>
        <v>2.2758855914378953</v>
      </c>
      <c r="S903" s="44">
        <f t="shared" ca="1" si="299"/>
        <v>2.2758855914378953</v>
      </c>
      <c r="T903" s="4">
        <f t="shared" ca="1" si="300"/>
        <v>0</v>
      </c>
      <c r="U903" s="120">
        <f t="shared" ca="1" si="301"/>
        <v>2217.0063598009133</v>
      </c>
      <c r="V903" s="4">
        <f t="shared" ca="1" si="302"/>
        <v>0</v>
      </c>
      <c r="W903" s="13">
        <f t="shared" ca="1" si="303"/>
        <v>49588.256250000006</v>
      </c>
      <c r="X903" s="4">
        <f t="shared" ca="1" si="304"/>
        <v>0</v>
      </c>
      <c r="Y903" s="4">
        <f t="shared" si="305"/>
        <v>0</v>
      </c>
      <c r="Z903" s="13">
        <f t="shared" ca="1" si="306"/>
        <v>49588.256250000006</v>
      </c>
      <c r="AA903" s="4">
        <f t="shared" ca="1" si="307"/>
        <v>0</v>
      </c>
    </row>
    <row r="904" spans="1:27">
      <c r="A904">
        <v>2</v>
      </c>
      <c r="B904">
        <v>3</v>
      </c>
      <c r="C904">
        <f t="shared" ca="1" si="286"/>
        <v>7</v>
      </c>
      <c r="D904">
        <f t="shared" ca="1" si="287"/>
        <v>6</v>
      </c>
      <c r="E904">
        <f t="shared" ca="1" si="288"/>
        <v>2</v>
      </c>
      <c r="F904" s="110">
        <f t="shared" ca="1" si="289"/>
        <v>0</v>
      </c>
      <c r="G904">
        <v>1</v>
      </c>
      <c r="H904">
        <v>1</v>
      </c>
      <c r="I904">
        <v>6</v>
      </c>
      <c r="J904" s="1">
        <f t="shared" ca="1" si="290"/>
        <v>0</v>
      </c>
      <c r="K904" s="1">
        <f t="shared" ca="1" si="291"/>
        <v>0</v>
      </c>
      <c r="L904" s="13">
        <f t="shared" ca="1" si="292"/>
        <v>682</v>
      </c>
      <c r="M904" s="7">
        <f t="shared" ca="1" si="293"/>
        <v>818</v>
      </c>
      <c r="N904" s="26">
        <f t="shared" ca="1" si="294"/>
        <v>3</v>
      </c>
      <c r="O904" s="44">
        <f t="shared" ca="1" si="295"/>
        <v>2.2758855914378953</v>
      </c>
      <c r="P904" s="44">
        <f t="shared" ca="1" si="296"/>
        <v>22.758855914378952</v>
      </c>
      <c r="Q904" s="44">
        <f t="shared" ca="1" si="297"/>
        <v>22.758855914378952</v>
      </c>
      <c r="R904" s="44">
        <f t="shared" ca="1" si="298"/>
        <v>2.2758855914378953</v>
      </c>
      <c r="S904" s="44">
        <f t="shared" ca="1" si="299"/>
        <v>2.2758855914378953</v>
      </c>
      <c r="T904" s="4">
        <f t="shared" ca="1" si="300"/>
        <v>0</v>
      </c>
      <c r="U904" s="120">
        <f t="shared" ca="1" si="301"/>
        <v>2198.0063598009133</v>
      </c>
      <c r="V904" s="4">
        <f t="shared" ca="1" si="302"/>
        <v>0</v>
      </c>
      <c r="W904" s="13">
        <f t="shared" ca="1" si="303"/>
        <v>46815.131250000006</v>
      </c>
      <c r="X904" s="4">
        <f t="shared" ca="1" si="304"/>
        <v>0</v>
      </c>
      <c r="Y904" s="4">
        <f t="shared" si="305"/>
        <v>0</v>
      </c>
      <c r="Z904" s="13">
        <f t="shared" ca="1" si="306"/>
        <v>46815.131250000006</v>
      </c>
      <c r="AA904" s="4">
        <f t="shared" ca="1" si="307"/>
        <v>0</v>
      </c>
    </row>
    <row r="905" spans="1:27">
      <c r="A905">
        <v>2</v>
      </c>
      <c r="B905">
        <v>3</v>
      </c>
      <c r="C905">
        <f t="shared" ca="1" si="286"/>
        <v>7</v>
      </c>
      <c r="D905">
        <f t="shared" ca="1" si="287"/>
        <v>6</v>
      </c>
      <c r="E905">
        <f t="shared" ca="1" si="288"/>
        <v>2</v>
      </c>
      <c r="F905" s="110">
        <f t="shared" ca="1" si="289"/>
        <v>0</v>
      </c>
      <c r="G905">
        <v>1</v>
      </c>
      <c r="H905">
        <v>1</v>
      </c>
      <c r="I905">
        <v>5</v>
      </c>
      <c r="J905" s="1">
        <f t="shared" ca="1" si="290"/>
        <v>0</v>
      </c>
      <c r="K905" s="1">
        <f t="shared" ca="1" si="291"/>
        <v>0</v>
      </c>
      <c r="L905" s="13">
        <f t="shared" ca="1" si="292"/>
        <v>663</v>
      </c>
      <c r="M905" s="7">
        <f t="shared" ca="1" si="293"/>
        <v>837</v>
      </c>
      <c r="N905" s="26">
        <f t="shared" ca="1" si="294"/>
        <v>3</v>
      </c>
      <c r="O905" s="44">
        <f t="shared" ca="1" si="295"/>
        <v>2.2758855914378953</v>
      </c>
      <c r="P905" s="44">
        <f t="shared" ca="1" si="296"/>
        <v>22.758855914378952</v>
      </c>
      <c r="Q905" s="44">
        <f t="shared" ca="1" si="297"/>
        <v>22.758855914378952</v>
      </c>
      <c r="R905" s="44">
        <f t="shared" ca="1" si="298"/>
        <v>2.2758855914378953</v>
      </c>
      <c r="S905" s="44">
        <f t="shared" ca="1" si="299"/>
        <v>2.2758855914378953</v>
      </c>
      <c r="T905" s="4">
        <f t="shared" ca="1" si="300"/>
        <v>0</v>
      </c>
      <c r="U905" s="120">
        <f t="shared" ca="1" si="301"/>
        <v>2179.0063598009133</v>
      </c>
      <c r="V905" s="4">
        <f t="shared" ca="1" si="302"/>
        <v>0</v>
      </c>
      <c r="W905" s="13">
        <f t="shared" ca="1" si="303"/>
        <v>44042.006250000006</v>
      </c>
      <c r="X905" s="4">
        <f t="shared" ca="1" si="304"/>
        <v>0</v>
      </c>
      <c r="Y905" s="4">
        <f t="shared" si="305"/>
        <v>0</v>
      </c>
      <c r="Z905" s="13">
        <f t="shared" ca="1" si="306"/>
        <v>44042.006250000006</v>
      </c>
      <c r="AA905" s="4">
        <f t="shared" ca="1" si="307"/>
        <v>0</v>
      </c>
    </row>
    <row r="906" spans="1:27">
      <c r="A906">
        <v>2</v>
      </c>
      <c r="B906">
        <v>3</v>
      </c>
      <c r="C906">
        <f t="shared" ca="1" si="286"/>
        <v>7</v>
      </c>
      <c r="D906">
        <f t="shared" ca="1" si="287"/>
        <v>6</v>
      </c>
      <c r="E906">
        <f t="shared" ca="1" si="288"/>
        <v>2</v>
      </c>
      <c r="F906" s="110">
        <f t="shared" ca="1" si="289"/>
        <v>0</v>
      </c>
      <c r="G906">
        <v>1</v>
      </c>
      <c r="H906">
        <v>1</v>
      </c>
      <c r="I906">
        <v>4</v>
      </c>
      <c r="J906" s="1">
        <f t="shared" ca="1" si="290"/>
        <v>0</v>
      </c>
      <c r="K906" s="1">
        <f t="shared" ca="1" si="291"/>
        <v>0</v>
      </c>
      <c r="L906" s="13">
        <f t="shared" ca="1" si="292"/>
        <v>644</v>
      </c>
      <c r="M906" s="7">
        <f t="shared" ca="1" si="293"/>
        <v>856</v>
      </c>
      <c r="N906" s="26">
        <f t="shared" ca="1" si="294"/>
        <v>3</v>
      </c>
      <c r="O906" s="44">
        <f t="shared" ca="1" si="295"/>
        <v>2.2758855914378953</v>
      </c>
      <c r="P906" s="44">
        <f t="shared" ca="1" si="296"/>
        <v>22.758855914378952</v>
      </c>
      <c r="Q906" s="44">
        <f t="shared" ca="1" si="297"/>
        <v>22.758855914378952</v>
      </c>
      <c r="R906" s="44">
        <f t="shared" ca="1" si="298"/>
        <v>2.2758855914378953</v>
      </c>
      <c r="S906" s="44">
        <f t="shared" ca="1" si="299"/>
        <v>2.2758855914378953</v>
      </c>
      <c r="T906" s="4">
        <f t="shared" ca="1" si="300"/>
        <v>0</v>
      </c>
      <c r="U906" s="120">
        <f t="shared" ca="1" si="301"/>
        <v>2160.0063598009133</v>
      </c>
      <c r="V906" s="4">
        <f t="shared" ca="1" si="302"/>
        <v>0</v>
      </c>
      <c r="W906" s="13">
        <f t="shared" ca="1" si="303"/>
        <v>41268.881250000006</v>
      </c>
      <c r="X906" s="4">
        <f t="shared" ca="1" si="304"/>
        <v>0</v>
      </c>
      <c r="Y906" s="4">
        <f t="shared" si="305"/>
        <v>0</v>
      </c>
      <c r="Z906" s="13">
        <f t="shared" ca="1" si="306"/>
        <v>41268.881250000006</v>
      </c>
      <c r="AA906" s="4">
        <f t="shared" ca="1" si="307"/>
        <v>0</v>
      </c>
    </row>
    <row r="907" spans="1:27">
      <c r="A907">
        <v>2</v>
      </c>
      <c r="B907">
        <v>3</v>
      </c>
      <c r="C907">
        <f t="shared" ca="1" si="286"/>
        <v>7</v>
      </c>
      <c r="D907">
        <f t="shared" ca="1" si="287"/>
        <v>6</v>
      </c>
      <c r="E907">
        <f t="shared" ca="1" si="288"/>
        <v>2</v>
      </c>
      <c r="F907" s="110">
        <f t="shared" ca="1" si="289"/>
        <v>0</v>
      </c>
      <c r="G907">
        <v>1</v>
      </c>
      <c r="H907">
        <v>1</v>
      </c>
      <c r="I907">
        <v>3</v>
      </c>
      <c r="J907" s="1">
        <f t="shared" ca="1" si="290"/>
        <v>0</v>
      </c>
      <c r="K907" s="1">
        <f t="shared" ca="1" si="291"/>
        <v>0</v>
      </c>
      <c r="L907" s="13">
        <f t="shared" ca="1" si="292"/>
        <v>625</v>
      </c>
      <c r="M907" s="7">
        <f t="shared" ca="1" si="293"/>
        <v>875</v>
      </c>
      <c r="N907" s="26">
        <f t="shared" ca="1" si="294"/>
        <v>3</v>
      </c>
      <c r="O907" s="44">
        <f t="shared" ca="1" si="295"/>
        <v>2.2758855914378953</v>
      </c>
      <c r="P907" s="44">
        <f t="shared" ca="1" si="296"/>
        <v>22.758855914378952</v>
      </c>
      <c r="Q907" s="44">
        <f t="shared" ca="1" si="297"/>
        <v>22.758855914378952</v>
      </c>
      <c r="R907" s="44">
        <f t="shared" ca="1" si="298"/>
        <v>2.2758855914378953</v>
      </c>
      <c r="S907" s="44">
        <f t="shared" ca="1" si="299"/>
        <v>2.2758855914378953</v>
      </c>
      <c r="T907" s="4">
        <f t="shared" ca="1" si="300"/>
        <v>0</v>
      </c>
      <c r="U907" s="120">
        <f t="shared" ca="1" si="301"/>
        <v>2141.0063598009133</v>
      </c>
      <c r="V907" s="4">
        <f t="shared" ca="1" si="302"/>
        <v>0</v>
      </c>
      <c r="W907" s="13">
        <f t="shared" ca="1" si="303"/>
        <v>38495.756250000006</v>
      </c>
      <c r="X907" s="4">
        <f t="shared" ca="1" si="304"/>
        <v>0</v>
      </c>
      <c r="Y907" s="4">
        <f t="shared" si="305"/>
        <v>0</v>
      </c>
      <c r="Z907" s="13">
        <f t="shared" ca="1" si="306"/>
        <v>38495.756250000006</v>
      </c>
      <c r="AA907" s="4">
        <f t="shared" ca="1" si="307"/>
        <v>0</v>
      </c>
    </row>
    <row r="908" spans="1:27">
      <c r="A908">
        <v>2</v>
      </c>
      <c r="B908">
        <v>3</v>
      </c>
      <c r="C908">
        <f t="shared" ca="1" si="286"/>
        <v>7</v>
      </c>
      <c r="D908">
        <f t="shared" ca="1" si="287"/>
        <v>6</v>
      </c>
      <c r="E908">
        <f t="shared" ca="1" si="288"/>
        <v>2</v>
      </c>
      <c r="F908" s="110">
        <f t="shared" ca="1" si="289"/>
        <v>0</v>
      </c>
      <c r="G908">
        <v>1</v>
      </c>
      <c r="H908">
        <v>1</v>
      </c>
      <c r="I908">
        <v>2</v>
      </c>
      <c r="J908" s="1">
        <f t="shared" ca="1" si="290"/>
        <v>0</v>
      </c>
      <c r="K908" s="1">
        <f t="shared" ca="1" si="291"/>
        <v>0</v>
      </c>
      <c r="L908" s="13">
        <f t="shared" ca="1" si="292"/>
        <v>606</v>
      </c>
      <c r="M908" s="7">
        <f t="shared" ca="1" si="293"/>
        <v>894</v>
      </c>
      <c r="N908" s="26">
        <f t="shared" ca="1" si="294"/>
        <v>3</v>
      </c>
      <c r="O908" s="44">
        <f t="shared" ca="1" si="295"/>
        <v>2.2758855914378953</v>
      </c>
      <c r="P908" s="44">
        <f t="shared" ca="1" si="296"/>
        <v>22.758855914378952</v>
      </c>
      <c r="Q908" s="44">
        <f t="shared" ca="1" si="297"/>
        <v>22.758855914378952</v>
      </c>
      <c r="R908" s="44">
        <f t="shared" ca="1" si="298"/>
        <v>2.2758855914378953</v>
      </c>
      <c r="S908" s="44">
        <f t="shared" ca="1" si="299"/>
        <v>2.2758855914378953</v>
      </c>
      <c r="T908" s="4">
        <f t="shared" ca="1" si="300"/>
        <v>0</v>
      </c>
      <c r="U908" s="120">
        <f t="shared" ca="1" si="301"/>
        <v>2122.0063598009133</v>
      </c>
      <c r="V908" s="4">
        <f t="shared" ca="1" si="302"/>
        <v>0</v>
      </c>
      <c r="W908" s="13">
        <f t="shared" ca="1" si="303"/>
        <v>35722.631250000006</v>
      </c>
      <c r="X908" s="4">
        <f t="shared" ca="1" si="304"/>
        <v>0</v>
      </c>
      <c r="Y908" s="4">
        <f t="shared" si="305"/>
        <v>0</v>
      </c>
      <c r="Z908" s="13">
        <f t="shared" ca="1" si="306"/>
        <v>35722.631250000006</v>
      </c>
      <c r="AA908" s="4">
        <f t="shared" ca="1" si="307"/>
        <v>0</v>
      </c>
    </row>
    <row r="909" spans="1:27">
      <c r="A909">
        <v>2</v>
      </c>
      <c r="B909">
        <v>3</v>
      </c>
      <c r="C909">
        <f t="shared" ca="1" si="286"/>
        <v>7</v>
      </c>
      <c r="D909">
        <f t="shared" ca="1" si="287"/>
        <v>6</v>
      </c>
      <c r="E909">
        <f t="shared" ca="1" si="288"/>
        <v>2</v>
      </c>
      <c r="F909" s="110">
        <f t="shared" ca="1" si="289"/>
        <v>0</v>
      </c>
      <c r="G909">
        <v>1</v>
      </c>
      <c r="H909">
        <v>1</v>
      </c>
      <c r="I909">
        <v>1</v>
      </c>
      <c r="J909" s="1">
        <f t="shared" ca="1" si="290"/>
        <v>0</v>
      </c>
      <c r="K909" s="1">
        <f t="shared" ca="1" si="291"/>
        <v>0</v>
      </c>
      <c r="L909" s="13">
        <f t="shared" ca="1" si="292"/>
        <v>587</v>
      </c>
      <c r="M909" s="7">
        <f t="shared" ca="1" si="293"/>
        <v>913</v>
      </c>
      <c r="N909" s="26">
        <f t="shared" ca="1" si="294"/>
        <v>3</v>
      </c>
      <c r="O909" s="44">
        <f t="shared" ca="1" si="295"/>
        <v>2.2758855914378953</v>
      </c>
      <c r="P909" s="44">
        <f t="shared" ca="1" si="296"/>
        <v>22.758855914378952</v>
      </c>
      <c r="Q909" s="44">
        <f t="shared" ca="1" si="297"/>
        <v>22.758855914378952</v>
      </c>
      <c r="R909" s="44">
        <f t="shared" ca="1" si="298"/>
        <v>2.2758855914378953</v>
      </c>
      <c r="S909" s="44">
        <f t="shared" ca="1" si="299"/>
        <v>2.2758855914378953</v>
      </c>
      <c r="T909" s="4">
        <f t="shared" ca="1" si="300"/>
        <v>0</v>
      </c>
      <c r="U909" s="120">
        <f t="shared" ca="1" si="301"/>
        <v>2103.0063598009133</v>
      </c>
      <c r="V909" s="4">
        <f t="shared" ca="1" si="302"/>
        <v>0</v>
      </c>
      <c r="W909" s="13">
        <f t="shared" ca="1" si="303"/>
        <v>32949.506250000006</v>
      </c>
      <c r="X909" s="4">
        <f t="shared" ca="1" si="304"/>
        <v>0</v>
      </c>
      <c r="Y909" s="4">
        <f t="shared" si="305"/>
        <v>0</v>
      </c>
      <c r="Z909" s="13">
        <f t="shared" ca="1" si="306"/>
        <v>32949.506250000006</v>
      </c>
      <c r="AA909" s="4">
        <f t="shared" ca="1" si="307"/>
        <v>0</v>
      </c>
    </row>
    <row r="910" spans="1:27">
      <c r="A910">
        <v>2</v>
      </c>
      <c r="B910">
        <v>3</v>
      </c>
      <c r="C910">
        <f t="shared" ca="1" si="286"/>
        <v>7</v>
      </c>
      <c r="D910">
        <f t="shared" ca="1" si="287"/>
        <v>6</v>
      </c>
      <c r="E910">
        <f t="shared" ca="1" si="288"/>
        <v>2</v>
      </c>
      <c r="F910" s="110">
        <f t="shared" ca="1" si="289"/>
        <v>0</v>
      </c>
      <c r="G910">
        <v>1</v>
      </c>
      <c r="H910">
        <v>1</v>
      </c>
      <c r="I910">
        <v>0</v>
      </c>
      <c r="J910" s="1">
        <f t="shared" ca="1" si="290"/>
        <v>0</v>
      </c>
      <c r="K910" s="1">
        <f t="shared" ca="1" si="291"/>
        <v>0</v>
      </c>
      <c r="L910" s="13">
        <f t="shared" ca="1" si="292"/>
        <v>568</v>
      </c>
      <c r="M910" s="7">
        <f t="shared" ca="1" si="293"/>
        <v>932</v>
      </c>
      <c r="N910" s="26">
        <f t="shared" ca="1" si="294"/>
        <v>3</v>
      </c>
      <c r="O910" s="44">
        <f t="shared" ca="1" si="295"/>
        <v>2.2758855914378953</v>
      </c>
      <c r="P910" s="44">
        <f t="shared" ca="1" si="296"/>
        <v>22.758855914378952</v>
      </c>
      <c r="Q910" s="44">
        <f t="shared" ca="1" si="297"/>
        <v>22.758855914378952</v>
      </c>
      <c r="R910" s="44">
        <f t="shared" ca="1" si="298"/>
        <v>2.2758855914378953</v>
      </c>
      <c r="S910" s="44">
        <f t="shared" ca="1" si="299"/>
        <v>2.2758855914378953</v>
      </c>
      <c r="T910" s="4">
        <f t="shared" ca="1" si="300"/>
        <v>0</v>
      </c>
      <c r="U910" s="120">
        <f t="shared" ca="1" si="301"/>
        <v>2084.0063598009133</v>
      </c>
      <c r="V910" s="4">
        <f t="shared" ca="1" si="302"/>
        <v>0</v>
      </c>
      <c r="W910" s="13">
        <f t="shared" ca="1" si="303"/>
        <v>30176.381250000002</v>
      </c>
      <c r="X910" s="4">
        <f t="shared" ca="1" si="304"/>
        <v>0</v>
      </c>
      <c r="Y910" s="4">
        <f t="shared" si="305"/>
        <v>0</v>
      </c>
      <c r="Z910" s="13">
        <f t="shared" ca="1" si="306"/>
        <v>30176.381250000002</v>
      </c>
      <c r="AA910" s="4">
        <f t="shared" ca="1" si="307"/>
        <v>0</v>
      </c>
    </row>
    <row r="911" spans="1:27">
      <c r="A911">
        <v>2</v>
      </c>
      <c r="B911">
        <v>3</v>
      </c>
      <c r="C911">
        <f t="shared" ca="1" si="286"/>
        <v>7</v>
      </c>
      <c r="D911">
        <f t="shared" ca="1" si="287"/>
        <v>6</v>
      </c>
      <c r="E911">
        <f t="shared" ca="1" si="288"/>
        <v>2</v>
      </c>
      <c r="F911" s="110">
        <f t="shared" ca="1" si="289"/>
        <v>0</v>
      </c>
      <c r="G911">
        <v>1</v>
      </c>
      <c r="H911">
        <v>0</v>
      </c>
      <c r="I911">
        <v>7</v>
      </c>
      <c r="J911" s="1">
        <f t="shared" ca="1" si="290"/>
        <v>0</v>
      </c>
      <c r="K911" s="1">
        <f t="shared" ca="1" si="291"/>
        <v>0</v>
      </c>
      <c r="L911" s="13">
        <f t="shared" ca="1" si="292"/>
        <v>417</v>
      </c>
      <c r="M911" s="7">
        <f t="shared" ca="1" si="293"/>
        <v>1083</v>
      </c>
      <c r="N911" s="26">
        <f t="shared" ca="1" si="294"/>
        <v>4</v>
      </c>
      <c r="O911" s="44">
        <f t="shared" ca="1" si="295"/>
        <v>2.8908103757121246</v>
      </c>
      <c r="P911" s="44">
        <f t="shared" ca="1" si="296"/>
        <v>28.908103757121246</v>
      </c>
      <c r="Q911" s="44">
        <f t="shared" ca="1" si="297"/>
        <v>28.908103757121246</v>
      </c>
      <c r="R911" s="44">
        <f t="shared" ca="1" si="298"/>
        <v>2.8908103757121246</v>
      </c>
      <c r="S911" s="44">
        <f t="shared" ca="1" si="299"/>
        <v>2.8908103757121246</v>
      </c>
      <c r="T911" s="4">
        <f t="shared" ca="1" si="300"/>
        <v>0</v>
      </c>
      <c r="U911" s="120">
        <f t="shared" ca="1" si="301"/>
        <v>2268.675062040129</v>
      </c>
      <c r="V911" s="4">
        <f t="shared" ca="1" si="302"/>
        <v>0</v>
      </c>
      <c r="W911" s="13">
        <f t="shared" ca="1" si="303"/>
        <v>49588.256250000006</v>
      </c>
      <c r="X911" s="4">
        <f t="shared" ca="1" si="304"/>
        <v>0</v>
      </c>
      <c r="Y911" s="4">
        <f t="shared" si="305"/>
        <v>0</v>
      </c>
      <c r="Z911" s="13">
        <f t="shared" ca="1" si="306"/>
        <v>49588.256250000006</v>
      </c>
      <c r="AA911" s="4">
        <f t="shared" ca="1" si="307"/>
        <v>0</v>
      </c>
    </row>
    <row r="912" spans="1:27">
      <c r="A912">
        <v>2</v>
      </c>
      <c r="B912">
        <v>3</v>
      </c>
      <c r="C912">
        <f t="shared" ca="1" si="286"/>
        <v>7</v>
      </c>
      <c r="D912">
        <f t="shared" ca="1" si="287"/>
        <v>6</v>
      </c>
      <c r="E912">
        <f t="shared" ca="1" si="288"/>
        <v>2</v>
      </c>
      <c r="F912" s="110">
        <f t="shared" ca="1" si="289"/>
        <v>0</v>
      </c>
      <c r="G912">
        <v>1</v>
      </c>
      <c r="H912">
        <v>0</v>
      </c>
      <c r="I912">
        <v>6</v>
      </c>
      <c r="J912" s="1">
        <f t="shared" ca="1" si="290"/>
        <v>0.69833729609374984</v>
      </c>
      <c r="K912" s="1">
        <f t="shared" ca="1" si="291"/>
        <v>0</v>
      </c>
      <c r="L912" s="13">
        <f t="shared" ca="1" si="292"/>
        <v>398</v>
      </c>
      <c r="M912" s="7">
        <f t="shared" ca="1" si="293"/>
        <v>1102</v>
      </c>
      <c r="N912" s="26">
        <f t="shared" ca="1" si="294"/>
        <v>4</v>
      </c>
      <c r="O912" s="44">
        <f t="shared" ca="1" si="295"/>
        <v>2.8908103757121246</v>
      </c>
      <c r="P912" s="44">
        <f t="shared" ca="1" si="296"/>
        <v>28.908103757121246</v>
      </c>
      <c r="Q912" s="44">
        <f t="shared" ca="1" si="297"/>
        <v>28.908103757121246</v>
      </c>
      <c r="R912" s="44">
        <f t="shared" ca="1" si="298"/>
        <v>2.8908103757121246</v>
      </c>
      <c r="S912" s="44">
        <f t="shared" ca="1" si="299"/>
        <v>2.8908103757121246</v>
      </c>
      <c r="T912" s="4">
        <f t="shared" ca="1" si="300"/>
        <v>0</v>
      </c>
      <c r="U912" s="120">
        <f t="shared" ca="1" si="301"/>
        <v>2249.675062040129</v>
      </c>
      <c r="V912" s="4">
        <f t="shared" ca="1" si="302"/>
        <v>0</v>
      </c>
      <c r="W912" s="13">
        <f t="shared" ca="1" si="303"/>
        <v>46815.131250000006</v>
      </c>
      <c r="X912" s="4">
        <f t="shared" ca="1" si="304"/>
        <v>0</v>
      </c>
      <c r="Y912" s="4">
        <f t="shared" si="305"/>
        <v>0</v>
      </c>
      <c r="Z912" s="13">
        <f t="shared" ca="1" si="306"/>
        <v>46815.131250000006</v>
      </c>
      <c r="AA912" s="4">
        <f t="shared" ca="1" si="307"/>
        <v>0</v>
      </c>
    </row>
    <row r="913" spans="1:27">
      <c r="A913">
        <v>2</v>
      </c>
      <c r="B913">
        <v>3</v>
      </c>
      <c r="C913">
        <f t="shared" ca="1" si="286"/>
        <v>7</v>
      </c>
      <c r="D913">
        <f t="shared" ca="1" si="287"/>
        <v>6</v>
      </c>
      <c r="E913">
        <f t="shared" ca="1" si="288"/>
        <v>2</v>
      </c>
      <c r="F913" s="110">
        <f t="shared" ca="1" si="289"/>
        <v>0</v>
      </c>
      <c r="G913">
        <v>1</v>
      </c>
      <c r="H913">
        <v>0</v>
      </c>
      <c r="I913">
        <v>5</v>
      </c>
      <c r="J913" s="1">
        <f t="shared" ca="1" si="290"/>
        <v>0.22052756718750019</v>
      </c>
      <c r="K913" s="1">
        <f t="shared" ca="1" si="291"/>
        <v>0</v>
      </c>
      <c r="L913" s="13">
        <f t="shared" ca="1" si="292"/>
        <v>379</v>
      </c>
      <c r="M913" s="7">
        <f t="shared" ca="1" si="293"/>
        <v>1121</v>
      </c>
      <c r="N913" s="26">
        <f t="shared" ca="1" si="294"/>
        <v>4</v>
      </c>
      <c r="O913" s="44">
        <f t="shared" ca="1" si="295"/>
        <v>2.8908103757121246</v>
      </c>
      <c r="P913" s="44">
        <f t="shared" ca="1" si="296"/>
        <v>28.908103757121246</v>
      </c>
      <c r="Q913" s="44">
        <f t="shared" ca="1" si="297"/>
        <v>28.908103757121246</v>
      </c>
      <c r="R913" s="44">
        <f t="shared" ca="1" si="298"/>
        <v>2.8908103757121246</v>
      </c>
      <c r="S913" s="44">
        <f t="shared" ca="1" si="299"/>
        <v>2.8908103757121246</v>
      </c>
      <c r="T913" s="4">
        <f t="shared" ca="1" si="300"/>
        <v>0</v>
      </c>
      <c r="U913" s="120">
        <f t="shared" ca="1" si="301"/>
        <v>2230.675062040129</v>
      </c>
      <c r="V913" s="4">
        <f t="shared" ca="1" si="302"/>
        <v>0</v>
      </c>
      <c r="W913" s="13">
        <f t="shared" ca="1" si="303"/>
        <v>44042.006250000006</v>
      </c>
      <c r="X913" s="4">
        <f t="shared" ca="1" si="304"/>
        <v>0</v>
      </c>
      <c r="Y913" s="4">
        <f t="shared" si="305"/>
        <v>0</v>
      </c>
      <c r="Z913" s="13">
        <f t="shared" ca="1" si="306"/>
        <v>44042.006250000006</v>
      </c>
      <c r="AA913" s="4">
        <f t="shared" ca="1" si="307"/>
        <v>0</v>
      </c>
    </row>
    <row r="914" spans="1:27">
      <c r="A914">
        <v>2</v>
      </c>
      <c r="B914">
        <v>3</v>
      </c>
      <c r="C914">
        <f t="shared" ca="1" si="286"/>
        <v>7</v>
      </c>
      <c r="D914">
        <f t="shared" ca="1" si="287"/>
        <v>6</v>
      </c>
      <c r="E914">
        <f t="shared" ca="1" si="288"/>
        <v>2</v>
      </c>
      <c r="F914" s="110">
        <f t="shared" ca="1" si="289"/>
        <v>0</v>
      </c>
      <c r="G914">
        <v>1</v>
      </c>
      <c r="H914">
        <v>0</v>
      </c>
      <c r="I914">
        <v>4</v>
      </c>
      <c r="J914" s="1">
        <f t="shared" ca="1" si="290"/>
        <v>2.9016785156250047E-2</v>
      </c>
      <c r="K914" s="1">
        <f t="shared" ca="1" si="291"/>
        <v>0</v>
      </c>
      <c r="L914" s="13">
        <f t="shared" ca="1" si="292"/>
        <v>360</v>
      </c>
      <c r="M914" s="7">
        <f t="shared" ca="1" si="293"/>
        <v>1140</v>
      </c>
      <c r="N914" s="26">
        <f t="shared" ca="1" si="294"/>
        <v>4</v>
      </c>
      <c r="O914" s="44">
        <f t="shared" ca="1" si="295"/>
        <v>2.8908103757121246</v>
      </c>
      <c r="P914" s="44">
        <f t="shared" ca="1" si="296"/>
        <v>28.908103757121246</v>
      </c>
      <c r="Q914" s="44">
        <f t="shared" ca="1" si="297"/>
        <v>28.908103757121246</v>
      </c>
      <c r="R914" s="44">
        <f t="shared" ca="1" si="298"/>
        <v>2.8908103757121246</v>
      </c>
      <c r="S914" s="44">
        <f t="shared" ca="1" si="299"/>
        <v>2.8908103757121246</v>
      </c>
      <c r="T914" s="4">
        <f t="shared" ca="1" si="300"/>
        <v>0</v>
      </c>
      <c r="U914" s="120">
        <f t="shared" ca="1" si="301"/>
        <v>2211.675062040129</v>
      </c>
      <c r="V914" s="4">
        <f t="shared" ca="1" si="302"/>
        <v>0</v>
      </c>
      <c r="W914" s="13">
        <f t="shared" ca="1" si="303"/>
        <v>41268.881250000006</v>
      </c>
      <c r="X914" s="4">
        <f t="shared" ca="1" si="304"/>
        <v>0</v>
      </c>
      <c r="Y914" s="4">
        <f t="shared" si="305"/>
        <v>0</v>
      </c>
      <c r="Z914" s="13">
        <f t="shared" ca="1" si="306"/>
        <v>41268.881250000006</v>
      </c>
      <c r="AA914" s="4">
        <f t="shared" ca="1" si="307"/>
        <v>0</v>
      </c>
    </row>
    <row r="915" spans="1:27">
      <c r="A915">
        <v>2</v>
      </c>
      <c r="B915">
        <v>3</v>
      </c>
      <c r="C915">
        <f t="shared" ca="1" si="286"/>
        <v>7</v>
      </c>
      <c r="D915">
        <f t="shared" ca="1" si="287"/>
        <v>6</v>
      </c>
      <c r="E915">
        <f t="shared" ca="1" si="288"/>
        <v>2</v>
      </c>
      <c r="F915" s="110">
        <f t="shared" ca="1" si="289"/>
        <v>0</v>
      </c>
      <c r="G915">
        <v>1</v>
      </c>
      <c r="H915">
        <v>0</v>
      </c>
      <c r="I915">
        <v>3</v>
      </c>
      <c r="J915" s="1">
        <f t="shared" ca="1" si="290"/>
        <v>2.0362656250000047E-3</v>
      </c>
      <c r="K915" s="1">
        <f t="shared" ca="1" si="291"/>
        <v>0</v>
      </c>
      <c r="L915" s="13">
        <f t="shared" ca="1" si="292"/>
        <v>341</v>
      </c>
      <c r="M915" s="7">
        <f t="shared" ca="1" si="293"/>
        <v>1159</v>
      </c>
      <c r="N915" s="26">
        <f t="shared" ca="1" si="294"/>
        <v>4</v>
      </c>
      <c r="O915" s="44">
        <f t="shared" ca="1" si="295"/>
        <v>2.8908103757121246</v>
      </c>
      <c r="P915" s="44">
        <f t="shared" ca="1" si="296"/>
        <v>28.908103757121246</v>
      </c>
      <c r="Q915" s="44">
        <f t="shared" ca="1" si="297"/>
        <v>28.908103757121246</v>
      </c>
      <c r="R915" s="44">
        <f t="shared" ca="1" si="298"/>
        <v>2.8908103757121246</v>
      </c>
      <c r="S915" s="44">
        <f t="shared" ca="1" si="299"/>
        <v>2.8908103757121246</v>
      </c>
      <c r="T915" s="4">
        <f t="shared" ca="1" si="300"/>
        <v>0</v>
      </c>
      <c r="U915" s="120">
        <f t="shared" ca="1" si="301"/>
        <v>2192.675062040129</v>
      </c>
      <c r="V915" s="4">
        <f t="shared" ca="1" si="302"/>
        <v>0</v>
      </c>
      <c r="W915" s="13">
        <f t="shared" ca="1" si="303"/>
        <v>38495.756250000006</v>
      </c>
      <c r="X915" s="4">
        <f t="shared" ca="1" si="304"/>
        <v>0</v>
      </c>
      <c r="Y915" s="4">
        <f t="shared" si="305"/>
        <v>0</v>
      </c>
      <c r="Z915" s="13">
        <f t="shared" ca="1" si="306"/>
        <v>38495.756250000006</v>
      </c>
      <c r="AA915" s="4">
        <f t="shared" ca="1" si="307"/>
        <v>0</v>
      </c>
    </row>
    <row r="916" spans="1:27">
      <c r="A916">
        <v>2</v>
      </c>
      <c r="B916">
        <v>3</v>
      </c>
      <c r="C916">
        <f t="shared" ca="1" si="286"/>
        <v>7</v>
      </c>
      <c r="D916">
        <f t="shared" ca="1" si="287"/>
        <v>6</v>
      </c>
      <c r="E916">
        <f t="shared" ca="1" si="288"/>
        <v>2</v>
      </c>
      <c r="F916" s="110">
        <f t="shared" ca="1" si="289"/>
        <v>0</v>
      </c>
      <c r="G916">
        <v>1</v>
      </c>
      <c r="H916">
        <v>0</v>
      </c>
      <c r="I916">
        <v>2</v>
      </c>
      <c r="J916" s="1">
        <f t="shared" ca="1" si="290"/>
        <v>8.0378906250000291E-5</v>
      </c>
      <c r="K916" s="1">
        <f t="shared" ca="1" si="291"/>
        <v>0</v>
      </c>
      <c r="L916" s="13">
        <f t="shared" ca="1" si="292"/>
        <v>322</v>
      </c>
      <c r="M916" s="7">
        <f t="shared" ca="1" si="293"/>
        <v>1178</v>
      </c>
      <c r="N916" s="26">
        <f t="shared" ca="1" si="294"/>
        <v>4</v>
      </c>
      <c r="O916" s="44">
        <f t="shared" ca="1" si="295"/>
        <v>2.8908103757121246</v>
      </c>
      <c r="P916" s="44">
        <f t="shared" ca="1" si="296"/>
        <v>28.908103757121246</v>
      </c>
      <c r="Q916" s="44">
        <f t="shared" ca="1" si="297"/>
        <v>28.908103757121246</v>
      </c>
      <c r="R916" s="44">
        <f t="shared" ca="1" si="298"/>
        <v>2.8908103757121246</v>
      </c>
      <c r="S916" s="44">
        <f t="shared" ca="1" si="299"/>
        <v>2.8908103757121246</v>
      </c>
      <c r="T916" s="4">
        <f t="shared" ca="1" si="300"/>
        <v>0</v>
      </c>
      <c r="U916" s="120">
        <f t="shared" ca="1" si="301"/>
        <v>2173.675062040129</v>
      </c>
      <c r="V916" s="4">
        <f t="shared" ca="1" si="302"/>
        <v>0</v>
      </c>
      <c r="W916" s="13">
        <f t="shared" ca="1" si="303"/>
        <v>35722.631250000006</v>
      </c>
      <c r="X916" s="4">
        <f t="shared" ca="1" si="304"/>
        <v>0</v>
      </c>
      <c r="Y916" s="4">
        <f t="shared" si="305"/>
        <v>0</v>
      </c>
      <c r="Z916" s="13">
        <f t="shared" ca="1" si="306"/>
        <v>35722.631250000006</v>
      </c>
      <c r="AA916" s="4">
        <f t="shared" ca="1" si="307"/>
        <v>0</v>
      </c>
    </row>
    <row r="917" spans="1:27">
      <c r="A917">
        <v>2</v>
      </c>
      <c r="B917">
        <v>3</v>
      </c>
      <c r="C917">
        <f t="shared" ca="1" si="286"/>
        <v>7</v>
      </c>
      <c r="D917">
        <f t="shared" ca="1" si="287"/>
        <v>6</v>
      </c>
      <c r="E917">
        <f t="shared" ca="1" si="288"/>
        <v>2</v>
      </c>
      <c r="F917" s="110">
        <f t="shared" ca="1" si="289"/>
        <v>0</v>
      </c>
      <c r="G917">
        <v>1</v>
      </c>
      <c r="H917">
        <v>0</v>
      </c>
      <c r="I917">
        <v>1</v>
      </c>
      <c r="J917" s="1">
        <f t="shared" ca="1" si="290"/>
        <v>1.6921875000000077E-6</v>
      </c>
      <c r="K917" s="1">
        <f t="shared" ca="1" si="291"/>
        <v>0</v>
      </c>
      <c r="L917" s="13">
        <f t="shared" ca="1" si="292"/>
        <v>303</v>
      </c>
      <c r="M917" s="7">
        <f t="shared" ca="1" si="293"/>
        <v>1197</v>
      </c>
      <c r="N917" s="26">
        <f t="shared" ca="1" si="294"/>
        <v>4</v>
      </c>
      <c r="O917" s="44">
        <f t="shared" ca="1" si="295"/>
        <v>2.8908103757121246</v>
      </c>
      <c r="P917" s="44">
        <f t="shared" ca="1" si="296"/>
        <v>28.908103757121246</v>
      </c>
      <c r="Q917" s="44">
        <f t="shared" ca="1" si="297"/>
        <v>28.908103757121246</v>
      </c>
      <c r="R917" s="44">
        <f t="shared" ca="1" si="298"/>
        <v>2.8908103757121246</v>
      </c>
      <c r="S917" s="44">
        <f t="shared" ca="1" si="299"/>
        <v>2.8908103757121246</v>
      </c>
      <c r="T917" s="4">
        <f t="shared" ca="1" si="300"/>
        <v>0</v>
      </c>
      <c r="U917" s="120">
        <f t="shared" ca="1" si="301"/>
        <v>2154.675062040129</v>
      </c>
      <c r="V917" s="4">
        <f t="shared" ca="1" si="302"/>
        <v>0</v>
      </c>
      <c r="W917" s="13">
        <f t="shared" ca="1" si="303"/>
        <v>32949.506250000006</v>
      </c>
      <c r="X917" s="4">
        <f t="shared" ca="1" si="304"/>
        <v>0</v>
      </c>
      <c r="Y917" s="4">
        <f t="shared" si="305"/>
        <v>0</v>
      </c>
      <c r="Z917" s="13">
        <f t="shared" ca="1" si="306"/>
        <v>32949.506250000006</v>
      </c>
      <c r="AA917" s="4">
        <f t="shared" ca="1" si="307"/>
        <v>0</v>
      </c>
    </row>
    <row r="918" spans="1:27">
      <c r="A918">
        <v>2</v>
      </c>
      <c r="B918">
        <v>3</v>
      </c>
      <c r="C918">
        <f t="shared" ca="1" si="286"/>
        <v>7</v>
      </c>
      <c r="D918">
        <f t="shared" ca="1" si="287"/>
        <v>6</v>
      </c>
      <c r="E918">
        <f t="shared" ca="1" si="288"/>
        <v>2</v>
      </c>
      <c r="F918" s="110">
        <f t="shared" ca="1" si="289"/>
        <v>0</v>
      </c>
      <c r="G918">
        <v>1</v>
      </c>
      <c r="H918">
        <v>0</v>
      </c>
      <c r="I918">
        <v>0</v>
      </c>
      <c r="J918" s="1">
        <f t="shared" ca="1" si="290"/>
        <v>1.4843750000000078E-8</v>
      </c>
      <c r="K918" s="1">
        <f t="shared" ca="1" si="291"/>
        <v>0</v>
      </c>
      <c r="L918" s="13">
        <f t="shared" ca="1" si="292"/>
        <v>284</v>
      </c>
      <c r="M918" s="7">
        <f t="shared" ca="1" si="293"/>
        <v>1216</v>
      </c>
      <c r="N918" s="26">
        <f t="shared" ca="1" si="294"/>
        <v>4</v>
      </c>
      <c r="O918" s="44">
        <f t="shared" ca="1" si="295"/>
        <v>2.8908103757121246</v>
      </c>
      <c r="P918" s="44">
        <f t="shared" ca="1" si="296"/>
        <v>28.908103757121246</v>
      </c>
      <c r="Q918" s="44">
        <f t="shared" ca="1" si="297"/>
        <v>28.908103757121246</v>
      </c>
      <c r="R918" s="44">
        <f t="shared" ca="1" si="298"/>
        <v>2.8908103757121246</v>
      </c>
      <c r="S918" s="44">
        <f t="shared" ca="1" si="299"/>
        <v>2.8908103757121246</v>
      </c>
      <c r="T918" s="4">
        <f t="shared" ca="1" si="300"/>
        <v>0</v>
      </c>
      <c r="U918" s="120">
        <f t="shared" ca="1" si="301"/>
        <v>2135.675062040129</v>
      </c>
      <c r="V918" s="4">
        <f t="shared" ca="1" si="302"/>
        <v>0</v>
      </c>
      <c r="W918" s="13">
        <f t="shared" ca="1" si="303"/>
        <v>30176.381250000002</v>
      </c>
      <c r="X918" s="4">
        <f t="shared" ca="1" si="304"/>
        <v>0</v>
      </c>
      <c r="Y918" s="4">
        <f t="shared" si="305"/>
        <v>0</v>
      </c>
      <c r="Z918" s="13">
        <f t="shared" ca="1" si="306"/>
        <v>30176.381250000002</v>
      </c>
      <c r="AA918" s="4">
        <f t="shared" ca="1" si="307"/>
        <v>0</v>
      </c>
    </row>
    <row r="919" spans="1:27">
      <c r="A919">
        <v>2</v>
      </c>
      <c r="B919">
        <v>3</v>
      </c>
      <c r="C919">
        <f t="shared" ca="1" si="286"/>
        <v>7</v>
      </c>
      <c r="D919">
        <f t="shared" ca="1" si="287"/>
        <v>6</v>
      </c>
      <c r="E919">
        <f t="shared" ca="1" si="288"/>
        <v>2</v>
      </c>
      <c r="F919" s="110">
        <f t="shared" ca="1" si="289"/>
        <v>0</v>
      </c>
      <c r="G919">
        <v>0</v>
      </c>
      <c r="H919">
        <v>1</v>
      </c>
      <c r="I919">
        <v>7</v>
      </c>
      <c r="J919" s="1">
        <f t="shared" ca="1" si="290"/>
        <v>0</v>
      </c>
      <c r="K919" s="1">
        <f t="shared" ca="1" si="291"/>
        <v>0</v>
      </c>
      <c r="L919" s="13">
        <f t="shared" ca="1" si="292"/>
        <v>417</v>
      </c>
      <c r="M919" s="7">
        <f t="shared" ca="1" si="293"/>
        <v>1083</v>
      </c>
      <c r="N919" s="26">
        <f t="shared" ca="1" si="294"/>
        <v>4</v>
      </c>
      <c r="O919" s="44">
        <f t="shared" ca="1" si="295"/>
        <v>2.8908103757121246</v>
      </c>
      <c r="P919" s="44">
        <f t="shared" ca="1" si="296"/>
        <v>28.908103757121246</v>
      </c>
      <c r="Q919" s="44">
        <f t="shared" ca="1" si="297"/>
        <v>28.908103757121246</v>
      </c>
      <c r="R919" s="44">
        <f t="shared" ca="1" si="298"/>
        <v>2.8908103757121246</v>
      </c>
      <c r="S919" s="44">
        <f t="shared" ca="1" si="299"/>
        <v>2.8908103757121246</v>
      </c>
      <c r="T919" s="4">
        <f t="shared" ca="1" si="300"/>
        <v>0</v>
      </c>
      <c r="U919" s="120">
        <f t="shared" ca="1" si="301"/>
        <v>2268.675062040129</v>
      </c>
      <c r="V919" s="4">
        <f t="shared" ca="1" si="302"/>
        <v>0</v>
      </c>
      <c r="W919" s="13">
        <f t="shared" ca="1" si="303"/>
        <v>19411.875</v>
      </c>
      <c r="X919" s="4">
        <f t="shared" ca="1" si="304"/>
        <v>0</v>
      </c>
      <c r="Y919" s="4">
        <f t="shared" si="305"/>
        <v>0</v>
      </c>
      <c r="Z919" s="13">
        <f t="shared" ca="1" si="306"/>
        <v>19411.875</v>
      </c>
      <c r="AA919" s="4">
        <f t="shared" ca="1" si="307"/>
        <v>0</v>
      </c>
    </row>
    <row r="920" spans="1:27">
      <c r="A920">
        <v>2</v>
      </c>
      <c r="B920">
        <v>3</v>
      </c>
      <c r="C920">
        <f t="shared" ca="1" si="286"/>
        <v>7</v>
      </c>
      <c r="D920">
        <f t="shared" ca="1" si="287"/>
        <v>6</v>
      </c>
      <c r="E920">
        <f t="shared" ca="1" si="288"/>
        <v>2</v>
      </c>
      <c r="F920" s="110">
        <f t="shared" ca="1" si="289"/>
        <v>0</v>
      </c>
      <c r="G920">
        <v>0</v>
      </c>
      <c r="H920">
        <v>1</v>
      </c>
      <c r="I920">
        <v>6</v>
      </c>
      <c r="J920" s="1">
        <f t="shared" ca="1" si="290"/>
        <v>0</v>
      </c>
      <c r="K920" s="1">
        <f t="shared" ca="1" si="291"/>
        <v>0</v>
      </c>
      <c r="L920" s="13">
        <f t="shared" ca="1" si="292"/>
        <v>398</v>
      </c>
      <c r="M920" s="7">
        <f t="shared" ca="1" si="293"/>
        <v>1102</v>
      </c>
      <c r="N920" s="26">
        <f t="shared" ca="1" si="294"/>
        <v>4</v>
      </c>
      <c r="O920" s="44">
        <f t="shared" ca="1" si="295"/>
        <v>2.8908103757121246</v>
      </c>
      <c r="P920" s="44">
        <f t="shared" ca="1" si="296"/>
        <v>28.908103757121246</v>
      </c>
      <c r="Q920" s="44">
        <f t="shared" ca="1" si="297"/>
        <v>28.908103757121246</v>
      </c>
      <c r="R920" s="44">
        <f t="shared" ca="1" si="298"/>
        <v>2.8908103757121246</v>
      </c>
      <c r="S920" s="44">
        <f t="shared" ca="1" si="299"/>
        <v>2.8908103757121246</v>
      </c>
      <c r="T920" s="4">
        <f t="shared" ca="1" si="300"/>
        <v>0</v>
      </c>
      <c r="U920" s="120">
        <f t="shared" ca="1" si="301"/>
        <v>2249.675062040129</v>
      </c>
      <c r="V920" s="4">
        <f t="shared" ca="1" si="302"/>
        <v>0</v>
      </c>
      <c r="W920" s="13">
        <f t="shared" ca="1" si="303"/>
        <v>16638.75</v>
      </c>
      <c r="X920" s="4">
        <f t="shared" ca="1" si="304"/>
        <v>0</v>
      </c>
      <c r="Y920" s="4">
        <f t="shared" si="305"/>
        <v>0</v>
      </c>
      <c r="Z920" s="13">
        <f t="shared" ca="1" si="306"/>
        <v>16638.75</v>
      </c>
      <c r="AA920" s="4">
        <f t="shared" ca="1" si="307"/>
        <v>0</v>
      </c>
    </row>
    <row r="921" spans="1:27">
      <c r="A921">
        <v>2</v>
      </c>
      <c r="B921">
        <v>3</v>
      </c>
      <c r="C921">
        <f t="shared" ca="1" si="286"/>
        <v>7</v>
      </c>
      <c r="D921">
        <f t="shared" ca="1" si="287"/>
        <v>6</v>
      </c>
      <c r="E921">
        <f t="shared" ca="1" si="288"/>
        <v>2</v>
      </c>
      <c r="F921" s="110">
        <f t="shared" ca="1" si="289"/>
        <v>0</v>
      </c>
      <c r="G921">
        <v>0</v>
      </c>
      <c r="H921">
        <v>1</v>
      </c>
      <c r="I921">
        <v>5</v>
      </c>
      <c r="J921" s="1">
        <f t="shared" ca="1" si="290"/>
        <v>0</v>
      </c>
      <c r="K921" s="1">
        <f t="shared" ca="1" si="291"/>
        <v>0</v>
      </c>
      <c r="L921" s="13">
        <f t="shared" ca="1" si="292"/>
        <v>379</v>
      </c>
      <c r="M921" s="7">
        <f t="shared" ca="1" si="293"/>
        <v>1121</v>
      </c>
      <c r="N921" s="26">
        <f t="shared" ca="1" si="294"/>
        <v>4</v>
      </c>
      <c r="O921" s="44">
        <f t="shared" ca="1" si="295"/>
        <v>2.8908103757121246</v>
      </c>
      <c r="P921" s="44">
        <f t="shared" ca="1" si="296"/>
        <v>28.908103757121246</v>
      </c>
      <c r="Q921" s="44">
        <f t="shared" ca="1" si="297"/>
        <v>28.908103757121246</v>
      </c>
      <c r="R921" s="44">
        <f t="shared" ca="1" si="298"/>
        <v>2.8908103757121246</v>
      </c>
      <c r="S921" s="44">
        <f t="shared" ca="1" si="299"/>
        <v>2.8908103757121246</v>
      </c>
      <c r="T921" s="4">
        <f t="shared" ca="1" si="300"/>
        <v>0</v>
      </c>
      <c r="U921" s="120">
        <f t="shared" ca="1" si="301"/>
        <v>2230.675062040129</v>
      </c>
      <c r="V921" s="4">
        <f t="shared" ca="1" si="302"/>
        <v>0</v>
      </c>
      <c r="W921" s="13">
        <f t="shared" ca="1" si="303"/>
        <v>13865.625</v>
      </c>
      <c r="X921" s="4">
        <f t="shared" ca="1" si="304"/>
        <v>0</v>
      </c>
      <c r="Y921" s="4">
        <f t="shared" si="305"/>
        <v>0</v>
      </c>
      <c r="Z921" s="13">
        <f t="shared" ca="1" si="306"/>
        <v>13865.625</v>
      </c>
      <c r="AA921" s="4">
        <f t="shared" ca="1" si="307"/>
        <v>0</v>
      </c>
    </row>
    <row r="922" spans="1:27">
      <c r="A922">
        <v>2</v>
      </c>
      <c r="B922">
        <v>3</v>
      </c>
      <c r="C922">
        <f t="shared" ca="1" si="286"/>
        <v>7</v>
      </c>
      <c r="D922">
        <f t="shared" ca="1" si="287"/>
        <v>6</v>
      </c>
      <c r="E922">
        <f t="shared" ca="1" si="288"/>
        <v>2</v>
      </c>
      <c r="F922" s="110">
        <f t="shared" ca="1" si="289"/>
        <v>0</v>
      </c>
      <c r="G922">
        <v>0</v>
      </c>
      <c r="H922">
        <v>1</v>
      </c>
      <c r="I922">
        <v>4</v>
      </c>
      <c r="J922" s="1">
        <f t="shared" ca="1" si="290"/>
        <v>0</v>
      </c>
      <c r="K922" s="1">
        <f t="shared" ca="1" si="291"/>
        <v>0</v>
      </c>
      <c r="L922" s="13">
        <f t="shared" ca="1" si="292"/>
        <v>360</v>
      </c>
      <c r="M922" s="7">
        <f t="shared" ca="1" si="293"/>
        <v>1140</v>
      </c>
      <c r="N922" s="26">
        <f t="shared" ca="1" si="294"/>
        <v>4</v>
      </c>
      <c r="O922" s="44">
        <f t="shared" ca="1" si="295"/>
        <v>2.8908103757121246</v>
      </c>
      <c r="P922" s="44">
        <f t="shared" ca="1" si="296"/>
        <v>28.908103757121246</v>
      </c>
      <c r="Q922" s="44">
        <f t="shared" ca="1" si="297"/>
        <v>28.908103757121246</v>
      </c>
      <c r="R922" s="44">
        <f t="shared" ca="1" si="298"/>
        <v>2.8908103757121246</v>
      </c>
      <c r="S922" s="44">
        <f t="shared" ca="1" si="299"/>
        <v>2.8908103757121246</v>
      </c>
      <c r="T922" s="4">
        <f t="shared" ca="1" si="300"/>
        <v>0</v>
      </c>
      <c r="U922" s="120">
        <f t="shared" ca="1" si="301"/>
        <v>2211.675062040129</v>
      </c>
      <c r="V922" s="4">
        <f t="shared" ca="1" si="302"/>
        <v>0</v>
      </c>
      <c r="W922" s="13">
        <f t="shared" ca="1" si="303"/>
        <v>11092.5</v>
      </c>
      <c r="X922" s="4">
        <f t="shared" ca="1" si="304"/>
        <v>0</v>
      </c>
      <c r="Y922" s="4">
        <f t="shared" si="305"/>
        <v>0</v>
      </c>
      <c r="Z922" s="13">
        <f t="shared" ca="1" si="306"/>
        <v>11092.5</v>
      </c>
      <c r="AA922" s="4">
        <f t="shared" ca="1" si="307"/>
        <v>0</v>
      </c>
    </row>
    <row r="923" spans="1:27">
      <c r="A923">
        <v>2</v>
      </c>
      <c r="B923">
        <v>3</v>
      </c>
      <c r="C923">
        <f t="shared" ca="1" si="286"/>
        <v>7</v>
      </c>
      <c r="D923">
        <f t="shared" ca="1" si="287"/>
        <v>6</v>
      </c>
      <c r="E923">
        <f t="shared" ca="1" si="288"/>
        <v>2</v>
      </c>
      <c r="F923" s="110">
        <f t="shared" ca="1" si="289"/>
        <v>0</v>
      </c>
      <c r="G923">
        <v>0</v>
      </c>
      <c r="H923">
        <v>1</v>
      </c>
      <c r="I923">
        <v>3</v>
      </c>
      <c r="J923" s="1">
        <f t="shared" ca="1" si="290"/>
        <v>0</v>
      </c>
      <c r="K923" s="1">
        <f t="shared" ca="1" si="291"/>
        <v>0</v>
      </c>
      <c r="L923" s="13">
        <f t="shared" ca="1" si="292"/>
        <v>341</v>
      </c>
      <c r="M923" s="7">
        <f t="shared" ca="1" si="293"/>
        <v>1159</v>
      </c>
      <c r="N923" s="26">
        <f t="shared" ca="1" si="294"/>
        <v>4</v>
      </c>
      <c r="O923" s="44">
        <f t="shared" ca="1" si="295"/>
        <v>2.8908103757121246</v>
      </c>
      <c r="P923" s="44">
        <f t="shared" ca="1" si="296"/>
        <v>28.908103757121246</v>
      </c>
      <c r="Q923" s="44">
        <f t="shared" ca="1" si="297"/>
        <v>28.908103757121246</v>
      </c>
      <c r="R923" s="44">
        <f t="shared" ca="1" si="298"/>
        <v>2.8908103757121246</v>
      </c>
      <c r="S923" s="44">
        <f t="shared" ca="1" si="299"/>
        <v>2.8908103757121246</v>
      </c>
      <c r="T923" s="4">
        <f t="shared" ca="1" si="300"/>
        <v>0</v>
      </c>
      <c r="U923" s="120">
        <f t="shared" ca="1" si="301"/>
        <v>2192.675062040129</v>
      </c>
      <c r="V923" s="4">
        <f t="shared" ca="1" si="302"/>
        <v>0</v>
      </c>
      <c r="W923" s="13">
        <f t="shared" ca="1" si="303"/>
        <v>8319.375</v>
      </c>
      <c r="X923" s="4">
        <f t="shared" ca="1" si="304"/>
        <v>0</v>
      </c>
      <c r="Y923" s="4">
        <f t="shared" si="305"/>
        <v>0</v>
      </c>
      <c r="Z923" s="13">
        <f t="shared" ca="1" si="306"/>
        <v>8319.375</v>
      </c>
      <c r="AA923" s="4">
        <f t="shared" ca="1" si="307"/>
        <v>0</v>
      </c>
    </row>
    <row r="924" spans="1:27">
      <c r="A924">
        <v>2</v>
      </c>
      <c r="B924">
        <v>3</v>
      </c>
      <c r="C924">
        <f t="shared" ca="1" si="286"/>
        <v>7</v>
      </c>
      <c r="D924">
        <f t="shared" ca="1" si="287"/>
        <v>6</v>
      </c>
      <c r="E924">
        <f t="shared" ca="1" si="288"/>
        <v>2</v>
      </c>
      <c r="F924" s="110">
        <f t="shared" ca="1" si="289"/>
        <v>0</v>
      </c>
      <c r="G924">
        <v>0</v>
      </c>
      <c r="H924">
        <v>1</v>
      </c>
      <c r="I924">
        <v>2</v>
      </c>
      <c r="J924" s="1">
        <f t="shared" ca="1" si="290"/>
        <v>0</v>
      </c>
      <c r="K924" s="1">
        <f t="shared" ca="1" si="291"/>
        <v>0</v>
      </c>
      <c r="L924" s="13">
        <f t="shared" ca="1" si="292"/>
        <v>322</v>
      </c>
      <c r="M924" s="7">
        <f t="shared" ca="1" si="293"/>
        <v>1178</v>
      </c>
      <c r="N924" s="26">
        <f t="shared" ca="1" si="294"/>
        <v>4</v>
      </c>
      <c r="O924" s="44">
        <f t="shared" ca="1" si="295"/>
        <v>2.8908103757121246</v>
      </c>
      <c r="P924" s="44">
        <f t="shared" ca="1" si="296"/>
        <v>28.908103757121246</v>
      </c>
      <c r="Q924" s="44">
        <f t="shared" ca="1" si="297"/>
        <v>28.908103757121246</v>
      </c>
      <c r="R924" s="44">
        <f t="shared" ca="1" si="298"/>
        <v>2.8908103757121246</v>
      </c>
      <c r="S924" s="44">
        <f t="shared" ca="1" si="299"/>
        <v>2.8908103757121246</v>
      </c>
      <c r="T924" s="4">
        <f t="shared" ca="1" si="300"/>
        <v>0</v>
      </c>
      <c r="U924" s="120">
        <f t="shared" ca="1" si="301"/>
        <v>2173.675062040129</v>
      </c>
      <c r="V924" s="4">
        <f t="shared" ca="1" si="302"/>
        <v>0</v>
      </c>
      <c r="W924" s="13">
        <f t="shared" ca="1" si="303"/>
        <v>5546.25</v>
      </c>
      <c r="X924" s="4">
        <f t="shared" ca="1" si="304"/>
        <v>0</v>
      </c>
      <c r="Y924" s="4">
        <f t="shared" si="305"/>
        <v>0</v>
      </c>
      <c r="Z924" s="13">
        <f t="shared" ca="1" si="306"/>
        <v>5546.25</v>
      </c>
      <c r="AA924" s="4">
        <f t="shared" ca="1" si="307"/>
        <v>0</v>
      </c>
    </row>
    <row r="925" spans="1:27">
      <c r="A925">
        <v>2</v>
      </c>
      <c r="B925">
        <v>3</v>
      </c>
      <c r="C925">
        <f t="shared" ca="1" si="286"/>
        <v>7</v>
      </c>
      <c r="D925">
        <f t="shared" ca="1" si="287"/>
        <v>6</v>
      </c>
      <c r="E925">
        <f t="shared" ca="1" si="288"/>
        <v>2</v>
      </c>
      <c r="F925" s="110">
        <f t="shared" ca="1" si="289"/>
        <v>0</v>
      </c>
      <c r="G925">
        <v>0</v>
      </c>
      <c r="H925">
        <v>1</v>
      </c>
      <c r="I925">
        <v>1</v>
      </c>
      <c r="J925" s="1">
        <f t="shared" ca="1" si="290"/>
        <v>0</v>
      </c>
      <c r="K925" s="1">
        <f t="shared" ca="1" si="291"/>
        <v>0</v>
      </c>
      <c r="L925" s="13">
        <f t="shared" ca="1" si="292"/>
        <v>303</v>
      </c>
      <c r="M925" s="7">
        <f t="shared" ca="1" si="293"/>
        <v>1197</v>
      </c>
      <c r="N925" s="26">
        <f t="shared" ca="1" si="294"/>
        <v>4</v>
      </c>
      <c r="O925" s="44">
        <f t="shared" ca="1" si="295"/>
        <v>2.8908103757121246</v>
      </c>
      <c r="P925" s="44">
        <f t="shared" ca="1" si="296"/>
        <v>28.908103757121246</v>
      </c>
      <c r="Q925" s="44">
        <f t="shared" ca="1" si="297"/>
        <v>28.908103757121246</v>
      </c>
      <c r="R925" s="44">
        <f t="shared" ca="1" si="298"/>
        <v>2.8908103757121246</v>
      </c>
      <c r="S925" s="44">
        <f t="shared" ca="1" si="299"/>
        <v>2.8908103757121246</v>
      </c>
      <c r="T925" s="4">
        <f t="shared" ca="1" si="300"/>
        <v>0</v>
      </c>
      <c r="U925" s="120">
        <f t="shared" ca="1" si="301"/>
        <v>2154.675062040129</v>
      </c>
      <c r="V925" s="4">
        <f t="shared" ca="1" si="302"/>
        <v>0</v>
      </c>
      <c r="W925" s="13">
        <f t="shared" ca="1" si="303"/>
        <v>2773.125</v>
      </c>
      <c r="X925" s="4">
        <f t="shared" ca="1" si="304"/>
        <v>0</v>
      </c>
      <c r="Y925" s="4">
        <f t="shared" si="305"/>
        <v>0</v>
      </c>
      <c r="Z925" s="13">
        <f t="shared" ca="1" si="306"/>
        <v>2773.125</v>
      </c>
      <c r="AA925" s="4">
        <f t="shared" ca="1" si="307"/>
        <v>0</v>
      </c>
    </row>
    <row r="926" spans="1:27">
      <c r="A926">
        <v>2</v>
      </c>
      <c r="B926">
        <v>3</v>
      </c>
      <c r="C926">
        <f t="shared" ca="1" si="286"/>
        <v>7</v>
      </c>
      <c r="D926">
        <f t="shared" ca="1" si="287"/>
        <v>6</v>
      </c>
      <c r="E926">
        <f t="shared" ca="1" si="288"/>
        <v>2</v>
      </c>
      <c r="F926" s="110">
        <f t="shared" ca="1" si="289"/>
        <v>0</v>
      </c>
      <c r="G926">
        <v>0</v>
      </c>
      <c r="H926">
        <v>1</v>
      </c>
      <c r="I926">
        <v>0</v>
      </c>
      <c r="J926" s="1">
        <f t="shared" ca="1" si="290"/>
        <v>0</v>
      </c>
      <c r="K926" s="1">
        <f t="shared" ca="1" si="291"/>
        <v>0</v>
      </c>
      <c r="L926" s="13">
        <f t="shared" ca="1" si="292"/>
        <v>284</v>
      </c>
      <c r="M926" s="7">
        <f t="shared" ca="1" si="293"/>
        <v>1216</v>
      </c>
      <c r="N926" s="26">
        <f t="shared" ca="1" si="294"/>
        <v>4</v>
      </c>
      <c r="O926" s="44">
        <f t="shared" ca="1" si="295"/>
        <v>2.8908103757121246</v>
      </c>
      <c r="P926" s="44">
        <f t="shared" ca="1" si="296"/>
        <v>28.908103757121246</v>
      </c>
      <c r="Q926" s="44">
        <f t="shared" ca="1" si="297"/>
        <v>28.908103757121246</v>
      </c>
      <c r="R926" s="44">
        <f t="shared" ca="1" si="298"/>
        <v>2.8908103757121246</v>
      </c>
      <c r="S926" s="44">
        <f t="shared" ca="1" si="299"/>
        <v>2.8908103757121246</v>
      </c>
      <c r="T926" s="4">
        <f t="shared" ca="1" si="300"/>
        <v>0</v>
      </c>
      <c r="U926" s="120">
        <f t="shared" ca="1" si="301"/>
        <v>2135.675062040129</v>
      </c>
      <c r="V926" s="4">
        <f t="shared" ca="1" si="302"/>
        <v>0</v>
      </c>
      <c r="W926" s="13">
        <f t="shared" ca="1" si="303"/>
        <v>0</v>
      </c>
      <c r="X926" s="4">
        <f t="shared" ca="1" si="304"/>
        <v>0</v>
      </c>
      <c r="Y926" s="4">
        <f t="shared" si="305"/>
        <v>0</v>
      </c>
      <c r="Z926" s="13">
        <f t="shared" ca="1" si="306"/>
        <v>0</v>
      </c>
      <c r="AA926" s="4">
        <f t="shared" ca="1" si="307"/>
        <v>0</v>
      </c>
    </row>
    <row r="927" spans="1:27">
      <c r="A927">
        <v>2</v>
      </c>
      <c r="B927">
        <v>3</v>
      </c>
      <c r="C927">
        <f t="shared" ca="1" si="286"/>
        <v>7</v>
      </c>
      <c r="D927">
        <f t="shared" ca="1" si="287"/>
        <v>6</v>
      </c>
      <c r="E927">
        <f t="shared" ca="1" si="288"/>
        <v>2</v>
      </c>
      <c r="F927" s="110">
        <f t="shared" ca="1" si="289"/>
        <v>0</v>
      </c>
      <c r="G927">
        <v>0</v>
      </c>
      <c r="H927">
        <v>0</v>
      </c>
      <c r="I927">
        <v>7</v>
      </c>
      <c r="J927" s="1">
        <f t="shared" ca="1" si="290"/>
        <v>0</v>
      </c>
      <c r="K927" s="1">
        <f t="shared" ca="1" si="291"/>
        <v>0</v>
      </c>
      <c r="L927" s="13">
        <f t="shared" ca="1" si="292"/>
        <v>133</v>
      </c>
      <c r="M927" s="7">
        <f t="shared" ca="1" si="293"/>
        <v>1367</v>
      </c>
      <c r="N927" s="26">
        <f t="shared" ca="1" si="294"/>
        <v>4</v>
      </c>
      <c r="O927" s="44">
        <f t="shared" ca="1" si="295"/>
        <v>2.8908103757121246</v>
      </c>
      <c r="P927" s="44">
        <f t="shared" ca="1" si="296"/>
        <v>28.908103757121246</v>
      </c>
      <c r="Q927" s="44">
        <f t="shared" ca="1" si="297"/>
        <v>28.908103757121246</v>
      </c>
      <c r="R927" s="44">
        <f t="shared" ca="1" si="298"/>
        <v>2.8908103757121246</v>
      </c>
      <c r="S927" s="44">
        <f t="shared" ca="1" si="299"/>
        <v>2.8908103757121246</v>
      </c>
      <c r="T927" s="4">
        <f t="shared" ca="1" si="300"/>
        <v>0</v>
      </c>
      <c r="U927" s="120">
        <f t="shared" ca="1" si="301"/>
        <v>1984.6750620401288</v>
      </c>
      <c r="V927" s="4">
        <f t="shared" ca="1" si="302"/>
        <v>0</v>
      </c>
      <c r="W927" s="13">
        <f t="shared" ca="1" si="303"/>
        <v>19411.875</v>
      </c>
      <c r="X927" s="4">
        <f t="shared" ca="1" si="304"/>
        <v>0</v>
      </c>
      <c r="Y927" s="4">
        <f t="shared" si="305"/>
        <v>0</v>
      </c>
      <c r="Z927" s="13">
        <f t="shared" ca="1" si="306"/>
        <v>19411.875</v>
      </c>
      <c r="AA927" s="4">
        <f t="shared" ca="1" si="307"/>
        <v>0</v>
      </c>
    </row>
    <row r="928" spans="1:27">
      <c r="A928">
        <v>2</v>
      </c>
      <c r="B928">
        <v>3</v>
      </c>
      <c r="C928">
        <f t="shared" ca="1" si="286"/>
        <v>7</v>
      </c>
      <c r="D928">
        <f t="shared" ca="1" si="287"/>
        <v>6</v>
      </c>
      <c r="E928">
        <f t="shared" ca="1" si="288"/>
        <v>2</v>
      </c>
      <c r="F928" s="110">
        <f t="shared" ca="1" si="289"/>
        <v>0</v>
      </c>
      <c r="G928">
        <v>0</v>
      </c>
      <c r="H928">
        <v>0</v>
      </c>
      <c r="I928">
        <v>6</v>
      </c>
      <c r="J928" s="1">
        <f t="shared" ca="1" si="290"/>
        <v>3.6754594531249997E-2</v>
      </c>
      <c r="K928" s="1">
        <f t="shared" ca="1" si="291"/>
        <v>0</v>
      </c>
      <c r="L928" s="13">
        <f t="shared" ca="1" si="292"/>
        <v>114</v>
      </c>
      <c r="M928" s="7">
        <f t="shared" ca="1" si="293"/>
        <v>1386</v>
      </c>
      <c r="N928" s="26">
        <f t="shared" ca="1" si="294"/>
        <v>4</v>
      </c>
      <c r="O928" s="44">
        <f t="shared" ca="1" si="295"/>
        <v>2.8908103757121246</v>
      </c>
      <c r="P928" s="44">
        <f t="shared" ca="1" si="296"/>
        <v>28.908103757121246</v>
      </c>
      <c r="Q928" s="44">
        <f t="shared" ca="1" si="297"/>
        <v>28.908103757121246</v>
      </c>
      <c r="R928" s="44">
        <f t="shared" ca="1" si="298"/>
        <v>2.8908103757121246</v>
      </c>
      <c r="S928" s="44">
        <f t="shared" ca="1" si="299"/>
        <v>2.8908103757121246</v>
      </c>
      <c r="T928" s="4">
        <f t="shared" ca="1" si="300"/>
        <v>0</v>
      </c>
      <c r="U928" s="120">
        <f t="shared" ca="1" si="301"/>
        <v>1965.6750620401288</v>
      </c>
      <c r="V928" s="4">
        <f t="shared" ca="1" si="302"/>
        <v>0</v>
      </c>
      <c r="W928" s="13">
        <f t="shared" ca="1" si="303"/>
        <v>16638.75</v>
      </c>
      <c r="X928" s="4">
        <f t="shared" ca="1" si="304"/>
        <v>0</v>
      </c>
      <c r="Y928" s="4">
        <f t="shared" si="305"/>
        <v>0</v>
      </c>
      <c r="Z928" s="13">
        <f t="shared" ca="1" si="306"/>
        <v>16638.75</v>
      </c>
      <c r="AA928" s="4">
        <f t="shared" ca="1" si="307"/>
        <v>0</v>
      </c>
    </row>
    <row r="929" spans="1:27">
      <c r="A929">
        <v>2</v>
      </c>
      <c r="B929">
        <v>3</v>
      </c>
      <c r="C929">
        <f t="shared" ca="1" si="286"/>
        <v>7</v>
      </c>
      <c r="D929">
        <f t="shared" ca="1" si="287"/>
        <v>6</v>
      </c>
      <c r="E929">
        <f t="shared" ca="1" si="288"/>
        <v>2</v>
      </c>
      <c r="F929" s="110">
        <f t="shared" ca="1" si="289"/>
        <v>0</v>
      </c>
      <c r="G929">
        <v>0</v>
      </c>
      <c r="H929">
        <v>0</v>
      </c>
      <c r="I929">
        <v>5</v>
      </c>
      <c r="J929" s="1">
        <f t="shared" ca="1" si="290"/>
        <v>1.1606714062500011E-2</v>
      </c>
      <c r="K929" s="1">
        <f t="shared" ca="1" si="291"/>
        <v>0</v>
      </c>
      <c r="L929" s="13">
        <f t="shared" ca="1" si="292"/>
        <v>95</v>
      </c>
      <c r="M929" s="7">
        <f t="shared" ca="1" si="293"/>
        <v>1405</v>
      </c>
      <c r="N929" s="26">
        <f t="shared" ca="1" si="294"/>
        <v>5</v>
      </c>
      <c r="O929" s="44">
        <f t="shared" ca="1" si="295"/>
        <v>3.5395046525977252</v>
      </c>
      <c r="P929" s="44">
        <f t="shared" ca="1" si="296"/>
        <v>35.39504652597725</v>
      </c>
      <c r="Q929" s="44">
        <f t="shared" ca="1" si="297"/>
        <v>30.205492310892446</v>
      </c>
      <c r="R929" s="44">
        <f t="shared" ca="1" si="298"/>
        <v>3.2800269418434853</v>
      </c>
      <c r="S929" s="44">
        <f t="shared" ca="1" si="299"/>
        <v>3.5213412128449284</v>
      </c>
      <c r="T929" s="4">
        <f t="shared" ca="1" si="300"/>
        <v>0</v>
      </c>
      <c r="U929" s="120">
        <f t="shared" ca="1" si="301"/>
        <v>2290.8626329996823</v>
      </c>
      <c r="V929" s="4">
        <f t="shared" ca="1" si="302"/>
        <v>0</v>
      </c>
      <c r="W929" s="13">
        <f t="shared" ca="1" si="303"/>
        <v>13865.625</v>
      </c>
      <c r="X929" s="4">
        <f t="shared" ca="1" si="304"/>
        <v>0</v>
      </c>
      <c r="Y929" s="4">
        <f t="shared" si="305"/>
        <v>0</v>
      </c>
      <c r="Z929" s="13">
        <f t="shared" ca="1" si="306"/>
        <v>13865.625</v>
      </c>
      <c r="AA929" s="4">
        <f t="shared" ca="1" si="307"/>
        <v>0</v>
      </c>
    </row>
    <row r="930" spans="1:27">
      <c r="A930">
        <v>2</v>
      </c>
      <c r="B930">
        <v>3</v>
      </c>
      <c r="C930">
        <f t="shared" ca="1" si="286"/>
        <v>7</v>
      </c>
      <c r="D930">
        <f t="shared" ca="1" si="287"/>
        <v>6</v>
      </c>
      <c r="E930">
        <f t="shared" ca="1" si="288"/>
        <v>2</v>
      </c>
      <c r="F930" s="110">
        <f t="shared" ca="1" si="289"/>
        <v>0</v>
      </c>
      <c r="G930">
        <v>0</v>
      </c>
      <c r="H930">
        <v>0</v>
      </c>
      <c r="I930">
        <v>4</v>
      </c>
      <c r="J930" s="1">
        <f t="shared" ca="1" si="290"/>
        <v>1.5271992187500026E-3</v>
      </c>
      <c r="K930" s="1">
        <f t="shared" ca="1" si="291"/>
        <v>0</v>
      </c>
      <c r="L930" s="13">
        <f t="shared" ca="1" si="292"/>
        <v>76</v>
      </c>
      <c r="M930" s="7">
        <f t="shared" ca="1" si="293"/>
        <v>1424</v>
      </c>
      <c r="N930" s="26">
        <f t="shared" ca="1" si="294"/>
        <v>5</v>
      </c>
      <c r="O930" s="44">
        <f t="shared" ca="1" si="295"/>
        <v>3.5395046525977252</v>
      </c>
      <c r="P930" s="44">
        <f t="shared" ca="1" si="296"/>
        <v>35.39504652597725</v>
      </c>
      <c r="Q930" s="44">
        <f t="shared" ca="1" si="297"/>
        <v>35.39504652597725</v>
      </c>
      <c r="R930" s="44">
        <f t="shared" ca="1" si="298"/>
        <v>3.5395046525977252</v>
      </c>
      <c r="S930" s="44">
        <f t="shared" ca="1" si="299"/>
        <v>3.5395046525977252</v>
      </c>
      <c r="T930" s="4">
        <f t="shared" ca="1" si="300"/>
        <v>0</v>
      </c>
      <c r="U930" s="120">
        <f t="shared" ca="1" si="301"/>
        <v>2281.7775012989287</v>
      </c>
      <c r="V930" s="4">
        <f t="shared" ca="1" si="302"/>
        <v>0</v>
      </c>
      <c r="W930" s="13">
        <f t="shared" ca="1" si="303"/>
        <v>11092.5</v>
      </c>
      <c r="X930" s="4">
        <f t="shared" ca="1" si="304"/>
        <v>0</v>
      </c>
      <c r="Y930" s="4">
        <f t="shared" si="305"/>
        <v>0</v>
      </c>
      <c r="Z930" s="13">
        <f t="shared" ca="1" si="306"/>
        <v>11092.5</v>
      </c>
      <c r="AA930" s="4">
        <f t="shared" ca="1" si="307"/>
        <v>0</v>
      </c>
    </row>
    <row r="931" spans="1:27">
      <c r="A931">
        <v>2</v>
      </c>
      <c r="B931">
        <v>3</v>
      </c>
      <c r="C931">
        <f t="shared" ca="1" si="286"/>
        <v>7</v>
      </c>
      <c r="D931">
        <f t="shared" ca="1" si="287"/>
        <v>6</v>
      </c>
      <c r="E931">
        <f t="shared" ca="1" si="288"/>
        <v>2</v>
      </c>
      <c r="F931" s="110">
        <f t="shared" ca="1" si="289"/>
        <v>0</v>
      </c>
      <c r="G931">
        <v>0</v>
      </c>
      <c r="H931">
        <v>0</v>
      </c>
      <c r="I931">
        <v>3</v>
      </c>
      <c r="J931" s="1">
        <f t="shared" ca="1" si="290"/>
        <v>1.0717187500000027E-4</v>
      </c>
      <c r="K931" s="1">
        <f t="shared" ca="1" si="291"/>
        <v>0</v>
      </c>
      <c r="L931" s="13">
        <f t="shared" ca="1" si="292"/>
        <v>57</v>
      </c>
      <c r="M931" s="7">
        <f t="shared" ca="1" si="293"/>
        <v>1443</v>
      </c>
      <c r="N931" s="26">
        <f t="shared" ca="1" si="294"/>
        <v>5</v>
      </c>
      <c r="O931" s="44">
        <f t="shared" ca="1" si="295"/>
        <v>3.5395046525977252</v>
      </c>
      <c r="P931" s="44">
        <f t="shared" ca="1" si="296"/>
        <v>35.39504652597725</v>
      </c>
      <c r="Q931" s="44">
        <f t="shared" ca="1" si="297"/>
        <v>35.39504652597725</v>
      </c>
      <c r="R931" s="44">
        <f t="shared" ca="1" si="298"/>
        <v>3.5395046525977252</v>
      </c>
      <c r="S931" s="44">
        <f t="shared" ca="1" si="299"/>
        <v>3.5395046525977252</v>
      </c>
      <c r="T931" s="4">
        <f t="shared" ca="1" si="300"/>
        <v>0</v>
      </c>
      <c r="U931" s="120">
        <f t="shared" ca="1" si="301"/>
        <v>2262.7775012989287</v>
      </c>
      <c r="V931" s="4">
        <f t="shared" ca="1" si="302"/>
        <v>0</v>
      </c>
      <c r="W931" s="13">
        <f t="shared" ca="1" si="303"/>
        <v>8319.375</v>
      </c>
      <c r="X931" s="4">
        <f t="shared" ca="1" si="304"/>
        <v>0</v>
      </c>
      <c r="Y931" s="4">
        <f t="shared" si="305"/>
        <v>0</v>
      </c>
      <c r="Z931" s="13">
        <f t="shared" ca="1" si="306"/>
        <v>8319.375</v>
      </c>
      <c r="AA931" s="4">
        <f t="shared" ca="1" si="307"/>
        <v>0</v>
      </c>
    </row>
    <row r="932" spans="1:27">
      <c r="A932">
        <v>2</v>
      </c>
      <c r="B932">
        <v>3</v>
      </c>
      <c r="C932">
        <f t="shared" ca="1" si="286"/>
        <v>7</v>
      </c>
      <c r="D932">
        <f t="shared" ca="1" si="287"/>
        <v>6</v>
      </c>
      <c r="E932">
        <f t="shared" ca="1" si="288"/>
        <v>2</v>
      </c>
      <c r="F932" s="110">
        <f t="shared" ca="1" si="289"/>
        <v>0</v>
      </c>
      <c r="G932">
        <v>0</v>
      </c>
      <c r="H932">
        <v>0</v>
      </c>
      <c r="I932">
        <v>2</v>
      </c>
      <c r="J932" s="1">
        <f t="shared" ca="1" si="290"/>
        <v>4.2304687500000152E-6</v>
      </c>
      <c r="K932" s="1">
        <f t="shared" ca="1" si="291"/>
        <v>0</v>
      </c>
      <c r="L932" s="13">
        <f t="shared" ca="1" si="292"/>
        <v>38</v>
      </c>
      <c r="M932" s="7">
        <f t="shared" ca="1" si="293"/>
        <v>1462</v>
      </c>
      <c r="N932" s="26">
        <f t="shared" ca="1" si="294"/>
        <v>5</v>
      </c>
      <c r="O932" s="44">
        <f t="shared" ca="1" si="295"/>
        <v>3.5395046525977252</v>
      </c>
      <c r="P932" s="44">
        <f t="shared" ca="1" si="296"/>
        <v>35.39504652597725</v>
      </c>
      <c r="Q932" s="44">
        <f t="shared" ca="1" si="297"/>
        <v>35.39504652597725</v>
      </c>
      <c r="R932" s="44">
        <f t="shared" ca="1" si="298"/>
        <v>3.5395046525977252</v>
      </c>
      <c r="S932" s="44">
        <f t="shared" ca="1" si="299"/>
        <v>3.5395046525977252</v>
      </c>
      <c r="T932" s="4">
        <f t="shared" ca="1" si="300"/>
        <v>0</v>
      </c>
      <c r="U932" s="120">
        <f t="shared" ca="1" si="301"/>
        <v>2243.7775012989287</v>
      </c>
      <c r="V932" s="4">
        <f t="shared" ca="1" si="302"/>
        <v>0</v>
      </c>
      <c r="W932" s="13">
        <f t="shared" ca="1" si="303"/>
        <v>5546.25</v>
      </c>
      <c r="X932" s="4">
        <f t="shared" ca="1" si="304"/>
        <v>0</v>
      </c>
      <c r="Y932" s="4">
        <f t="shared" si="305"/>
        <v>0</v>
      </c>
      <c r="Z932" s="13">
        <f t="shared" ca="1" si="306"/>
        <v>5546.25</v>
      </c>
      <c r="AA932" s="4">
        <f t="shared" ca="1" si="307"/>
        <v>0</v>
      </c>
    </row>
    <row r="933" spans="1:27">
      <c r="A933">
        <v>2</v>
      </c>
      <c r="B933">
        <v>3</v>
      </c>
      <c r="C933">
        <f t="shared" ca="1" si="286"/>
        <v>7</v>
      </c>
      <c r="D933">
        <f t="shared" ca="1" si="287"/>
        <v>6</v>
      </c>
      <c r="E933">
        <f t="shared" ca="1" si="288"/>
        <v>2</v>
      </c>
      <c r="F933" s="110">
        <f t="shared" ca="1" si="289"/>
        <v>0</v>
      </c>
      <c r="G933">
        <v>0</v>
      </c>
      <c r="H933">
        <v>0</v>
      </c>
      <c r="I933">
        <v>1</v>
      </c>
      <c r="J933" s="1">
        <f t="shared" ca="1" si="290"/>
        <v>8.9062500000000418E-8</v>
      </c>
      <c r="K933" s="1">
        <f t="shared" ca="1" si="291"/>
        <v>0</v>
      </c>
      <c r="L933" s="13">
        <f t="shared" ca="1" si="292"/>
        <v>19</v>
      </c>
      <c r="M933" s="7">
        <f t="shared" ca="1" si="293"/>
        <v>1481</v>
      </c>
      <c r="N933" s="26">
        <f t="shared" ca="1" si="294"/>
        <v>5</v>
      </c>
      <c r="O933" s="44">
        <f t="shared" ca="1" si="295"/>
        <v>3.5395046525977252</v>
      </c>
      <c r="P933" s="44">
        <f t="shared" ca="1" si="296"/>
        <v>35.39504652597725</v>
      </c>
      <c r="Q933" s="44">
        <f t="shared" ca="1" si="297"/>
        <v>35.39504652597725</v>
      </c>
      <c r="R933" s="44">
        <f t="shared" ca="1" si="298"/>
        <v>3.5395046525977252</v>
      </c>
      <c r="S933" s="44">
        <f t="shared" ca="1" si="299"/>
        <v>3.5395046525977252</v>
      </c>
      <c r="T933" s="4">
        <f t="shared" ca="1" si="300"/>
        <v>0</v>
      </c>
      <c r="U933" s="120">
        <f t="shared" ca="1" si="301"/>
        <v>2224.7775012989287</v>
      </c>
      <c r="V933" s="4">
        <f t="shared" ca="1" si="302"/>
        <v>0</v>
      </c>
      <c r="W933" s="13">
        <f t="shared" ca="1" si="303"/>
        <v>2773.125</v>
      </c>
      <c r="X933" s="4">
        <f t="shared" ca="1" si="304"/>
        <v>0</v>
      </c>
      <c r="Y933" s="4">
        <f t="shared" si="305"/>
        <v>0</v>
      </c>
      <c r="Z933" s="13">
        <f t="shared" ca="1" si="306"/>
        <v>2773.125</v>
      </c>
      <c r="AA933" s="4">
        <f t="shared" ca="1" si="307"/>
        <v>0</v>
      </c>
    </row>
    <row r="934" spans="1:27">
      <c r="A934">
        <v>2</v>
      </c>
      <c r="B934">
        <v>3</v>
      </c>
      <c r="C934">
        <f t="shared" ca="1" si="286"/>
        <v>7</v>
      </c>
      <c r="D934">
        <f t="shared" ca="1" si="287"/>
        <v>6</v>
      </c>
      <c r="E934">
        <f t="shared" ca="1" si="288"/>
        <v>2</v>
      </c>
      <c r="F934" s="110">
        <f t="shared" ca="1" si="289"/>
        <v>0</v>
      </c>
      <c r="G934">
        <v>0</v>
      </c>
      <c r="H934">
        <v>0</v>
      </c>
      <c r="I934">
        <v>0</v>
      </c>
      <c r="J934" s="1">
        <f t="shared" ca="1" si="290"/>
        <v>7.812500000000041E-10</v>
      </c>
      <c r="K934" s="1">
        <f t="shared" ca="1" si="291"/>
        <v>0</v>
      </c>
      <c r="L934" s="13">
        <f t="shared" ca="1" si="292"/>
        <v>0</v>
      </c>
      <c r="M934" s="7">
        <f t="shared" ca="1" si="293"/>
        <v>1500</v>
      </c>
      <c r="N934" s="26">
        <f t="shared" ca="1" si="294"/>
        <v>5</v>
      </c>
      <c r="O934" s="44">
        <f t="shared" ca="1" si="295"/>
        <v>3.5395046525977252</v>
      </c>
      <c r="P934" s="44">
        <f t="shared" ca="1" si="296"/>
        <v>35.39504652597725</v>
      </c>
      <c r="Q934" s="44">
        <f t="shared" ca="1" si="297"/>
        <v>35.39504652597725</v>
      </c>
      <c r="R934" s="44">
        <f t="shared" ca="1" si="298"/>
        <v>3.5395046525977252</v>
      </c>
      <c r="S934" s="44">
        <f t="shared" ca="1" si="299"/>
        <v>3.5395046525977252</v>
      </c>
      <c r="T934" s="4">
        <f t="shared" ca="1" si="300"/>
        <v>0</v>
      </c>
      <c r="U934" s="120">
        <f t="shared" ca="1" si="301"/>
        <v>2205.7775012989287</v>
      </c>
      <c r="V934" s="4">
        <f t="shared" ca="1" si="302"/>
        <v>0</v>
      </c>
      <c r="W934" s="13">
        <f t="shared" ca="1" si="303"/>
        <v>0</v>
      </c>
      <c r="X934" s="4">
        <f t="shared" ca="1" si="304"/>
        <v>0</v>
      </c>
      <c r="Y934" s="4">
        <f t="shared" si="305"/>
        <v>0</v>
      </c>
      <c r="Z934" s="13">
        <f t="shared" ca="1" si="306"/>
        <v>0</v>
      </c>
      <c r="AA934" s="4">
        <f t="shared" ca="1" si="307"/>
        <v>0</v>
      </c>
    </row>
    <row r="935" spans="1:27">
      <c r="A935">
        <v>3</v>
      </c>
      <c r="B935">
        <v>0</v>
      </c>
      <c r="C935">
        <f t="shared" ref="C935:C998" ca="1" si="308">MIN(8, 1+$B$543+$B$542+A935+B935)</f>
        <v>5</v>
      </c>
      <c r="D935">
        <f t="shared" ref="D935:D998" ca="1" si="309">C935-(1+$B$543)</f>
        <v>4</v>
      </c>
      <c r="E935">
        <f t="shared" ref="E935:E998" ca="1" si="310">MIN(A935, C935-(1+$B$543+$B$542))</f>
        <v>3</v>
      </c>
      <c r="F935" s="110">
        <f t="shared" ref="F935:F998" ca="1" si="311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2.7353999999999996E-2</v>
      </c>
      <c r="G935">
        <v>1</v>
      </c>
      <c r="H935">
        <v>1</v>
      </c>
      <c r="I935">
        <v>7</v>
      </c>
      <c r="J935" s="1">
        <f t="shared" ref="J935:J998" ca="1" si="312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313">F935*J935</f>
        <v>0</v>
      </c>
      <c r="L935" s="13">
        <f t="shared" ref="L935:L998" ca="1" si="314">MAX((G935+H935)*Set2WSTP + I935*$B$539, Set2SaveTP)</f>
        <v>701</v>
      </c>
      <c r="M935" s="7">
        <f t="shared" ref="M935:M998" ca="1" si="315">MAX(Set2MinTP-(L935+Set2Regain), 0)</f>
        <v>799</v>
      </c>
      <c r="N935" s="26">
        <f t="shared" ref="N935:N998" ca="1" si="316">CEILING(M935/Set2MeleeTP, 1)</f>
        <v>3</v>
      </c>
      <c r="O935" s="44">
        <f t="shared" ref="O935:O998" ca="1" si="317">VLOOKUP(N935, AvgRoundsSet2, 2)</f>
        <v>2.2758855914378953</v>
      </c>
      <c r="P935" s="44">
        <f t="shared" ref="P935:P998" ca="1" si="318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22.758855914378952</v>
      </c>
      <c r="Q935" s="44">
        <f t="shared" ref="Q935:Q998" ca="1" si="319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22.758855914378952</v>
      </c>
      <c r="R935" s="44">
        <f t="shared" ref="R935:R998" ca="1" si="320">(P935+Q935)/20</f>
        <v>2.2758855914378953</v>
      </c>
      <c r="S935" s="44">
        <f t="shared" ref="S935:S998" ca="1" si="321">R935*Set2ConserveTP + O935*(1-Set2ConserveTP)</f>
        <v>2.2758855914378953</v>
      </c>
      <c r="T935" s="4">
        <f t="shared" ref="T935:T998" ca="1" si="322">K935*S935</f>
        <v>0</v>
      </c>
      <c r="U935" s="120">
        <f t="shared" ref="U935:U998" ca="1" si="323">MIN(L935+(S935+Set2OverTP)*AvgHitsPerRound2*Set2MeleeTP + Set2Regain + 10.5*Set2ConserveTP, 3000)</f>
        <v>2217.0063598009133</v>
      </c>
      <c r="V935" s="4">
        <f t="shared" ref="V935:V998" ca="1" si="324">U935*K935</f>
        <v>0</v>
      </c>
      <c r="W935" s="13">
        <f t="shared" ref="W935:W998" ca="1" si="325">G935*$K$543*((1-$L$543)*$L$547 + $L$543*$M$547*$M$543)*Set2WSDmg + H935*$K$546*((1-$L$546)*$L$548 + $L$546*$M$548*$M$544) + I935*$K$544*((1-$L$544)*$L$547 + $L$544*$M$547*$M$544) + E935*$K$545*$L$545*$M$543</f>
        <v>49588.256250000006</v>
      </c>
      <c r="X935" s="4">
        <f t="shared" ref="X935:X998" ca="1" si="326">K935*W935</f>
        <v>0</v>
      </c>
      <c r="Y935" s="4">
        <f t="shared" ref="Y935:Y998" si="327">IF($B$545=1, (VLOOKUP(C935, IF($B$546=10%,Souleater10,Souleater12), 6, FALSE) * $B$547), 0)</f>
        <v>0</v>
      </c>
      <c r="Z935" s="13">
        <f t="shared" ca="1" si="306"/>
        <v>49588.256250000006</v>
      </c>
      <c r="AA935" s="4">
        <f t="shared" ca="1" si="307"/>
        <v>0</v>
      </c>
    </row>
    <row r="936" spans="1:27">
      <c r="A936">
        <v>3</v>
      </c>
      <c r="B936">
        <v>0</v>
      </c>
      <c r="C936">
        <f t="shared" ca="1" si="308"/>
        <v>5</v>
      </c>
      <c r="D936">
        <f t="shared" ca="1" si="309"/>
        <v>4</v>
      </c>
      <c r="E936">
        <f t="shared" ca="1" si="310"/>
        <v>3</v>
      </c>
      <c r="F936" s="110">
        <f t="shared" ca="1" si="311"/>
        <v>2.7353999999999996E-2</v>
      </c>
      <c r="G936">
        <v>1</v>
      </c>
      <c r="H936">
        <v>1</v>
      </c>
      <c r="I936">
        <v>6</v>
      </c>
      <c r="J936" s="1">
        <f t="shared" ca="1" si="312"/>
        <v>0</v>
      </c>
      <c r="K936" s="1">
        <f t="shared" ca="1" si="313"/>
        <v>0</v>
      </c>
      <c r="L936" s="13">
        <f t="shared" ca="1" si="314"/>
        <v>682</v>
      </c>
      <c r="M936" s="7">
        <f t="shared" ca="1" si="315"/>
        <v>818</v>
      </c>
      <c r="N936" s="26">
        <f t="shared" ca="1" si="316"/>
        <v>3</v>
      </c>
      <c r="O936" s="44">
        <f t="shared" ca="1" si="317"/>
        <v>2.2758855914378953</v>
      </c>
      <c r="P936" s="44">
        <f t="shared" ca="1" si="318"/>
        <v>22.758855914378952</v>
      </c>
      <c r="Q936" s="44">
        <f t="shared" ca="1" si="319"/>
        <v>22.758855914378952</v>
      </c>
      <c r="R936" s="44">
        <f t="shared" ca="1" si="320"/>
        <v>2.2758855914378953</v>
      </c>
      <c r="S936" s="44">
        <f t="shared" ca="1" si="321"/>
        <v>2.2758855914378953</v>
      </c>
      <c r="T936" s="4">
        <f t="shared" ca="1" si="322"/>
        <v>0</v>
      </c>
      <c r="U936" s="120">
        <f t="shared" ca="1" si="323"/>
        <v>2198.0063598009133</v>
      </c>
      <c r="V936" s="4">
        <f t="shared" ca="1" si="324"/>
        <v>0</v>
      </c>
      <c r="W936" s="13">
        <f t="shared" ca="1" si="325"/>
        <v>46815.131250000006</v>
      </c>
      <c r="X936" s="4">
        <f t="shared" ca="1" si="326"/>
        <v>0</v>
      </c>
      <c r="Y936" s="4">
        <f t="shared" si="327"/>
        <v>0</v>
      </c>
      <c r="Z936" s="13">
        <f t="shared" ref="Z936:Z999" ca="1" si="328">Y936+W936</f>
        <v>46815.131250000006</v>
      </c>
      <c r="AA936" s="4">
        <f t="shared" ref="AA936:AA999" ca="1" si="329">Z936*K936</f>
        <v>0</v>
      </c>
    </row>
    <row r="937" spans="1:27">
      <c r="A937">
        <v>3</v>
      </c>
      <c r="B937">
        <v>0</v>
      </c>
      <c r="C937">
        <f t="shared" ca="1" si="308"/>
        <v>5</v>
      </c>
      <c r="D937">
        <f t="shared" ca="1" si="309"/>
        <v>4</v>
      </c>
      <c r="E937">
        <f t="shared" ca="1" si="310"/>
        <v>3</v>
      </c>
      <c r="F937" s="110">
        <f t="shared" ca="1" si="311"/>
        <v>2.7353999999999996E-2</v>
      </c>
      <c r="G937">
        <v>1</v>
      </c>
      <c r="H937">
        <v>1</v>
      </c>
      <c r="I937">
        <v>5</v>
      </c>
      <c r="J937" s="1">
        <f t="shared" ca="1" si="312"/>
        <v>0</v>
      </c>
      <c r="K937" s="1">
        <f t="shared" ca="1" si="313"/>
        <v>0</v>
      </c>
      <c r="L937" s="13">
        <f t="shared" ca="1" si="314"/>
        <v>663</v>
      </c>
      <c r="M937" s="7">
        <f t="shared" ca="1" si="315"/>
        <v>837</v>
      </c>
      <c r="N937" s="26">
        <f t="shared" ca="1" si="316"/>
        <v>3</v>
      </c>
      <c r="O937" s="44">
        <f t="shared" ca="1" si="317"/>
        <v>2.2758855914378953</v>
      </c>
      <c r="P937" s="44">
        <f t="shared" ca="1" si="318"/>
        <v>22.758855914378952</v>
      </c>
      <c r="Q937" s="44">
        <f t="shared" ca="1" si="319"/>
        <v>22.758855914378952</v>
      </c>
      <c r="R937" s="44">
        <f t="shared" ca="1" si="320"/>
        <v>2.2758855914378953</v>
      </c>
      <c r="S937" s="44">
        <f t="shared" ca="1" si="321"/>
        <v>2.2758855914378953</v>
      </c>
      <c r="T937" s="4">
        <f t="shared" ca="1" si="322"/>
        <v>0</v>
      </c>
      <c r="U937" s="120">
        <f t="shared" ca="1" si="323"/>
        <v>2179.0063598009133</v>
      </c>
      <c r="V937" s="4">
        <f t="shared" ca="1" si="324"/>
        <v>0</v>
      </c>
      <c r="W937" s="13">
        <f t="shared" ca="1" si="325"/>
        <v>44042.006250000006</v>
      </c>
      <c r="X937" s="4">
        <f t="shared" ca="1" si="326"/>
        <v>0</v>
      </c>
      <c r="Y937" s="4">
        <f t="shared" si="327"/>
        <v>0</v>
      </c>
      <c r="Z937" s="13">
        <f t="shared" ca="1" si="328"/>
        <v>44042.006250000006</v>
      </c>
      <c r="AA937" s="4">
        <f t="shared" ca="1" si="329"/>
        <v>0</v>
      </c>
    </row>
    <row r="938" spans="1:27">
      <c r="A938">
        <v>3</v>
      </c>
      <c r="B938">
        <v>0</v>
      </c>
      <c r="C938">
        <f t="shared" ca="1" si="308"/>
        <v>5</v>
      </c>
      <c r="D938">
        <f t="shared" ca="1" si="309"/>
        <v>4</v>
      </c>
      <c r="E938">
        <f t="shared" ca="1" si="310"/>
        <v>3</v>
      </c>
      <c r="F938" s="110">
        <f t="shared" ca="1" si="311"/>
        <v>2.7353999999999996E-2</v>
      </c>
      <c r="G938">
        <v>1</v>
      </c>
      <c r="H938">
        <v>1</v>
      </c>
      <c r="I938">
        <v>4</v>
      </c>
      <c r="J938" s="1">
        <f t="shared" ca="1" si="312"/>
        <v>0</v>
      </c>
      <c r="K938" s="1">
        <f t="shared" ca="1" si="313"/>
        <v>0</v>
      </c>
      <c r="L938" s="13">
        <f t="shared" ca="1" si="314"/>
        <v>644</v>
      </c>
      <c r="M938" s="7">
        <f t="shared" ca="1" si="315"/>
        <v>856</v>
      </c>
      <c r="N938" s="26">
        <f t="shared" ca="1" si="316"/>
        <v>3</v>
      </c>
      <c r="O938" s="44">
        <f t="shared" ca="1" si="317"/>
        <v>2.2758855914378953</v>
      </c>
      <c r="P938" s="44">
        <f t="shared" ca="1" si="318"/>
        <v>22.758855914378952</v>
      </c>
      <c r="Q938" s="44">
        <f t="shared" ca="1" si="319"/>
        <v>22.758855914378952</v>
      </c>
      <c r="R938" s="44">
        <f t="shared" ca="1" si="320"/>
        <v>2.2758855914378953</v>
      </c>
      <c r="S938" s="44">
        <f t="shared" ca="1" si="321"/>
        <v>2.2758855914378953</v>
      </c>
      <c r="T938" s="4">
        <f t="shared" ca="1" si="322"/>
        <v>0</v>
      </c>
      <c r="U938" s="120">
        <f t="shared" ca="1" si="323"/>
        <v>2160.0063598009133</v>
      </c>
      <c r="V938" s="4">
        <f t="shared" ca="1" si="324"/>
        <v>0</v>
      </c>
      <c r="W938" s="13">
        <f t="shared" ca="1" si="325"/>
        <v>41268.881250000006</v>
      </c>
      <c r="X938" s="4">
        <f t="shared" ca="1" si="326"/>
        <v>0</v>
      </c>
      <c r="Y938" s="4">
        <f t="shared" si="327"/>
        <v>0</v>
      </c>
      <c r="Z938" s="13">
        <f t="shared" ca="1" si="328"/>
        <v>41268.881250000006</v>
      </c>
      <c r="AA938" s="4">
        <f t="shared" ca="1" si="329"/>
        <v>0</v>
      </c>
    </row>
    <row r="939" spans="1:27">
      <c r="A939">
        <v>3</v>
      </c>
      <c r="B939">
        <v>0</v>
      </c>
      <c r="C939">
        <f t="shared" ca="1" si="308"/>
        <v>5</v>
      </c>
      <c r="D939">
        <f t="shared" ca="1" si="309"/>
        <v>4</v>
      </c>
      <c r="E939">
        <f t="shared" ca="1" si="310"/>
        <v>3</v>
      </c>
      <c r="F939" s="110">
        <f t="shared" ca="1" si="311"/>
        <v>2.7353999999999996E-2</v>
      </c>
      <c r="G939">
        <v>1</v>
      </c>
      <c r="H939">
        <v>1</v>
      </c>
      <c r="I939">
        <v>3</v>
      </c>
      <c r="J939" s="1">
        <f t="shared" ca="1" si="312"/>
        <v>0</v>
      </c>
      <c r="K939" s="1">
        <f t="shared" ca="1" si="313"/>
        <v>0</v>
      </c>
      <c r="L939" s="13">
        <f t="shared" ca="1" si="314"/>
        <v>625</v>
      </c>
      <c r="M939" s="7">
        <f t="shared" ca="1" si="315"/>
        <v>875</v>
      </c>
      <c r="N939" s="26">
        <f t="shared" ca="1" si="316"/>
        <v>3</v>
      </c>
      <c r="O939" s="44">
        <f t="shared" ca="1" si="317"/>
        <v>2.2758855914378953</v>
      </c>
      <c r="P939" s="44">
        <f t="shared" ca="1" si="318"/>
        <v>22.758855914378952</v>
      </c>
      <c r="Q939" s="44">
        <f t="shared" ca="1" si="319"/>
        <v>22.758855914378952</v>
      </c>
      <c r="R939" s="44">
        <f t="shared" ca="1" si="320"/>
        <v>2.2758855914378953</v>
      </c>
      <c r="S939" s="44">
        <f t="shared" ca="1" si="321"/>
        <v>2.2758855914378953</v>
      </c>
      <c r="T939" s="4">
        <f t="shared" ca="1" si="322"/>
        <v>0</v>
      </c>
      <c r="U939" s="120">
        <f t="shared" ca="1" si="323"/>
        <v>2141.0063598009133</v>
      </c>
      <c r="V939" s="4">
        <f t="shared" ca="1" si="324"/>
        <v>0</v>
      </c>
      <c r="W939" s="13">
        <f t="shared" ca="1" si="325"/>
        <v>38495.756250000006</v>
      </c>
      <c r="X939" s="4">
        <f t="shared" ca="1" si="326"/>
        <v>0</v>
      </c>
      <c r="Y939" s="4">
        <f t="shared" si="327"/>
        <v>0</v>
      </c>
      <c r="Z939" s="13">
        <f t="shared" ca="1" si="328"/>
        <v>38495.756250000006</v>
      </c>
      <c r="AA939" s="4">
        <f t="shared" ca="1" si="329"/>
        <v>0</v>
      </c>
    </row>
    <row r="940" spans="1:27">
      <c r="A940">
        <v>3</v>
      </c>
      <c r="B940">
        <v>0</v>
      </c>
      <c r="C940">
        <f t="shared" ca="1" si="308"/>
        <v>5</v>
      </c>
      <c r="D940">
        <f t="shared" ca="1" si="309"/>
        <v>4</v>
      </c>
      <c r="E940">
        <f t="shared" ca="1" si="310"/>
        <v>3</v>
      </c>
      <c r="F940" s="110">
        <f t="shared" ca="1" si="311"/>
        <v>2.7353999999999996E-2</v>
      </c>
      <c r="G940">
        <v>1</v>
      </c>
      <c r="H940">
        <v>1</v>
      </c>
      <c r="I940">
        <v>2</v>
      </c>
      <c r="J940" s="1">
        <f t="shared" ca="1" si="312"/>
        <v>0</v>
      </c>
      <c r="K940" s="1">
        <f t="shared" ca="1" si="313"/>
        <v>0</v>
      </c>
      <c r="L940" s="13">
        <f t="shared" ca="1" si="314"/>
        <v>606</v>
      </c>
      <c r="M940" s="7">
        <f t="shared" ca="1" si="315"/>
        <v>894</v>
      </c>
      <c r="N940" s="26">
        <f t="shared" ca="1" si="316"/>
        <v>3</v>
      </c>
      <c r="O940" s="44">
        <f t="shared" ca="1" si="317"/>
        <v>2.2758855914378953</v>
      </c>
      <c r="P940" s="44">
        <f t="shared" ca="1" si="318"/>
        <v>22.758855914378952</v>
      </c>
      <c r="Q940" s="44">
        <f t="shared" ca="1" si="319"/>
        <v>22.758855914378952</v>
      </c>
      <c r="R940" s="44">
        <f t="shared" ca="1" si="320"/>
        <v>2.2758855914378953</v>
      </c>
      <c r="S940" s="44">
        <f t="shared" ca="1" si="321"/>
        <v>2.2758855914378953</v>
      </c>
      <c r="T940" s="4">
        <f t="shared" ca="1" si="322"/>
        <v>0</v>
      </c>
      <c r="U940" s="120">
        <f t="shared" ca="1" si="323"/>
        <v>2122.0063598009133</v>
      </c>
      <c r="V940" s="4">
        <f t="shared" ca="1" si="324"/>
        <v>0</v>
      </c>
      <c r="W940" s="13">
        <f t="shared" ca="1" si="325"/>
        <v>35722.631250000006</v>
      </c>
      <c r="X940" s="4">
        <f t="shared" ca="1" si="326"/>
        <v>0</v>
      </c>
      <c r="Y940" s="4">
        <f t="shared" si="327"/>
        <v>0</v>
      </c>
      <c r="Z940" s="13">
        <f t="shared" ca="1" si="328"/>
        <v>35722.631250000006</v>
      </c>
      <c r="AA940" s="4">
        <f t="shared" ca="1" si="329"/>
        <v>0</v>
      </c>
    </row>
    <row r="941" spans="1:27">
      <c r="A941">
        <v>3</v>
      </c>
      <c r="B941">
        <v>0</v>
      </c>
      <c r="C941">
        <f t="shared" ca="1" si="308"/>
        <v>5</v>
      </c>
      <c r="D941">
        <f t="shared" ca="1" si="309"/>
        <v>4</v>
      </c>
      <c r="E941">
        <f t="shared" ca="1" si="310"/>
        <v>3</v>
      </c>
      <c r="F941" s="110">
        <f t="shared" ca="1" si="311"/>
        <v>2.7353999999999996E-2</v>
      </c>
      <c r="G941">
        <v>1</v>
      </c>
      <c r="H941">
        <v>1</v>
      </c>
      <c r="I941">
        <v>1</v>
      </c>
      <c r="J941" s="1">
        <f t="shared" ca="1" si="312"/>
        <v>0</v>
      </c>
      <c r="K941" s="1">
        <f t="shared" ca="1" si="313"/>
        <v>0</v>
      </c>
      <c r="L941" s="13">
        <f t="shared" ca="1" si="314"/>
        <v>587</v>
      </c>
      <c r="M941" s="7">
        <f t="shared" ca="1" si="315"/>
        <v>913</v>
      </c>
      <c r="N941" s="26">
        <f t="shared" ca="1" si="316"/>
        <v>3</v>
      </c>
      <c r="O941" s="44">
        <f t="shared" ca="1" si="317"/>
        <v>2.2758855914378953</v>
      </c>
      <c r="P941" s="44">
        <f t="shared" ca="1" si="318"/>
        <v>22.758855914378952</v>
      </c>
      <c r="Q941" s="44">
        <f t="shared" ca="1" si="319"/>
        <v>22.758855914378952</v>
      </c>
      <c r="R941" s="44">
        <f t="shared" ca="1" si="320"/>
        <v>2.2758855914378953</v>
      </c>
      <c r="S941" s="44">
        <f t="shared" ca="1" si="321"/>
        <v>2.2758855914378953</v>
      </c>
      <c r="T941" s="4">
        <f t="shared" ca="1" si="322"/>
        <v>0</v>
      </c>
      <c r="U941" s="120">
        <f t="shared" ca="1" si="323"/>
        <v>2103.0063598009133</v>
      </c>
      <c r="V941" s="4">
        <f t="shared" ca="1" si="324"/>
        <v>0</v>
      </c>
      <c r="W941" s="13">
        <f t="shared" ca="1" si="325"/>
        <v>32949.506250000006</v>
      </c>
      <c r="X941" s="4">
        <f t="shared" ca="1" si="326"/>
        <v>0</v>
      </c>
      <c r="Y941" s="4">
        <f t="shared" si="327"/>
        <v>0</v>
      </c>
      <c r="Z941" s="13">
        <f t="shared" ca="1" si="328"/>
        <v>32949.506250000006</v>
      </c>
      <c r="AA941" s="4">
        <f t="shared" ca="1" si="329"/>
        <v>0</v>
      </c>
    </row>
    <row r="942" spans="1:27">
      <c r="A942">
        <v>3</v>
      </c>
      <c r="B942">
        <v>0</v>
      </c>
      <c r="C942">
        <f t="shared" ca="1" si="308"/>
        <v>5</v>
      </c>
      <c r="D942">
        <f t="shared" ca="1" si="309"/>
        <v>4</v>
      </c>
      <c r="E942">
        <f t="shared" ca="1" si="310"/>
        <v>3</v>
      </c>
      <c r="F942" s="110">
        <f t="shared" ca="1" si="311"/>
        <v>2.7353999999999996E-2</v>
      </c>
      <c r="G942">
        <v>1</v>
      </c>
      <c r="H942">
        <v>1</v>
      </c>
      <c r="I942">
        <v>0</v>
      </c>
      <c r="J942" s="1">
        <f t="shared" ca="1" si="312"/>
        <v>0</v>
      </c>
      <c r="K942" s="1">
        <f t="shared" ca="1" si="313"/>
        <v>0</v>
      </c>
      <c r="L942" s="13">
        <f t="shared" ca="1" si="314"/>
        <v>568</v>
      </c>
      <c r="M942" s="7">
        <f t="shared" ca="1" si="315"/>
        <v>932</v>
      </c>
      <c r="N942" s="26">
        <f t="shared" ca="1" si="316"/>
        <v>3</v>
      </c>
      <c r="O942" s="44">
        <f t="shared" ca="1" si="317"/>
        <v>2.2758855914378953</v>
      </c>
      <c r="P942" s="44">
        <f t="shared" ca="1" si="318"/>
        <v>22.758855914378952</v>
      </c>
      <c r="Q942" s="44">
        <f t="shared" ca="1" si="319"/>
        <v>22.758855914378952</v>
      </c>
      <c r="R942" s="44">
        <f t="shared" ca="1" si="320"/>
        <v>2.2758855914378953</v>
      </c>
      <c r="S942" s="44">
        <f t="shared" ca="1" si="321"/>
        <v>2.2758855914378953</v>
      </c>
      <c r="T942" s="4">
        <f t="shared" ca="1" si="322"/>
        <v>0</v>
      </c>
      <c r="U942" s="120">
        <f t="shared" ca="1" si="323"/>
        <v>2084.0063598009133</v>
      </c>
      <c r="V942" s="4">
        <f t="shared" ca="1" si="324"/>
        <v>0</v>
      </c>
      <c r="W942" s="13">
        <f t="shared" ca="1" si="325"/>
        <v>30176.381250000002</v>
      </c>
      <c r="X942" s="4">
        <f t="shared" ca="1" si="326"/>
        <v>0</v>
      </c>
      <c r="Y942" s="4">
        <f t="shared" si="327"/>
        <v>0</v>
      </c>
      <c r="Z942" s="13">
        <f t="shared" ca="1" si="328"/>
        <v>30176.381250000002</v>
      </c>
      <c r="AA942" s="4">
        <f t="shared" ca="1" si="329"/>
        <v>0</v>
      </c>
    </row>
    <row r="943" spans="1:27">
      <c r="A943">
        <v>3</v>
      </c>
      <c r="B943">
        <v>0</v>
      </c>
      <c r="C943">
        <f t="shared" ca="1" si="308"/>
        <v>5</v>
      </c>
      <c r="D943">
        <f t="shared" ca="1" si="309"/>
        <v>4</v>
      </c>
      <c r="E943">
        <f t="shared" ca="1" si="310"/>
        <v>3</v>
      </c>
      <c r="F943" s="110">
        <f t="shared" ca="1" si="311"/>
        <v>2.7353999999999996E-2</v>
      </c>
      <c r="G943">
        <v>1</v>
      </c>
      <c r="H943">
        <v>0</v>
      </c>
      <c r="I943">
        <v>7</v>
      </c>
      <c r="J943" s="1">
        <f t="shared" ca="1" si="312"/>
        <v>0</v>
      </c>
      <c r="K943" s="1">
        <f t="shared" ca="1" si="313"/>
        <v>0</v>
      </c>
      <c r="L943" s="13">
        <f t="shared" ca="1" si="314"/>
        <v>417</v>
      </c>
      <c r="M943" s="7">
        <f t="shared" ca="1" si="315"/>
        <v>1083</v>
      </c>
      <c r="N943" s="26">
        <f t="shared" ca="1" si="316"/>
        <v>4</v>
      </c>
      <c r="O943" s="44">
        <f t="shared" ca="1" si="317"/>
        <v>2.8908103757121246</v>
      </c>
      <c r="P943" s="44">
        <f t="shared" ca="1" si="318"/>
        <v>28.908103757121246</v>
      </c>
      <c r="Q943" s="44">
        <f t="shared" ca="1" si="319"/>
        <v>28.908103757121246</v>
      </c>
      <c r="R943" s="44">
        <f t="shared" ca="1" si="320"/>
        <v>2.8908103757121246</v>
      </c>
      <c r="S943" s="44">
        <f t="shared" ca="1" si="321"/>
        <v>2.8908103757121246</v>
      </c>
      <c r="T943" s="4">
        <f t="shared" ca="1" si="322"/>
        <v>0</v>
      </c>
      <c r="U943" s="120">
        <f t="shared" ca="1" si="323"/>
        <v>2268.675062040129</v>
      </c>
      <c r="V943" s="4">
        <f t="shared" ca="1" si="324"/>
        <v>0</v>
      </c>
      <c r="W943" s="13">
        <f t="shared" ca="1" si="325"/>
        <v>49588.256250000006</v>
      </c>
      <c r="X943" s="4">
        <f t="shared" ca="1" si="326"/>
        <v>0</v>
      </c>
      <c r="Y943" s="4">
        <f t="shared" si="327"/>
        <v>0</v>
      </c>
      <c r="Z943" s="13">
        <f t="shared" ca="1" si="328"/>
        <v>49588.256250000006</v>
      </c>
      <c r="AA943" s="4">
        <f t="shared" ca="1" si="329"/>
        <v>0</v>
      </c>
    </row>
    <row r="944" spans="1:27">
      <c r="A944">
        <v>3</v>
      </c>
      <c r="B944">
        <v>0</v>
      </c>
      <c r="C944">
        <f t="shared" ca="1" si="308"/>
        <v>5</v>
      </c>
      <c r="D944">
        <f t="shared" ca="1" si="309"/>
        <v>4</v>
      </c>
      <c r="E944">
        <f t="shared" ca="1" si="310"/>
        <v>3</v>
      </c>
      <c r="F944" s="110">
        <f t="shared" ca="1" si="311"/>
        <v>2.7353999999999996E-2</v>
      </c>
      <c r="G944">
        <v>1</v>
      </c>
      <c r="H944">
        <v>0</v>
      </c>
      <c r="I944">
        <v>6</v>
      </c>
      <c r="J944" s="1">
        <f t="shared" ca="1" si="312"/>
        <v>0</v>
      </c>
      <c r="K944" s="1">
        <f t="shared" ca="1" si="313"/>
        <v>0</v>
      </c>
      <c r="L944" s="13">
        <f t="shared" ca="1" si="314"/>
        <v>398</v>
      </c>
      <c r="M944" s="7">
        <f t="shared" ca="1" si="315"/>
        <v>1102</v>
      </c>
      <c r="N944" s="26">
        <f t="shared" ca="1" si="316"/>
        <v>4</v>
      </c>
      <c r="O944" s="44">
        <f t="shared" ca="1" si="317"/>
        <v>2.8908103757121246</v>
      </c>
      <c r="P944" s="44">
        <f t="shared" ca="1" si="318"/>
        <v>28.908103757121246</v>
      </c>
      <c r="Q944" s="44">
        <f t="shared" ca="1" si="319"/>
        <v>28.908103757121246</v>
      </c>
      <c r="R944" s="44">
        <f t="shared" ca="1" si="320"/>
        <v>2.8908103757121246</v>
      </c>
      <c r="S944" s="44">
        <f t="shared" ca="1" si="321"/>
        <v>2.8908103757121246</v>
      </c>
      <c r="T944" s="4">
        <f t="shared" ca="1" si="322"/>
        <v>0</v>
      </c>
      <c r="U944" s="120">
        <f t="shared" ca="1" si="323"/>
        <v>2249.675062040129</v>
      </c>
      <c r="V944" s="4">
        <f t="shared" ca="1" si="324"/>
        <v>0</v>
      </c>
      <c r="W944" s="13">
        <f t="shared" ca="1" si="325"/>
        <v>46815.131250000006</v>
      </c>
      <c r="X944" s="4">
        <f t="shared" ca="1" si="326"/>
        <v>0</v>
      </c>
      <c r="Y944" s="4">
        <f t="shared" si="327"/>
        <v>0</v>
      </c>
      <c r="Z944" s="13">
        <f t="shared" ca="1" si="328"/>
        <v>46815.131250000006</v>
      </c>
      <c r="AA944" s="4">
        <f t="shared" ca="1" si="329"/>
        <v>0</v>
      </c>
    </row>
    <row r="945" spans="1:27">
      <c r="A945">
        <v>3</v>
      </c>
      <c r="B945">
        <v>0</v>
      </c>
      <c r="C945">
        <f t="shared" ca="1" si="308"/>
        <v>5</v>
      </c>
      <c r="D945">
        <f t="shared" ca="1" si="309"/>
        <v>4</v>
      </c>
      <c r="E945">
        <f t="shared" ca="1" si="310"/>
        <v>3</v>
      </c>
      <c r="F945" s="110">
        <f t="shared" ca="1" si="311"/>
        <v>2.7353999999999996E-2</v>
      </c>
      <c r="G945">
        <v>1</v>
      </c>
      <c r="H945">
        <v>0</v>
      </c>
      <c r="I945">
        <v>5</v>
      </c>
      <c r="J945" s="1">
        <f t="shared" ca="1" si="312"/>
        <v>0</v>
      </c>
      <c r="K945" s="1">
        <f t="shared" ca="1" si="313"/>
        <v>0</v>
      </c>
      <c r="L945" s="13">
        <f t="shared" ca="1" si="314"/>
        <v>379</v>
      </c>
      <c r="M945" s="7">
        <f t="shared" ca="1" si="315"/>
        <v>1121</v>
      </c>
      <c r="N945" s="26">
        <f t="shared" ca="1" si="316"/>
        <v>4</v>
      </c>
      <c r="O945" s="44">
        <f t="shared" ca="1" si="317"/>
        <v>2.8908103757121246</v>
      </c>
      <c r="P945" s="44">
        <f t="shared" ca="1" si="318"/>
        <v>28.908103757121246</v>
      </c>
      <c r="Q945" s="44">
        <f t="shared" ca="1" si="319"/>
        <v>28.908103757121246</v>
      </c>
      <c r="R945" s="44">
        <f t="shared" ca="1" si="320"/>
        <v>2.8908103757121246</v>
      </c>
      <c r="S945" s="44">
        <f t="shared" ca="1" si="321"/>
        <v>2.8908103757121246</v>
      </c>
      <c r="T945" s="4">
        <f t="shared" ca="1" si="322"/>
        <v>0</v>
      </c>
      <c r="U945" s="120">
        <f t="shared" ca="1" si="323"/>
        <v>2230.675062040129</v>
      </c>
      <c r="V945" s="4">
        <f t="shared" ca="1" si="324"/>
        <v>0</v>
      </c>
      <c r="W945" s="13">
        <f t="shared" ca="1" si="325"/>
        <v>44042.006250000006</v>
      </c>
      <c r="X945" s="4">
        <f t="shared" ca="1" si="326"/>
        <v>0</v>
      </c>
      <c r="Y945" s="4">
        <f t="shared" si="327"/>
        <v>0</v>
      </c>
      <c r="Z945" s="13">
        <f t="shared" ca="1" si="328"/>
        <v>44042.006250000006</v>
      </c>
      <c r="AA945" s="4">
        <f t="shared" ca="1" si="329"/>
        <v>0</v>
      </c>
    </row>
    <row r="946" spans="1:27">
      <c r="A946">
        <v>3</v>
      </c>
      <c r="B946">
        <v>0</v>
      </c>
      <c r="C946">
        <f t="shared" ca="1" si="308"/>
        <v>5</v>
      </c>
      <c r="D946">
        <f t="shared" ca="1" si="309"/>
        <v>4</v>
      </c>
      <c r="E946">
        <f t="shared" ca="1" si="310"/>
        <v>3</v>
      </c>
      <c r="F946" s="110">
        <f t="shared" ca="1" si="311"/>
        <v>2.7353999999999996E-2</v>
      </c>
      <c r="G946">
        <v>1</v>
      </c>
      <c r="H946">
        <v>0</v>
      </c>
      <c r="I946">
        <v>4</v>
      </c>
      <c r="J946" s="1">
        <f t="shared" ca="1" si="312"/>
        <v>0.77378093749999999</v>
      </c>
      <c r="K946" s="1">
        <f t="shared" ca="1" si="313"/>
        <v>2.1166003764374997E-2</v>
      </c>
      <c r="L946" s="13">
        <f t="shared" ca="1" si="314"/>
        <v>360</v>
      </c>
      <c r="M946" s="7">
        <f t="shared" ca="1" si="315"/>
        <v>1140</v>
      </c>
      <c r="N946" s="26">
        <f t="shared" ca="1" si="316"/>
        <v>4</v>
      </c>
      <c r="O946" s="44">
        <f t="shared" ca="1" si="317"/>
        <v>2.8908103757121246</v>
      </c>
      <c r="P946" s="44">
        <f t="shared" ca="1" si="318"/>
        <v>28.908103757121246</v>
      </c>
      <c r="Q946" s="44">
        <f t="shared" ca="1" si="319"/>
        <v>28.908103757121246</v>
      </c>
      <c r="R946" s="44">
        <f t="shared" ca="1" si="320"/>
        <v>2.8908103757121246</v>
      </c>
      <c r="S946" s="44">
        <f t="shared" ca="1" si="321"/>
        <v>2.8908103757121246</v>
      </c>
      <c r="T946" s="4">
        <f t="shared" ca="1" si="322"/>
        <v>6.118690329441713E-2</v>
      </c>
      <c r="U946" s="120">
        <f t="shared" ca="1" si="323"/>
        <v>2211.675062040129</v>
      </c>
      <c r="V946" s="4">
        <f t="shared" ca="1" si="324"/>
        <v>46.812322688715675</v>
      </c>
      <c r="W946" s="13">
        <f t="shared" ca="1" si="325"/>
        <v>41268.881250000006</v>
      </c>
      <c r="X946" s="4">
        <f t="shared" ca="1" si="326"/>
        <v>873.49729588904484</v>
      </c>
      <c r="Y946" s="4">
        <f t="shared" si="327"/>
        <v>0</v>
      </c>
      <c r="Z946" s="13">
        <f t="shared" ca="1" si="328"/>
        <v>41268.881250000006</v>
      </c>
      <c r="AA946" s="4">
        <f t="shared" ca="1" si="329"/>
        <v>873.49729588904484</v>
      </c>
    </row>
    <row r="947" spans="1:27">
      <c r="A947">
        <v>3</v>
      </c>
      <c r="B947">
        <v>0</v>
      </c>
      <c r="C947">
        <f t="shared" ca="1" si="308"/>
        <v>5</v>
      </c>
      <c r="D947">
        <f t="shared" ca="1" si="309"/>
        <v>4</v>
      </c>
      <c r="E947">
        <f t="shared" ca="1" si="310"/>
        <v>3</v>
      </c>
      <c r="F947" s="110">
        <f t="shared" ca="1" si="311"/>
        <v>2.7353999999999996E-2</v>
      </c>
      <c r="G947">
        <v>1</v>
      </c>
      <c r="H947">
        <v>0</v>
      </c>
      <c r="I947">
        <v>3</v>
      </c>
      <c r="J947" s="1">
        <f t="shared" ca="1" si="312"/>
        <v>0.16290125000000011</v>
      </c>
      <c r="K947" s="1">
        <f t="shared" ca="1" si="313"/>
        <v>4.4560007925000021E-3</v>
      </c>
      <c r="L947" s="13">
        <f t="shared" ca="1" si="314"/>
        <v>341</v>
      </c>
      <c r="M947" s="7">
        <f t="shared" ca="1" si="315"/>
        <v>1159</v>
      </c>
      <c r="N947" s="26">
        <f t="shared" ca="1" si="316"/>
        <v>4</v>
      </c>
      <c r="O947" s="44">
        <f t="shared" ca="1" si="317"/>
        <v>2.8908103757121246</v>
      </c>
      <c r="P947" s="44">
        <f t="shared" ca="1" si="318"/>
        <v>28.908103757121246</v>
      </c>
      <c r="Q947" s="44">
        <f t="shared" ca="1" si="319"/>
        <v>28.908103757121246</v>
      </c>
      <c r="R947" s="44">
        <f t="shared" ca="1" si="320"/>
        <v>2.8908103757121246</v>
      </c>
      <c r="S947" s="44">
        <f t="shared" ca="1" si="321"/>
        <v>2.8908103757121246</v>
      </c>
      <c r="T947" s="4">
        <f t="shared" ca="1" si="322"/>
        <v>1.2881453325140456E-2</v>
      </c>
      <c r="U947" s="120">
        <f t="shared" ca="1" si="323"/>
        <v>2192.675062040129</v>
      </c>
      <c r="V947" s="4">
        <f t="shared" ca="1" si="324"/>
        <v>9.7705618141458057</v>
      </c>
      <c r="W947" s="13">
        <f t="shared" ca="1" si="325"/>
        <v>38495.756250000006</v>
      </c>
      <c r="X947" s="4">
        <f t="shared" ca="1" si="326"/>
        <v>171.53712035788695</v>
      </c>
      <c r="Y947" s="4">
        <f t="shared" si="327"/>
        <v>0</v>
      </c>
      <c r="Z947" s="13">
        <f t="shared" ca="1" si="328"/>
        <v>38495.756250000006</v>
      </c>
      <c r="AA947" s="4">
        <f t="shared" ca="1" si="329"/>
        <v>171.53712035788695</v>
      </c>
    </row>
    <row r="948" spans="1:27">
      <c r="A948">
        <v>3</v>
      </c>
      <c r="B948">
        <v>0</v>
      </c>
      <c r="C948">
        <f t="shared" ca="1" si="308"/>
        <v>5</v>
      </c>
      <c r="D948">
        <f t="shared" ca="1" si="309"/>
        <v>4</v>
      </c>
      <c r="E948">
        <f t="shared" ca="1" si="310"/>
        <v>3</v>
      </c>
      <c r="F948" s="110">
        <f t="shared" ca="1" si="311"/>
        <v>2.7353999999999996E-2</v>
      </c>
      <c r="G948">
        <v>1</v>
      </c>
      <c r="H948">
        <v>0</v>
      </c>
      <c r="I948">
        <v>2</v>
      </c>
      <c r="J948" s="1">
        <f t="shared" ca="1" si="312"/>
        <v>1.2860625000000021E-2</v>
      </c>
      <c r="K948" s="1">
        <f t="shared" ca="1" si="313"/>
        <v>3.5178953625000054E-4</v>
      </c>
      <c r="L948" s="13">
        <f t="shared" ca="1" si="314"/>
        <v>322</v>
      </c>
      <c r="M948" s="7">
        <f t="shared" ca="1" si="315"/>
        <v>1178</v>
      </c>
      <c r="N948" s="26">
        <f t="shared" ca="1" si="316"/>
        <v>4</v>
      </c>
      <c r="O948" s="44">
        <f t="shared" ca="1" si="317"/>
        <v>2.8908103757121246</v>
      </c>
      <c r="P948" s="44">
        <f t="shared" ca="1" si="318"/>
        <v>28.908103757121246</v>
      </c>
      <c r="Q948" s="44">
        <f t="shared" ca="1" si="319"/>
        <v>28.908103757121246</v>
      </c>
      <c r="R948" s="44">
        <f t="shared" ca="1" si="320"/>
        <v>2.8908103757121246</v>
      </c>
      <c r="S948" s="44">
        <f t="shared" ca="1" si="321"/>
        <v>2.8908103757121246</v>
      </c>
      <c r="T948" s="4">
        <f t="shared" ca="1" si="322"/>
        <v>1.0169568414584581E-3</v>
      </c>
      <c r="U948" s="120">
        <f t="shared" ca="1" si="323"/>
        <v>2173.675062040129</v>
      </c>
      <c r="V948" s="4">
        <f t="shared" ca="1" si="324"/>
        <v>0.76467614203328815</v>
      </c>
      <c r="W948" s="13">
        <f t="shared" ca="1" si="325"/>
        <v>35722.631250000006</v>
      </c>
      <c r="X948" s="4">
        <f t="shared" ca="1" si="326"/>
        <v>12.566847881067279</v>
      </c>
      <c r="Y948" s="4">
        <f t="shared" si="327"/>
        <v>0</v>
      </c>
      <c r="Z948" s="13">
        <f t="shared" ca="1" si="328"/>
        <v>35722.631250000006</v>
      </c>
      <c r="AA948" s="4">
        <f t="shared" ca="1" si="329"/>
        <v>12.566847881067279</v>
      </c>
    </row>
    <row r="949" spans="1:27">
      <c r="A949">
        <v>3</v>
      </c>
      <c r="B949">
        <v>0</v>
      </c>
      <c r="C949">
        <f t="shared" ca="1" si="308"/>
        <v>5</v>
      </c>
      <c r="D949">
        <f t="shared" ca="1" si="309"/>
        <v>4</v>
      </c>
      <c r="E949">
        <f t="shared" ca="1" si="310"/>
        <v>3</v>
      </c>
      <c r="F949" s="110">
        <f t="shared" ca="1" si="311"/>
        <v>2.7353999999999996E-2</v>
      </c>
      <c r="G949">
        <v>1</v>
      </c>
      <c r="H949">
        <v>0</v>
      </c>
      <c r="I949">
        <v>1</v>
      </c>
      <c r="J949" s="1">
        <f t="shared" ca="1" si="312"/>
        <v>4.5125000000000118E-4</v>
      </c>
      <c r="K949" s="1">
        <f t="shared" ca="1" si="313"/>
        <v>1.2343492500000031E-5</v>
      </c>
      <c r="L949" s="13">
        <f t="shared" ca="1" si="314"/>
        <v>303</v>
      </c>
      <c r="M949" s="7">
        <f t="shared" ca="1" si="315"/>
        <v>1197</v>
      </c>
      <c r="N949" s="26">
        <f t="shared" ca="1" si="316"/>
        <v>4</v>
      </c>
      <c r="O949" s="44">
        <f t="shared" ca="1" si="317"/>
        <v>2.8908103757121246</v>
      </c>
      <c r="P949" s="44">
        <f t="shared" ca="1" si="318"/>
        <v>28.908103757121246</v>
      </c>
      <c r="Q949" s="44">
        <f t="shared" ca="1" si="319"/>
        <v>28.908103757121246</v>
      </c>
      <c r="R949" s="44">
        <f t="shared" ca="1" si="320"/>
        <v>2.8908103757121246</v>
      </c>
      <c r="S949" s="44">
        <f t="shared" ca="1" si="321"/>
        <v>2.8908103757121246</v>
      </c>
      <c r="T949" s="4">
        <f t="shared" ca="1" si="322"/>
        <v>3.5682696191524882E-5</v>
      </c>
      <c r="U949" s="120">
        <f t="shared" ca="1" si="323"/>
        <v>2154.675062040129</v>
      </c>
      <c r="V949" s="4">
        <f t="shared" ca="1" si="324"/>
        <v>2.6596215468229434E-2</v>
      </c>
      <c r="W949" s="13">
        <f t="shared" ca="1" si="325"/>
        <v>32949.506250000006</v>
      </c>
      <c r="X949" s="4">
        <f t="shared" ca="1" si="326"/>
        <v>0.40671198327557923</v>
      </c>
      <c r="Y949" s="4">
        <f t="shared" si="327"/>
        <v>0</v>
      </c>
      <c r="Z949" s="13">
        <f t="shared" ca="1" si="328"/>
        <v>32949.506250000006</v>
      </c>
      <c r="AA949" s="4">
        <f t="shared" ca="1" si="329"/>
        <v>0.40671198327557923</v>
      </c>
    </row>
    <row r="950" spans="1:27">
      <c r="A950">
        <v>3</v>
      </c>
      <c r="B950">
        <v>0</v>
      </c>
      <c r="C950">
        <f t="shared" ca="1" si="308"/>
        <v>5</v>
      </c>
      <c r="D950">
        <f t="shared" ca="1" si="309"/>
        <v>4</v>
      </c>
      <c r="E950">
        <f t="shared" ca="1" si="310"/>
        <v>3</v>
      </c>
      <c r="F950" s="110">
        <f t="shared" ca="1" si="311"/>
        <v>2.7353999999999996E-2</v>
      </c>
      <c r="G950">
        <v>1</v>
      </c>
      <c r="H950">
        <v>0</v>
      </c>
      <c r="I950">
        <v>0</v>
      </c>
      <c r="J950" s="1">
        <f t="shared" ca="1" si="312"/>
        <v>5.9375000000000207E-6</v>
      </c>
      <c r="K950" s="1">
        <f t="shared" ca="1" si="313"/>
        <v>1.6241437500000055E-7</v>
      </c>
      <c r="L950" s="13">
        <f t="shared" ca="1" si="314"/>
        <v>284</v>
      </c>
      <c r="M950" s="7">
        <f t="shared" ca="1" si="315"/>
        <v>1216</v>
      </c>
      <c r="N950" s="26">
        <f t="shared" ca="1" si="316"/>
        <v>4</v>
      </c>
      <c r="O950" s="44">
        <f t="shared" ca="1" si="317"/>
        <v>2.8908103757121246</v>
      </c>
      <c r="P950" s="44">
        <f t="shared" ca="1" si="318"/>
        <v>28.908103757121246</v>
      </c>
      <c r="Q950" s="44">
        <f t="shared" ca="1" si="319"/>
        <v>28.908103757121246</v>
      </c>
      <c r="R950" s="44">
        <f t="shared" ca="1" si="320"/>
        <v>2.8908103757121246</v>
      </c>
      <c r="S950" s="44">
        <f t="shared" ca="1" si="321"/>
        <v>2.8908103757121246</v>
      </c>
      <c r="T950" s="4">
        <f t="shared" ca="1" si="322"/>
        <v>4.6950916041480151E-7</v>
      </c>
      <c r="U950" s="120">
        <f t="shared" ca="1" si="323"/>
        <v>2135.675062040129</v>
      </c>
      <c r="V950" s="4">
        <f t="shared" ca="1" si="324"/>
        <v>3.4686433040433497E-4</v>
      </c>
      <c r="W950" s="13">
        <f t="shared" ca="1" si="325"/>
        <v>30176.381250000002</v>
      </c>
      <c r="X950" s="4">
        <f t="shared" ca="1" si="326"/>
        <v>4.9010781004804856E-3</v>
      </c>
      <c r="Y950" s="4">
        <f t="shared" si="327"/>
        <v>0</v>
      </c>
      <c r="Z950" s="13">
        <f t="shared" ca="1" si="328"/>
        <v>30176.381250000002</v>
      </c>
      <c r="AA950" s="4">
        <f t="shared" ca="1" si="329"/>
        <v>4.9010781004804856E-3</v>
      </c>
    </row>
    <row r="951" spans="1:27">
      <c r="A951">
        <v>3</v>
      </c>
      <c r="B951">
        <v>0</v>
      </c>
      <c r="C951">
        <f t="shared" ca="1" si="308"/>
        <v>5</v>
      </c>
      <c r="D951">
        <f t="shared" ca="1" si="309"/>
        <v>4</v>
      </c>
      <c r="E951">
        <f t="shared" ca="1" si="310"/>
        <v>3</v>
      </c>
      <c r="F951" s="110">
        <f t="shared" ca="1" si="311"/>
        <v>2.7353999999999996E-2</v>
      </c>
      <c r="G951">
        <v>0</v>
      </c>
      <c r="H951">
        <v>1</v>
      </c>
      <c r="I951">
        <v>7</v>
      </c>
      <c r="J951" s="1">
        <f t="shared" ca="1" si="312"/>
        <v>0</v>
      </c>
      <c r="K951" s="1">
        <f t="shared" ca="1" si="313"/>
        <v>0</v>
      </c>
      <c r="L951" s="13">
        <f t="shared" ca="1" si="314"/>
        <v>417</v>
      </c>
      <c r="M951" s="7">
        <f t="shared" ca="1" si="315"/>
        <v>1083</v>
      </c>
      <c r="N951" s="26">
        <f t="shared" ca="1" si="316"/>
        <v>4</v>
      </c>
      <c r="O951" s="44">
        <f t="shared" ca="1" si="317"/>
        <v>2.8908103757121246</v>
      </c>
      <c r="P951" s="44">
        <f t="shared" ca="1" si="318"/>
        <v>28.908103757121246</v>
      </c>
      <c r="Q951" s="44">
        <f t="shared" ca="1" si="319"/>
        <v>28.908103757121246</v>
      </c>
      <c r="R951" s="44">
        <f t="shared" ca="1" si="320"/>
        <v>2.8908103757121246</v>
      </c>
      <c r="S951" s="44">
        <f t="shared" ca="1" si="321"/>
        <v>2.8908103757121246</v>
      </c>
      <c r="T951" s="4">
        <f t="shared" ca="1" si="322"/>
        <v>0</v>
      </c>
      <c r="U951" s="120">
        <f t="shared" ca="1" si="323"/>
        <v>2268.675062040129</v>
      </c>
      <c r="V951" s="4">
        <f t="shared" ca="1" si="324"/>
        <v>0</v>
      </c>
      <c r="W951" s="13">
        <f t="shared" ca="1" si="325"/>
        <v>19411.875</v>
      </c>
      <c r="X951" s="4">
        <f t="shared" ca="1" si="326"/>
        <v>0</v>
      </c>
      <c r="Y951" s="4">
        <f t="shared" si="327"/>
        <v>0</v>
      </c>
      <c r="Z951" s="13">
        <f t="shared" ca="1" si="328"/>
        <v>19411.875</v>
      </c>
      <c r="AA951" s="4">
        <f t="shared" ca="1" si="329"/>
        <v>0</v>
      </c>
    </row>
    <row r="952" spans="1:27">
      <c r="A952">
        <v>3</v>
      </c>
      <c r="B952">
        <v>0</v>
      </c>
      <c r="C952">
        <f t="shared" ca="1" si="308"/>
        <v>5</v>
      </c>
      <c r="D952">
        <f t="shared" ca="1" si="309"/>
        <v>4</v>
      </c>
      <c r="E952">
        <f t="shared" ca="1" si="310"/>
        <v>3</v>
      </c>
      <c r="F952" s="110">
        <f t="shared" ca="1" si="311"/>
        <v>2.7353999999999996E-2</v>
      </c>
      <c r="G952">
        <v>0</v>
      </c>
      <c r="H952">
        <v>1</v>
      </c>
      <c r="I952">
        <v>6</v>
      </c>
      <c r="J952" s="1">
        <f t="shared" ca="1" si="312"/>
        <v>0</v>
      </c>
      <c r="K952" s="1">
        <f t="shared" ca="1" si="313"/>
        <v>0</v>
      </c>
      <c r="L952" s="13">
        <f t="shared" ca="1" si="314"/>
        <v>398</v>
      </c>
      <c r="M952" s="7">
        <f t="shared" ca="1" si="315"/>
        <v>1102</v>
      </c>
      <c r="N952" s="26">
        <f t="shared" ca="1" si="316"/>
        <v>4</v>
      </c>
      <c r="O952" s="44">
        <f t="shared" ca="1" si="317"/>
        <v>2.8908103757121246</v>
      </c>
      <c r="P952" s="44">
        <f t="shared" ca="1" si="318"/>
        <v>28.908103757121246</v>
      </c>
      <c r="Q952" s="44">
        <f t="shared" ca="1" si="319"/>
        <v>28.908103757121246</v>
      </c>
      <c r="R952" s="44">
        <f t="shared" ca="1" si="320"/>
        <v>2.8908103757121246</v>
      </c>
      <c r="S952" s="44">
        <f t="shared" ca="1" si="321"/>
        <v>2.8908103757121246</v>
      </c>
      <c r="T952" s="4">
        <f t="shared" ca="1" si="322"/>
        <v>0</v>
      </c>
      <c r="U952" s="120">
        <f t="shared" ca="1" si="323"/>
        <v>2249.675062040129</v>
      </c>
      <c r="V952" s="4">
        <f t="shared" ca="1" si="324"/>
        <v>0</v>
      </c>
      <c r="W952" s="13">
        <f t="shared" ca="1" si="325"/>
        <v>16638.75</v>
      </c>
      <c r="X952" s="4">
        <f t="shared" ca="1" si="326"/>
        <v>0</v>
      </c>
      <c r="Y952" s="4">
        <f t="shared" si="327"/>
        <v>0</v>
      </c>
      <c r="Z952" s="13">
        <f t="shared" ca="1" si="328"/>
        <v>16638.75</v>
      </c>
      <c r="AA952" s="4">
        <f t="shared" ca="1" si="329"/>
        <v>0</v>
      </c>
    </row>
    <row r="953" spans="1:27">
      <c r="A953">
        <v>3</v>
      </c>
      <c r="B953">
        <v>0</v>
      </c>
      <c r="C953">
        <f t="shared" ca="1" si="308"/>
        <v>5</v>
      </c>
      <c r="D953">
        <f t="shared" ca="1" si="309"/>
        <v>4</v>
      </c>
      <c r="E953">
        <f t="shared" ca="1" si="310"/>
        <v>3</v>
      </c>
      <c r="F953" s="110">
        <f t="shared" ca="1" si="311"/>
        <v>2.7353999999999996E-2</v>
      </c>
      <c r="G953">
        <v>0</v>
      </c>
      <c r="H953">
        <v>1</v>
      </c>
      <c r="I953">
        <v>5</v>
      </c>
      <c r="J953" s="1">
        <f t="shared" ca="1" si="312"/>
        <v>0</v>
      </c>
      <c r="K953" s="1">
        <f t="shared" ca="1" si="313"/>
        <v>0</v>
      </c>
      <c r="L953" s="13">
        <f t="shared" ca="1" si="314"/>
        <v>379</v>
      </c>
      <c r="M953" s="7">
        <f t="shared" ca="1" si="315"/>
        <v>1121</v>
      </c>
      <c r="N953" s="26">
        <f t="shared" ca="1" si="316"/>
        <v>4</v>
      </c>
      <c r="O953" s="44">
        <f t="shared" ca="1" si="317"/>
        <v>2.8908103757121246</v>
      </c>
      <c r="P953" s="44">
        <f t="shared" ca="1" si="318"/>
        <v>28.908103757121246</v>
      </c>
      <c r="Q953" s="44">
        <f t="shared" ca="1" si="319"/>
        <v>28.908103757121246</v>
      </c>
      <c r="R953" s="44">
        <f t="shared" ca="1" si="320"/>
        <v>2.8908103757121246</v>
      </c>
      <c r="S953" s="44">
        <f t="shared" ca="1" si="321"/>
        <v>2.8908103757121246</v>
      </c>
      <c r="T953" s="4">
        <f t="shared" ca="1" si="322"/>
        <v>0</v>
      </c>
      <c r="U953" s="120">
        <f t="shared" ca="1" si="323"/>
        <v>2230.675062040129</v>
      </c>
      <c r="V953" s="4">
        <f t="shared" ca="1" si="324"/>
        <v>0</v>
      </c>
      <c r="W953" s="13">
        <f t="shared" ca="1" si="325"/>
        <v>13865.625</v>
      </c>
      <c r="X953" s="4">
        <f t="shared" ca="1" si="326"/>
        <v>0</v>
      </c>
      <c r="Y953" s="4">
        <f t="shared" si="327"/>
        <v>0</v>
      </c>
      <c r="Z953" s="13">
        <f t="shared" ca="1" si="328"/>
        <v>13865.625</v>
      </c>
      <c r="AA953" s="4">
        <f t="shared" ca="1" si="329"/>
        <v>0</v>
      </c>
    </row>
    <row r="954" spans="1:27">
      <c r="A954">
        <v>3</v>
      </c>
      <c r="B954">
        <v>0</v>
      </c>
      <c r="C954">
        <f t="shared" ca="1" si="308"/>
        <v>5</v>
      </c>
      <c r="D954">
        <f t="shared" ca="1" si="309"/>
        <v>4</v>
      </c>
      <c r="E954">
        <f t="shared" ca="1" si="310"/>
        <v>3</v>
      </c>
      <c r="F954" s="110">
        <f t="shared" ca="1" si="311"/>
        <v>2.7353999999999996E-2</v>
      </c>
      <c r="G954">
        <v>0</v>
      </c>
      <c r="H954">
        <v>1</v>
      </c>
      <c r="I954">
        <v>4</v>
      </c>
      <c r="J954" s="1">
        <f t="shared" ca="1" si="312"/>
        <v>0</v>
      </c>
      <c r="K954" s="1">
        <f t="shared" ca="1" si="313"/>
        <v>0</v>
      </c>
      <c r="L954" s="13">
        <f t="shared" ca="1" si="314"/>
        <v>360</v>
      </c>
      <c r="M954" s="7">
        <f t="shared" ca="1" si="315"/>
        <v>1140</v>
      </c>
      <c r="N954" s="26">
        <f t="shared" ca="1" si="316"/>
        <v>4</v>
      </c>
      <c r="O954" s="44">
        <f t="shared" ca="1" si="317"/>
        <v>2.8908103757121246</v>
      </c>
      <c r="P954" s="44">
        <f t="shared" ca="1" si="318"/>
        <v>28.908103757121246</v>
      </c>
      <c r="Q954" s="44">
        <f t="shared" ca="1" si="319"/>
        <v>28.908103757121246</v>
      </c>
      <c r="R954" s="44">
        <f t="shared" ca="1" si="320"/>
        <v>2.8908103757121246</v>
      </c>
      <c r="S954" s="44">
        <f t="shared" ca="1" si="321"/>
        <v>2.8908103757121246</v>
      </c>
      <c r="T954" s="4">
        <f t="shared" ca="1" si="322"/>
        <v>0</v>
      </c>
      <c r="U954" s="120">
        <f t="shared" ca="1" si="323"/>
        <v>2211.675062040129</v>
      </c>
      <c r="V954" s="4">
        <f t="shared" ca="1" si="324"/>
        <v>0</v>
      </c>
      <c r="W954" s="13">
        <f t="shared" ca="1" si="325"/>
        <v>11092.5</v>
      </c>
      <c r="X954" s="4">
        <f t="shared" ca="1" si="326"/>
        <v>0</v>
      </c>
      <c r="Y954" s="4">
        <f t="shared" si="327"/>
        <v>0</v>
      </c>
      <c r="Z954" s="13">
        <f t="shared" ca="1" si="328"/>
        <v>11092.5</v>
      </c>
      <c r="AA954" s="4">
        <f t="shared" ca="1" si="329"/>
        <v>0</v>
      </c>
    </row>
    <row r="955" spans="1:27">
      <c r="A955">
        <v>3</v>
      </c>
      <c r="B955">
        <v>0</v>
      </c>
      <c r="C955">
        <f t="shared" ca="1" si="308"/>
        <v>5</v>
      </c>
      <c r="D955">
        <f t="shared" ca="1" si="309"/>
        <v>4</v>
      </c>
      <c r="E955">
        <f t="shared" ca="1" si="310"/>
        <v>3</v>
      </c>
      <c r="F955" s="110">
        <f t="shared" ca="1" si="311"/>
        <v>2.7353999999999996E-2</v>
      </c>
      <c r="G955">
        <v>0</v>
      </c>
      <c r="H955">
        <v>1</v>
      </c>
      <c r="I955">
        <v>3</v>
      </c>
      <c r="J955" s="1">
        <f t="shared" ca="1" si="312"/>
        <v>0</v>
      </c>
      <c r="K955" s="1">
        <f t="shared" ca="1" si="313"/>
        <v>0</v>
      </c>
      <c r="L955" s="13">
        <f t="shared" ca="1" si="314"/>
        <v>341</v>
      </c>
      <c r="M955" s="7">
        <f t="shared" ca="1" si="315"/>
        <v>1159</v>
      </c>
      <c r="N955" s="26">
        <f t="shared" ca="1" si="316"/>
        <v>4</v>
      </c>
      <c r="O955" s="44">
        <f t="shared" ca="1" si="317"/>
        <v>2.8908103757121246</v>
      </c>
      <c r="P955" s="44">
        <f t="shared" ca="1" si="318"/>
        <v>28.908103757121246</v>
      </c>
      <c r="Q955" s="44">
        <f t="shared" ca="1" si="319"/>
        <v>28.908103757121246</v>
      </c>
      <c r="R955" s="44">
        <f t="shared" ca="1" si="320"/>
        <v>2.8908103757121246</v>
      </c>
      <c r="S955" s="44">
        <f t="shared" ca="1" si="321"/>
        <v>2.8908103757121246</v>
      </c>
      <c r="T955" s="4">
        <f t="shared" ca="1" si="322"/>
        <v>0</v>
      </c>
      <c r="U955" s="120">
        <f t="shared" ca="1" si="323"/>
        <v>2192.675062040129</v>
      </c>
      <c r="V955" s="4">
        <f t="shared" ca="1" si="324"/>
        <v>0</v>
      </c>
      <c r="W955" s="13">
        <f t="shared" ca="1" si="325"/>
        <v>8319.375</v>
      </c>
      <c r="X955" s="4">
        <f t="shared" ca="1" si="326"/>
        <v>0</v>
      </c>
      <c r="Y955" s="4">
        <f t="shared" si="327"/>
        <v>0</v>
      </c>
      <c r="Z955" s="13">
        <f t="shared" ca="1" si="328"/>
        <v>8319.375</v>
      </c>
      <c r="AA955" s="4">
        <f t="shared" ca="1" si="329"/>
        <v>0</v>
      </c>
    </row>
    <row r="956" spans="1:27">
      <c r="A956">
        <v>3</v>
      </c>
      <c r="B956">
        <v>0</v>
      </c>
      <c r="C956">
        <f t="shared" ca="1" si="308"/>
        <v>5</v>
      </c>
      <c r="D956">
        <f t="shared" ca="1" si="309"/>
        <v>4</v>
      </c>
      <c r="E956">
        <f t="shared" ca="1" si="310"/>
        <v>3</v>
      </c>
      <c r="F956" s="110">
        <f t="shared" ca="1" si="311"/>
        <v>2.7353999999999996E-2</v>
      </c>
      <c r="G956">
        <v>0</v>
      </c>
      <c r="H956">
        <v>1</v>
      </c>
      <c r="I956">
        <v>2</v>
      </c>
      <c r="J956" s="1">
        <f t="shared" ca="1" si="312"/>
        <v>0</v>
      </c>
      <c r="K956" s="1">
        <f t="shared" ca="1" si="313"/>
        <v>0</v>
      </c>
      <c r="L956" s="13">
        <f t="shared" ca="1" si="314"/>
        <v>322</v>
      </c>
      <c r="M956" s="7">
        <f t="shared" ca="1" si="315"/>
        <v>1178</v>
      </c>
      <c r="N956" s="26">
        <f t="shared" ca="1" si="316"/>
        <v>4</v>
      </c>
      <c r="O956" s="44">
        <f t="shared" ca="1" si="317"/>
        <v>2.8908103757121246</v>
      </c>
      <c r="P956" s="44">
        <f t="shared" ca="1" si="318"/>
        <v>28.908103757121246</v>
      </c>
      <c r="Q956" s="44">
        <f t="shared" ca="1" si="319"/>
        <v>28.908103757121246</v>
      </c>
      <c r="R956" s="44">
        <f t="shared" ca="1" si="320"/>
        <v>2.8908103757121246</v>
      </c>
      <c r="S956" s="44">
        <f t="shared" ca="1" si="321"/>
        <v>2.8908103757121246</v>
      </c>
      <c r="T956" s="4">
        <f t="shared" ca="1" si="322"/>
        <v>0</v>
      </c>
      <c r="U956" s="120">
        <f t="shared" ca="1" si="323"/>
        <v>2173.675062040129</v>
      </c>
      <c r="V956" s="4">
        <f t="shared" ca="1" si="324"/>
        <v>0</v>
      </c>
      <c r="W956" s="13">
        <f t="shared" ca="1" si="325"/>
        <v>5546.25</v>
      </c>
      <c r="X956" s="4">
        <f t="shared" ca="1" si="326"/>
        <v>0</v>
      </c>
      <c r="Y956" s="4">
        <f t="shared" si="327"/>
        <v>0</v>
      </c>
      <c r="Z956" s="13">
        <f t="shared" ca="1" si="328"/>
        <v>5546.25</v>
      </c>
      <c r="AA956" s="4">
        <f t="shared" ca="1" si="329"/>
        <v>0</v>
      </c>
    </row>
    <row r="957" spans="1:27">
      <c r="A957">
        <v>3</v>
      </c>
      <c r="B957">
        <v>0</v>
      </c>
      <c r="C957">
        <f t="shared" ca="1" si="308"/>
        <v>5</v>
      </c>
      <c r="D957">
        <f t="shared" ca="1" si="309"/>
        <v>4</v>
      </c>
      <c r="E957">
        <f t="shared" ca="1" si="310"/>
        <v>3</v>
      </c>
      <c r="F957" s="110">
        <f t="shared" ca="1" si="311"/>
        <v>2.7353999999999996E-2</v>
      </c>
      <c r="G957">
        <v>0</v>
      </c>
      <c r="H957">
        <v>1</v>
      </c>
      <c r="I957">
        <v>1</v>
      </c>
      <c r="J957" s="1">
        <f t="shared" ca="1" si="312"/>
        <v>0</v>
      </c>
      <c r="K957" s="1">
        <f t="shared" ca="1" si="313"/>
        <v>0</v>
      </c>
      <c r="L957" s="13">
        <f t="shared" ca="1" si="314"/>
        <v>303</v>
      </c>
      <c r="M957" s="7">
        <f t="shared" ca="1" si="315"/>
        <v>1197</v>
      </c>
      <c r="N957" s="26">
        <f t="shared" ca="1" si="316"/>
        <v>4</v>
      </c>
      <c r="O957" s="44">
        <f t="shared" ca="1" si="317"/>
        <v>2.8908103757121246</v>
      </c>
      <c r="P957" s="44">
        <f t="shared" ca="1" si="318"/>
        <v>28.908103757121246</v>
      </c>
      <c r="Q957" s="44">
        <f t="shared" ca="1" si="319"/>
        <v>28.908103757121246</v>
      </c>
      <c r="R957" s="44">
        <f t="shared" ca="1" si="320"/>
        <v>2.8908103757121246</v>
      </c>
      <c r="S957" s="44">
        <f t="shared" ca="1" si="321"/>
        <v>2.8908103757121246</v>
      </c>
      <c r="T957" s="4">
        <f t="shared" ca="1" si="322"/>
        <v>0</v>
      </c>
      <c r="U957" s="120">
        <f t="shared" ca="1" si="323"/>
        <v>2154.675062040129</v>
      </c>
      <c r="V957" s="4">
        <f t="shared" ca="1" si="324"/>
        <v>0</v>
      </c>
      <c r="W957" s="13">
        <f t="shared" ca="1" si="325"/>
        <v>2773.125</v>
      </c>
      <c r="X957" s="4">
        <f t="shared" ca="1" si="326"/>
        <v>0</v>
      </c>
      <c r="Y957" s="4">
        <f t="shared" si="327"/>
        <v>0</v>
      </c>
      <c r="Z957" s="13">
        <f t="shared" ca="1" si="328"/>
        <v>2773.125</v>
      </c>
      <c r="AA957" s="4">
        <f t="shared" ca="1" si="329"/>
        <v>0</v>
      </c>
    </row>
    <row r="958" spans="1:27">
      <c r="A958">
        <v>3</v>
      </c>
      <c r="B958">
        <v>0</v>
      </c>
      <c r="C958">
        <f t="shared" ca="1" si="308"/>
        <v>5</v>
      </c>
      <c r="D958">
        <f t="shared" ca="1" si="309"/>
        <v>4</v>
      </c>
      <c r="E958">
        <f t="shared" ca="1" si="310"/>
        <v>3</v>
      </c>
      <c r="F958" s="110">
        <f t="shared" ca="1" si="311"/>
        <v>2.7353999999999996E-2</v>
      </c>
      <c r="G958">
        <v>0</v>
      </c>
      <c r="H958">
        <v>1</v>
      </c>
      <c r="I958">
        <v>0</v>
      </c>
      <c r="J958" s="1">
        <f t="shared" ca="1" si="312"/>
        <v>0</v>
      </c>
      <c r="K958" s="1">
        <f t="shared" ca="1" si="313"/>
        <v>0</v>
      </c>
      <c r="L958" s="13">
        <f t="shared" ca="1" si="314"/>
        <v>284</v>
      </c>
      <c r="M958" s="7">
        <f t="shared" ca="1" si="315"/>
        <v>1216</v>
      </c>
      <c r="N958" s="26">
        <f t="shared" ca="1" si="316"/>
        <v>4</v>
      </c>
      <c r="O958" s="44">
        <f t="shared" ca="1" si="317"/>
        <v>2.8908103757121246</v>
      </c>
      <c r="P958" s="44">
        <f t="shared" ca="1" si="318"/>
        <v>28.908103757121246</v>
      </c>
      <c r="Q958" s="44">
        <f t="shared" ca="1" si="319"/>
        <v>28.908103757121246</v>
      </c>
      <c r="R958" s="44">
        <f t="shared" ca="1" si="320"/>
        <v>2.8908103757121246</v>
      </c>
      <c r="S958" s="44">
        <f t="shared" ca="1" si="321"/>
        <v>2.8908103757121246</v>
      </c>
      <c r="T958" s="4">
        <f t="shared" ca="1" si="322"/>
        <v>0</v>
      </c>
      <c r="U958" s="120">
        <f t="shared" ca="1" si="323"/>
        <v>2135.675062040129</v>
      </c>
      <c r="V958" s="4">
        <f t="shared" ca="1" si="324"/>
        <v>0</v>
      </c>
      <c r="W958" s="13">
        <f t="shared" ca="1" si="325"/>
        <v>0</v>
      </c>
      <c r="X958" s="4">
        <f t="shared" ca="1" si="326"/>
        <v>0</v>
      </c>
      <c r="Y958" s="4">
        <f t="shared" si="327"/>
        <v>0</v>
      </c>
      <c r="Z958" s="13">
        <f t="shared" ca="1" si="328"/>
        <v>0</v>
      </c>
      <c r="AA958" s="4">
        <f t="shared" ca="1" si="329"/>
        <v>0</v>
      </c>
    </row>
    <row r="959" spans="1:27">
      <c r="A959">
        <v>3</v>
      </c>
      <c r="B959">
        <v>0</v>
      </c>
      <c r="C959">
        <f t="shared" ca="1" si="308"/>
        <v>5</v>
      </c>
      <c r="D959">
        <f t="shared" ca="1" si="309"/>
        <v>4</v>
      </c>
      <c r="E959">
        <f t="shared" ca="1" si="310"/>
        <v>3</v>
      </c>
      <c r="F959" s="110">
        <f t="shared" ca="1" si="311"/>
        <v>2.7353999999999996E-2</v>
      </c>
      <c r="G959">
        <v>0</v>
      </c>
      <c r="H959">
        <v>0</v>
      </c>
      <c r="I959">
        <v>7</v>
      </c>
      <c r="J959" s="1">
        <f t="shared" ca="1" si="312"/>
        <v>0</v>
      </c>
      <c r="K959" s="1">
        <f t="shared" ca="1" si="313"/>
        <v>0</v>
      </c>
      <c r="L959" s="13">
        <f t="shared" ca="1" si="314"/>
        <v>133</v>
      </c>
      <c r="M959" s="7">
        <f t="shared" ca="1" si="315"/>
        <v>1367</v>
      </c>
      <c r="N959" s="26">
        <f t="shared" ca="1" si="316"/>
        <v>4</v>
      </c>
      <c r="O959" s="44">
        <f t="shared" ca="1" si="317"/>
        <v>2.8908103757121246</v>
      </c>
      <c r="P959" s="44">
        <f t="shared" ca="1" si="318"/>
        <v>28.908103757121246</v>
      </c>
      <c r="Q959" s="44">
        <f t="shared" ca="1" si="319"/>
        <v>28.908103757121246</v>
      </c>
      <c r="R959" s="44">
        <f t="shared" ca="1" si="320"/>
        <v>2.8908103757121246</v>
      </c>
      <c r="S959" s="44">
        <f t="shared" ca="1" si="321"/>
        <v>2.8908103757121246</v>
      </c>
      <c r="T959" s="4">
        <f t="shared" ca="1" si="322"/>
        <v>0</v>
      </c>
      <c r="U959" s="120">
        <f t="shared" ca="1" si="323"/>
        <v>1984.6750620401288</v>
      </c>
      <c r="V959" s="4">
        <f t="shared" ca="1" si="324"/>
        <v>0</v>
      </c>
      <c r="W959" s="13">
        <f t="shared" ca="1" si="325"/>
        <v>19411.875</v>
      </c>
      <c r="X959" s="4">
        <f t="shared" ca="1" si="326"/>
        <v>0</v>
      </c>
      <c r="Y959" s="4">
        <f t="shared" si="327"/>
        <v>0</v>
      </c>
      <c r="Z959" s="13">
        <f t="shared" ca="1" si="328"/>
        <v>19411.875</v>
      </c>
      <c r="AA959" s="4">
        <f t="shared" ca="1" si="329"/>
        <v>0</v>
      </c>
    </row>
    <row r="960" spans="1:27">
      <c r="A960">
        <v>3</v>
      </c>
      <c r="B960">
        <v>0</v>
      </c>
      <c r="C960">
        <f t="shared" ca="1" si="308"/>
        <v>5</v>
      </c>
      <c r="D960">
        <f t="shared" ca="1" si="309"/>
        <v>4</v>
      </c>
      <c r="E960">
        <f t="shared" ca="1" si="310"/>
        <v>3</v>
      </c>
      <c r="F960" s="110">
        <f t="shared" ca="1" si="311"/>
        <v>2.7353999999999996E-2</v>
      </c>
      <c r="G960">
        <v>0</v>
      </c>
      <c r="H960">
        <v>0</v>
      </c>
      <c r="I960">
        <v>6</v>
      </c>
      <c r="J960" s="1">
        <f t="shared" ca="1" si="312"/>
        <v>0</v>
      </c>
      <c r="K960" s="1">
        <f t="shared" ca="1" si="313"/>
        <v>0</v>
      </c>
      <c r="L960" s="13">
        <f t="shared" ca="1" si="314"/>
        <v>114</v>
      </c>
      <c r="M960" s="7">
        <f t="shared" ca="1" si="315"/>
        <v>1386</v>
      </c>
      <c r="N960" s="26">
        <f t="shared" ca="1" si="316"/>
        <v>4</v>
      </c>
      <c r="O960" s="44">
        <f t="shared" ca="1" si="317"/>
        <v>2.8908103757121246</v>
      </c>
      <c r="P960" s="44">
        <f t="shared" ca="1" si="318"/>
        <v>28.908103757121246</v>
      </c>
      <c r="Q960" s="44">
        <f t="shared" ca="1" si="319"/>
        <v>28.908103757121246</v>
      </c>
      <c r="R960" s="44">
        <f t="shared" ca="1" si="320"/>
        <v>2.8908103757121246</v>
      </c>
      <c r="S960" s="44">
        <f t="shared" ca="1" si="321"/>
        <v>2.8908103757121246</v>
      </c>
      <c r="T960" s="4">
        <f t="shared" ca="1" si="322"/>
        <v>0</v>
      </c>
      <c r="U960" s="120">
        <f t="shared" ca="1" si="323"/>
        <v>1965.6750620401288</v>
      </c>
      <c r="V960" s="4">
        <f t="shared" ca="1" si="324"/>
        <v>0</v>
      </c>
      <c r="W960" s="13">
        <f t="shared" ca="1" si="325"/>
        <v>16638.75</v>
      </c>
      <c r="X960" s="4">
        <f t="shared" ca="1" si="326"/>
        <v>0</v>
      </c>
      <c r="Y960" s="4">
        <f t="shared" si="327"/>
        <v>0</v>
      </c>
      <c r="Z960" s="13">
        <f t="shared" ca="1" si="328"/>
        <v>16638.75</v>
      </c>
      <c r="AA960" s="4">
        <f t="shared" ca="1" si="329"/>
        <v>0</v>
      </c>
    </row>
    <row r="961" spans="1:27">
      <c r="A961">
        <v>3</v>
      </c>
      <c r="B961">
        <v>0</v>
      </c>
      <c r="C961">
        <f t="shared" ca="1" si="308"/>
        <v>5</v>
      </c>
      <c r="D961">
        <f t="shared" ca="1" si="309"/>
        <v>4</v>
      </c>
      <c r="E961">
        <f t="shared" ca="1" si="310"/>
        <v>3</v>
      </c>
      <c r="F961" s="110">
        <f t="shared" ca="1" si="311"/>
        <v>2.7353999999999996E-2</v>
      </c>
      <c r="G961">
        <v>0</v>
      </c>
      <c r="H961">
        <v>0</v>
      </c>
      <c r="I961">
        <v>5</v>
      </c>
      <c r="J961" s="1">
        <f t="shared" ca="1" si="312"/>
        <v>0</v>
      </c>
      <c r="K961" s="1">
        <f t="shared" ca="1" si="313"/>
        <v>0</v>
      </c>
      <c r="L961" s="13">
        <f t="shared" ca="1" si="314"/>
        <v>95</v>
      </c>
      <c r="M961" s="7">
        <f t="shared" ca="1" si="315"/>
        <v>1405</v>
      </c>
      <c r="N961" s="26">
        <f t="shared" ca="1" si="316"/>
        <v>5</v>
      </c>
      <c r="O961" s="44">
        <f t="shared" ca="1" si="317"/>
        <v>3.5395046525977252</v>
      </c>
      <c r="P961" s="44">
        <f t="shared" ca="1" si="318"/>
        <v>35.39504652597725</v>
      </c>
      <c r="Q961" s="44">
        <f t="shared" ca="1" si="319"/>
        <v>30.205492310892446</v>
      </c>
      <c r="R961" s="44">
        <f t="shared" ca="1" si="320"/>
        <v>3.2800269418434853</v>
      </c>
      <c r="S961" s="44">
        <f t="shared" ca="1" si="321"/>
        <v>3.5213412128449284</v>
      </c>
      <c r="T961" s="4">
        <f t="shared" ca="1" si="322"/>
        <v>0</v>
      </c>
      <c r="U961" s="120">
        <f t="shared" ca="1" si="323"/>
        <v>2290.8626329996823</v>
      </c>
      <c r="V961" s="4">
        <f t="shared" ca="1" si="324"/>
        <v>0</v>
      </c>
      <c r="W961" s="13">
        <f t="shared" ca="1" si="325"/>
        <v>13865.625</v>
      </c>
      <c r="X961" s="4">
        <f t="shared" ca="1" si="326"/>
        <v>0</v>
      </c>
      <c r="Y961" s="4">
        <f t="shared" si="327"/>
        <v>0</v>
      </c>
      <c r="Z961" s="13">
        <f t="shared" ca="1" si="328"/>
        <v>13865.625</v>
      </c>
      <c r="AA961" s="4">
        <f t="shared" ca="1" si="329"/>
        <v>0</v>
      </c>
    </row>
    <row r="962" spans="1:27">
      <c r="A962">
        <v>3</v>
      </c>
      <c r="B962">
        <v>0</v>
      </c>
      <c r="C962">
        <f t="shared" ca="1" si="308"/>
        <v>5</v>
      </c>
      <c r="D962">
        <f t="shared" ca="1" si="309"/>
        <v>4</v>
      </c>
      <c r="E962">
        <f t="shared" ca="1" si="310"/>
        <v>3</v>
      </c>
      <c r="F962" s="110">
        <f t="shared" ca="1" si="311"/>
        <v>2.7353999999999996E-2</v>
      </c>
      <c r="G962">
        <v>0</v>
      </c>
      <c r="H962">
        <v>0</v>
      </c>
      <c r="I962">
        <v>4</v>
      </c>
      <c r="J962" s="1">
        <f t="shared" ca="1" si="312"/>
        <v>4.0725312499999999E-2</v>
      </c>
      <c r="K962" s="1">
        <f t="shared" ca="1" si="313"/>
        <v>1.1140001981249999E-3</v>
      </c>
      <c r="L962" s="13">
        <f t="shared" ca="1" si="314"/>
        <v>76</v>
      </c>
      <c r="M962" s="7">
        <f t="shared" ca="1" si="315"/>
        <v>1424</v>
      </c>
      <c r="N962" s="26">
        <f t="shared" ca="1" si="316"/>
        <v>5</v>
      </c>
      <c r="O962" s="44">
        <f t="shared" ca="1" si="317"/>
        <v>3.5395046525977252</v>
      </c>
      <c r="P962" s="44">
        <f t="shared" ca="1" si="318"/>
        <v>35.39504652597725</v>
      </c>
      <c r="Q962" s="44">
        <f t="shared" ca="1" si="319"/>
        <v>35.39504652597725</v>
      </c>
      <c r="R962" s="44">
        <f t="shared" ca="1" si="320"/>
        <v>3.5395046525977252</v>
      </c>
      <c r="S962" s="44">
        <f t="shared" ca="1" si="321"/>
        <v>3.5395046525977252</v>
      </c>
      <c r="T962" s="4">
        <f t="shared" ca="1" si="322"/>
        <v>3.9430088842582244E-3</v>
      </c>
      <c r="U962" s="120">
        <f t="shared" ca="1" si="323"/>
        <v>2281.7775012989287</v>
      </c>
      <c r="V962" s="4">
        <f t="shared" ca="1" si="324"/>
        <v>2.5419005885241739</v>
      </c>
      <c r="W962" s="13">
        <f t="shared" ca="1" si="325"/>
        <v>11092.5</v>
      </c>
      <c r="X962" s="4">
        <f t="shared" ca="1" si="326"/>
        <v>12.357047197701561</v>
      </c>
      <c r="Y962" s="4">
        <f t="shared" si="327"/>
        <v>0</v>
      </c>
      <c r="Z962" s="13">
        <f t="shared" ca="1" si="328"/>
        <v>11092.5</v>
      </c>
      <c r="AA962" s="4">
        <f t="shared" ca="1" si="329"/>
        <v>12.357047197701561</v>
      </c>
    </row>
    <row r="963" spans="1:27">
      <c r="A963">
        <v>3</v>
      </c>
      <c r="B963">
        <v>0</v>
      </c>
      <c r="C963">
        <f t="shared" ca="1" si="308"/>
        <v>5</v>
      </c>
      <c r="D963">
        <f t="shared" ca="1" si="309"/>
        <v>4</v>
      </c>
      <c r="E963">
        <f t="shared" ca="1" si="310"/>
        <v>3</v>
      </c>
      <c r="F963" s="110">
        <f t="shared" ca="1" si="311"/>
        <v>2.7353999999999996E-2</v>
      </c>
      <c r="G963">
        <v>0</v>
      </c>
      <c r="H963">
        <v>0</v>
      </c>
      <c r="I963">
        <v>3</v>
      </c>
      <c r="J963" s="1">
        <f t="shared" ca="1" si="312"/>
        <v>8.5737500000000067E-3</v>
      </c>
      <c r="K963" s="1">
        <f t="shared" ca="1" si="313"/>
        <v>2.3452635750000015E-4</v>
      </c>
      <c r="L963" s="13">
        <f t="shared" ca="1" si="314"/>
        <v>57</v>
      </c>
      <c r="M963" s="7">
        <f t="shared" ca="1" si="315"/>
        <v>1443</v>
      </c>
      <c r="N963" s="26">
        <f t="shared" ca="1" si="316"/>
        <v>5</v>
      </c>
      <c r="O963" s="44">
        <f t="shared" ca="1" si="317"/>
        <v>3.5395046525977252</v>
      </c>
      <c r="P963" s="44">
        <f t="shared" ca="1" si="318"/>
        <v>35.39504652597725</v>
      </c>
      <c r="Q963" s="44">
        <f t="shared" ca="1" si="319"/>
        <v>35.39504652597725</v>
      </c>
      <c r="R963" s="44">
        <f t="shared" ca="1" si="320"/>
        <v>3.5395046525977252</v>
      </c>
      <c r="S963" s="44">
        <f t="shared" ca="1" si="321"/>
        <v>3.5395046525977252</v>
      </c>
      <c r="T963" s="4">
        <f t="shared" ca="1" si="322"/>
        <v>8.3010713352804795E-4</v>
      </c>
      <c r="U963" s="120">
        <f t="shared" ca="1" si="323"/>
        <v>2262.7775012989287</v>
      </c>
      <c r="V963" s="4">
        <f t="shared" ca="1" si="324"/>
        <v>0.53068096521258956</v>
      </c>
      <c r="W963" s="13">
        <f t="shared" ca="1" si="325"/>
        <v>8319.375</v>
      </c>
      <c r="X963" s="4">
        <f t="shared" ca="1" si="326"/>
        <v>1.9511127154265637</v>
      </c>
      <c r="Y963" s="4">
        <f t="shared" si="327"/>
        <v>0</v>
      </c>
      <c r="Z963" s="13">
        <f t="shared" ca="1" si="328"/>
        <v>8319.375</v>
      </c>
      <c r="AA963" s="4">
        <f t="shared" ca="1" si="329"/>
        <v>1.9511127154265637</v>
      </c>
    </row>
    <row r="964" spans="1:27">
      <c r="A964">
        <v>3</v>
      </c>
      <c r="B964">
        <v>0</v>
      </c>
      <c r="C964">
        <f t="shared" ca="1" si="308"/>
        <v>5</v>
      </c>
      <c r="D964">
        <f t="shared" ca="1" si="309"/>
        <v>4</v>
      </c>
      <c r="E964">
        <f t="shared" ca="1" si="310"/>
        <v>3</v>
      </c>
      <c r="F964" s="110">
        <f t="shared" ca="1" si="311"/>
        <v>2.7353999999999996E-2</v>
      </c>
      <c r="G964">
        <v>0</v>
      </c>
      <c r="H964">
        <v>0</v>
      </c>
      <c r="I964">
        <v>2</v>
      </c>
      <c r="J964" s="1">
        <f t="shared" ca="1" si="312"/>
        <v>6.7687500000000126E-4</v>
      </c>
      <c r="K964" s="1">
        <f t="shared" ca="1" si="313"/>
        <v>1.8515238750000033E-5</v>
      </c>
      <c r="L964" s="13">
        <f t="shared" ca="1" si="314"/>
        <v>38</v>
      </c>
      <c r="M964" s="7">
        <f t="shared" ca="1" si="315"/>
        <v>1462</v>
      </c>
      <c r="N964" s="26">
        <f t="shared" ca="1" si="316"/>
        <v>5</v>
      </c>
      <c r="O964" s="44">
        <f t="shared" ca="1" si="317"/>
        <v>3.5395046525977252</v>
      </c>
      <c r="P964" s="44">
        <f t="shared" ca="1" si="318"/>
        <v>35.39504652597725</v>
      </c>
      <c r="Q964" s="44">
        <f t="shared" ca="1" si="319"/>
        <v>35.39504652597725</v>
      </c>
      <c r="R964" s="44">
        <f t="shared" ca="1" si="320"/>
        <v>3.5395046525977252</v>
      </c>
      <c r="S964" s="44">
        <f t="shared" ca="1" si="321"/>
        <v>3.5395046525977252</v>
      </c>
      <c r="T964" s="4">
        <f t="shared" ca="1" si="322"/>
        <v>6.5534773699582808E-5</v>
      </c>
      <c r="U964" s="120">
        <f t="shared" ca="1" si="323"/>
        <v>2243.7775012989287</v>
      </c>
      <c r="V964" s="4">
        <f t="shared" ca="1" si="324"/>
        <v>4.1544076138428171E-2</v>
      </c>
      <c r="W964" s="13">
        <f t="shared" ca="1" si="325"/>
        <v>5546.25</v>
      </c>
      <c r="X964" s="4">
        <f t="shared" ca="1" si="326"/>
        <v>0.10269014291718769</v>
      </c>
      <c r="Y964" s="4">
        <f t="shared" si="327"/>
        <v>0</v>
      </c>
      <c r="Z964" s="13">
        <f t="shared" ca="1" si="328"/>
        <v>5546.25</v>
      </c>
      <c r="AA964" s="4">
        <f t="shared" ca="1" si="329"/>
        <v>0.10269014291718769</v>
      </c>
    </row>
    <row r="965" spans="1:27">
      <c r="A965">
        <v>3</v>
      </c>
      <c r="B965">
        <v>0</v>
      </c>
      <c r="C965">
        <f t="shared" ca="1" si="308"/>
        <v>5</v>
      </c>
      <c r="D965">
        <f t="shared" ca="1" si="309"/>
        <v>4</v>
      </c>
      <c r="E965">
        <f t="shared" ca="1" si="310"/>
        <v>3</v>
      </c>
      <c r="F965" s="110">
        <f t="shared" ca="1" si="311"/>
        <v>2.7353999999999996E-2</v>
      </c>
      <c r="G965">
        <v>0</v>
      </c>
      <c r="H965">
        <v>0</v>
      </c>
      <c r="I965">
        <v>1</v>
      </c>
      <c r="J965" s="1">
        <f t="shared" ca="1" si="312"/>
        <v>2.3750000000000062E-5</v>
      </c>
      <c r="K965" s="1">
        <f t="shared" ca="1" si="313"/>
        <v>6.4965750000000158E-7</v>
      </c>
      <c r="L965" s="13">
        <f t="shared" ca="1" si="314"/>
        <v>19</v>
      </c>
      <c r="M965" s="7">
        <f t="shared" ca="1" si="315"/>
        <v>1481</v>
      </c>
      <c r="N965" s="26">
        <f t="shared" ca="1" si="316"/>
        <v>5</v>
      </c>
      <c r="O965" s="44">
        <f t="shared" ca="1" si="317"/>
        <v>3.5395046525977252</v>
      </c>
      <c r="P965" s="44">
        <f t="shared" ca="1" si="318"/>
        <v>35.39504652597725</v>
      </c>
      <c r="Q965" s="44">
        <f t="shared" ca="1" si="319"/>
        <v>35.39504652597725</v>
      </c>
      <c r="R965" s="44">
        <f t="shared" ca="1" si="320"/>
        <v>3.5395046525977252</v>
      </c>
      <c r="S965" s="44">
        <f t="shared" ca="1" si="321"/>
        <v>3.5395046525977252</v>
      </c>
      <c r="T965" s="4">
        <f t="shared" ca="1" si="322"/>
        <v>2.299465743845012E-6</v>
      </c>
      <c r="U965" s="120">
        <f t="shared" ca="1" si="323"/>
        <v>2224.7775012989287</v>
      </c>
      <c r="V965" s="4">
        <f t="shared" ca="1" si="324"/>
        <v>1.4453433895501122E-3</v>
      </c>
      <c r="W965" s="13">
        <f t="shared" ca="1" si="325"/>
        <v>2773.125</v>
      </c>
      <c r="X965" s="4">
        <f t="shared" ca="1" si="326"/>
        <v>1.8015814546875045E-3</v>
      </c>
      <c r="Y965" s="4">
        <f t="shared" si="327"/>
        <v>0</v>
      </c>
      <c r="Z965" s="13">
        <f t="shared" ca="1" si="328"/>
        <v>2773.125</v>
      </c>
      <c r="AA965" s="4">
        <f t="shared" ca="1" si="329"/>
        <v>1.8015814546875045E-3</v>
      </c>
    </row>
    <row r="966" spans="1:27">
      <c r="A966">
        <v>3</v>
      </c>
      <c r="B966">
        <v>0</v>
      </c>
      <c r="C966">
        <f t="shared" ca="1" si="308"/>
        <v>5</v>
      </c>
      <c r="D966">
        <f t="shared" ca="1" si="309"/>
        <v>4</v>
      </c>
      <c r="E966">
        <f t="shared" ca="1" si="310"/>
        <v>3</v>
      </c>
      <c r="F966" s="110">
        <f t="shared" ca="1" si="311"/>
        <v>2.7353999999999996E-2</v>
      </c>
      <c r="G966">
        <v>0</v>
      </c>
      <c r="H966">
        <v>0</v>
      </c>
      <c r="I966">
        <v>0</v>
      </c>
      <c r="J966" s="1">
        <f t="shared" ca="1" si="312"/>
        <v>3.1250000000000114E-7</v>
      </c>
      <c r="K966" s="1">
        <f t="shared" ca="1" si="313"/>
        <v>8.5481250000000298E-9</v>
      </c>
      <c r="L966" s="13">
        <f t="shared" ca="1" si="314"/>
        <v>0</v>
      </c>
      <c r="M966" s="7">
        <f t="shared" ca="1" si="315"/>
        <v>1500</v>
      </c>
      <c r="N966" s="26">
        <f t="shared" ca="1" si="316"/>
        <v>5</v>
      </c>
      <c r="O966" s="44">
        <f t="shared" ca="1" si="317"/>
        <v>3.5395046525977252</v>
      </c>
      <c r="P966" s="44">
        <f t="shared" ca="1" si="318"/>
        <v>35.39504652597725</v>
      </c>
      <c r="Q966" s="44">
        <f t="shared" ca="1" si="319"/>
        <v>35.39504652597725</v>
      </c>
      <c r="R966" s="44">
        <f t="shared" ca="1" si="320"/>
        <v>3.5395046525977252</v>
      </c>
      <c r="S966" s="44">
        <f t="shared" ca="1" si="321"/>
        <v>3.5395046525977252</v>
      </c>
      <c r="T966" s="4">
        <f t="shared" ca="1" si="322"/>
        <v>3.0256128208487033E-8</v>
      </c>
      <c r="U966" s="120">
        <f t="shared" ca="1" si="323"/>
        <v>2205.7775012989287</v>
      </c>
      <c r="V966" s="4">
        <f t="shared" ca="1" si="324"/>
        <v>1.8855261803290969E-5</v>
      </c>
      <c r="W966" s="13">
        <f t="shared" ca="1" si="325"/>
        <v>0</v>
      </c>
      <c r="X966" s="4">
        <f t="shared" ca="1" si="326"/>
        <v>0</v>
      </c>
      <c r="Y966" s="4">
        <f t="shared" si="327"/>
        <v>0</v>
      </c>
      <c r="Z966" s="13">
        <f t="shared" ca="1" si="328"/>
        <v>0</v>
      </c>
      <c r="AA966" s="4">
        <f t="shared" ca="1" si="329"/>
        <v>0</v>
      </c>
    </row>
    <row r="967" spans="1:27">
      <c r="A967">
        <v>3</v>
      </c>
      <c r="B967">
        <v>1</v>
      </c>
      <c r="C967">
        <f t="shared" ca="1" si="308"/>
        <v>6</v>
      </c>
      <c r="D967">
        <f t="shared" ca="1" si="309"/>
        <v>5</v>
      </c>
      <c r="E967">
        <f t="shared" ca="1" si="310"/>
        <v>3</v>
      </c>
      <c r="F967" s="110">
        <f t="shared" ca="1" si="311"/>
        <v>1.7459999999999997E-3</v>
      </c>
      <c r="G967">
        <v>1</v>
      </c>
      <c r="H967">
        <v>1</v>
      </c>
      <c r="I967">
        <v>7</v>
      </c>
      <c r="J967" s="1">
        <f t="shared" ca="1" si="312"/>
        <v>0</v>
      </c>
      <c r="K967" s="1">
        <f t="shared" ca="1" si="313"/>
        <v>0</v>
      </c>
      <c r="L967" s="13">
        <f t="shared" ca="1" si="314"/>
        <v>701</v>
      </c>
      <c r="M967" s="7">
        <f t="shared" ca="1" si="315"/>
        <v>799</v>
      </c>
      <c r="N967" s="26">
        <f t="shared" ca="1" si="316"/>
        <v>3</v>
      </c>
      <c r="O967" s="44">
        <f t="shared" ca="1" si="317"/>
        <v>2.2758855914378953</v>
      </c>
      <c r="P967" s="44">
        <f t="shared" ca="1" si="318"/>
        <v>22.758855914378952</v>
      </c>
      <c r="Q967" s="44">
        <f t="shared" ca="1" si="319"/>
        <v>22.758855914378952</v>
      </c>
      <c r="R967" s="44">
        <f t="shared" ca="1" si="320"/>
        <v>2.2758855914378953</v>
      </c>
      <c r="S967" s="44">
        <f t="shared" ca="1" si="321"/>
        <v>2.2758855914378953</v>
      </c>
      <c r="T967" s="4">
        <f t="shared" ca="1" si="322"/>
        <v>0</v>
      </c>
      <c r="U967" s="120">
        <f t="shared" ca="1" si="323"/>
        <v>2217.0063598009133</v>
      </c>
      <c r="V967" s="4">
        <f t="shared" ca="1" si="324"/>
        <v>0</v>
      </c>
      <c r="W967" s="13">
        <f t="shared" ca="1" si="325"/>
        <v>49588.256250000006</v>
      </c>
      <c r="X967" s="4">
        <f t="shared" ca="1" si="326"/>
        <v>0</v>
      </c>
      <c r="Y967" s="4">
        <f t="shared" si="327"/>
        <v>0</v>
      </c>
      <c r="Z967" s="13">
        <f t="shared" ca="1" si="328"/>
        <v>49588.256250000006</v>
      </c>
      <c r="AA967" s="4">
        <f t="shared" ca="1" si="329"/>
        <v>0</v>
      </c>
    </row>
    <row r="968" spans="1:27">
      <c r="A968">
        <v>3</v>
      </c>
      <c r="B968">
        <v>1</v>
      </c>
      <c r="C968">
        <f t="shared" ca="1" si="308"/>
        <v>6</v>
      </c>
      <c r="D968">
        <f t="shared" ca="1" si="309"/>
        <v>5</v>
      </c>
      <c r="E968">
        <f t="shared" ca="1" si="310"/>
        <v>3</v>
      </c>
      <c r="F968" s="110">
        <f t="shared" ca="1" si="311"/>
        <v>1.7459999999999997E-3</v>
      </c>
      <c r="G968">
        <v>1</v>
      </c>
      <c r="H968">
        <v>1</v>
      </c>
      <c r="I968">
        <v>6</v>
      </c>
      <c r="J968" s="1">
        <f t="shared" ca="1" si="312"/>
        <v>0</v>
      </c>
      <c r="K968" s="1">
        <f t="shared" ca="1" si="313"/>
        <v>0</v>
      </c>
      <c r="L968" s="13">
        <f t="shared" ca="1" si="314"/>
        <v>682</v>
      </c>
      <c r="M968" s="7">
        <f t="shared" ca="1" si="315"/>
        <v>818</v>
      </c>
      <c r="N968" s="26">
        <f t="shared" ca="1" si="316"/>
        <v>3</v>
      </c>
      <c r="O968" s="44">
        <f t="shared" ca="1" si="317"/>
        <v>2.2758855914378953</v>
      </c>
      <c r="P968" s="44">
        <f t="shared" ca="1" si="318"/>
        <v>22.758855914378952</v>
      </c>
      <c r="Q968" s="44">
        <f t="shared" ca="1" si="319"/>
        <v>22.758855914378952</v>
      </c>
      <c r="R968" s="44">
        <f t="shared" ca="1" si="320"/>
        <v>2.2758855914378953</v>
      </c>
      <c r="S968" s="44">
        <f t="shared" ca="1" si="321"/>
        <v>2.2758855914378953</v>
      </c>
      <c r="T968" s="4">
        <f t="shared" ca="1" si="322"/>
        <v>0</v>
      </c>
      <c r="U968" s="120">
        <f t="shared" ca="1" si="323"/>
        <v>2198.0063598009133</v>
      </c>
      <c r="V968" s="4">
        <f t="shared" ca="1" si="324"/>
        <v>0</v>
      </c>
      <c r="W968" s="13">
        <f t="shared" ca="1" si="325"/>
        <v>46815.131250000006</v>
      </c>
      <c r="X968" s="4">
        <f t="shared" ca="1" si="326"/>
        <v>0</v>
      </c>
      <c r="Y968" s="4">
        <f t="shared" si="327"/>
        <v>0</v>
      </c>
      <c r="Z968" s="13">
        <f t="shared" ca="1" si="328"/>
        <v>46815.131250000006</v>
      </c>
      <c r="AA968" s="4">
        <f t="shared" ca="1" si="329"/>
        <v>0</v>
      </c>
    </row>
    <row r="969" spans="1:27">
      <c r="A969">
        <v>3</v>
      </c>
      <c r="B969">
        <v>1</v>
      </c>
      <c r="C969">
        <f t="shared" ca="1" si="308"/>
        <v>6</v>
      </c>
      <c r="D969">
        <f t="shared" ca="1" si="309"/>
        <v>5</v>
      </c>
      <c r="E969">
        <f t="shared" ca="1" si="310"/>
        <v>3</v>
      </c>
      <c r="F969" s="110">
        <f t="shared" ca="1" si="311"/>
        <v>1.7459999999999997E-3</v>
      </c>
      <c r="G969">
        <v>1</v>
      </c>
      <c r="H969">
        <v>1</v>
      </c>
      <c r="I969">
        <v>5</v>
      </c>
      <c r="J969" s="1">
        <f t="shared" ca="1" si="312"/>
        <v>0</v>
      </c>
      <c r="K969" s="1">
        <f t="shared" ca="1" si="313"/>
        <v>0</v>
      </c>
      <c r="L969" s="13">
        <f t="shared" ca="1" si="314"/>
        <v>663</v>
      </c>
      <c r="M969" s="7">
        <f t="shared" ca="1" si="315"/>
        <v>837</v>
      </c>
      <c r="N969" s="26">
        <f t="shared" ca="1" si="316"/>
        <v>3</v>
      </c>
      <c r="O969" s="44">
        <f t="shared" ca="1" si="317"/>
        <v>2.2758855914378953</v>
      </c>
      <c r="P969" s="44">
        <f t="shared" ca="1" si="318"/>
        <v>22.758855914378952</v>
      </c>
      <c r="Q969" s="44">
        <f t="shared" ca="1" si="319"/>
        <v>22.758855914378952</v>
      </c>
      <c r="R969" s="44">
        <f t="shared" ca="1" si="320"/>
        <v>2.2758855914378953</v>
      </c>
      <c r="S969" s="44">
        <f t="shared" ca="1" si="321"/>
        <v>2.2758855914378953</v>
      </c>
      <c r="T969" s="4">
        <f t="shared" ca="1" si="322"/>
        <v>0</v>
      </c>
      <c r="U969" s="120">
        <f t="shared" ca="1" si="323"/>
        <v>2179.0063598009133</v>
      </c>
      <c r="V969" s="4">
        <f t="shared" ca="1" si="324"/>
        <v>0</v>
      </c>
      <c r="W969" s="13">
        <f t="shared" ca="1" si="325"/>
        <v>44042.006250000006</v>
      </c>
      <c r="X969" s="4">
        <f t="shared" ca="1" si="326"/>
        <v>0</v>
      </c>
      <c r="Y969" s="4">
        <f t="shared" si="327"/>
        <v>0</v>
      </c>
      <c r="Z969" s="13">
        <f t="shared" ca="1" si="328"/>
        <v>44042.006250000006</v>
      </c>
      <c r="AA969" s="4">
        <f t="shared" ca="1" si="329"/>
        <v>0</v>
      </c>
    </row>
    <row r="970" spans="1:27">
      <c r="A970">
        <v>3</v>
      </c>
      <c r="B970">
        <v>1</v>
      </c>
      <c r="C970">
        <f t="shared" ca="1" si="308"/>
        <v>6</v>
      </c>
      <c r="D970">
        <f t="shared" ca="1" si="309"/>
        <v>5</v>
      </c>
      <c r="E970">
        <f t="shared" ca="1" si="310"/>
        <v>3</v>
      </c>
      <c r="F970" s="110">
        <f t="shared" ca="1" si="311"/>
        <v>1.7459999999999997E-3</v>
      </c>
      <c r="G970">
        <v>1</v>
      </c>
      <c r="H970">
        <v>1</v>
      </c>
      <c r="I970">
        <v>4</v>
      </c>
      <c r="J970" s="1">
        <f t="shared" ca="1" si="312"/>
        <v>0</v>
      </c>
      <c r="K970" s="1">
        <f t="shared" ca="1" si="313"/>
        <v>0</v>
      </c>
      <c r="L970" s="13">
        <f t="shared" ca="1" si="314"/>
        <v>644</v>
      </c>
      <c r="M970" s="7">
        <f t="shared" ca="1" si="315"/>
        <v>856</v>
      </c>
      <c r="N970" s="26">
        <f t="shared" ca="1" si="316"/>
        <v>3</v>
      </c>
      <c r="O970" s="44">
        <f t="shared" ca="1" si="317"/>
        <v>2.2758855914378953</v>
      </c>
      <c r="P970" s="44">
        <f t="shared" ca="1" si="318"/>
        <v>22.758855914378952</v>
      </c>
      <c r="Q970" s="44">
        <f t="shared" ca="1" si="319"/>
        <v>22.758855914378952</v>
      </c>
      <c r="R970" s="44">
        <f t="shared" ca="1" si="320"/>
        <v>2.2758855914378953</v>
      </c>
      <c r="S970" s="44">
        <f t="shared" ca="1" si="321"/>
        <v>2.2758855914378953</v>
      </c>
      <c r="T970" s="4">
        <f t="shared" ca="1" si="322"/>
        <v>0</v>
      </c>
      <c r="U970" s="120">
        <f t="shared" ca="1" si="323"/>
        <v>2160.0063598009133</v>
      </c>
      <c r="V970" s="4">
        <f t="shared" ca="1" si="324"/>
        <v>0</v>
      </c>
      <c r="W970" s="13">
        <f t="shared" ca="1" si="325"/>
        <v>41268.881250000006</v>
      </c>
      <c r="X970" s="4">
        <f t="shared" ca="1" si="326"/>
        <v>0</v>
      </c>
      <c r="Y970" s="4">
        <f t="shared" si="327"/>
        <v>0</v>
      </c>
      <c r="Z970" s="13">
        <f t="shared" ca="1" si="328"/>
        <v>41268.881250000006</v>
      </c>
      <c r="AA970" s="4">
        <f t="shared" ca="1" si="329"/>
        <v>0</v>
      </c>
    </row>
    <row r="971" spans="1:27">
      <c r="A971">
        <v>3</v>
      </c>
      <c r="B971">
        <v>1</v>
      </c>
      <c r="C971">
        <f t="shared" ca="1" si="308"/>
        <v>6</v>
      </c>
      <c r="D971">
        <f t="shared" ca="1" si="309"/>
        <v>5</v>
      </c>
      <c r="E971">
        <f t="shared" ca="1" si="310"/>
        <v>3</v>
      </c>
      <c r="F971" s="110">
        <f t="shared" ca="1" si="311"/>
        <v>1.7459999999999997E-3</v>
      </c>
      <c r="G971">
        <v>1</v>
      </c>
      <c r="H971">
        <v>1</v>
      </c>
      <c r="I971">
        <v>3</v>
      </c>
      <c r="J971" s="1">
        <f t="shared" ca="1" si="312"/>
        <v>0</v>
      </c>
      <c r="K971" s="1">
        <f t="shared" ca="1" si="313"/>
        <v>0</v>
      </c>
      <c r="L971" s="13">
        <f t="shared" ca="1" si="314"/>
        <v>625</v>
      </c>
      <c r="M971" s="7">
        <f t="shared" ca="1" si="315"/>
        <v>875</v>
      </c>
      <c r="N971" s="26">
        <f t="shared" ca="1" si="316"/>
        <v>3</v>
      </c>
      <c r="O971" s="44">
        <f t="shared" ca="1" si="317"/>
        <v>2.2758855914378953</v>
      </c>
      <c r="P971" s="44">
        <f t="shared" ca="1" si="318"/>
        <v>22.758855914378952</v>
      </c>
      <c r="Q971" s="44">
        <f t="shared" ca="1" si="319"/>
        <v>22.758855914378952</v>
      </c>
      <c r="R971" s="44">
        <f t="shared" ca="1" si="320"/>
        <v>2.2758855914378953</v>
      </c>
      <c r="S971" s="44">
        <f t="shared" ca="1" si="321"/>
        <v>2.2758855914378953</v>
      </c>
      <c r="T971" s="4">
        <f t="shared" ca="1" si="322"/>
        <v>0</v>
      </c>
      <c r="U971" s="120">
        <f t="shared" ca="1" si="323"/>
        <v>2141.0063598009133</v>
      </c>
      <c r="V971" s="4">
        <f t="shared" ca="1" si="324"/>
        <v>0</v>
      </c>
      <c r="W971" s="13">
        <f t="shared" ca="1" si="325"/>
        <v>38495.756250000006</v>
      </c>
      <c r="X971" s="4">
        <f t="shared" ca="1" si="326"/>
        <v>0</v>
      </c>
      <c r="Y971" s="4">
        <f t="shared" si="327"/>
        <v>0</v>
      </c>
      <c r="Z971" s="13">
        <f t="shared" ca="1" si="328"/>
        <v>38495.756250000006</v>
      </c>
      <c r="AA971" s="4">
        <f t="shared" ca="1" si="329"/>
        <v>0</v>
      </c>
    </row>
    <row r="972" spans="1:27">
      <c r="A972">
        <v>3</v>
      </c>
      <c r="B972">
        <v>1</v>
      </c>
      <c r="C972">
        <f t="shared" ca="1" si="308"/>
        <v>6</v>
      </c>
      <c r="D972">
        <f t="shared" ca="1" si="309"/>
        <v>5</v>
      </c>
      <c r="E972">
        <f t="shared" ca="1" si="310"/>
        <v>3</v>
      </c>
      <c r="F972" s="110">
        <f t="shared" ca="1" si="311"/>
        <v>1.7459999999999997E-3</v>
      </c>
      <c r="G972">
        <v>1</v>
      </c>
      <c r="H972">
        <v>1</v>
      </c>
      <c r="I972">
        <v>2</v>
      </c>
      <c r="J972" s="1">
        <f t="shared" ca="1" si="312"/>
        <v>0</v>
      </c>
      <c r="K972" s="1">
        <f t="shared" ca="1" si="313"/>
        <v>0</v>
      </c>
      <c r="L972" s="13">
        <f t="shared" ca="1" si="314"/>
        <v>606</v>
      </c>
      <c r="M972" s="7">
        <f t="shared" ca="1" si="315"/>
        <v>894</v>
      </c>
      <c r="N972" s="26">
        <f t="shared" ca="1" si="316"/>
        <v>3</v>
      </c>
      <c r="O972" s="44">
        <f t="shared" ca="1" si="317"/>
        <v>2.2758855914378953</v>
      </c>
      <c r="P972" s="44">
        <f t="shared" ca="1" si="318"/>
        <v>22.758855914378952</v>
      </c>
      <c r="Q972" s="44">
        <f t="shared" ca="1" si="319"/>
        <v>22.758855914378952</v>
      </c>
      <c r="R972" s="44">
        <f t="shared" ca="1" si="320"/>
        <v>2.2758855914378953</v>
      </c>
      <c r="S972" s="44">
        <f t="shared" ca="1" si="321"/>
        <v>2.2758855914378953</v>
      </c>
      <c r="T972" s="4">
        <f t="shared" ca="1" si="322"/>
        <v>0</v>
      </c>
      <c r="U972" s="120">
        <f t="shared" ca="1" si="323"/>
        <v>2122.0063598009133</v>
      </c>
      <c r="V972" s="4">
        <f t="shared" ca="1" si="324"/>
        <v>0</v>
      </c>
      <c r="W972" s="13">
        <f t="shared" ca="1" si="325"/>
        <v>35722.631250000006</v>
      </c>
      <c r="X972" s="4">
        <f t="shared" ca="1" si="326"/>
        <v>0</v>
      </c>
      <c r="Y972" s="4">
        <f t="shared" si="327"/>
        <v>0</v>
      </c>
      <c r="Z972" s="13">
        <f t="shared" ca="1" si="328"/>
        <v>35722.631250000006</v>
      </c>
      <c r="AA972" s="4">
        <f t="shared" ca="1" si="329"/>
        <v>0</v>
      </c>
    </row>
    <row r="973" spans="1:27">
      <c r="A973">
        <v>3</v>
      </c>
      <c r="B973">
        <v>1</v>
      </c>
      <c r="C973">
        <f t="shared" ca="1" si="308"/>
        <v>6</v>
      </c>
      <c r="D973">
        <f t="shared" ca="1" si="309"/>
        <v>5</v>
      </c>
      <c r="E973">
        <f t="shared" ca="1" si="310"/>
        <v>3</v>
      </c>
      <c r="F973" s="110">
        <f t="shared" ca="1" si="311"/>
        <v>1.7459999999999997E-3</v>
      </c>
      <c r="G973">
        <v>1</v>
      </c>
      <c r="H973">
        <v>1</v>
      </c>
      <c r="I973">
        <v>1</v>
      </c>
      <c r="J973" s="1">
        <f t="shared" ca="1" si="312"/>
        <v>0</v>
      </c>
      <c r="K973" s="1">
        <f t="shared" ca="1" si="313"/>
        <v>0</v>
      </c>
      <c r="L973" s="13">
        <f t="shared" ca="1" si="314"/>
        <v>587</v>
      </c>
      <c r="M973" s="7">
        <f t="shared" ca="1" si="315"/>
        <v>913</v>
      </c>
      <c r="N973" s="26">
        <f t="shared" ca="1" si="316"/>
        <v>3</v>
      </c>
      <c r="O973" s="44">
        <f t="shared" ca="1" si="317"/>
        <v>2.2758855914378953</v>
      </c>
      <c r="P973" s="44">
        <f t="shared" ca="1" si="318"/>
        <v>22.758855914378952</v>
      </c>
      <c r="Q973" s="44">
        <f t="shared" ca="1" si="319"/>
        <v>22.758855914378952</v>
      </c>
      <c r="R973" s="44">
        <f t="shared" ca="1" si="320"/>
        <v>2.2758855914378953</v>
      </c>
      <c r="S973" s="44">
        <f t="shared" ca="1" si="321"/>
        <v>2.2758855914378953</v>
      </c>
      <c r="T973" s="4">
        <f t="shared" ca="1" si="322"/>
        <v>0</v>
      </c>
      <c r="U973" s="120">
        <f t="shared" ca="1" si="323"/>
        <v>2103.0063598009133</v>
      </c>
      <c r="V973" s="4">
        <f t="shared" ca="1" si="324"/>
        <v>0</v>
      </c>
      <c r="W973" s="13">
        <f t="shared" ca="1" si="325"/>
        <v>32949.506250000006</v>
      </c>
      <c r="X973" s="4">
        <f t="shared" ca="1" si="326"/>
        <v>0</v>
      </c>
      <c r="Y973" s="4">
        <f t="shared" si="327"/>
        <v>0</v>
      </c>
      <c r="Z973" s="13">
        <f t="shared" ca="1" si="328"/>
        <v>32949.506250000006</v>
      </c>
      <c r="AA973" s="4">
        <f t="shared" ca="1" si="329"/>
        <v>0</v>
      </c>
    </row>
    <row r="974" spans="1:27">
      <c r="A974">
        <v>3</v>
      </c>
      <c r="B974">
        <v>1</v>
      </c>
      <c r="C974">
        <f t="shared" ca="1" si="308"/>
        <v>6</v>
      </c>
      <c r="D974">
        <f t="shared" ca="1" si="309"/>
        <v>5</v>
      </c>
      <c r="E974">
        <f t="shared" ca="1" si="310"/>
        <v>3</v>
      </c>
      <c r="F974" s="110">
        <f t="shared" ca="1" si="311"/>
        <v>1.7459999999999997E-3</v>
      </c>
      <c r="G974">
        <v>1</v>
      </c>
      <c r="H974">
        <v>1</v>
      </c>
      <c r="I974">
        <v>0</v>
      </c>
      <c r="J974" s="1">
        <f t="shared" ca="1" si="312"/>
        <v>0</v>
      </c>
      <c r="K974" s="1">
        <f t="shared" ca="1" si="313"/>
        <v>0</v>
      </c>
      <c r="L974" s="13">
        <f t="shared" ca="1" si="314"/>
        <v>568</v>
      </c>
      <c r="M974" s="7">
        <f t="shared" ca="1" si="315"/>
        <v>932</v>
      </c>
      <c r="N974" s="26">
        <f t="shared" ca="1" si="316"/>
        <v>3</v>
      </c>
      <c r="O974" s="44">
        <f t="shared" ca="1" si="317"/>
        <v>2.2758855914378953</v>
      </c>
      <c r="P974" s="44">
        <f t="shared" ca="1" si="318"/>
        <v>22.758855914378952</v>
      </c>
      <c r="Q974" s="44">
        <f t="shared" ca="1" si="319"/>
        <v>22.758855914378952</v>
      </c>
      <c r="R974" s="44">
        <f t="shared" ca="1" si="320"/>
        <v>2.2758855914378953</v>
      </c>
      <c r="S974" s="44">
        <f t="shared" ca="1" si="321"/>
        <v>2.2758855914378953</v>
      </c>
      <c r="T974" s="4">
        <f t="shared" ca="1" si="322"/>
        <v>0</v>
      </c>
      <c r="U974" s="120">
        <f t="shared" ca="1" si="323"/>
        <v>2084.0063598009133</v>
      </c>
      <c r="V974" s="4">
        <f t="shared" ca="1" si="324"/>
        <v>0</v>
      </c>
      <c r="W974" s="13">
        <f t="shared" ca="1" si="325"/>
        <v>30176.381250000002</v>
      </c>
      <c r="X974" s="4">
        <f t="shared" ca="1" si="326"/>
        <v>0</v>
      </c>
      <c r="Y974" s="4">
        <f t="shared" si="327"/>
        <v>0</v>
      </c>
      <c r="Z974" s="13">
        <f t="shared" ca="1" si="328"/>
        <v>30176.381250000002</v>
      </c>
      <c r="AA974" s="4">
        <f t="shared" ca="1" si="329"/>
        <v>0</v>
      </c>
    </row>
    <row r="975" spans="1:27">
      <c r="A975">
        <v>3</v>
      </c>
      <c r="B975">
        <v>1</v>
      </c>
      <c r="C975">
        <f t="shared" ca="1" si="308"/>
        <v>6</v>
      </c>
      <c r="D975">
        <f t="shared" ca="1" si="309"/>
        <v>5</v>
      </c>
      <c r="E975">
        <f t="shared" ca="1" si="310"/>
        <v>3</v>
      </c>
      <c r="F975" s="110">
        <f t="shared" ca="1" si="311"/>
        <v>1.7459999999999997E-3</v>
      </c>
      <c r="G975">
        <v>1</v>
      </c>
      <c r="H975">
        <v>0</v>
      </c>
      <c r="I975">
        <v>7</v>
      </c>
      <c r="J975" s="1">
        <f t="shared" ca="1" si="312"/>
        <v>0</v>
      </c>
      <c r="K975" s="1">
        <f t="shared" ca="1" si="313"/>
        <v>0</v>
      </c>
      <c r="L975" s="13">
        <f t="shared" ca="1" si="314"/>
        <v>417</v>
      </c>
      <c r="M975" s="7">
        <f t="shared" ca="1" si="315"/>
        <v>1083</v>
      </c>
      <c r="N975" s="26">
        <f t="shared" ca="1" si="316"/>
        <v>4</v>
      </c>
      <c r="O975" s="44">
        <f t="shared" ca="1" si="317"/>
        <v>2.8908103757121246</v>
      </c>
      <c r="P975" s="44">
        <f t="shared" ca="1" si="318"/>
        <v>28.908103757121246</v>
      </c>
      <c r="Q975" s="44">
        <f t="shared" ca="1" si="319"/>
        <v>28.908103757121246</v>
      </c>
      <c r="R975" s="44">
        <f t="shared" ca="1" si="320"/>
        <v>2.8908103757121246</v>
      </c>
      <c r="S975" s="44">
        <f t="shared" ca="1" si="321"/>
        <v>2.8908103757121246</v>
      </c>
      <c r="T975" s="4">
        <f t="shared" ca="1" si="322"/>
        <v>0</v>
      </c>
      <c r="U975" s="120">
        <f t="shared" ca="1" si="323"/>
        <v>2268.675062040129</v>
      </c>
      <c r="V975" s="4">
        <f t="shared" ca="1" si="324"/>
        <v>0</v>
      </c>
      <c r="W975" s="13">
        <f t="shared" ca="1" si="325"/>
        <v>49588.256250000006</v>
      </c>
      <c r="X975" s="4">
        <f t="shared" ca="1" si="326"/>
        <v>0</v>
      </c>
      <c r="Y975" s="4">
        <f t="shared" si="327"/>
        <v>0</v>
      </c>
      <c r="Z975" s="13">
        <f t="shared" ca="1" si="328"/>
        <v>49588.256250000006</v>
      </c>
      <c r="AA975" s="4">
        <f t="shared" ca="1" si="329"/>
        <v>0</v>
      </c>
    </row>
    <row r="976" spans="1:27">
      <c r="A976">
        <v>3</v>
      </c>
      <c r="B976">
        <v>1</v>
      </c>
      <c r="C976">
        <f t="shared" ca="1" si="308"/>
        <v>6</v>
      </c>
      <c r="D976">
        <f t="shared" ca="1" si="309"/>
        <v>5</v>
      </c>
      <c r="E976">
        <f t="shared" ca="1" si="310"/>
        <v>3</v>
      </c>
      <c r="F976" s="110">
        <f t="shared" ca="1" si="311"/>
        <v>1.7459999999999997E-3</v>
      </c>
      <c r="G976">
        <v>1</v>
      </c>
      <c r="H976">
        <v>0</v>
      </c>
      <c r="I976">
        <v>6</v>
      </c>
      <c r="J976" s="1">
        <f t="shared" ca="1" si="312"/>
        <v>0</v>
      </c>
      <c r="K976" s="1">
        <f t="shared" ca="1" si="313"/>
        <v>0</v>
      </c>
      <c r="L976" s="13">
        <f t="shared" ca="1" si="314"/>
        <v>398</v>
      </c>
      <c r="M976" s="7">
        <f t="shared" ca="1" si="315"/>
        <v>1102</v>
      </c>
      <c r="N976" s="26">
        <f t="shared" ca="1" si="316"/>
        <v>4</v>
      </c>
      <c r="O976" s="44">
        <f t="shared" ca="1" si="317"/>
        <v>2.8908103757121246</v>
      </c>
      <c r="P976" s="44">
        <f t="shared" ca="1" si="318"/>
        <v>28.908103757121246</v>
      </c>
      <c r="Q976" s="44">
        <f t="shared" ca="1" si="319"/>
        <v>28.908103757121246</v>
      </c>
      <c r="R976" s="44">
        <f t="shared" ca="1" si="320"/>
        <v>2.8908103757121246</v>
      </c>
      <c r="S976" s="44">
        <f t="shared" ca="1" si="321"/>
        <v>2.8908103757121246</v>
      </c>
      <c r="T976" s="4">
        <f t="shared" ca="1" si="322"/>
        <v>0</v>
      </c>
      <c r="U976" s="120">
        <f t="shared" ca="1" si="323"/>
        <v>2249.675062040129</v>
      </c>
      <c r="V976" s="4">
        <f t="shared" ca="1" si="324"/>
        <v>0</v>
      </c>
      <c r="W976" s="13">
        <f t="shared" ca="1" si="325"/>
        <v>46815.131250000006</v>
      </c>
      <c r="X976" s="4">
        <f t="shared" ca="1" si="326"/>
        <v>0</v>
      </c>
      <c r="Y976" s="4">
        <f t="shared" si="327"/>
        <v>0</v>
      </c>
      <c r="Z976" s="13">
        <f t="shared" ca="1" si="328"/>
        <v>46815.131250000006</v>
      </c>
      <c r="AA976" s="4">
        <f t="shared" ca="1" si="329"/>
        <v>0</v>
      </c>
    </row>
    <row r="977" spans="1:27">
      <c r="A977">
        <v>3</v>
      </c>
      <c r="B977">
        <v>1</v>
      </c>
      <c r="C977">
        <f t="shared" ca="1" si="308"/>
        <v>6</v>
      </c>
      <c r="D977">
        <f t="shared" ca="1" si="309"/>
        <v>5</v>
      </c>
      <c r="E977">
        <f t="shared" ca="1" si="310"/>
        <v>3</v>
      </c>
      <c r="F977" s="110">
        <f t="shared" ca="1" si="311"/>
        <v>1.7459999999999997E-3</v>
      </c>
      <c r="G977">
        <v>1</v>
      </c>
      <c r="H977">
        <v>0</v>
      </c>
      <c r="I977">
        <v>5</v>
      </c>
      <c r="J977" s="1">
        <f t="shared" ca="1" si="312"/>
        <v>0.73509189062499991</v>
      </c>
      <c r="K977" s="1">
        <f t="shared" ca="1" si="313"/>
        <v>1.2834704410312496E-3</v>
      </c>
      <c r="L977" s="13">
        <f t="shared" ca="1" si="314"/>
        <v>379</v>
      </c>
      <c r="M977" s="7">
        <f t="shared" ca="1" si="315"/>
        <v>1121</v>
      </c>
      <c r="N977" s="26">
        <f t="shared" ca="1" si="316"/>
        <v>4</v>
      </c>
      <c r="O977" s="44">
        <f t="shared" ca="1" si="317"/>
        <v>2.8908103757121246</v>
      </c>
      <c r="P977" s="44">
        <f t="shared" ca="1" si="318"/>
        <v>28.908103757121246</v>
      </c>
      <c r="Q977" s="44">
        <f t="shared" ca="1" si="319"/>
        <v>28.908103757121246</v>
      </c>
      <c r="R977" s="44">
        <f t="shared" ca="1" si="320"/>
        <v>2.8908103757121246</v>
      </c>
      <c r="S977" s="44">
        <f t="shared" ca="1" si="321"/>
        <v>2.8908103757121246</v>
      </c>
      <c r="T977" s="4">
        <f t="shared" ca="1" si="322"/>
        <v>3.710269667852953E-3</v>
      </c>
      <c r="U977" s="120">
        <f t="shared" ca="1" si="323"/>
        <v>2230.675062040129</v>
      </c>
      <c r="V977" s="4">
        <f t="shared" ca="1" si="324"/>
        <v>2.8630055056740544</v>
      </c>
      <c r="W977" s="13">
        <f t="shared" ca="1" si="325"/>
        <v>44042.006250000006</v>
      </c>
      <c r="X977" s="4">
        <f t="shared" ca="1" si="326"/>
        <v>56.526613185588559</v>
      </c>
      <c r="Y977" s="4">
        <f t="shared" si="327"/>
        <v>0</v>
      </c>
      <c r="Z977" s="13">
        <f t="shared" ca="1" si="328"/>
        <v>44042.006250000006</v>
      </c>
      <c r="AA977" s="4">
        <f t="shared" ca="1" si="329"/>
        <v>56.526613185588559</v>
      </c>
    </row>
    <row r="978" spans="1:27">
      <c r="A978">
        <v>3</v>
      </c>
      <c r="B978">
        <v>1</v>
      </c>
      <c r="C978">
        <f t="shared" ca="1" si="308"/>
        <v>6</v>
      </c>
      <c r="D978">
        <f t="shared" ca="1" si="309"/>
        <v>5</v>
      </c>
      <c r="E978">
        <f t="shared" ca="1" si="310"/>
        <v>3</v>
      </c>
      <c r="F978" s="110">
        <f t="shared" ca="1" si="311"/>
        <v>1.7459999999999997E-3</v>
      </c>
      <c r="G978">
        <v>1</v>
      </c>
      <c r="H978">
        <v>0</v>
      </c>
      <c r="I978">
        <v>4</v>
      </c>
      <c r="J978" s="1">
        <f t="shared" ca="1" si="312"/>
        <v>0.19344523437500014</v>
      </c>
      <c r="K978" s="1">
        <f t="shared" ca="1" si="313"/>
        <v>3.3775537921875017E-4</v>
      </c>
      <c r="L978" s="13">
        <f t="shared" ca="1" si="314"/>
        <v>360</v>
      </c>
      <c r="M978" s="7">
        <f t="shared" ca="1" si="315"/>
        <v>1140</v>
      </c>
      <c r="N978" s="26">
        <f t="shared" ca="1" si="316"/>
        <v>4</v>
      </c>
      <c r="O978" s="44">
        <f t="shared" ca="1" si="317"/>
        <v>2.8908103757121246</v>
      </c>
      <c r="P978" s="44">
        <f t="shared" ca="1" si="318"/>
        <v>28.908103757121246</v>
      </c>
      <c r="Q978" s="44">
        <f t="shared" ca="1" si="319"/>
        <v>28.908103757121246</v>
      </c>
      <c r="R978" s="44">
        <f t="shared" ca="1" si="320"/>
        <v>2.8908103757121246</v>
      </c>
      <c r="S978" s="44">
        <f t="shared" ca="1" si="321"/>
        <v>2.8908103757121246</v>
      </c>
      <c r="T978" s="4">
        <f t="shared" ca="1" si="322"/>
        <v>9.763867546981463E-4</v>
      </c>
      <c r="U978" s="120">
        <f t="shared" ca="1" si="323"/>
        <v>2211.675062040129</v>
      </c>
      <c r="V978" s="4">
        <f t="shared" ca="1" si="324"/>
        <v>0.74700514928801653</v>
      </c>
      <c r="W978" s="13">
        <f t="shared" ca="1" si="325"/>
        <v>41268.881250000006</v>
      </c>
      <c r="X978" s="4">
        <f t="shared" ca="1" si="326"/>
        <v>13.93878663652732</v>
      </c>
      <c r="Y978" s="4">
        <f t="shared" si="327"/>
        <v>0</v>
      </c>
      <c r="Z978" s="13">
        <f t="shared" ca="1" si="328"/>
        <v>41268.881250000006</v>
      </c>
      <c r="AA978" s="4">
        <f t="shared" ca="1" si="329"/>
        <v>13.93878663652732</v>
      </c>
    </row>
    <row r="979" spans="1:27">
      <c r="A979">
        <v>3</v>
      </c>
      <c r="B979">
        <v>1</v>
      </c>
      <c r="C979">
        <f t="shared" ca="1" si="308"/>
        <v>6</v>
      </c>
      <c r="D979">
        <f t="shared" ca="1" si="309"/>
        <v>5</v>
      </c>
      <c r="E979">
        <f t="shared" ca="1" si="310"/>
        <v>3</v>
      </c>
      <c r="F979" s="110">
        <f t="shared" ca="1" si="311"/>
        <v>1.7459999999999997E-3</v>
      </c>
      <c r="G979">
        <v>1</v>
      </c>
      <c r="H979">
        <v>0</v>
      </c>
      <c r="I979">
        <v>3</v>
      </c>
      <c r="J979" s="1">
        <f t="shared" ca="1" si="312"/>
        <v>2.0362656250000031E-2</v>
      </c>
      <c r="K979" s="1">
        <f t="shared" ca="1" si="313"/>
        <v>3.5553197812500046E-5</v>
      </c>
      <c r="L979" s="13">
        <f t="shared" ca="1" si="314"/>
        <v>341</v>
      </c>
      <c r="M979" s="7">
        <f t="shared" ca="1" si="315"/>
        <v>1159</v>
      </c>
      <c r="N979" s="26">
        <f t="shared" ca="1" si="316"/>
        <v>4</v>
      </c>
      <c r="O979" s="44">
        <f t="shared" ca="1" si="317"/>
        <v>2.8908103757121246</v>
      </c>
      <c r="P979" s="44">
        <f t="shared" ca="1" si="318"/>
        <v>28.908103757121246</v>
      </c>
      <c r="Q979" s="44">
        <f t="shared" ca="1" si="319"/>
        <v>28.908103757121246</v>
      </c>
      <c r="R979" s="44">
        <f t="shared" ca="1" si="320"/>
        <v>2.8908103757121246</v>
      </c>
      <c r="S979" s="44">
        <f t="shared" ca="1" si="321"/>
        <v>2.8908103757121246</v>
      </c>
      <c r="T979" s="4">
        <f t="shared" ca="1" si="322"/>
        <v>1.0277755312612075E-4</v>
      </c>
      <c r="U979" s="120">
        <f t="shared" ca="1" si="323"/>
        <v>2192.675062040129</v>
      </c>
      <c r="V979" s="4">
        <f t="shared" ca="1" si="324"/>
        <v>7.7956610219248518E-2</v>
      </c>
      <c r="W979" s="13">
        <f t="shared" ca="1" si="325"/>
        <v>38495.756250000006</v>
      </c>
      <c r="X979" s="4">
        <f t="shared" ca="1" si="326"/>
        <v>1.3686472368980351</v>
      </c>
      <c r="Y979" s="4">
        <f t="shared" si="327"/>
        <v>0</v>
      </c>
      <c r="Z979" s="13">
        <f t="shared" ca="1" si="328"/>
        <v>38495.756250000006</v>
      </c>
      <c r="AA979" s="4">
        <f t="shared" ca="1" si="329"/>
        <v>1.3686472368980351</v>
      </c>
    </row>
    <row r="980" spans="1:27">
      <c r="A980">
        <v>3</v>
      </c>
      <c r="B980">
        <v>1</v>
      </c>
      <c r="C980">
        <f t="shared" ca="1" si="308"/>
        <v>6</v>
      </c>
      <c r="D980">
        <f t="shared" ca="1" si="309"/>
        <v>5</v>
      </c>
      <c r="E980">
        <f t="shared" ca="1" si="310"/>
        <v>3</v>
      </c>
      <c r="F980" s="110">
        <f t="shared" ca="1" si="311"/>
        <v>1.7459999999999997E-3</v>
      </c>
      <c r="G980">
        <v>1</v>
      </c>
      <c r="H980">
        <v>0</v>
      </c>
      <c r="I980">
        <v>2</v>
      </c>
      <c r="J980" s="1">
        <f t="shared" ca="1" si="312"/>
        <v>1.0717187500000028E-3</v>
      </c>
      <c r="K980" s="1">
        <f t="shared" ca="1" si="313"/>
        <v>1.8712209375000046E-6</v>
      </c>
      <c r="L980" s="13">
        <f t="shared" ca="1" si="314"/>
        <v>322</v>
      </c>
      <c r="M980" s="7">
        <f t="shared" ca="1" si="315"/>
        <v>1178</v>
      </c>
      <c r="N980" s="26">
        <f t="shared" ca="1" si="316"/>
        <v>4</v>
      </c>
      <c r="O980" s="44">
        <f t="shared" ca="1" si="317"/>
        <v>2.8908103757121246</v>
      </c>
      <c r="P980" s="44">
        <f t="shared" ca="1" si="318"/>
        <v>28.908103757121246</v>
      </c>
      <c r="Q980" s="44">
        <f t="shared" ca="1" si="319"/>
        <v>28.908103757121246</v>
      </c>
      <c r="R980" s="44">
        <f t="shared" ca="1" si="320"/>
        <v>2.8908103757121246</v>
      </c>
      <c r="S980" s="44">
        <f t="shared" ca="1" si="321"/>
        <v>2.8908103757121246</v>
      </c>
      <c r="T980" s="4">
        <f t="shared" ca="1" si="322"/>
        <v>5.4093449013747826E-6</v>
      </c>
      <c r="U980" s="120">
        <f t="shared" ca="1" si="323"/>
        <v>2173.675062040129</v>
      </c>
      <c r="V980" s="4">
        <f t="shared" ca="1" si="324"/>
        <v>4.0674262874111113E-3</v>
      </c>
      <c r="W980" s="13">
        <f t="shared" ca="1" si="325"/>
        <v>35722.631250000006</v>
      </c>
      <c r="X980" s="4">
        <f t="shared" ca="1" si="326"/>
        <v>6.6844935537591979E-2</v>
      </c>
      <c r="Y980" s="4">
        <f t="shared" si="327"/>
        <v>0</v>
      </c>
      <c r="Z980" s="13">
        <f t="shared" ca="1" si="328"/>
        <v>35722.631250000006</v>
      </c>
      <c r="AA980" s="4">
        <f t="shared" ca="1" si="329"/>
        <v>6.6844935537591979E-2</v>
      </c>
    </row>
    <row r="981" spans="1:27">
      <c r="A981">
        <v>3</v>
      </c>
      <c r="B981">
        <v>1</v>
      </c>
      <c r="C981">
        <f t="shared" ca="1" si="308"/>
        <v>6</v>
      </c>
      <c r="D981">
        <f t="shared" ca="1" si="309"/>
        <v>5</v>
      </c>
      <c r="E981">
        <f t="shared" ca="1" si="310"/>
        <v>3</v>
      </c>
      <c r="F981" s="110">
        <f t="shared" ca="1" si="311"/>
        <v>1.7459999999999997E-3</v>
      </c>
      <c r="G981">
        <v>1</v>
      </c>
      <c r="H981">
        <v>0</v>
      </c>
      <c r="I981">
        <v>1</v>
      </c>
      <c r="J981" s="1">
        <f t="shared" ca="1" si="312"/>
        <v>2.8203125000000098E-5</v>
      </c>
      <c r="K981" s="1">
        <f t="shared" ca="1" si="313"/>
        <v>4.9242656250000162E-8</v>
      </c>
      <c r="L981" s="13">
        <f t="shared" ca="1" si="314"/>
        <v>303</v>
      </c>
      <c r="M981" s="7">
        <f t="shared" ca="1" si="315"/>
        <v>1197</v>
      </c>
      <c r="N981" s="26">
        <f t="shared" ca="1" si="316"/>
        <v>4</v>
      </c>
      <c r="O981" s="44">
        <f t="shared" ca="1" si="317"/>
        <v>2.8908103757121246</v>
      </c>
      <c r="P981" s="44">
        <f t="shared" ca="1" si="318"/>
        <v>28.908103757121246</v>
      </c>
      <c r="Q981" s="44">
        <f t="shared" ca="1" si="319"/>
        <v>28.908103757121246</v>
      </c>
      <c r="R981" s="44">
        <f t="shared" ca="1" si="320"/>
        <v>2.8908103757121246</v>
      </c>
      <c r="S981" s="44">
        <f t="shared" ca="1" si="321"/>
        <v>2.8908103757121246</v>
      </c>
      <c r="T981" s="4">
        <f t="shared" ca="1" si="322"/>
        <v>1.4235118161512596E-7</v>
      </c>
      <c r="U981" s="120">
        <f t="shared" ca="1" si="323"/>
        <v>2154.675062040129</v>
      </c>
      <c r="V981" s="4">
        <f t="shared" ca="1" si="324"/>
        <v>1.0610192341048984E-4</v>
      </c>
      <c r="W981" s="13">
        <f t="shared" ca="1" si="325"/>
        <v>32949.506250000006</v>
      </c>
      <c r="X981" s="4">
        <f t="shared" ca="1" si="326"/>
        <v>1.6225212098759823E-3</v>
      </c>
      <c r="Y981" s="4">
        <f t="shared" si="327"/>
        <v>0</v>
      </c>
      <c r="Z981" s="13">
        <f t="shared" ca="1" si="328"/>
        <v>32949.506250000006</v>
      </c>
      <c r="AA981" s="4">
        <f t="shared" ca="1" si="329"/>
        <v>1.6225212098759823E-3</v>
      </c>
    </row>
    <row r="982" spans="1:27">
      <c r="A982">
        <v>3</v>
      </c>
      <c r="B982">
        <v>1</v>
      </c>
      <c r="C982">
        <f t="shared" ca="1" si="308"/>
        <v>6</v>
      </c>
      <c r="D982">
        <f t="shared" ca="1" si="309"/>
        <v>5</v>
      </c>
      <c r="E982">
        <f t="shared" ca="1" si="310"/>
        <v>3</v>
      </c>
      <c r="F982" s="110">
        <f t="shared" ca="1" si="311"/>
        <v>1.7459999999999997E-3</v>
      </c>
      <c r="G982">
        <v>1</v>
      </c>
      <c r="H982">
        <v>0</v>
      </c>
      <c r="I982">
        <v>0</v>
      </c>
      <c r="J982" s="1">
        <f t="shared" ca="1" si="312"/>
        <v>2.9687500000000134E-7</v>
      </c>
      <c r="K982" s="1">
        <f t="shared" ca="1" si="313"/>
        <v>5.1834375000000222E-10</v>
      </c>
      <c r="L982" s="13">
        <f t="shared" ca="1" si="314"/>
        <v>284</v>
      </c>
      <c r="M982" s="7">
        <f t="shared" ca="1" si="315"/>
        <v>1216</v>
      </c>
      <c r="N982" s="26">
        <f t="shared" ca="1" si="316"/>
        <v>4</v>
      </c>
      <c r="O982" s="44">
        <f t="shared" ca="1" si="317"/>
        <v>2.8908103757121246</v>
      </c>
      <c r="P982" s="44">
        <f t="shared" ca="1" si="318"/>
        <v>28.908103757121246</v>
      </c>
      <c r="Q982" s="44">
        <f t="shared" ca="1" si="319"/>
        <v>28.908103757121246</v>
      </c>
      <c r="R982" s="44">
        <f t="shared" ca="1" si="320"/>
        <v>2.8908103757121246</v>
      </c>
      <c r="S982" s="44">
        <f t="shared" ca="1" si="321"/>
        <v>2.8908103757121246</v>
      </c>
      <c r="T982" s="4">
        <f t="shared" ca="1" si="322"/>
        <v>1.4984334906855379E-9</v>
      </c>
      <c r="U982" s="120">
        <f t="shared" ca="1" si="323"/>
        <v>2135.675062040129</v>
      </c>
      <c r="V982" s="4">
        <f t="shared" ca="1" si="324"/>
        <v>1.1070138204393677E-6</v>
      </c>
      <c r="W982" s="13">
        <f t="shared" ca="1" si="325"/>
        <v>30176.381250000002</v>
      </c>
      <c r="X982" s="4">
        <f t="shared" ca="1" si="326"/>
        <v>1.5641738618554755E-5</v>
      </c>
      <c r="Y982" s="4">
        <f t="shared" si="327"/>
        <v>0</v>
      </c>
      <c r="Z982" s="13">
        <f t="shared" ca="1" si="328"/>
        <v>30176.381250000002</v>
      </c>
      <c r="AA982" s="4">
        <f t="shared" ca="1" si="329"/>
        <v>1.5641738618554755E-5</v>
      </c>
    </row>
    <row r="983" spans="1:27">
      <c r="A983">
        <v>3</v>
      </c>
      <c r="B983">
        <v>1</v>
      </c>
      <c r="C983">
        <f t="shared" ca="1" si="308"/>
        <v>6</v>
      </c>
      <c r="D983">
        <f t="shared" ca="1" si="309"/>
        <v>5</v>
      </c>
      <c r="E983">
        <f t="shared" ca="1" si="310"/>
        <v>3</v>
      </c>
      <c r="F983" s="110">
        <f t="shared" ca="1" si="311"/>
        <v>1.7459999999999997E-3</v>
      </c>
      <c r="G983">
        <v>0</v>
      </c>
      <c r="H983">
        <v>1</v>
      </c>
      <c r="I983">
        <v>7</v>
      </c>
      <c r="J983" s="1">
        <f t="shared" ca="1" si="312"/>
        <v>0</v>
      </c>
      <c r="K983" s="1">
        <f t="shared" ca="1" si="313"/>
        <v>0</v>
      </c>
      <c r="L983" s="13">
        <f t="shared" ca="1" si="314"/>
        <v>417</v>
      </c>
      <c r="M983" s="7">
        <f t="shared" ca="1" si="315"/>
        <v>1083</v>
      </c>
      <c r="N983" s="26">
        <f t="shared" ca="1" si="316"/>
        <v>4</v>
      </c>
      <c r="O983" s="44">
        <f t="shared" ca="1" si="317"/>
        <v>2.8908103757121246</v>
      </c>
      <c r="P983" s="44">
        <f t="shared" ca="1" si="318"/>
        <v>28.908103757121246</v>
      </c>
      <c r="Q983" s="44">
        <f t="shared" ca="1" si="319"/>
        <v>28.908103757121246</v>
      </c>
      <c r="R983" s="44">
        <f t="shared" ca="1" si="320"/>
        <v>2.8908103757121246</v>
      </c>
      <c r="S983" s="44">
        <f t="shared" ca="1" si="321"/>
        <v>2.8908103757121246</v>
      </c>
      <c r="T983" s="4">
        <f t="shared" ca="1" si="322"/>
        <v>0</v>
      </c>
      <c r="U983" s="120">
        <f t="shared" ca="1" si="323"/>
        <v>2268.675062040129</v>
      </c>
      <c r="V983" s="4">
        <f t="shared" ca="1" si="324"/>
        <v>0</v>
      </c>
      <c r="W983" s="13">
        <f t="shared" ca="1" si="325"/>
        <v>19411.875</v>
      </c>
      <c r="X983" s="4">
        <f t="shared" ca="1" si="326"/>
        <v>0</v>
      </c>
      <c r="Y983" s="4">
        <f t="shared" si="327"/>
        <v>0</v>
      </c>
      <c r="Z983" s="13">
        <f t="shared" ca="1" si="328"/>
        <v>19411.875</v>
      </c>
      <c r="AA983" s="4">
        <f t="shared" ca="1" si="329"/>
        <v>0</v>
      </c>
    </row>
    <row r="984" spans="1:27">
      <c r="A984">
        <v>3</v>
      </c>
      <c r="B984">
        <v>1</v>
      </c>
      <c r="C984">
        <f t="shared" ca="1" si="308"/>
        <v>6</v>
      </c>
      <c r="D984">
        <f t="shared" ca="1" si="309"/>
        <v>5</v>
      </c>
      <c r="E984">
        <f t="shared" ca="1" si="310"/>
        <v>3</v>
      </c>
      <c r="F984" s="110">
        <f t="shared" ca="1" si="311"/>
        <v>1.7459999999999997E-3</v>
      </c>
      <c r="G984">
        <v>0</v>
      </c>
      <c r="H984">
        <v>1</v>
      </c>
      <c r="I984">
        <v>6</v>
      </c>
      <c r="J984" s="1">
        <f t="shared" ca="1" si="312"/>
        <v>0</v>
      </c>
      <c r="K984" s="1">
        <f t="shared" ca="1" si="313"/>
        <v>0</v>
      </c>
      <c r="L984" s="13">
        <f t="shared" ca="1" si="314"/>
        <v>398</v>
      </c>
      <c r="M984" s="7">
        <f t="shared" ca="1" si="315"/>
        <v>1102</v>
      </c>
      <c r="N984" s="26">
        <f t="shared" ca="1" si="316"/>
        <v>4</v>
      </c>
      <c r="O984" s="44">
        <f t="shared" ca="1" si="317"/>
        <v>2.8908103757121246</v>
      </c>
      <c r="P984" s="44">
        <f t="shared" ca="1" si="318"/>
        <v>28.908103757121246</v>
      </c>
      <c r="Q984" s="44">
        <f t="shared" ca="1" si="319"/>
        <v>28.908103757121246</v>
      </c>
      <c r="R984" s="44">
        <f t="shared" ca="1" si="320"/>
        <v>2.8908103757121246</v>
      </c>
      <c r="S984" s="44">
        <f t="shared" ca="1" si="321"/>
        <v>2.8908103757121246</v>
      </c>
      <c r="T984" s="4">
        <f t="shared" ca="1" si="322"/>
        <v>0</v>
      </c>
      <c r="U984" s="120">
        <f t="shared" ca="1" si="323"/>
        <v>2249.675062040129</v>
      </c>
      <c r="V984" s="4">
        <f t="shared" ca="1" si="324"/>
        <v>0</v>
      </c>
      <c r="W984" s="13">
        <f t="shared" ca="1" si="325"/>
        <v>16638.75</v>
      </c>
      <c r="X984" s="4">
        <f t="shared" ca="1" si="326"/>
        <v>0</v>
      </c>
      <c r="Y984" s="4">
        <f t="shared" si="327"/>
        <v>0</v>
      </c>
      <c r="Z984" s="13">
        <f t="shared" ca="1" si="328"/>
        <v>16638.75</v>
      </c>
      <c r="AA984" s="4">
        <f t="shared" ca="1" si="329"/>
        <v>0</v>
      </c>
    </row>
    <row r="985" spans="1:27">
      <c r="A985">
        <v>3</v>
      </c>
      <c r="B985">
        <v>1</v>
      </c>
      <c r="C985">
        <f t="shared" ca="1" si="308"/>
        <v>6</v>
      </c>
      <c r="D985">
        <f t="shared" ca="1" si="309"/>
        <v>5</v>
      </c>
      <c r="E985">
        <f t="shared" ca="1" si="310"/>
        <v>3</v>
      </c>
      <c r="F985" s="110">
        <f t="shared" ca="1" si="311"/>
        <v>1.7459999999999997E-3</v>
      </c>
      <c r="G985">
        <v>0</v>
      </c>
      <c r="H985">
        <v>1</v>
      </c>
      <c r="I985">
        <v>5</v>
      </c>
      <c r="J985" s="1">
        <f t="shared" ca="1" si="312"/>
        <v>0</v>
      </c>
      <c r="K985" s="1">
        <f t="shared" ca="1" si="313"/>
        <v>0</v>
      </c>
      <c r="L985" s="13">
        <f t="shared" ca="1" si="314"/>
        <v>379</v>
      </c>
      <c r="M985" s="7">
        <f t="shared" ca="1" si="315"/>
        <v>1121</v>
      </c>
      <c r="N985" s="26">
        <f t="shared" ca="1" si="316"/>
        <v>4</v>
      </c>
      <c r="O985" s="44">
        <f t="shared" ca="1" si="317"/>
        <v>2.8908103757121246</v>
      </c>
      <c r="P985" s="44">
        <f t="shared" ca="1" si="318"/>
        <v>28.908103757121246</v>
      </c>
      <c r="Q985" s="44">
        <f t="shared" ca="1" si="319"/>
        <v>28.908103757121246</v>
      </c>
      <c r="R985" s="44">
        <f t="shared" ca="1" si="320"/>
        <v>2.8908103757121246</v>
      </c>
      <c r="S985" s="44">
        <f t="shared" ca="1" si="321"/>
        <v>2.8908103757121246</v>
      </c>
      <c r="T985" s="4">
        <f t="shared" ca="1" si="322"/>
        <v>0</v>
      </c>
      <c r="U985" s="120">
        <f t="shared" ca="1" si="323"/>
        <v>2230.675062040129</v>
      </c>
      <c r="V985" s="4">
        <f t="shared" ca="1" si="324"/>
        <v>0</v>
      </c>
      <c r="W985" s="13">
        <f t="shared" ca="1" si="325"/>
        <v>13865.625</v>
      </c>
      <c r="X985" s="4">
        <f t="shared" ca="1" si="326"/>
        <v>0</v>
      </c>
      <c r="Y985" s="4">
        <f t="shared" si="327"/>
        <v>0</v>
      </c>
      <c r="Z985" s="13">
        <f t="shared" ca="1" si="328"/>
        <v>13865.625</v>
      </c>
      <c r="AA985" s="4">
        <f t="shared" ca="1" si="329"/>
        <v>0</v>
      </c>
    </row>
    <row r="986" spans="1:27">
      <c r="A986">
        <v>3</v>
      </c>
      <c r="B986">
        <v>1</v>
      </c>
      <c r="C986">
        <f t="shared" ca="1" si="308"/>
        <v>6</v>
      </c>
      <c r="D986">
        <f t="shared" ca="1" si="309"/>
        <v>5</v>
      </c>
      <c r="E986">
        <f t="shared" ca="1" si="310"/>
        <v>3</v>
      </c>
      <c r="F986" s="110">
        <f t="shared" ca="1" si="311"/>
        <v>1.7459999999999997E-3</v>
      </c>
      <c r="G986">
        <v>0</v>
      </c>
      <c r="H986">
        <v>1</v>
      </c>
      <c r="I986">
        <v>4</v>
      </c>
      <c r="J986" s="1">
        <f t="shared" ca="1" si="312"/>
        <v>0</v>
      </c>
      <c r="K986" s="1">
        <f t="shared" ca="1" si="313"/>
        <v>0</v>
      </c>
      <c r="L986" s="13">
        <f t="shared" ca="1" si="314"/>
        <v>360</v>
      </c>
      <c r="M986" s="7">
        <f t="shared" ca="1" si="315"/>
        <v>1140</v>
      </c>
      <c r="N986" s="26">
        <f t="shared" ca="1" si="316"/>
        <v>4</v>
      </c>
      <c r="O986" s="44">
        <f t="shared" ca="1" si="317"/>
        <v>2.8908103757121246</v>
      </c>
      <c r="P986" s="44">
        <f t="shared" ca="1" si="318"/>
        <v>28.908103757121246</v>
      </c>
      <c r="Q986" s="44">
        <f t="shared" ca="1" si="319"/>
        <v>28.908103757121246</v>
      </c>
      <c r="R986" s="44">
        <f t="shared" ca="1" si="320"/>
        <v>2.8908103757121246</v>
      </c>
      <c r="S986" s="44">
        <f t="shared" ca="1" si="321"/>
        <v>2.8908103757121246</v>
      </c>
      <c r="T986" s="4">
        <f t="shared" ca="1" si="322"/>
        <v>0</v>
      </c>
      <c r="U986" s="120">
        <f t="shared" ca="1" si="323"/>
        <v>2211.675062040129</v>
      </c>
      <c r="V986" s="4">
        <f t="shared" ca="1" si="324"/>
        <v>0</v>
      </c>
      <c r="W986" s="13">
        <f t="shared" ca="1" si="325"/>
        <v>11092.5</v>
      </c>
      <c r="X986" s="4">
        <f t="shared" ca="1" si="326"/>
        <v>0</v>
      </c>
      <c r="Y986" s="4">
        <f t="shared" si="327"/>
        <v>0</v>
      </c>
      <c r="Z986" s="13">
        <f t="shared" ca="1" si="328"/>
        <v>11092.5</v>
      </c>
      <c r="AA986" s="4">
        <f t="shared" ca="1" si="329"/>
        <v>0</v>
      </c>
    </row>
    <row r="987" spans="1:27">
      <c r="A987">
        <v>3</v>
      </c>
      <c r="B987">
        <v>1</v>
      </c>
      <c r="C987">
        <f t="shared" ca="1" si="308"/>
        <v>6</v>
      </c>
      <c r="D987">
        <f t="shared" ca="1" si="309"/>
        <v>5</v>
      </c>
      <c r="E987">
        <f t="shared" ca="1" si="310"/>
        <v>3</v>
      </c>
      <c r="F987" s="110">
        <f t="shared" ca="1" si="311"/>
        <v>1.7459999999999997E-3</v>
      </c>
      <c r="G987">
        <v>0</v>
      </c>
      <c r="H987">
        <v>1</v>
      </c>
      <c r="I987">
        <v>3</v>
      </c>
      <c r="J987" s="1">
        <f t="shared" ca="1" si="312"/>
        <v>0</v>
      </c>
      <c r="K987" s="1">
        <f t="shared" ca="1" si="313"/>
        <v>0</v>
      </c>
      <c r="L987" s="13">
        <f t="shared" ca="1" si="314"/>
        <v>341</v>
      </c>
      <c r="M987" s="7">
        <f t="shared" ca="1" si="315"/>
        <v>1159</v>
      </c>
      <c r="N987" s="26">
        <f t="shared" ca="1" si="316"/>
        <v>4</v>
      </c>
      <c r="O987" s="44">
        <f t="shared" ca="1" si="317"/>
        <v>2.8908103757121246</v>
      </c>
      <c r="P987" s="44">
        <f t="shared" ca="1" si="318"/>
        <v>28.908103757121246</v>
      </c>
      <c r="Q987" s="44">
        <f t="shared" ca="1" si="319"/>
        <v>28.908103757121246</v>
      </c>
      <c r="R987" s="44">
        <f t="shared" ca="1" si="320"/>
        <v>2.8908103757121246</v>
      </c>
      <c r="S987" s="44">
        <f t="shared" ca="1" si="321"/>
        <v>2.8908103757121246</v>
      </c>
      <c r="T987" s="4">
        <f t="shared" ca="1" si="322"/>
        <v>0</v>
      </c>
      <c r="U987" s="120">
        <f t="shared" ca="1" si="323"/>
        <v>2192.675062040129</v>
      </c>
      <c r="V987" s="4">
        <f t="shared" ca="1" si="324"/>
        <v>0</v>
      </c>
      <c r="W987" s="13">
        <f t="shared" ca="1" si="325"/>
        <v>8319.375</v>
      </c>
      <c r="X987" s="4">
        <f t="shared" ca="1" si="326"/>
        <v>0</v>
      </c>
      <c r="Y987" s="4">
        <f t="shared" si="327"/>
        <v>0</v>
      </c>
      <c r="Z987" s="13">
        <f t="shared" ca="1" si="328"/>
        <v>8319.375</v>
      </c>
      <c r="AA987" s="4">
        <f t="shared" ca="1" si="329"/>
        <v>0</v>
      </c>
    </row>
    <row r="988" spans="1:27">
      <c r="A988">
        <v>3</v>
      </c>
      <c r="B988">
        <v>1</v>
      </c>
      <c r="C988">
        <f t="shared" ca="1" si="308"/>
        <v>6</v>
      </c>
      <c r="D988">
        <f t="shared" ca="1" si="309"/>
        <v>5</v>
      </c>
      <c r="E988">
        <f t="shared" ca="1" si="310"/>
        <v>3</v>
      </c>
      <c r="F988" s="110">
        <f t="shared" ca="1" si="311"/>
        <v>1.7459999999999997E-3</v>
      </c>
      <c r="G988">
        <v>0</v>
      </c>
      <c r="H988">
        <v>1</v>
      </c>
      <c r="I988">
        <v>2</v>
      </c>
      <c r="J988" s="1">
        <f t="shared" ca="1" si="312"/>
        <v>0</v>
      </c>
      <c r="K988" s="1">
        <f t="shared" ca="1" si="313"/>
        <v>0</v>
      </c>
      <c r="L988" s="13">
        <f t="shared" ca="1" si="314"/>
        <v>322</v>
      </c>
      <c r="M988" s="7">
        <f t="shared" ca="1" si="315"/>
        <v>1178</v>
      </c>
      <c r="N988" s="26">
        <f t="shared" ca="1" si="316"/>
        <v>4</v>
      </c>
      <c r="O988" s="44">
        <f t="shared" ca="1" si="317"/>
        <v>2.8908103757121246</v>
      </c>
      <c r="P988" s="44">
        <f t="shared" ca="1" si="318"/>
        <v>28.908103757121246</v>
      </c>
      <c r="Q988" s="44">
        <f t="shared" ca="1" si="319"/>
        <v>28.908103757121246</v>
      </c>
      <c r="R988" s="44">
        <f t="shared" ca="1" si="320"/>
        <v>2.8908103757121246</v>
      </c>
      <c r="S988" s="44">
        <f t="shared" ca="1" si="321"/>
        <v>2.8908103757121246</v>
      </c>
      <c r="T988" s="4">
        <f t="shared" ca="1" si="322"/>
        <v>0</v>
      </c>
      <c r="U988" s="120">
        <f t="shared" ca="1" si="323"/>
        <v>2173.675062040129</v>
      </c>
      <c r="V988" s="4">
        <f t="shared" ca="1" si="324"/>
        <v>0</v>
      </c>
      <c r="W988" s="13">
        <f t="shared" ca="1" si="325"/>
        <v>5546.25</v>
      </c>
      <c r="X988" s="4">
        <f t="shared" ca="1" si="326"/>
        <v>0</v>
      </c>
      <c r="Y988" s="4">
        <f t="shared" si="327"/>
        <v>0</v>
      </c>
      <c r="Z988" s="13">
        <f t="shared" ca="1" si="328"/>
        <v>5546.25</v>
      </c>
      <c r="AA988" s="4">
        <f t="shared" ca="1" si="329"/>
        <v>0</v>
      </c>
    </row>
    <row r="989" spans="1:27">
      <c r="A989">
        <v>3</v>
      </c>
      <c r="B989">
        <v>1</v>
      </c>
      <c r="C989">
        <f t="shared" ca="1" si="308"/>
        <v>6</v>
      </c>
      <c r="D989">
        <f t="shared" ca="1" si="309"/>
        <v>5</v>
      </c>
      <c r="E989">
        <f t="shared" ca="1" si="310"/>
        <v>3</v>
      </c>
      <c r="F989" s="110">
        <f t="shared" ca="1" si="311"/>
        <v>1.7459999999999997E-3</v>
      </c>
      <c r="G989">
        <v>0</v>
      </c>
      <c r="H989">
        <v>1</v>
      </c>
      <c r="I989">
        <v>1</v>
      </c>
      <c r="J989" s="1">
        <f t="shared" ca="1" si="312"/>
        <v>0</v>
      </c>
      <c r="K989" s="1">
        <f t="shared" ca="1" si="313"/>
        <v>0</v>
      </c>
      <c r="L989" s="13">
        <f t="shared" ca="1" si="314"/>
        <v>303</v>
      </c>
      <c r="M989" s="7">
        <f t="shared" ca="1" si="315"/>
        <v>1197</v>
      </c>
      <c r="N989" s="26">
        <f t="shared" ca="1" si="316"/>
        <v>4</v>
      </c>
      <c r="O989" s="44">
        <f t="shared" ca="1" si="317"/>
        <v>2.8908103757121246</v>
      </c>
      <c r="P989" s="44">
        <f t="shared" ca="1" si="318"/>
        <v>28.908103757121246</v>
      </c>
      <c r="Q989" s="44">
        <f t="shared" ca="1" si="319"/>
        <v>28.908103757121246</v>
      </c>
      <c r="R989" s="44">
        <f t="shared" ca="1" si="320"/>
        <v>2.8908103757121246</v>
      </c>
      <c r="S989" s="44">
        <f t="shared" ca="1" si="321"/>
        <v>2.8908103757121246</v>
      </c>
      <c r="T989" s="4">
        <f t="shared" ca="1" si="322"/>
        <v>0</v>
      </c>
      <c r="U989" s="120">
        <f t="shared" ca="1" si="323"/>
        <v>2154.675062040129</v>
      </c>
      <c r="V989" s="4">
        <f t="shared" ca="1" si="324"/>
        <v>0</v>
      </c>
      <c r="W989" s="13">
        <f t="shared" ca="1" si="325"/>
        <v>2773.125</v>
      </c>
      <c r="X989" s="4">
        <f t="shared" ca="1" si="326"/>
        <v>0</v>
      </c>
      <c r="Y989" s="4">
        <f t="shared" si="327"/>
        <v>0</v>
      </c>
      <c r="Z989" s="13">
        <f t="shared" ca="1" si="328"/>
        <v>2773.125</v>
      </c>
      <c r="AA989" s="4">
        <f t="shared" ca="1" si="329"/>
        <v>0</v>
      </c>
    </row>
    <row r="990" spans="1:27">
      <c r="A990">
        <v>3</v>
      </c>
      <c r="B990">
        <v>1</v>
      </c>
      <c r="C990">
        <f t="shared" ca="1" si="308"/>
        <v>6</v>
      </c>
      <c r="D990">
        <f t="shared" ca="1" si="309"/>
        <v>5</v>
      </c>
      <c r="E990">
        <f t="shared" ca="1" si="310"/>
        <v>3</v>
      </c>
      <c r="F990" s="110">
        <f t="shared" ca="1" si="311"/>
        <v>1.7459999999999997E-3</v>
      </c>
      <c r="G990">
        <v>0</v>
      </c>
      <c r="H990">
        <v>1</v>
      </c>
      <c r="I990">
        <v>0</v>
      </c>
      <c r="J990" s="1">
        <f t="shared" ca="1" si="312"/>
        <v>0</v>
      </c>
      <c r="K990" s="1">
        <f t="shared" ca="1" si="313"/>
        <v>0</v>
      </c>
      <c r="L990" s="13">
        <f t="shared" ca="1" si="314"/>
        <v>284</v>
      </c>
      <c r="M990" s="7">
        <f t="shared" ca="1" si="315"/>
        <v>1216</v>
      </c>
      <c r="N990" s="26">
        <f t="shared" ca="1" si="316"/>
        <v>4</v>
      </c>
      <c r="O990" s="44">
        <f t="shared" ca="1" si="317"/>
        <v>2.8908103757121246</v>
      </c>
      <c r="P990" s="44">
        <f t="shared" ca="1" si="318"/>
        <v>28.908103757121246</v>
      </c>
      <c r="Q990" s="44">
        <f t="shared" ca="1" si="319"/>
        <v>28.908103757121246</v>
      </c>
      <c r="R990" s="44">
        <f t="shared" ca="1" si="320"/>
        <v>2.8908103757121246</v>
      </c>
      <c r="S990" s="44">
        <f t="shared" ca="1" si="321"/>
        <v>2.8908103757121246</v>
      </c>
      <c r="T990" s="4">
        <f t="shared" ca="1" si="322"/>
        <v>0</v>
      </c>
      <c r="U990" s="120">
        <f t="shared" ca="1" si="323"/>
        <v>2135.675062040129</v>
      </c>
      <c r="V990" s="4">
        <f t="shared" ca="1" si="324"/>
        <v>0</v>
      </c>
      <c r="W990" s="13">
        <f t="shared" ca="1" si="325"/>
        <v>0</v>
      </c>
      <c r="X990" s="4">
        <f t="shared" ca="1" si="326"/>
        <v>0</v>
      </c>
      <c r="Y990" s="4">
        <f t="shared" si="327"/>
        <v>0</v>
      </c>
      <c r="Z990" s="13">
        <f t="shared" ca="1" si="328"/>
        <v>0</v>
      </c>
      <c r="AA990" s="4">
        <f t="shared" ca="1" si="329"/>
        <v>0</v>
      </c>
    </row>
    <row r="991" spans="1:27">
      <c r="A991">
        <v>3</v>
      </c>
      <c r="B991">
        <v>1</v>
      </c>
      <c r="C991">
        <f t="shared" ca="1" si="308"/>
        <v>6</v>
      </c>
      <c r="D991">
        <f t="shared" ca="1" si="309"/>
        <v>5</v>
      </c>
      <c r="E991">
        <f t="shared" ca="1" si="310"/>
        <v>3</v>
      </c>
      <c r="F991" s="110">
        <f t="shared" ca="1" si="311"/>
        <v>1.7459999999999997E-3</v>
      </c>
      <c r="G991">
        <v>0</v>
      </c>
      <c r="H991">
        <v>0</v>
      </c>
      <c r="I991">
        <v>7</v>
      </c>
      <c r="J991" s="1">
        <f t="shared" ca="1" si="312"/>
        <v>0</v>
      </c>
      <c r="K991" s="1">
        <f t="shared" ca="1" si="313"/>
        <v>0</v>
      </c>
      <c r="L991" s="13">
        <f t="shared" ca="1" si="314"/>
        <v>133</v>
      </c>
      <c r="M991" s="7">
        <f t="shared" ca="1" si="315"/>
        <v>1367</v>
      </c>
      <c r="N991" s="26">
        <f t="shared" ca="1" si="316"/>
        <v>4</v>
      </c>
      <c r="O991" s="44">
        <f t="shared" ca="1" si="317"/>
        <v>2.8908103757121246</v>
      </c>
      <c r="P991" s="44">
        <f t="shared" ca="1" si="318"/>
        <v>28.908103757121246</v>
      </c>
      <c r="Q991" s="44">
        <f t="shared" ca="1" si="319"/>
        <v>28.908103757121246</v>
      </c>
      <c r="R991" s="44">
        <f t="shared" ca="1" si="320"/>
        <v>2.8908103757121246</v>
      </c>
      <c r="S991" s="44">
        <f t="shared" ca="1" si="321"/>
        <v>2.8908103757121246</v>
      </c>
      <c r="T991" s="4">
        <f t="shared" ca="1" si="322"/>
        <v>0</v>
      </c>
      <c r="U991" s="120">
        <f t="shared" ca="1" si="323"/>
        <v>1984.6750620401288</v>
      </c>
      <c r="V991" s="4">
        <f t="shared" ca="1" si="324"/>
        <v>0</v>
      </c>
      <c r="W991" s="13">
        <f t="shared" ca="1" si="325"/>
        <v>19411.875</v>
      </c>
      <c r="X991" s="4">
        <f t="shared" ca="1" si="326"/>
        <v>0</v>
      </c>
      <c r="Y991" s="4">
        <f t="shared" si="327"/>
        <v>0</v>
      </c>
      <c r="Z991" s="13">
        <f t="shared" ca="1" si="328"/>
        <v>19411.875</v>
      </c>
      <c r="AA991" s="4">
        <f t="shared" ca="1" si="329"/>
        <v>0</v>
      </c>
    </row>
    <row r="992" spans="1:27">
      <c r="A992">
        <v>3</v>
      </c>
      <c r="B992">
        <v>1</v>
      </c>
      <c r="C992">
        <f t="shared" ca="1" si="308"/>
        <v>6</v>
      </c>
      <c r="D992">
        <f t="shared" ca="1" si="309"/>
        <v>5</v>
      </c>
      <c r="E992">
        <f t="shared" ca="1" si="310"/>
        <v>3</v>
      </c>
      <c r="F992" s="110">
        <f t="shared" ca="1" si="311"/>
        <v>1.7459999999999997E-3</v>
      </c>
      <c r="G992">
        <v>0</v>
      </c>
      <c r="H992">
        <v>0</v>
      </c>
      <c r="I992">
        <v>6</v>
      </c>
      <c r="J992" s="1">
        <f t="shared" ca="1" si="312"/>
        <v>0</v>
      </c>
      <c r="K992" s="1">
        <f t="shared" ca="1" si="313"/>
        <v>0</v>
      </c>
      <c r="L992" s="13">
        <f t="shared" ca="1" si="314"/>
        <v>114</v>
      </c>
      <c r="M992" s="7">
        <f t="shared" ca="1" si="315"/>
        <v>1386</v>
      </c>
      <c r="N992" s="26">
        <f t="shared" ca="1" si="316"/>
        <v>4</v>
      </c>
      <c r="O992" s="44">
        <f t="shared" ca="1" si="317"/>
        <v>2.8908103757121246</v>
      </c>
      <c r="P992" s="44">
        <f t="shared" ca="1" si="318"/>
        <v>28.908103757121246</v>
      </c>
      <c r="Q992" s="44">
        <f t="shared" ca="1" si="319"/>
        <v>28.908103757121246</v>
      </c>
      <c r="R992" s="44">
        <f t="shared" ca="1" si="320"/>
        <v>2.8908103757121246</v>
      </c>
      <c r="S992" s="44">
        <f t="shared" ca="1" si="321"/>
        <v>2.8908103757121246</v>
      </c>
      <c r="T992" s="4">
        <f t="shared" ca="1" si="322"/>
        <v>0</v>
      </c>
      <c r="U992" s="120">
        <f t="shared" ca="1" si="323"/>
        <v>1965.6750620401288</v>
      </c>
      <c r="V992" s="4">
        <f t="shared" ca="1" si="324"/>
        <v>0</v>
      </c>
      <c r="W992" s="13">
        <f t="shared" ca="1" si="325"/>
        <v>16638.75</v>
      </c>
      <c r="X992" s="4">
        <f t="shared" ca="1" si="326"/>
        <v>0</v>
      </c>
      <c r="Y992" s="4">
        <f t="shared" si="327"/>
        <v>0</v>
      </c>
      <c r="Z992" s="13">
        <f t="shared" ca="1" si="328"/>
        <v>16638.75</v>
      </c>
      <c r="AA992" s="4">
        <f t="shared" ca="1" si="329"/>
        <v>0</v>
      </c>
    </row>
    <row r="993" spans="1:27">
      <c r="A993">
        <v>3</v>
      </c>
      <c r="B993">
        <v>1</v>
      </c>
      <c r="C993">
        <f t="shared" ca="1" si="308"/>
        <v>6</v>
      </c>
      <c r="D993">
        <f t="shared" ca="1" si="309"/>
        <v>5</v>
      </c>
      <c r="E993">
        <f t="shared" ca="1" si="310"/>
        <v>3</v>
      </c>
      <c r="F993" s="110">
        <f t="shared" ca="1" si="311"/>
        <v>1.7459999999999997E-3</v>
      </c>
      <c r="G993">
        <v>0</v>
      </c>
      <c r="H993">
        <v>0</v>
      </c>
      <c r="I993">
        <v>5</v>
      </c>
      <c r="J993" s="1">
        <f t="shared" ca="1" si="312"/>
        <v>3.8689046875000001E-2</v>
      </c>
      <c r="K993" s="1">
        <f t="shared" ca="1" si="313"/>
        <v>6.7551075843749986E-5</v>
      </c>
      <c r="L993" s="13">
        <f t="shared" ca="1" si="314"/>
        <v>95</v>
      </c>
      <c r="M993" s="7">
        <f t="shared" ca="1" si="315"/>
        <v>1405</v>
      </c>
      <c r="N993" s="26">
        <f t="shared" ca="1" si="316"/>
        <v>5</v>
      </c>
      <c r="O993" s="44">
        <f t="shared" ca="1" si="317"/>
        <v>3.5395046525977252</v>
      </c>
      <c r="P993" s="44">
        <f t="shared" ca="1" si="318"/>
        <v>35.39504652597725</v>
      </c>
      <c r="Q993" s="44">
        <f t="shared" ca="1" si="319"/>
        <v>30.205492310892446</v>
      </c>
      <c r="R993" s="44">
        <f t="shared" ca="1" si="320"/>
        <v>3.2800269418434853</v>
      </c>
      <c r="S993" s="44">
        <f t="shared" ca="1" si="321"/>
        <v>3.5213412128449284</v>
      </c>
      <c r="T993" s="4">
        <f t="shared" ca="1" si="322"/>
        <v>2.3787038734061032E-4</v>
      </c>
      <c r="U993" s="120">
        <f t="shared" ca="1" si="323"/>
        <v>2290.8626329996823</v>
      </c>
      <c r="V993" s="4">
        <f t="shared" ca="1" si="324"/>
        <v>0.15475023546937433</v>
      </c>
      <c r="W993" s="13">
        <f t="shared" ca="1" si="325"/>
        <v>13865.625</v>
      </c>
      <c r="X993" s="4">
        <f t="shared" ca="1" si="326"/>
        <v>0.93663788599599584</v>
      </c>
      <c r="Y993" s="4">
        <f t="shared" si="327"/>
        <v>0</v>
      </c>
      <c r="Z993" s="13">
        <f t="shared" ca="1" si="328"/>
        <v>13865.625</v>
      </c>
      <c r="AA993" s="4">
        <f t="shared" ca="1" si="329"/>
        <v>0.93663788599599584</v>
      </c>
    </row>
    <row r="994" spans="1:27">
      <c r="A994">
        <v>3</v>
      </c>
      <c r="B994">
        <v>1</v>
      </c>
      <c r="C994">
        <f t="shared" ca="1" si="308"/>
        <v>6</v>
      </c>
      <c r="D994">
        <f t="shared" ca="1" si="309"/>
        <v>5</v>
      </c>
      <c r="E994">
        <f t="shared" ca="1" si="310"/>
        <v>3</v>
      </c>
      <c r="F994" s="110">
        <f t="shared" ca="1" si="311"/>
        <v>1.7459999999999997E-3</v>
      </c>
      <c r="G994">
        <v>0</v>
      </c>
      <c r="H994">
        <v>0</v>
      </c>
      <c r="I994">
        <v>4</v>
      </c>
      <c r="J994" s="1">
        <f t="shared" ca="1" si="312"/>
        <v>1.0181328125000009E-2</v>
      </c>
      <c r="K994" s="1">
        <f t="shared" ca="1" si="313"/>
        <v>1.7776598906250013E-5</v>
      </c>
      <c r="L994" s="13">
        <f t="shared" ca="1" si="314"/>
        <v>76</v>
      </c>
      <c r="M994" s="7">
        <f t="shared" ca="1" si="315"/>
        <v>1424</v>
      </c>
      <c r="N994" s="26">
        <f t="shared" ca="1" si="316"/>
        <v>5</v>
      </c>
      <c r="O994" s="44">
        <f t="shared" ca="1" si="317"/>
        <v>3.5395046525977252</v>
      </c>
      <c r="P994" s="44">
        <f t="shared" ca="1" si="318"/>
        <v>35.39504652597725</v>
      </c>
      <c r="Q994" s="44">
        <f t="shared" ca="1" si="319"/>
        <v>35.39504652597725</v>
      </c>
      <c r="R994" s="44">
        <f t="shared" ca="1" si="320"/>
        <v>3.5395046525977252</v>
      </c>
      <c r="S994" s="44">
        <f t="shared" ca="1" si="321"/>
        <v>3.5395046525977252</v>
      </c>
      <c r="T994" s="4">
        <f t="shared" ca="1" si="322"/>
        <v>6.2920354536035553E-5</v>
      </c>
      <c r="U994" s="120">
        <f t="shared" ca="1" si="323"/>
        <v>2281.7775012989287</v>
      </c>
      <c r="V994" s="4">
        <f t="shared" ca="1" si="324"/>
        <v>4.0562243433896424E-2</v>
      </c>
      <c r="W994" s="13">
        <f t="shared" ca="1" si="325"/>
        <v>11092.5</v>
      </c>
      <c r="X994" s="4">
        <f t="shared" ca="1" si="326"/>
        <v>0.19718692336757826</v>
      </c>
      <c r="Y994" s="4">
        <f t="shared" si="327"/>
        <v>0</v>
      </c>
      <c r="Z994" s="13">
        <f t="shared" ca="1" si="328"/>
        <v>11092.5</v>
      </c>
      <c r="AA994" s="4">
        <f t="shared" ca="1" si="329"/>
        <v>0.19718692336757826</v>
      </c>
    </row>
    <row r="995" spans="1:27">
      <c r="A995">
        <v>3</v>
      </c>
      <c r="B995">
        <v>1</v>
      </c>
      <c r="C995">
        <f t="shared" ca="1" si="308"/>
        <v>6</v>
      </c>
      <c r="D995">
        <f t="shared" ca="1" si="309"/>
        <v>5</v>
      </c>
      <c r="E995">
        <f t="shared" ca="1" si="310"/>
        <v>3</v>
      </c>
      <c r="F995" s="110">
        <f t="shared" ca="1" si="311"/>
        <v>1.7459999999999997E-3</v>
      </c>
      <c r="G995">
        <v>0</v>
      </c>
      <c r="H995">
        <v>0</v>
      </c>
      <c r="I995">
        <v>3</v>
      </c>
      <c r="J995" s="1">
        <f t="shared" ca="1" si="312"/>
        <v>1.0717187500000017E-3</v>
      </c>
      <c r="K995" s="1">
        <f t="shared" ca="1" si="313"/>
        <v>1.8712209375000027E-6</v>
      </c>
      <c r="L995" s="13">
        <f t="shared" ca="1" si="314"/>
        <v>57</v>
      </c>
      <c r="M995" s="7">
        <f t="shared" ca="1" si="315"/>
        <v>1443</v>
      </c>
      <c r="N995" s="26">
        <f t="shared" ca="1" si="316"/>
        <v>5</v>
      </c>
      <c r="O995" s="44">
        <f t="shared" ca="1" si="317"/>
        <v>3.5395046525977252</v>
      </c>
      <c r="P995" s="44">
        <f t="shared" ca="1" si="318"/>
        <v>35.39504652597725</v>
      </c>
      <c r="Q995" s="44">
        <f t="shared" ca="1" si="319"/>
        <v>35.39504652597725</v>
      </c>
      <c r="R995" s="44">
        <f t="shared" ca="1" si="320"/>
        <v>3.5395046525977252</v>
      </c>
      <c r="S995" s="44">
        <f t="shared" ca="1" si="321"/>
        <v>3.5395046525977252</v>
      </c>
      <c r="T995" s="4">
        <f t="shared" ca="1" si="322"/>
        <v>6.6231952143195366E-6</v>
      </c>
      <c r="U995" s="120">
        <f t="shared" ca="1" si="323"/>
        <v>2262.7775012989287</v>
      </c>
      <c r="V995" s="4">
        <f t="shared" ca="1" si="324"/>
        <v>4.2341566373344953E-3</v>
      </c>
      <c r="W995" s="13">
        <f t="shared" ca="1" si="325"/>
        <v>8319.375</v>
      </c>
      <c r="X995" s="4">
        <f t="shared" ca="1" si="326"/>
        <v>1.5567388686914084E-2</v>
      </c>
      <c r="Y995" s="4">
        <f t="shared" si="327"/>
        <v>0</v>
      </c>
      <c r="Z995" s="13">
        <f t="shared" ca="1" si="328"/>
        <v>8319.375</v>
      </c>
      <c r="AA995" s="4">
        <f t="shared" ca="1" si="329"/>
        <v>1.5567388686914084E-2</v>
      </c>
    </row>
    <row r="996" spans="1:27">
      <c r="A996">
        <v>3</v>
      </c>
      <c r="B996">
        <v>1</v>
      </c>
      <c r="C996">
        <f t="shared" ca="1" si="308"/>
        <v>6</v>
      </c>
      <c r="D996">
        <f t="shared" ca="1" si="309"/>
        <v>5</v>
      </c>
      <c r="E996">
        <f t="shared" ca="1" si="310"/>
        <v>3</v>
      </c>
      <c r="F996" s="110">
        <f t="shared" ca="1" si="311"/>
        <v>1.7459999999999997E-3</v>
      </c>
      <c r="G996">
        <v>0</v>
      </c>
      <c r="H996">
        <v>0</v>
      </c>
      <c r="I996">
        <v>2</v>
      </c>
      <c r="J996" s="1">
        <f t="shared" ca="1" si="312"/>
        <v>5.6406250000000155E-5</v>
      </c>
      <c r="K996" s="1">
        <f t="shared" ca="1" si="313"/>
        <v>9.8485312500000258E-8</v>
      </c>
      <c r="L996" s="13">
        <f t="shared" ca="1" si="314"/>
        <v>38</v>
      </c>
      <c r="M996" s="7">
        <f t="shared" ca="1" si="315"/>
        <v>1462</v>
      </c>
      <c r="N996" s="26">
        <f t="shared" ca="1" si="316"/>
        <v>5</v>
      </c>
      <c r="O996" s="44">
        <f t="shared" ca="1" si="317"/>
        <v>3.5395046525977252</v>
      </c>
      <c r="P996" s="44">
        <f t="shared" ca="1" si="318"/>
        <v>35.39504652597725</v>
      </c>
      <c r="Q996" s="44">
        <f t="shared" ca="1" si="319"/>
        <v>35.39504652597725</v>
      </c>
      <c r="R996" s="44">
        <f t="shared" ca="1" si="320"/>
        <v>3.5395046525977252</v>
      </c>
      <c r="S996" s="44">
        <f t="shared" ca="1" si="321"/>
        <v>3.5395046525977252</v>
      </c>
      <c r="T996" s="4">
        <f t="shared" ca="1" si="322"/>
        <v>3.4858922180629183E-7</v>
      </c>
      <c r="U996" s="120">
        <f t="shared" ca="1" si="323"/>
        <v>2243.7775012989287</v>
      </c>
      <c r="V996" s="4">
        <f t="shared" ca="1" si="324"/>
        <v>2.2097912839589472E-4</v>
      </c>
      <c r="W996" s="13">
        <f t="shared" ca="1" si="325"/>
        <v>5546.25</v>
      </c>
      <c r="X996" s="4">
        <f t="shared" ca="1" si="326"/>
        <v>5.4622416445312646E-4</v>
      </c>
      <c r="Y996" s="4">
        <f t="shared" si="327"/>
        <v>0</v>
      </c>
      <c r="Z996" s="13">
        <f t="shared" ca="1" si="328"/>
        <v>5546.25</v>
      </c>
      <c r="AA996" s="4">
        <f t="shared" ca="1" si="329"/>
        <v>5.4622416445312646E-4</v>
      </c>
    </row>
    <row r="997" spans="1:27">
      <c r="A997">
        <v>3</v>
      </c>
      <c r="B997">
        <v>1</v>
      </c>
      <c r="C997">
        <f t="shared" ca="1" si="308"/>
        <v>6</v>
      </c>
      <c r="D997">
        <f t="shared" ca="1" si="309"/>
        <v>5</v>
      </c>
      <c r="E997">
        <f t="shared" ca="1" si="310"/>
        <v>3</v>
      </c>
      <c r="F997" s="110">
        <f t="shared" ca="1" si="311"/>
        <v>1.7459999999999997E-3</v>
      </c>
      <c r="G997">
        <v>0</v>
      </c>
      <c r="H997">
        <v>0</v>
      </c>
      <c r="I997">
        <v>1</v>
      </c>
      <c r="J997" s="1">
        <f t="shared" ca="1" si="312"/>
        <v>1.4843750000000054E-6</v>
      </c>
      <c r="K997" s="1">
        <f t="shared" ca="1" si="313"/>
        <v>2.5917187500000089E-9</v>
      </c>
      <c r="L997" s="13">
        <f t="shared" ca="1" si="314"/>
        <v>19</v>
      </c>
      <c r="M997" s="7">
        <f t="shared" ca="1" si="315"/>
        <v>1481</v>
      </c>
      <c r="N997" s="26">
        <f t="shared" ca="1" si="316"/>
        <v>5</v>
      </c>
      <c r="O997" s="44">
        <f t="shared" ca="1" si="317"/>
        <v>3.5395046525977252</v>
      </c>
      <c r="P997" s="44">
        <f t="shared" ca="1" si="318"/>
        <v>35.39504652597725</v>
      </c>
      <c r="Q997" s="44">
        <f t="shared" ca="1" si="319"/>
        <v>35.39504652597725</v>
      </c>
      <c r="R997" s="44">
        <f t="shared" ca="1" si="320"/>
        <v>3.5395046525977252</v>
      </c>
      <c r="S997" s="44">
        <f t="shared" ca="1" si="321"/>
        <v>3.5395046525977252</v>
      </c>
      <c r="T997" s="4">
        <f t="shared" ca="1" si="322"/>
        <v>9.1734005738497925E-9</v>
      </c>
      <c r="U997" s="120">
        <f t="shared" ca="1" si="323"/>
        <v>2224.7775012989287</v>
      </c>
      <c r="V997" s="4">
        <f t="shared" ca="1" si="324"/>
        <v>5.765997564694603E-6</v>
      </c>
      <c r="W997" s="13">
        <f t="shared" ca="1" si="325"/>
        <v>2773.125</v>
      </c>
      <c r="X997" s="4">
        <f t="shared" ca="1" si="326"/>
        <v>7.1871600585937745E-6</v>
      </c>
      <c r="Y997" s="4">
        <f t="shared" si="327"/>
        <v>0</v>
      </c>
      <c r="Z997" s="13">
        <f t="shared" ca="1" si="328"/>
        <v>2773.125</v>
      </c>
      <c r="AA997" s="4">
        <f t="shared" ca="1" si="329"/>
        <v>7.1871600585937745E-6</v>
      </c>
    </row>
    <row r="998" spans="1:27">
      <c r="A998">
        <v>3</v>
      </c>
      <c r="B998">
        <v>1</v>
      </c>
      <c r="C998">
        <f t="shared" ca="1" si="308"/>
        <v>6</v>
      </c>
      <c r="D998">
        <f t="shared" ca="1" si="309"/>
        <v>5</v>
      </c>
      <c r="E998">
        <f t="shared" ca="1" si="310"/>
        <v>3</v>
      </c>
      <c r="F998" s="110">
        <f t="shared" ca="1" si="311"/>
        <v>1.7459999999999997E-3</v>
      </c>
      <c r="G998">
        <v>0</v>
      </c>
      <c r="H998">
        <v>0</v>
      </c>
      <c r="I998">
        <v>0</v>
      </c>
      <c r="J998" s="1">
        <f t="shared" ca="1" si="312"/>
        <v>1.5625000000000072E-8</v>
      </c>
      <c r="K998" s="1">
        <f t="shared" ca="1" si="313"/>
        <v>2.7281250000000122E-11</v>
      </c>
      <c r="L998" s="13">
        <f t="shared" ca="1" si="314"/>
        <v>0</v>
      </c>
      <c r="M998" s="7">
        <f t="shared" ca="1" si="315"/>
        <v>1500</v>
      </c>
      <c r="N998" s="26">
        <f t="shared" ca="1" si="316"/>
        <v>5</v>
      </c>
      <c r="O998" s="44">
        <f t="shared" ca="1" si="317"/>
        <v>3.5395046525977252</v>
      </c>
      <c r="P998" s="44">
        <f t="shared" ca="1" si="318"/>
        <v>35.39504652597725</v>
      </c>
      <c r="Q998" s="44">
        <f t="shared" ca="1" si="319"/>
        <v>35.39504652597725</v>
      </c>
      <c r="R998" s="44">
        <f t="shared" ca="1" si="320"/>
        <v>3.5395046525977252</v>
      </c>
      <c r="S998" s="44">
        <f t="shared" ca="1" si="321"/>
        <v>3.5395046525977252</v>
      </c>
      <c r="T998" s="4">
        <f t="shared" ca="1" si="322"/>
        <v>9.6562111303682118E-11</v>
      </c>
      <c r="U998" s="120">
        <f t="shared" ca="1" si="323"/>
        <v>2205.7775012989287</v>
      </c>
      <c r="V998" s="4">
        <f t="shared" ca="1" si="324"/>
        <v>6.0176367457311662E-8</v>
      </c>
      <c r="W998" s="13">
        <f t="shared" ca="1" si="325"/>
        <v>0</v>
      </c>
      <c r="X998" s="4">
        <f t="shared" ca="1" si="326"/>
        <v>0</v>
      </c>
      <c r="Y998" s="4">
        <f t="shared" si="327"/>
        <v>0</v>
      </c>
      <c r="Z998" s="13">
        <f t="shared" ca="1" si="328"/>
        <v>0</v>
      </c>
      <c r="AA998" s="4">
        <f t="shared" ca="1" si="329"/>
        <v>0</v>
      </c>
    </row>
    <row r="999" spans="1:27">
      <c r="A999">
        <v>3</v>
      </c>
      <c r="B999">
        <v>2</v>
      </c>
      <c r="C999">
        <f t="shared" ref="C999:C1062" ca="1" si="330">MIN(8, 1+$B$543+$B$542+A999+B999)</f>
        <v>7</v>
      </c>
      <c r="D999">
        <f t="shared" ref="D999:D1062" ca="1" si="331">C999-(1+$B$543)</f>
        <v>6</v>
      </c>
      <c r="E999">
        <f t="shared" ref="E999:E1062" ca="1" si="332">MIN(A999, C999-(1+$B$543+$B$542))</f>
        <v>3</v>
      </c>
      <c r="F999" s="110">
        <f t="shared" ref="F999:F1062" ca="1" si="333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0</v>
      </c>
      <c r="G999">
        <v>1</v>
      </c>
      <c r="H999">
        <v>1</v>
      </c>
      <c r="I999">
        <v>7</v>
      </c>
      <c r="J999" s="1">
        <f t="shared" ref="J999:J1062" ca="1" si="334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335">F999*J999</f>
        <v>0</v>
      </c>
      <c r="L999" s="13">
        <f t="shared" ref="L999:L1062" ca="1" si="336">MAX((G999+H999)*Set2WSTP + I999*$B$539, Set2SaveTP)</f>
        <v>701</v>
      </c>
      <c r="M999" s="7">
        <f t="shared" ref="M999:M1062" ca="1" si="337">MAX(Set2MinTP-(L999+Set2Regain), 0)</f>
        <v>799</v>
      </c>
      <c r="N999" s="26">
        <f t="shared" ref="N999:N1062" ca="1" si="338">CEILING(M999/Set2MeleeTP, 1)</f>
        <v>3</v>
      </c>
      <c r="O999" s="44">
        <f t="shared" ref="O999:O1062" ca="1" si="339">VLOOKUP(N999, AvgRoundsSet2, 2)</f>
        <v>2.2758855914378953</v>
      </c>
      <c r="P999" s="44">
        <f t="shared" ref="P999:P1062" ca="1" si="340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22.758855914378952</v>
      </c>
      <c r="Q999" s="44">
        <f t="shared" ref="Q999:Q1062" ca="1" si="341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22.758855914378952</v>
      </c>
      <c r="R999" s="44">
        <f t="shared" ref="R999:R1062" ca="1" si="342">(P999+Q999)/20</f>
        <v>2.2758855914378953</v>
      </c>
      <c r="S999" s="44">
        <f t="shared" ref="S999:S1062" ca="1" si="343">R999*Set2ConserveTP + O999*(1-Set2ConserveTP)</f>
        <v>2.2758855914378953</v>
      </c>
      <c r="T999" s="4">
        <f t="shared" ref="T999:T1062" ca="1" si="344">K999*S999</f>
        <v>0</v>
      </c>
      <c r="U999" s="120">
        <f t="shared" ref="U999:U1062" ca="1" si="345">MIN(L999+(S999+Set2OverTP)*AvgHitsPerRound2*Set2MeleeTP + Set2Regain + 10.5*Set2ConserveTP, 3000)</f>
        <v>2217.0063598009133</v>
      </c>
      <c r="V999" s="4">
        <f t="shared" ref="V999:V1062" ca="1" si="346">U999*K999</f>
        <v>0</v>
      </c>
      <c r="W999" s="13">
        <f t="shared" ref="W999:W1062" ca="1" si="347">G999*$K$543*((1-$L$543)*$L$547 + $L$543*$M$547*$M$543)*Set2WSDmg + H999*$K$546*((1-$L$546)*$L$548 + $L$546*$M$548*$M$544) + I999*$K$544*((1-$L$544)*$L$547 + $L$544*$M$547*$M$544) + E999*$K$545*$L$545*$M$543</f>
        <v>49588.256250000006</v>
      </c>
      <c r="X999" s="4">
        <f t="shared" ref="X999:X1062" ca="1" si="348">K999*W999</f>
        <v>0</v>
      </c>
      <c r="Y999" s="4">
        <f t="shared" ref="Y999:Y1062" si="349">IF($B$545=1, (VLOOKUP(C999, IF($B$546=10%,Souleater10,Souleater12), 6, FALSE) * $B$547), 0)</f>
        <v>0</v>
      </c>
      <c r="Z999" s="13">
        <f t="shared" ca="1" si="328"/>
        <v>49588.256250000006</v>
      </c>
      <c r="AA999" s="4">
        <f t="shared" ca="1" si="329"/>
        <v>0</v>
      </c>
    </row>
    <row r="1000" spans="1:27">
      <c r="A1000">
        <v>3</v>
      </c>
      <c r="B1000">
        <v>2</v>
      </c>
      <c r="C1000">
        <f t="shared" ca="1" si="330"/>
        <v>7</v>
      </c>
      <c r="D1000">
        <f t="shared" ca="1" si="331"/>
        <v>6</v>
      </c>
      <c r="E1000">
        <f t="shared" ca="1" si="332"/>
        <v>3</v>
      </c>
      <c r="F1000" s="110">
        <f t="shared" ca="1" si="333"/>
        <v>0</v>
      </c>
      <c r="G1000">
        <v>1</v>
      </c>
      <c r="H1000">
        <v>1</v>
      </c>
      <c r="I1000">
        <v>6</v>
      </c>
      <c r="J1000" s="1">
        <f t="shared" ca="1" si="334"/>
        <v>0</v>
      </c>
      <c r="K1000" s="1">
        <f t="shared" ca="1" si="335"/>
        <v>0</v>
      </c>
      <c r="L1000" s="13">
        <f t="shared" ca="1" si="336"/>
        <v>682</v>
      </c>
      <c r="M1000" s="7">
        <f t="shared" ca="1" si="337"/>
        <v>818</v>
      </c>
      <c r="N1000" s="26">
        <f t="shared" ca="1" si="338"/>
        <v>3</v>
      </c>
      <c r="O1000" s="44">
        <f t="shared" ca="1" si="339"/>
        <v>2.2758855914378953</v>
      </c>
      <c r="P1000" s="44">
        <f t="shared" ca="1" si="340"/>
        <v>22.758855914378952</v>
      </c>
      <c r="Q1000" s="44">
        <f t="shared" ca="1" si="341"/>
        <v>22.758855914378952</v>
      </c>
      <c r="R1000" s="44">
        <f t="shared" ca="1" si="342"/>
        <v>2.2758855914378953</v>
      </c>
      <c r="S1000" s="44">
        <f t="shared" ca="1" si="343"/>
        <v>2.2758855914378953</v>
      </c>
      <c r="T1000" s="4">
        <f t="shared" ca="1" si="344"/>
        <v>0</v>
      </c>
      <c r="U1000" s="120">
        <f t="shared" ca="1" si="345"/>
        <v>2198.0063598009133</v>
      </c>
      <c r="V1000" s="4">
        <f t="shared" ca="1" si="346"/>
        <v>0</v>
      </c>
      <c r="W1000" s="13">
        <f t="shared" ca="1" si="347"/>
        <v>46815.131250000006</v>
      </c>
      <c r="X1000" s="4">
        <f t="shared" ca="1" si="348"/>
        <v>0</v>
      </c>
      <c r="Y1000" s="4">
        <f t="shared" si="349"/>
        <v>0</v>
      </c>
      <c r="Z1000" s="13">
        <f t="shared" ref="Z1000:Z1062" ca="1" si="350">Y1000+W1000</f>
        <v>46815.131250000006</v>
      </c>
      <c r="AA1000" s="4">
        <f t="shared" ref="AA1000:AA1062" ca="1" si="351">Z1000*K1000</f>
        <v>0</v>
      </c>
    </row>
    <row r="1001" spans="1:27">
      <c r="A1001">
        <v>3</v>
      </c>
      <c r="B1001">
        <v>2</v>
      </c>
      <c r="C1001">
        <f t="shared" ca="1" si="330"/>
        <v>7</v>
      </c>
      <c r="D1001">
        <f t="shared" ca="1" si="331"/>
        <v>6</v>
      </c>
      <c r="E1001">
        <f t="shared" ca="1" si="332"/>
        <v>3</v>
      </c>
      <c r="F1001" s="110">
        <f t="shared" ca="1" si="333"/>
        <v>0</v>
      </c>
      <c r="G1001">
        <v>1</v>
      </c>
      <c r="H1001">
        <v>1</v>
      </c>
      <c r="I1001">
        <v>5</v>
      </c>
      <c r="J1001" s="1">
        <f t="shared" ca="1" si="334"/>
        <v>0</v>
      </c>
      <c r="K1001" s="1">
        <f t="shared" ca="1" si="335"/>
        <v>0</v>
      </c>
      <c r="L1001" s="13">
        <f t="shared" ca="1" si="336"/>
        <v>663</v>
      </c>
      <c r="M1001" s="7">
        <f t="shared" ca="1" si="337"/>
        <v>837</v>
      </c>
      <c r="N1001" s="26">
        <f t="shared" ca="1" si="338"/>
        <v>3</v>
      </c>
      <c r="O1001" s="44">
        <f t="shared" ca="1" si="339"/>
        <v>2.2758855914378953</v>
      </c>
      <c r="P1001" s="44">
        <f t="shared" ca="1" si="340"/>
        <v>22.758855914378952</v>
      </c>
      <c r="Q1001" s="44">
        <f t="shared" ca="1" si="341"/>
        <v>22.758855914378952</v>
      </c>
      <c r="R1001" s="44">
        <f t="shared" ca="1" si="342"/>
        <v>2.2758855914378953</v>
      </c>
      <c r="S1001" s="44">
        <f t="shared" ca="1" si="343"/>
        <v>2.2758855914378953</v>
      </c>
      <c r="T1001" s="4">
        <f t="shared" ca="1" si="344"/>
        <v>0</v>
      </c>
      <c r="U1001" s="120">
        <f t="shared" ca="1" si="345"/>
        <v>2179.0063598009133</v>
      </c>
      <c r="V1001" s="4">
        <f t="shared" ca="1" si="346"/>
        <v>0</v>
      </c>
      <c r="W1001" s="13">
        <f t="shared" ca="1" si="347"/>
        <v>44042.006250000006</v>
      </c>
      <c r="X1001" s="4">
        <f t="shared" ca="1" si="348"/>
        <v>0</v>
      </c>
      <c r="Y1001" s="4">
        <f t="shared" si="349"/>
        <v>0</v>
      </c>
      <c r="Z1001" s="13">
        <f t="shared" ca="1" si="350"/>
        <v>44042.006250000006</v>
      </c>
      <c r="AA1001" s="4">
        <f t="shared" ca="1" si="351"/>
        <v>0</v>
      </c>
    </row>
    <row r="1002" spans="1:27">
      <c r="A1002">
        <v>3</v>
      </c>
      <c r="B1002">
        <v>2</v>
      </c>
      <c r="C1002">
        <f t="shared" ca="1" si="330"/>
        <v>7</v>
      </c>
      <c r="D1002">
        <f t="shared" ca="1" si="331"/>
        <v>6</v>
      </c>
      <c r="E1002">
        <f t="shared" ca="1" si="332"/>
        <v>3</v>
      </c>
      <c r="F1002" s="110">
        <f t="shared" ca="1" si="333"/>
        <v>0</v>
      </c>
      <c r="G1002">
        <v>1</v>
      </c>
      <c r="H1002">
        <v>1</v>
      </c>
      <c r="I1002">
        <v>4</v>
      </c>
      <c r="J1002" s="1">
        <f t="shared" ca="1" si="334"/>
        <v>0</v>
      </c>
      <c r="K1002" s="1">
        <f t="shared" ca="1" si="335"/>
        <v>0</v>
      </c>
      <c r="L1002" s="13">
        <f t="shared" ca="1" si="336"/>
        <v>644</v>
      </c>
      <c r="M1002" s="7">
        <f t="shared" ca="1" si="337"/>
        <v>856</v>
      </c>
      <c r="N1002" s="26">
        <f t="shared" ca="1" si="338"/>
        <v>3</v>
      </c>
      <c r="O1002" s="44">
        <f t="shared" ca="1" si="339"/>
        <v>2.2758855914378953</v>
      </c>
      <c r="P1002" s="44">
        <f t="shared" ca="1" si="340"/>
        <v>22.758855914378952</v>
      </c>
      <c r="Q1002" s="44">
        <f t="shared" ca="1" si="341"/>
        <v>22.758855914378952</v>
      </c>
      <c r="R1002" s="44">
        <f t="shared" ca="1" si="342"/>
        <v>2.2758855914378953</v>
      </c>
      <c r="S1002" s="44">
        <f t="shared" ca="1" si="343"/>
        <v>2.2758855914378953</v>
      </c>
      <c r="T1002" s="4">
        <f t="shared" ca="1" si="344"/>
        <v>0</v>
      </c>
      <c r="U1002" s="120">
        <f t="shared" ca="1" si="345"/>
        <v>2160.0063598009133</v>
      </c>
      <c r="V1002" s="4">
        <f t="shared" ca="1" si="346"/>
        <v>0</v>
      </c>
      <c r="W1002" s="13">
        <f t="shared" ca="1" si="347"/>
        <v>41268.881250000006</v>
      </c>
      <c r="X1002" s="4">
        <f t="shared" ca="1" si="348"/>
        <v>0</v>
      </c>
      <c r="Y1002" s="4">
        <f t="shared" si="349"/>
        <v>0</v>
      </c>
      <c r="Z1002" s="13">
        <f t="shared" ca="1" si="350"/>
        <v>41268.881250000006</v>
      </c>
      <c r="AA1002" s="4">
        <f t="shared" ca="1" si="351"/>
        <v>0</v>
      </c>
    </row>
    <row r="1003" spans="1:27">
      <c r="A1003">
        <v>3</v>
      </c>
      <c r="B1003">
        <v>2</v>
      </c>
      <c r="C1003">
        <f t="shared" ca="1" si="330"/>
        <v>7</v>
      </c>
      <c r="D1003">
        <f t="shared" ca="1" si="331"/>
        <v>6</v>
      </c>
      <c r="E1003">
        <f t="shared" ca="1" si="332"/>
        <v>3</v>
      </c>
      <c r="F1003" s="110">
        <f t="shared" ca="1" si="333"/>
        <v>0</v>
      </c>
      <c r="G1003">
        <v>1</v>
      </c>
      <c r="H1003">
        <v>1</v>
      </c>
      <c r="I1003">
        <v>3</v>
      </c>
      <c r="J1003" s="1">
        <f t="shared" ca="1" si="334"/>
        <v>0</v>
      </c>
      <c r="K1003" s="1">
        <f t="shared" ca="1" si="335"/>
        <v>0</v>
      </c>
      <c r="L1003" s="13">
        <f t="shared" ca="1" si="336"/>
        <v>625</v>
      </c>
      <c r="M1003" s="7">
        <f t="shared" ca="1" si="337"/>
        <v>875</v>
      </c>
      <c r="N1003" s="26">
        <f t="shared" ca="1" si="338"/>
        <v>3</v>
      </c>
      <c r="O1003" s="44">
        <f t="shared" ca="1" si="339"/>
        <v>2.2758855914378953</v>
      </c>
      <c r="P1003" s="44">
        <f t="shared" ca="1" si="340"/>
        <v>22.758855914378952</v>
      </c>
      <c r="Q1003" s="44">
        <f t="shared" ca="1" si="341"/>
        <v>22.758855914378952</v>
      </c>
      <c r="R1003" s="44">
        <f t="shared" ca="1" si="342"/>
        <v>2.2758855914378953</v>
      </c>
      <c r="S1003" s="44">
        <f t="shared" ca="1" si="343"/>
        <v>2.2758855914378953</v>
      </c>
      <c r="T1003" s="4">
        <f t="shared" ca="1" si="344"/>
        <v>0</v>
      </c>
      <c r="U1003" s="120">
        <f t="shared" ca="1" si="345"/>
        <v>2141.0063598009133</v>
      </c>
      <c r="V1003" s="4">
        <f t="shared" ca="1" si="346"/>
        <v>0</v>
      </c>
      <c r="W1003" s="13">
        <f t="shared" ca="1" si="347"/>
        <v>38495.756250000006</v>
      </c>
      <c r="X1003" s="4">
        <f t="shared" ca="1" si="348"/>
        <v>0</v>
      </c>
      <c r="Y1003" s="4">
        <f t="shared" si="349"/>
        <v>0</v>
      </c>
      <c r="Z1003" s="13">
        <f t="shared" ca="1" si="350"/>
        <v>38495.756250000006</v>
      </c>
      <c r="AA1003" s="4">
        <f t="shared" ca="1" si="351"/>
        <v>0</v>
      </c>
    </row>
    <row r="1004" spans="1:27">
      <c r="A1004">
        <v>3</v>
      </c>
      <c r="B1004">
        <v>2</v>
      </c>
      <c r="C1004">
        <f t="shared" ca="1" si="330"/>
        <v>7</v>
      </c>
      <c r="D1004">
        <f t="shared" ca="1" si="331"/>
        <v>6</v>
      </c>
      <c r="E1004">
        <f t="shared" ca="1" si="332"/>
        <v>3</v>
      </c>
      <c r="F1004" s="110">
        <f t="shared" ca="1" si="333"/>
        <v>0</v>
      </c>
      <c r="G1004">
        <v>1</v>
      </c>
      <c r="H1004">
        <v>1</v>
      </c>
      <c r="I1004">
        <v>2</v>
      </c>
      <c r="J1004" s="1">
        <f t="shared" ca="1" si="334"/>
        <v>0</v>
      </c>
      <c r="K1004" s="1">
        <f t="shared" ca="1" si="335"/>
        <v>0</v>
      </c>
      <c r="L1004" s="13">
        <f t="shared" ca="1" si="336"/>
        <v>606</v>
      </c>
      <c r="M1004" s="7">
        <f t="shared" ca="1" si="337"/>
        <v>894</v>
      </c>
      <c r="N1004" s="26">
        <f t="shared" ca="1" si="338"/>
        <v>3</v>
      </c>
      <c r="O1004" s="44">
        <f t="shared" ca="1" si="339"/>
        <v>2.2758855914378953</v>
      </c>
      <c r="P1004" s="44">
        <f t="shared" ca="1" si="340"/>
        <v>22.758855914378952</v>
      </c>
      <c r="Q1004" s="44">
        <f t="shared" ca="1" si="341"/>
        <v>22.758855914378952</v>
      </c>
      <c r="R1004" s="44">
        <f t="shared" ca="1" si="342"/>
        <v>2.2758855914378953</v>
      </c>
      <c r="S1004" s="44">
        <f t="shared" ca="1" si="343"/>
        <v>2.2758855914378953</v>
      </c>
      <c r="T1004" s="4">
        <f t="shared" ca="1" si="344"/>
        <v>0</v>
      </c>
      <c r="U1004" s="120">
        <f t="shared" ca="1" si="345"/>
        <v>2122.0063598009133</v>
      </c>
      <c r="V1004" s="4">
        <f t="shared" ca="1" si="346"/>
        <v>0</v>
      </c>
      <c r="W1004" s="13">
        <f t="shared" ca="1" si="347"/>
        <v>35722.631250000006</v>
      </c>
      <c r="X1004" s="4">
        <f t="shared" ca="1" si="348"/>
        <v>0</v>
      </c>
      <c r="Y1004" s="4">
        <f t="shared" si="349"/>
        <v>0</v>
      </c>
      <c r="Z1004" s="13">
        <f t="shared" ca="1" si="350"/>
        <v>35722.631250000006</v>
      </c>
      <c r="AA1004" s="4">
        <f t="shared" ca="1" si="351"/>
        <v>0</v>
      </c>
    </row>
    <row r="1005" spans="1:27">
      <c r="A1005">
        <v>3</v>
      </c>
      <c r="B1005">
        <v>2</v>
      </c>
      <c r="C1005">
        <f t="shared" ca="1" si="330"/>
        <v>7</v>
      </c>
      <c r="D1005">
        <f t="shared" ca="1" si="331"/>
        <v>6</v>
      </c>
      <c r="E1005">
        <f t="shared" ca="1" si="332"/>
        <v>3</v>
      </c>
      <c r="F1005" s="110">
        <f t="shared" ca="1" si="333"/>
        <v>0</v>
      </c>
      <c r="G1005">
        <v>1</v>
      </c>
      <c r="H1005">
        <v>1</v>
      </c>
      <c r="I1005">
        <v>1</v>
      </c>
      <c r="J1005" s="1">
        <f t="shared" ca="1" si="334"/>
        <v>0</v>
      </c>
      <c r="K1005" s="1">
        <f t="shared" ca="1" si="335"/>
        <v>0</v>
      </c>
      <c r="L1005" s="13">
        <f t="shared" ca="1" si="336"/>
        <v>587</v>
      </c>
      <c r="M1005" s="7">
        <f t="shared" ca="1" si="337"/>
        <v>913</v>
      </c>
      <c r="N1005" s="26">
        <f t="shared" ca="1" si="338"/>
        <v>3</v>
      </c>
      <c r="O1005" s="44">
        <f t="shared" ca="1" si="339"/>
        <v>2.2758855914378953</v>
      </c>
      <c r="P1005" s="44">
        <f t="shared" ca="1" si="340"/>
        <v>22.758855914378952</v>
      </c>
      <c r="Q1005" s="44">
        <f t="shared" ca="1" si="341"/>
        <v>22.758855914378952</v>
      </c>
      <c r="R1005" s="44">
        <f t="shared" ca="1" si="342"/>
        <v>2.2758855914378953</v>
      </c>
      <c r="S1005" s="44">
        <f t="shared" ca="1" si="343"/>
        <v>2.2758855914378953</v>
      </c>
      <c r="T1005" s="4">
        <f t="shared" ca="1" si="344"/>
        <v>0</v>
      </c>
      <c r="U1005" s="120">
        <f t="shared" ca="1" si="345"/>
        <v>2103.0063598009133</v>
      </c>
      <c r="V1005" s="4">
        <f t="shared" ca="1" si="346"/>
        <v>0</v>
      </c>
      <c r="W1005" s="13">
        <f t="shared" ca="1" si="347"/>
        <v>32949.506250000006</v>
      </c>
      <c r="X1005" s="4">
        <f t="shared" ca="1" si="348"/>
        <v>0</v>
      </c>
      <c r="Y1005" s="4">
        <f t="shared" si="349"/>
        <v>0</v>
      </c>
      <c r="Z1005" s="13">
        <f t="shared" ca="1" si="350"/>
        <v>32949.506250000006</v>
      </c>
      <c r="AA1005" s="4">
        <f t="shared" ca="1" si="351"/>
        <v>0</v>
      </c>
    </row>
    <row r="1006" spans="1:27">
      <c r="A1006">
        <v>3</v>
      </c>
      <c r="B1006">
        <v>2</v>
      </c>
      <c r="C1006">
        <f t="shared" ca="1" si="330"/>
        <v>7</v>
      </c>
      <c r="D1006">
        <f t="shared" ca="1" si="331"/>
        <v>6</v>
      </c>
      <c r="E1006">
        <f t="shared" ca="1" si="332"/>
        <v>3</v>
      </c>
      <c r="F1006" s="110">
        <f t="shared" ca="1" si="333"/>
        <v>0</v>
      </c>
      <c r="G1006">
        <v>1</v>
      </c>
      <c r="H1006">
        <v>1</v>
      </c>
      <c r="I1006">
        <v>0</v>
      </c>
      <c r="J1006" s="1">
        <f t="shared" ca="1" si="334"/>
        <v>0</v>
      </c>
      <c r="K1006" s="1">
        <f t="shared" ca="1" si="335"/>
        <v>0</v>
      </c>
      <c r="L1006" s="13">
        <f t="shared" ca="1" si="336"/>
        <v>568</v>
      </c>
      <c r="M1006" s="7">
        <f t="shared" ca="1" si="337"/>
        <v>932</v>
      </c>
      <c r="N1006" s="26">
        <f t="shared" ca="1" si="338"/>
        <v>3</v>
      </c>
      <c r="O1006" s="44">
        <f t="shared" ca="1" si="339"/>
        <v>2.2758855914378953</v>
      </c>
      <c r="P1006" s="44">
        <f t="shared" ca="1" si="340"/>
        <v>22.758855914378952</v>
      </c>
      <c r="Q1006" s="44">
        <f t="shared" ca="1" si="341"/>
        <v>22.758855914378952</v>
      </c>
      <c r="R1006" s="44">
        <f t="shared" ca="1" si="342"/>
        <v>2.2758855914378953</v>
      </c>
      <c r="S1006" s="44">
        <f t="shared" ca="1" si="343"/>
        <v>2.2758855914378953</v>
      </c>
      <c r="T1006" s="4">
        <f t="shared" ca="1" si="344"/>
        <v>0</v>
      </c>
      <c r="U1006" s="120">
        <f t="shared" ca="1" si="345"/>
        <v>2084.0063598009133</v>
      </c>
      <c r="V1006" s="4">
        <f t="shared" ca="1" si="346"/>
        <v>0</v>
      </c>
      <c r="W1006" s="13">
        <f t="shared" ca="1" si="347"/>
        <v>30176.381250000002</v>
      </c>
      <c r="X1006" s="4">
        <f t="shared" ca="1" si="348"/>
        <v>0</v>
      </c>
      <c r="Y1006" s="4">
        <f t="shared" si="349"/>
        <v>0</v>
      </c>
      <c r="Z1006" s="13">
        <f t="shared" ca="1" si="350"/>
        <v>30176.381250000002</v>
      </c>
      <c r="AA1006" s="4">
        <f t="shared" ca="1" si="351"/>
        <v>0</v>
      </c>
    </row>
    <row r="1007" spans="1:27">
      <c r="A1007">
        <v>3</v>
      </c>
      <c r="B1007">
        <v>2</v>
      </c>
      <c r="C1007">
        <f t="shared" ca="1" si="330"/>
        <v>7</v>
      </c>
      <c r="D1007">
        <f t="shared" ca="1" si="331"/>
        <v>6</v>
      </c>
      <c r="E1007">
        <f t="shared" ca="1" si="332"/>
        <v>3</v>
      </c>
      <c r="F1007" s="110">
        <f t="shared" ca="1" si="333"/>
        <v>0</v>
      </c>
      <c r="G1007">
        <v>1</v>
      </c>
      <c r="H1007">
        <v>0</v>
      </c>
      <c r="I1007">
        <v>7</v>
      </c>
      <c r="J1007" s="1">
        <f t="shared" ca="1" si="334"/>
        <v>0</v>
      </c>
      <c r="K1007" s="1">
        <f t="shared" ca="1" si="335"/>
        <v>0</v>
      </c>
      <c r="L1007" s="13">
        <f t="shared" ca="1" si="336"/>
        <v>417</v>
      </c>
      <c r="M1007" s="7">
        <f t="shared" ca="1" si="337"/>
        <v>1083</v>
      </c>
      <c r="N1007" s="26">
        <f t="shared" ca="1" si="338"/>
        <v>4</v>
      </c>
      <c r="O1007" s="44">
        <f t="shared" ca="1" si="339"/>
        <v>2.8908103757121246</v>
      </c>
      <c r="P1007" s="44">
        <f t="shared" ca="1" si="340"/>
        <v>28.908103757121246</v>
      </c>
      <c r="Q1007" s="44">
        <f t="shared" ca="1" si="341"/>
        <v>28.908103757121246</v>
      </c>
      <c r="R1007" s="44">
        <f t="shared" ca="1" si="342"/>
        <v>2.8908103757121246</v>
      </c>
      <c r="S1007" s="44">
        <f t="shared" ca="1" si="343"/>
        <v>2.8908103757121246</v>
      </c>
      <c r="T1007" s="4">
        <f t="shared" ca="1" si="344"/>
        <v>0</v>
      </c>
      <c r="U1007" s="120">
        <f t="shared" ca="1" si="345"/>
        <v>2268.675062040129</v>
      </c>
      <c r="V1007" s="4">
        <f t="shared" ca="1" si="346"/>
        <v>0</v>
      </c>
      <c r="W1007" s="13">
        <f t="shared" ca="1" si="347"/>
        <v>49588.256250000006</v>
      </c>
      <c r="X1007" s="4">
        <f t="shared" ca="1" si="348"/>
        <v>0</v>
      </c>
      <c r="Y1007" s="4">
        <f t="shared" si="349"/>
        <v>0</v>
      </c>
      <c r="Z1007" s="13">
        <f t="shared" ca="1" si="350"/>
        <v>49588.256250000006</v>
      </c>
      <c r="AA1007" s="4">
        <f t="shared" ca="1" si="351"/>
        <v>0</v>
      </c>
    </row>
    <row r="1008" spans="1:27">
      <c r="A1008">
        <v>3</v>
      </c>
      <c r="B1008">
        <v>2</v>
      </c>
      <c r="C1008">
        <f t="shared" ca="1" si="330"/>
        <v>7</v>
      </c>
      <c r="D1008">
        <f t="shared" ca="1" si="331"/>
        <v>6</v>
      </c>
      <c r="E1008">
        <f t="shared" ca="1" si="332"/>
        <v>3</v>
      </c>
      <c r="F1008" s="110">
        <f t="shared" ca="1" si="333"/>
        <v>0</v>
      </c>
      <c r="G1008">
        <v>1</v>
      </c>
      <c r="H1008">
        <v>0</v>
      </c>
      <c r="I1008">
        <v>6</v>
      </c>
      <c r="J1008" s="1">
        <f t="shared" ca="1" si="334"/>
        <v>0.69833729609374984</v>
      </c>
      <c r="K1008" s="1">
        <f t="shared" ca="1" si="335"/>
        <v>0</v>
      </c>
      <c r="L1008" s="13">
        <f t="shared" ca="1" si="336"/>
        <v>398</v>
      </c>
      <c r="M1008" s="7">
        <f t="shared" ca="1" si="337"/>
        <v>1102</v>
      </c>
      <c r="N1008" s="26">
        <f t="shared" ca="1" si="338"/>
        <v>4</v>
      </c>
      <c r="O1008" s="44">
        <f t="shared" ca="1" si="339"/>
        <v>2.8908103757121246</v>
      </c>
      <c r="P1008" s="44">
        <f t="shared" ca="1" si="340"/>
        <v>28.908103757121246</v>
      </c>
      <c r="Q1008" s="44">
        <f t="shared" ca="1" si="341"/>
        <v>28.908103757121246</v>
      </c>
      <c r="R1008" s="44">
        <f t="shared" ca="1" si="342"/>
        <v>2.8908103757121246</v>
      </c>
      <c r="S1008" s="44">
        <f t="shared" ca="1" si="343"/>
        <v>2.8908103757121246</v>
      </c>
      <c r="T1008" s="4">
        <f t="shared" ca="1" si="344"/>
        <v>0</v>
      </c>
      <c r="U1008" s="120">
        <f t="shared" ca="1" si="345"/>
        <v>2249.675062040129</v>
      </c>
      <c r="V1008" s="4">
        <f t="shared" ca="1" si="346"/>
        <v>0</v>
      </c>
      <c r="W1008" s="13">
        <f t="shared" ca="1" si="347"/>
        <v>46815.131250000006</v>
      </c>
      <c r="X1008" s="4">
        <f t="shared" ca="1" si="348"/>
        <v>0</v>
      </c>
      <c r="Y1008" s="4">
        <f t="shared" si="349"/>
        <v>0</v>
      </c>
      <c r="Z1008" s="13">
        <f t="shared" ca="1" si="350"/>
        <v>46815.131250000006</v>
      </c>
      <c r="AA1008" s="4">
        <f t="shared" ca="1" si="351"/>
        <v>0</v>
      </c>
    </row>
    <row r="1009" spans="1:27">
      <c r="A1009">
        <v>3</v>
      </c>
      <c r="B1009">
        <v>2</v>
      </c>
      <c r="C1009">
        <f t="shared" ca="1" si="330"/>
        <v>7</v>
      </c>
      <c r="D1009">
        <f t="shared" ca="1" si="331"/>
        <v>6</v>
      </c>
      <c r="E1009">
        <f t="shared" ca="1" si="332"/>
        <v>3</v>
      </c>
      <c r="F1009" s="110">
        <f t="shared" ca="1" si="333"/>
        <v>0</v>
      </c>
      <c r="G1009">
        <v>1</v>
      </c>
      <c r="H1009">
        <v>0</v>
      </c>
      <c r="I1009">
        <v>5</v>
      </c>
      <c r="J1009" s="1">
        <f t="shared" ca="1" si="334"/>
        <v>0.22052756718750019</v>
      </c>
      <c r="K1009" s="1">
        <f t="shared" ca="1" si="335"/>
        <v>0</v>
      </c>
      <c r="L1009" s="13">
        <f t="shared" ca="1" si="336"/>
        <v>379</v>
      </c>
      <c r="M1009" s="7">
        <f t="shared" ca="1" si="337"/>
        <v>1121</v>
      </c>
      <c r="N1009" s="26">
        <f t="shared" ca="1" si="338"/>
        <v>4</v>
      </c>
      <c r="O1009" s="44">
        <f t="shared" ca="1" si="339"/>
        <v>2.8908103757121246</v>
      </c>
      <c r="P1009" s="44">
        <f t="shared" ca="1" si="340"/>
        <v>28.908103757121246</v>
      </c>
      <c r="Q1009" s="44">
        <f t="shared" ca="1" si="341"/>
        <v>28.908103757121246</v>
      </c>
      <c r="R1009" s="44">
        <f t="shared" ca="1" si="342"/>
        <v>2.8908103757121246</v>
      </c>
      <c r="S1009" s="44">
        <f t="shared" ca="1" si="343"/>
        <v>2.8908103757121246</v>
      </c>
      <c r="T1009" s="4">
        <f t="shared" ca="1" si="344"/>
        <v>0</v>
      </c>
      <c r="U1009" s="120">
        <f t="shared" ca="1" si="345"/>
        <v>2230.675062040129</v>
      </c>
      <c r="V1009" s="4">
        <f t="shared" ca="1" si="346"/>
        <v>0</v>
      </c>
      <c r="W1009" s="13">
        <f t="shared" ca="1" si="347"/>
        <v>44042.006250000006</v>
      </c>
      <c r="X1009" s="4">
        <f t="shared" ca="1" si="348"/>
        <v>0</v>
      </c>
      <c r="Y1009" s="4">
        <f t="shared" si="349"/>
        <v>0</v>
      </c>
      <c r="Z1009" s="13">
        <f t="shared" ca="1" si="350"/>
        <v>44042.006250000006</v>
      </c>
      <c r="AA1009" s="4">
        <f t="shared" ca="1" si="351"/>
        <v>0</v>
      </c>
    </row>
    <row r="1010" spans="1:27">
      <c r="A1010">
        <v>3</v>
      </c>
      <c r="B1010">
        <v>2</v>
      </c>
      <c r="C1010">
        <f t="shared" ca="1" si="330"/>
        <v>7</v>
      </c>
      <c r="D1010">
        <f t="shared" ca="1" si="331"/>
        <v>6</v>
      </c>
      <c r="E1010">
        <f t="shared" ca="1" si="332"/>
        <v>3</v>
      </c>
      <c r="F1010" s="110">
        <f t="shared" ca="1" si="333"/>
        <v>0</v>
      </c>
      <c r="G1010">
        <v>1</v>
      </c>
      <c r="H1010">
        <v>0</v>
      </c>
      <c r="I1010">
        <v>4</v>
      </c>
      <c r="J1010" s="1">
        <f t="shared" ca="1" si="334"/>
        <v>2.9016785156250047E-2</v>
      </c>
      <c r="K1010" s="1">
        <f t="shared" ca="1" si="335"/>
        <v>0</v>
      </c>
      <c r="L1010" s="13">
        <f t="shared" ca="1" si="336"/>
        <v>360</v>
      </c>
      <c r="M1010" s="7">
        <f t="shared" ca="1" si="337"/>
        <v>1140</v>
      </c>
      <c r="N1010" s="26">
        <f t="shared" ca="1" si="338"/>
        <v>4</v>
      </c>
      <c r="O1010" s="44">
        <f t="shared" ca="1" si="339"/>
        <v>2.8908103757121246</v>
      </c>
      <c r="P1010" s="44">
        <f t="shared" ca="1" si="340"/>
        <v>28.908103757121246</v>
      </c>
      <c r="Q1010" s="44">
        <f t="shared" ca="1" si="341"/>
        <v>28.908103757121246</v>
      </c>
      <c r="R1010" s="44">
        <f t="shared" ca="1" si="342"/>
        <v>2.8908103757121246</v>
      </c>
      <c r="S1010" s="44">
        <f t="shared" ca="1" si="343"/>
        <v>2.8908103757121246</v>
      </c>
      <c r="T1010" s="4">
        <f t="shared" ca="1" si="344"/>
        <v>0</v>
      </c>
      <c r="U1010" s="120">
        <f t="shared" ca="1" si="345"/>
        <v>2211.675062040129</v>
      </c>
      <c r="V1010" s="4">
        <f t="shared" ca="1" si="346"/>
        <v>0</v>
      </c>
      <c r="W1010" s="13">
        <f t="shared" ca="1" si="347"/>
        <v>41268.881250000006</v>
      </c>
      <c r="X1010" s="4">
        <f t="shared" ca="1" si="348"/>
        <v>0</v>
      </c>
      <c r="Y1010" s="4">
        <f t="shared" si="349"/>
        <v>0</v>
      </c>
      <c r="Z1010" s="13">
        <f t="shared" ca="1" si="350"/>
        <v>41268.881250000006</v>
      </c>
      <c r="AA1010" s="4">
        <f t="shared" ca="1" si="351"/>
        <v>0</v>
      </c>
    </row>
    <row r="1011" spans="1:27">
      <c r="A1011">
        <v>3</v>
      </c>
      <c r="B1011">
        <v>2</v>
      </c>
      <c r="C1011">
        <f t="shared" ca="1" si="330"/>
        <v>7</v>
      </c>
      <c r="D1011">
        <f t="shared" ca="1" si="331"/>
        <v>6</v>
      </c>
      <c r="E1011">
        <f t="shared" ca="1" si="332"/>
        <v>3</v>
      </c>
      <c r="F1011" s="110">
        <f t="shared" ca="1" si="333"/>
        <v>0</v>
      </c>
      <c r="G1011">
        <v>1</v>
      </c>
      <c r="H1011">
        <v>0</v>
      </c>
      <c r="I1011">
        <v>3</v>
      </c>
      <c r="J1011" s="1">
        <f t="shared" ca="1" si="334"/>
        <v>2.0362656250000047E-3</v>
      </c>
      <c r="K1011" s="1">
        <f t="shared" ca="1" si="335"/>
        <v>0</v>
      </c>
      <c r="L1011" s="13">
        <f t="shared" ca="1" si="336"/>
        <v>341</v>
      </c>
      <c r="M1011" s="7">
        <f t="shared" ca="1" si="337"/>
        <v>1159</v>
      </c>
      <c r="N1011" s="26">
        <f t="shared" ca="1" si="338"/>
        <v>4</v>
      </c>
      <c r="O1011" s="44">
        <f t="shared" ca="1" si="339"/>
        <v>2.8908103757121246</v>
      </c>
      <c r="P1011" s="44">
        <f t="shared" ca="1" si="340"/>
        <v>28.908103757121246</v>
      </c>
      <c r="Q1011" s="44">
        <f t="shared" ca="1" si="341"/>
        <v>28.908103757121246</v>
      </c>
      <c r="R1011" s="44">
        <f t="shared" ca="1" si="342"/>
        <v>2.8908103757121246</v>
      </c>
      <c r="S1011" s="44">
        <f t="shared" ca="1" si="343"/>
        <v>2.8908103757121246</v>
      </c>
      <c r="T1011" s="4">
        <f t="shared" ca="1" si="344"/>
        <v>0</v>
      </c>
      <c r="U1011" s="120">
        <f t="shared" ca="1" si="345"/>
        <v>2192.675062040129</v>
      </c>
      <c r="V1011" s="4">
        <f t="shared" ca="1" si="346"/>
        <v>0</v>
      </c>
      <c r="W1011" s="13">
        <f t="shared" ca="1" si="347"/>
        <v>38495.756250000006</v>
      </c>
      <c r="X1011" s="4">
        <f t="shared" ca="1" si="348"/>
        <v>0</v>
      </c>
      <c r="Y1011" s="4">
        <f t="shared" si="349"/>
        <v>0</v>
      </c>
      <c r="Z1011" s="13">
        <f t="shared" ca="1" si="350"/>
        <v>38495.756250000006</v>
      </c>
      <c r="AA1011" s="4">
        <f t="shared" ca="1" si="351"/>
        <v>0</v>
      </c>
    </row>
    <row r="1012" spans="1:27">
      <c r="A1012">
        <v>3</v>
      </c>
      <c r="B1012">
        <v>2</v>
      </c>
      <c r="C1012">
        <f t="shared" ca="1" si="330"/>
        <v>7</v>
      </c>
      <c r="D1012">
        <f t="shared" ca="1" si="331"/>
        <v>6</v>
      </c>
      <c r="E1012">
        <f t="shared" ca="1" si="332"/>
        <v>3</v>
      </c>
      <c r="F1012" s="110">
        <f t="shared" ca="1" si="333"/>
        <v>0</v>
      </c>
      <c r="G1012">
        <v>1</v>
      </c>
      <c r="H1012">
        <v>0</v>
      </c>
      <c r="I1012">
        <v>2</v>
      </c>
      <c r="J1012" s="1">
        <f t="shared" ca="1" si="334"/>
        <v>8.0378906250000291E-5</v>
      </c>
      <c r="K1012" s="1">
        <f t="shared" ca="1" si="335"/>
        <v>0</v>
      </c>
      <c r="L1012" s="13">
        <f t="shared" ca="1" si="336"/>
        <v>322</v>
      </c>
      <c r="M1012" s="7">
        <f t="shared" ca="1" si="337"/>
        <v>1178</v>
      </c>
      <c r="N1012" s="26">
        <f t="shared" ca="1" si="338"/>
        <v>4</v>
      </c>
      <c r="O1012" s="44">
        <f t="shared" ca="1" si="339"/>
        <v>2.8908103757121246</v>
      </c>
      <c r="P1012" s="44">
        <f t="shared" ca="1" si="340"/>
        <v>28.908103757121246</v>
      </c>
      <c r="Q1012" s="44">
        <f t="shared" ca="1" si="341"/>
        <v>28.908103757121246</v>
      </c>
      <c r="R1012" s="44">
        <f t="shared" ca="1" si="342"/>
        <v>2.8908103757121246</v>
      </c>
      <c r="S1012" s="44">
        <f t="shared" ca="1" si="343"/>
        <v>2.8908103757121246</v>
      </c>
      <c r="T1012" s="4">
        <f t="shared" ca="1" si="344"/>
        <v>0</v>
      </c>
      <c r="U1012" s="120">
        <f t="shared" ca="1" si="345"/>
        <v>2173.675062040129</v>
      </c>
      <c r="V1012" s="4">
        <f t="shared" ca="1" si="346"/>
        <v>0</v>
      </c>
      <c r="W1012" s="13">
        <f t="shared" ca="1" si="347"/>
        <v>35722.631250000006</v>
      </c>
      <c r="X1012" s="4">
        <f t="shared" ca="1" si="348"/>
        <v>0</v>
      </c>
      <c r="Y1012" s="4">
        <f t="shared" si="349"/>
        <v>0</v>
      </c>
      <c r="Z1012" s="13">
        <f t="shared" ca="1" si="350"/>
        <v>35722.631250000006</v>
      </c>
      <c r="AA1012" s="4">
        <f t="shared" ca="1" si="351"/>
        <v>0</v>
      </c>
    </row>
    <row r="1013" spans="1:27">
      <c r="A1013">
        <v>3</v>
      </c>
      <c r="B1013">
        <v>2</v>
      </c>
      <c r="C1013">
        <f t="shared" ca="1" si="330"/>
        <v>7</v>
      </c>
      <c r="D1013">
        <f t="shared" ca="1" si="331"/>
        <v>6</v>
      </c>
      <c r="E1013">
        <f t="shared" ca="1" si="332"/>
        <v>3</v>
      </c>
      <c r="F1013" s="110">
        <f t="shared" ca="1" si="333"/>
        <v>0</v>
      </c>
      <c r="G1013">
        <v>1</v>
      </c>
      <c r="H1013">
        <v>0</v>
      </c>
      <c r="I1013">
        <v>1</v>
      </c>
      <c r="J1013" s="1">
        <f t="shared" ca="1" si="334"/>
        <v>1.6921875000000077E-6</v>
      </c>
      <c r="K1013" s="1">
        <f t="shared" ca="1" si="335"/>
        <v>0</v>
      </c>
      <c r="L1013" s="13">
        <f t="shared" ca="1" si="336"/>
        <v>303</v>
      </c>
      <c r="M1013" s="7">
        <f t="shared" ca="1" si="337"/>
        <v>1197</v>
      </c>
      <c r="N1013" s="26">
        <f t="shared" ca="1" si="338"/>
        <v>4</v>
      </c>
      <c r="O1013" s="44">
        <f t="shared" ca="1" si="339"/>
        <v>2.8908103757121246</v>
      </c>
      <c r="P1013" s="44">
        <f t="shared" ca="1" si="340"/>
        <v>28.908103757121246</v>
      </c>
      <c r="Q1013" s="44">
        <f t="shared" ca="1" si="341"/>
        <v>28.908103757121246</v>
      </c>
      <c r="R1013" s="44">
        <f t="shared" ca="1" si="342"/>
        <v>2.8908103757121246</v>
      </c>
      <c r="S1013" s="44">
        <f t="shared" ca="1" si="343"/>
        <v>2.8908103757121246</v>
      </c>
      <c r="T1013" s="4">
        <f t="shared" ca="1" si="344"/>
        <v>0</v>
      </c>
      <c r="U1013" s="120">
        <f t="shared" ca="1" si="345"/>
        <v>2154.675062040129</v>
      </c>
      <c r="V1013" s="4">
        <f t="shared" ca="1" si="346"/>
        <v>0</v>
      </c>
      <c r="W1013" s="13">
        <f t="shared" ca="1" si="347"/>
        <v>32949.506250000006</v>
      </c>
      <c r="X1013" s="4">
        <f t="shared" ca="1" si="348"/>
        <v>0</v>
      </c>
      <c r="Y1013" s="4">
        <f t="shared" si="349"/>
        <v>0</v>
      </c>
      <c r="Z1013" s="13">
        <f t="shared" ca="1" si="350"/>
        <v>32949.506250000006</v>
      </c>
      <c r="AA1013" s="4">
        <f t="shared" ca="1" si="351"/>
        <v>0</v>
      </c>
    </row>
    <row r="1014" spans="1:27">
      <c r="A1014">
        <v>3</v>
      </c>
      <c r="B1014">
        <v>2</v>
      </c>
      <c r="C1014">
        <f t="shared" ca="1" si="330"/>
        <v>7</v>
      </c>
      <c r="D1014">
        <f t="shared" ca="1" si="331"/>
        <v>6</v>
      </c>
      <c r="E1014">
        <f t="shared" ca="1" si="332"/>
        <v>3</v>
      </c>
      <c r="F1014" s="110">
        <f t="shared" ca="1" si="333"/>
        <v>0</v>
      </c>
      <c r="G1014">
        <v>1</v>
      </c>
      <c r="H1014">
        <v>0</v>
      </c>
      <c r="I1014">
        <v>0</v>
      </c>
      <c r="J1014" s="1">
        <f t="shared" ca="1" si="334"/>
        <v>1.4843750000000078E-8</v>
      </c>
      <c r="K1014" s="1">
        <f t="shared" ca="1" si="335"/>
        <v>0</v>
      </c>
      <c r="L1014" s="13">
        <f t="shared" ca="1" si="336"/>
        <v>284</v>
      </c>
      <c r="M1014" s="7">
        <f t="shared" ca="1" si="337"/>
        <v>1216</v>
      </c>
      <c r="N1014" s="26">
        <f t="shared" ca="1" si="338"/>
        <v>4</v>
      </c>
      <c r="O1014" s="44">
        <f t="shared" ca="1" si="339"/>
        <v>2.8908103757121246</v>
      </c>
      <c r="P1014" s="44">
        <f t="shared" ca="1" si="340"/>
        <v>28.908103757121246</v>
      </c>
      <c r="Q1014" s="44">
        <f t="shared" ca="1" si="341"/>
        <v>28.908103757121246</v>
      </c>
      <c r="R1014" s="44">
        <f t="shared" ca="1" si="342"/>
        <v>2.8908103757121246</v>
      </c>
      <c r="S1014" s="44">
        <f t="shared" ca="1" si="343"/>
        <v>2.8908103757121246</v>
      </c>
      <c r="T1014" s="4">
        <f t="shared" ca="1" si="344"/>
        <v>0</v>
      </c>
      <c r="U1014" s="120">
        <f t="shared" ca="1" si="345"/>
        <v>2135.675062040129</v>
      </c>
      <c r="V1014" s="4">
        <f t="shared" ca="1" si="346"/>
        <v>0</v>
      </c>
      <c r="W1014" s="13">
        <f t="shared" ca="1" si="347"/>
        <v>30176.381250000002</v>
      </c>
      <c r="X1014" s="4">
        <f t="shared" ca="1" si="348"/>
        <v>0</v>
      </c>
      <c r="Y1014" s="4">
        <f t="shared" si="349"/>
        <v>0</v>
      </c>
      <c r="Z1014" s="13">
        <f t="shared" ca="1" si="350"/>
        <v>30176.381250000002</v>
      </c>
      <c r="AA1014" s="4">
        <f t="shared" ca="1" si="351"/>
        <v>0</v>
      </c>
    </row>
    <row r="1015" spans="1:27">
      <c r="A1015">
        <v>3</v>
      </c>
      <c r="B1015">
        <v>2</v>
      </c>
      <c r="C1015">
        <f t="shared" ca="1" si="330"/>
        <v>7</v>
      </c>
      <c r="D1015">
        <f t="shared" ca="1" si="331"/>
        <v>6</v>
      </c>
      <c r="E1015">
        <f t="shared" ca="1" si="332"/>
        <v>3</v>
      </c>
      <c r="F1015" s="110">
        <f t="shared" ca="1" si="333"/>
        <v>0</v>
      </c>
      <c r="G1015">
        <v>0</v>
      </c>
      <c r="H1015">
        <v>1</v>
      </c>
      <c r="I1015">
        <v>7</v>
      </c>
      <c r="J1015" s="1">
        <f t="shared" ca="1" si="334"/>
        <v>0</v>
      </c>
      <c r="K1015" s="1">
        <f t="shared" ca="1" si="335"/>
        <v>0</v>
      </c>
      <c r="L1015" s="13">
        <f t="shared" ca="1" si="336"/>
        <v>417</v>
      </c>
      <c r="M1015" s="7">
        <f t="shared" ca="1" si="337"/>
        <v>1083</v>
      </c>
      <c r="N1015" s="26">
        <f t="shared" ca="1" si="338"/>
        <v>4</v>
      </c>
      <c r="O1015" s="44">
        <f t="shared" ca="1" si="339"/>
        <v>2.8908103757121246</v>
      </c>
      <c r="P1015" s="44">
        <f t="shared" ca="1" si="340"/>
        <v>28.908103757121246</v>
      </c>
      <c r="Q1015" s="44">
        <f t="shared" ca="1" si="341"/>
        <v>28.908103757121246</v>
      </c>
      <c r="R1015" s="44">
        <f t="shared" ca="1" si="342"/>
        <v>2.8908103757121246</v>
      </c>
      <c r="S1015" s="44">
        <f t="shared" ca="1" si="343"/>
        <v>2.8908103757121246</v>
      </c>
      <c r="T1015" s="4">
        <f t="shared" ca="1" si="344"/>
        <v>0</v>
      </c>
      <c r="U1015" s="120">
        <f t="shared" ca="1" si="345"/>
        <v>2268.675062040129</v>
      </c>
      <c r="V1015" s="4">
        <f t="shared" ca="1" si="346"/>
        <v>0</v>
      </c>
      <c r="W1015" s="13">
        <f t="shared" ca="1" si="347"/>
        <v>19411.875</v>
      </c>
      <c r="X1015" s="4">
        <f t="shared" ca="1" si="348"/>
        <v>0</v>
      </c>
      <c r="Y1015" s="4">
        <f t="shared" si="349"/>
        <v>0</v>
      </c>
      <c r="Z1015" s="13">
        <f t="shared" ca="1" si="350"/>
        <v>19411.875</v>
      </c>
      <c r="AA1015" s="4">
        <f t="shared" ca="1" si="351"/>
        <v>0</v>
      </c>
    </row>
    <row r="1016" spans="1:27">
      <c r="A1016">
        <v>3</v>
      </c>
      <c r="B1016">
        <v>2</v>
      </c>
      <c r="C1016">
        <f t="shared" ca="1" si="330"/>
        <v>7</v>
      </c>
      <c r="D1016">
        <f t="shared" ca="1" si="331"/>
        <v>6</v>
      </c>
      <c r="E1016">
        <f t="shared" ca="1" si="332"/>
        <v>3</v>
      </c>
      <c r="F1016" s="110">
        <f t="shared" ca="1" si="333"/>
        <v>0</v>
      </c>
      <c r="G1016">
        <v>0</v>
      </c>
      <c r="H1016">
        <v>1</v>
      </c>
      <c r="I1016">
        <v>6</v>
      </c>
      <c r="J1016" s="1">
        <f t="shared" ca="1" si="334"/>
        <v>0</v>
      </c>
      <c r="K1016" s="1">
        <f t="shared" ca="1" si="335"/>
        <v>0</v>
      </c>
      <c r="L1016" s="13">
        <f t="shared" ca="1" si="336"/>
        <v>398</v>
      </c>
      <c r="M1016" s="7">
        <f t="shared" ca="1" si="337"/>
        <v>1102</v>
      </c>
      <c r="N1016" s="26">
        <f t="shared" ca="1" si="338"/>
        <v>4</v>
      </c>
      <c r="O1016" s="44">
        <f t="shared" ca="1" si="339"/>
        <v>2.8908103757121246</v>
      </c>
      <c r="P1016" s="44">
        <f t="shared" ca="1" si="340"/>
        <v>28.908103757121246</v>
      </c>
      <c r="Q1016" s="44">
        <f t="shared" ca="1" si="341"/>
        <v>28.908103757121246</v>
      </c>
      <c r="R1016" s="44">
        <f t="shared" ca="1" si="342"/>
        <v>2.8908103757121246</v>
      </c>
      <c r="S1016" s="44">
        <f t="shared" ca="1" si="343"/>
        <v>2.8908103757121246</v>
      </c>
      <c r="T1016" s="4">
        <f t="shared" ca="1" si="344"/>
        <v>0</v>
      </c>
      <c r="U1016" s="120">
        <f t="shared" ca="1" si="345"/>
        <v>2249.675062040129</v>
      </c>
      <c r="V1016" s="4">
        <f t="shared" ca="1" si="346"/>
        <v>0</v>
      </c>
      <c r="W1016" s="13">
        <f t="shared" ca="1" si="347"/>
        <v>16638.75</v>
      </c>
      <c r="X1016" s="4">
        <f t="shared" ca="1" si="348"/>
        <v>0</v>
      </c>
      <c r="Y1016" s="4">
        <f t="shared" si="349"/>
        <v>0</v>
      </c>
      <c r="Z1016" s="13">
        <f t="shared" ca="1" si="350"/>
        <v>16638.75</v>
      </c>
      <c r="AA1016" s="4">
        <f t="shared" ca="1" si="351"/>
        <v>0</v>
      </c>
    </row>
    <row r="1017" spans="1:27">
      <c r="A1017">
        <v>3</v>
      </c>
      <c r="B1017">
        <v>2</v>
      </c>
      <c r="C1017">
        <f t="shared" ca="1" si="330"/>
        <v>7</v>
      </c>
      <c r="D1017">
        <f t="shared" ca="1" si="331"/>
        <v>6</v>
      </c>
      <c r="E1017">
        <f t="shared" ca="1" si="332"/>
        <v>3</v>
      </c>
      <c r="F1017" s="110">
        <f t="shared" ca="1" si="333"/>
        <v>0</v>
      </c>
      <c r="G1017">
        <v>0</v>
      </c>
      <c r="H1017">
        <v>1</v>
      </c>
      <c r="I1017">
        <v>5</v>
      </c>
      <c r="J1017" s="1">
        <f t="shared" ca="1" si="334"/>
        <v>0</v>
      </c>
      <c r="K1017" s="1">
        <f t="shared" ca="1" si="335"/>
        <v>0</v>
      </c>
      <c r="L1017" s="13">
        <f t="shared" ca="1" si="336"/>
        <v>379</v>
      </c>
      <c r="M1017" s="7">
        <f t="shared" ca="1" si="337"/>
        <v>1121</v>
      </c>
      <c r="N1017" s="26">
        <f t="shared" ca="1" si="338"/>
        <v>4</v>
      </c>
      <c r="O1017" s="44">
        <f t="shared" ca="1" si="339"/>
        <v>2.8908103757121246</v>
      </c>
      <c r="P1017" s="44">
        <f t="shared" ca="1" si="340"/>
        <v>28.908103757121246</v>
      </c>
      <c r="Q1017" s="44">
        <f t="shared" ca="1" si="341"/>
        <v>28.908103757121246</v>
      </c>
      <c r="R1017" s="44">
        <f t="shared" ca="1" si="342"/>
        <v>2.8908103757121246</v>
      </c>
      <c r="S1017" s="44">
        <f t="shared" ca="1" si="343"/>
        <v>2.8908103757121246</v>
      </c>
      <c r="T1017" s="4">
        <f t="shared" ca="1" si="344"/>
        <v>0</v>
      </c>
      <c r="U1017" s="120">
        <f t="shared" ca="1" si="345"/>
        <v>2230.675062040129</v>
      </c>
      <c r="V1017" s="4">
        <f t="shared" ca="1" si="346"/>
        <v>0</v>
      </c>
      <c r="W1017" s="13">
        <f t="shared" ca="1" si="347"/>
        <v>13865.625</v>
      </c>
      <c r="X1017" s="4">
        <f t="shared" ca="1" si="348"/>
        <v>0</v>
      </c>
      <c r="Y1017" s="4">
        <f t="shared" si="349"/>
        <v>0</v>
      </c>
      <c r="Z1017" s="13">
        <f t="shared" ca="1" si="350"/>
        <v>13865.625</v>
      </c>
      <c r="AA1017" s="4">
        <f t="shared" ca="1" si="351"/>
        <v>0</v>
      </c>
    </row>
    <row r="1018" spans="1:27">
      <c r="A1018">
        <v>3</v>
      </c>
      <c r="B1018">
        <v>2</v>
      </c>
      <c r="C1018">
        <f t="shared" ca="1" si="330"/>
        <v>7</v>
      </c>
      <c r="D1018">
        <f t="shared" ca="1" si="331"/>
        <v>6</v>
      </c>
      <c r="E1018">
        <f t="shared" ca="1" si="332"/>
        <v>3</v>
      </c>
      <c r="F1018" s="110">
        <f t="shared" ca="1" si="333"/>
        <v>0</v>
      </c>
      <c r="G1018">
        <v>0</v>
      </c>
      <c r="H1018">
        <v>1</v>
      </c>
      <c r="I1018">
        <v>4</v>
      </c>
      <c r="J1018" s="1">
        <f t="shared" ca="1" si="334"/>
        <v>0</v>
      </c>
      <c r="K1018" s="1">
        <f t="shared" ca="1" si="335"/>
        <v>0</v>
      </c>
      <c r="L1018" s="13">
        <f t="shared" ca="1" si="336"/>
        <v>360</v>
      </c>
      <c r="M1018" s="7">
        <f t="shared" ca="1" si="337"/>
        <v>1140</v>
      </c>
      <c r="N1018" s="26">
        <f t="shared" ca="1" si="338"/>
        <v>4</v>
      </c>
      <c r="O1018" s="44">
        <f t="shared" ca="1" si="339"/>
        <v>2.8908103757121246</v>
      </c>
      <c r="P1018" s="44">
        <f t="shared" ca="1" si="340"/>
        <v>28.908103757121246</v>
      </c>
      <c r="Q1018" s="44">
        <f t="shared" ca="1" si="341"/>
        <v>28.908103757121246</v>
      </c>
      <c r="R1018" s="44">
        <f t="shared" ca="1" si="342"/>
        <v>2.8908103757121246</v>
      </c>
      <c r="S1018" s="44">
        <f t="shared" ca="1" si="343"/>
        <v>2.8908103757121246</v>
      </c>
      <c r="T1018" s="4">
        <f t="shared" ca="1" si="344"/>
        <v>0</v>
      </c>
      <c r="U1018" s="120">
        <f t="shared" ca="1" si="345"/>
        <v>2211.675062040129</v>
      </c>
      <c r="V1018" s="4">
        <f t="shared" ca="1" si="346"/>
        <v>0</v>
      </c>
      <c r="W1018" s="13">
        <f t="shared" ca="1" si="347"/>
        <v>11092.5</v>
      </c>
      <c r="X1018" s="4">
        <f t="shared" ca="1" si="348"/>
        <v>0</v>
      </c>
      <c r="Y1018" s="4">
        <f t="shared" si="349"/>
        <v>0</v>
      </c>
      <c r="Z1018" s="13">
        <f t="shared" ca="1" si="350"/>
        <v>11092.5</v>
      </c>
      <c r="AA1018" s="4">
        <f t="shared" ca="1" si="351"/>
        <v>0</v>
      </c>
    </row>
    <row r="1019" spans="1:27">
      <c r="A1019">
        <v>3</v>
      </c>
      <c r="B1019">
        <v>2</v>
      </c>
      <c r="C1019">
        <f t="shared" ca="1" si="330"/>
        <v>7</v>
      </c>
      <c r="D1019">
        <f t="shared" ca="1" si="331"/>
        <v>6</v>
      </c>
      <c r="E1019">
        <f t="shared" ca="1" si="332"/>
        <v>3</v>
      </c>
      <c r="F1019" s="110">
        <f t="shared" ca="1" si="333"/>
        <v>0</v>
      </c>
      <c r="G1019">
        <v>0</v>
      </c>
      <c r="H1019">
        <v>1</v>
      </c>
      <c r="I1019">
        <v>3</v>
      </c>
      <c r="J1019" s="1">
        <f t="shared" ca="1" si="334"/>
        <v>0</v>
      </c>
      <c r="K1019" s="1">
        <f t="shared" ca="1" si="335"/>
        <v>0</v>
      </c>
      <c r="L1019" s="13">
        <f t="shared" ca="1" si="336"/>
        <v>341</v>
      </c>
      <c r="M1019" s="7">
        <f t="shared" ca="1" si="337"/>
        <v>1159</v>
      </c>
      <c r="N1019" s="26">
        <f t="shared" ca="1" si="338"/>
        <v>4</v>
      </c>
      <c r="O1019" s="44">
        <f t="shared" ca="1" si="339"/>
        <v>2.8908103757121246</v>
      </c>
      <c r="P1019" s="44">
        <f t="shared" ca="1" si="340"/>
        <v>28.908103757121246</v>
      </c>
      <c r="Q1019" s="44">
        <f t="shared" ca="1" si="341"/>
        <v>28.908103757121246</v>
      </c>
      <c r="R1019" s="44">
        <f t="shared" ca="1" si="342"/>
        <v>2.8908103757121246</v>
      </c>
      <c r="S1019" s="44">
        <f t="shared" ca="1" si="343"/>
        <v>2.8908103757121246</v>
      </c>
      <c r="T1019" s="4">
        <f t="shared" ca="1" si="344"/>
        <v>0</v>
      </c>
      <c r="U1019" s="120">
        <f t="shared" ca="1" si="345"/>
        <v>2192.675062040129</v>
      </c>
      <c r="V1019" s="4">
        <f t="shared" ca="1" si="346"/>
        <v>0</v>
      </c>
      <c r="W1019" s="13">
        <f t="shared" ca="1" si="347"/>
        <v>8319.375</v>
      </c>
      <c r="X1019" s="4">
        <f t="shared" ca="1" si="348"/>
        <v>0</v>
      </c>
      <c r="Y1019" s="4">
        <f t="shared" si="349"/>
        <v>0</v>
      </c>
      <c r="Z1019" s="13">
        <f t="shared" ca="1" si="350"/>
        <v>8319.375</v>
      </c>
      <c r="AA1019" s="4">
        <f t="shared" ca="1" si="351"/>
        <v>0</v>
      </c>
    </row>
    <row r="1020" spans="1:27">
      <c r="A1020">
        <v>3</v>
      </c>
      <c r="B1020">
        <v>2</v>
      </c>
      <c r="C1020">
        <f t="shared" ca="1" si="330"/>
        <v>7</v>
      </c>
      <c r="D1020">
        <f t="shared" ca="1" si="331"/>
        <v>6</v>
      </c>
      <c r="E1020">
        <f t="shared" ca="1" si="332"/>
        <v>3</v>
      </c>
      <c r="F1020" s="110">
        <f t="shared" ca="1" si="333"/>
        <v>0</v>
      </c>
      <c r="G1020">
        <v>0</v>
      </c>
      <c r="H1020">
        <v>1</v>
      </c>
      <c r="I1020">
        <v>2</v>
      </c>
      <c r="J1020" s="1">
        <f t="shared" ca="1" si="334"/>
        <v>0</v>
      </c>
      <c r="K1020" s="1">
        <f t="shared" ca="1" si="335"/>
        <v>0</v>
      </c>
      <c r="L1020" s="13">
        <f t="shared" ca="1" si="336"/>
        <v>322</v>
      </c>
      <c r="M1020" s="7">
        <f t="shared" ca="1" si="337"/>
        <v>1178</v>
      </c>
      <c r="N1020" s="26">
        <f t="shared" ca="1" si="338"/>
        <v>4</v>
      </c>
      <c r="O1020" s="44">
        <f t="shared" ca="1" si="339"/>
        <v>2.8908103757121246</v>
      </c>
      <c r="P1020" s="44">
        <f t="shared" ca="1" si="340"/>
        <v>28.908103757121246</v>
      </c>
      <c r="Q1020" s="44">
        <f t="shared" ca="1" si="341"/>
        <v>28.908103757121246</v>
      </c>
      <c r="R1020" s="44">
        <f t="shared" ca="1" si="342"/>
        <v>2.8908103757121246</v>
      </c>
      <c r="S1020" s="44">
        <f t="shared" ca="1" si="343"/>
        <v>2.8908103757121246</v>
      </c>
      <c r="T1020" s="4">
        <f t="shared" ca="1" si="344"/>
        <v>0</v>
      </c>
      <c r="U1020" s="120">
        <f t="shared" ca="1" si="345"/>
        <v>2173.675062040129</v>
      </c>
      <c r="V1020" s="4">
        <f t="shared" ca="1" si="346"/>
        <v>0</v>
      </c>
      <c r="W1020" s="13">
        <f t="shared" ca="1" si="347"/>
        <v>5546.25</v>
      </c>
      <c r="X1020" s="4">
        <f t="shared" ca="1" si="348"/>
        <v>0</v>
      </c>
      <c r="Y1020" s="4">
        <f t="shared" si="349"/>
        <v>0</v>
      </c>
      <c r="Z1020" s="13">
        <f t="shared" ca="1" si="350"/>
        <v>5546.25</v>
      </c>
      <c r="AA1020" s="4">
        <f t="shared" ca="1" si="351"/>
        <v>0</v>
      </c>
    </row>
    <row r="1021" spans="1:27">
      <c r="A1021">
        <v>3</v>
      </c>
      <c r="B1021">
        <v>2</v>
      </c>
      <c r="C1021">
        <f t="shared" ca="1" si="330"/>
        <v>7</v>
      </c>
      <c r="D1021">
        <f t="shared" ca="1" si="331"/>
        <v>6</v>
      </c>
      <c r="E1021">
        <f t="shared" ca="1" si="332"/>
        <v>3</v>
      </c>
      <c r="F1021" s="110">
        <f t="shared" ca="1" si="333"/>
        <v>0</v>
      </c>
      <c r="G1021">
        <v>0</v>
      </c>
      <c r="H1021">
        <v>1</v>
      </c>
      <c r="I1021">
        <v>1</v>
      </c>
      <c r="J1021" s="1">
        <f t="shared" ca="1" si="334"/>
        <v>0</v>
      </c>
      <c r="K1021" s="1">
        <f t="shared" ca="1" si="335"/>
        <v>0</v>
      </c>
      <c r="L1021" s="13">
        <f t="shared" ca="1" si="336"/>
        <v>303</v>
      </c>
      <c r="M1021" s="7">
        <f t="shared" ca="1" si="337"/>
        <v>1197</v>
      </c>
      <c r="N1021" s="26">
        <f t="shared" ca="1" si="338"/>
        <v>4</v>
      </c>
      <c r="O1021" s="44">
        <f t="shared" ca="1" si="339"/>
        <v>2.8908103757121246</v>
      </c>
      <c r="P1021" s="44">
        <f t="shared" ca="1" si="340"/>
        <v>28.908103757121246</v>
      </c>
      <c r="Q1021" s="44">
        <f t="shared" ca="1" si="341"/>
        <v>28.908103757121246</v>
      </c>
      <c r="R1021" s="44">
        <f t="shared" ca="1" si="342"/>
        <v>2.8908103757121246</v>
      </c>
      <c r="S1021" s="44">
        <f t="shared" ca="1" si="343"/>
        <v>2.8908103757121246</v>
      </c>
      <c r="T1021" s="4">
        <f t="shared" ca="1" si="344"/>
        <v>0</v>
      </c>
      <c r="U1021" s="120">
        <f t="shared" ca="1" si="345"/>
        <v>2154.675062040129</v>
      </c>
      <c r="V1021" s="4">
        <f t="shared" ca="1" si="346"/>
        <v>0</v>
      </c>
      <c r="W1021" s="13">
        <f t="shared" ca="1" si="347"/>
        <v>2773.125</v>
      </c>
      <c r="X1021" s="4">
        <f t="shared" ca="1" si="348"/>
        <v>0</v>
      </c>
      <c r="Y1021" s="4">
        <f t="shared" si="349"/>
        <v>0</v>
      </c>
      <c r="Z1021" s="13">
        <f t="shared" ca="1" si="350"/>
        <v>2773.125</v>
      </c>
      <c r="AA1021" s="4">
        <f t="shared" ca="1" si="351"/>
        <v>0</v>
      </c>
    </row>
    <row r="1022" spans="1:27">
      <c r="A1022">
        <v>3</v>
      </c>
      <c r="B1022">
        <v>2</v>
      </c>
      <c r="C1022">
        <f t="shared" ca="1" si="330"/>
        <v>7</v>
      </c>
      <c r="D1022">
        <f t="shared" ca="1" si="331"/>
        <v>6</v>
      </c>
      <c r="E1022">
        <f t="shared" ca="1" si="332"/>
        <v>3</v>
      </c>
      <c r="F1022" s="110">
        <f t="shared" ca="1" si="333"/>
        <v>0</v>
      </c>
      <c r="G1022">
        <v>0</v>
      </c>
      <c r="H1022">
        <v>1</v>
      </c>
      <c r="I1022">
        <v>0</v>
      </c>
      <c r="J1022" s="1">
        <f t="shared" ca="1" si="334"/>
        <v>0</v>
      </c>
      <c r="K1022" s="1">
        <f t="shared" ca="1" si="335"/>
        <v>0</v>
      </c>
      <c r="L1022" s="13">
        <f t="shared" ca="1" si="336"/>
        <v>284</v>
      </c>
      <c r="M1022" s="7">
        <f t="shared" ca="1" si="337"/>
        <v>1216</v>
      </c>
      <c r="N1022" s="26">
        <f t="shared" ca="1" si="338"/>
        <v>4</v>
      </c>
      <c r="O1022" s="44">
        <f t="shared" ca="1" si="339"/>
        <v>2.8908103757121246</v>
      </c>
      <c r="P1022" s="44">
        <f t="shared" ca="1" si="340"/>
        <v>28.908103757121246</v>
      </c>
      <c r="Q1022" s="44">
        <f t="shared" ca="1" si="341"/>
        <v>28.908103757121246</v>
      </c>
      <c r="R1022" s="44">
        <f t="shared" ca="1" si="342"/>
        <v>2.8908103757121246</v>
      </c>
      <c r="S1022" s="44">
        <f t="shared" ca="1" si="343"/>
        <v>2.8908103757121246</v>
      </c>
      <c r="T1022" s="4">
        <f t="shared" ca="1" si="344"/>
        <v>0</v>
      </c>
      <c r="U1022" s="120">
        <f t="shared" ca="1" si="345"/>
        <v>2135.675062040129</v>
      </c>
      <c r="V1022" s="4">
        <f t="shared" ca="1" si="346"/>
        <v>0</v>
      </c>
      <c r="W1022" s="13">
        <f t="shared" ca="1" si="347"/>
        <v>0</v>
      </c>
      <c r="X1022" s="4">
        <f t="shared" ca="1" si="348"/>
        <v>0</v>
      </c>
      <c r="Y1022" s="4">
        <f t="shared" si="349"/>
        <v>0</v>
      </c>
      <c r="Z1022" s="13">
        <f t="shared" ca="1" si="350"/>
        <v>0</v>
      </c>
      <c r="AA1022" s="4">
        <f t="shared" ca="1" si="351"/>
        <v>0</v>
      </c>
    </row>
    <row r="1023" spans="1:27">
      <c r="A1023">
        <v>3</v>
      </c>
      <c r="B1023">
        <v>2</v>
      </c>
      <c r="C1023">
        <f t="shared" ca="1" si="330"/>
        <v>7</v>
      </c>
      <c r="D1023">
        <f t="shared" ca="1" si="331"/>
        <v>6</v>
      </c>
      <c r="E1023">
        <f t="shared" ca="1" si="332"/>
        <v>3</v>
      </c>
      <c r="F1023" s="110">
        <f t="shared" ca="1" si="333"/>
        <v>0</v>
      </c>
      <c r="G1023">
        <v>0</v>
      </c>
      <c r="H1023">
        <v>0</v>
      </c>
      <c r="I1023">
        <v>7</v>
      </c>
      <c r="J1023" s="1">
        <f t="shared" ca="1" si="334"/>
        <v>0</v>
      </c>
      <c r="K1023" s="1">
        <f t="shared" ca="1" si="335"/>
        <v>0</v>
      </c>
      <c r="L1023" s="13">
        <f t="shared" ca="1" si="336"/>
        <v>133</v>
      </c>
      <c r="M1023" s="7">
        <f t="shared" ca="1" si="337"/>
        <v>1367</v>
      </c>
      <c r="N1023" s="26">
        <f t="shared" ca="1" si="338"/>
        <v>4</v>
      </c>
      <c r="O1023" s="44">
        <f t="shared" ca="1" si="339"/>
        <v>2.8908103757121246</v>
      </c>
      <c r="P1023" s="44">
        <f t="shared" ca="1" si="340"/>
        <v>28.908103757121246</v>
      </c>
      <c r="Q1023" s="44">
        <f t="shared" ca="1" si="341"/>
        <v>28.908103757121246</v>
      </c>
      <c r="R1023" s="44">
        <f t="shared" ca="1" si="342"/>
        <v>2.8908103757121246</v>
      </c>
      <c r="S1023" s="44">
        <f t="shared" ca="1" si="343"/>
        <v>2.8908103757121246</v>
      </c>
      <c r="T1023" s="4">
        <f t="shared" ca="1" si="344"/>
        <v>0</v>
      </c>
      <c r="U1023" s="120">
        <f t="shared" ca="1" si="345"/>
        <v>1984.6750620401288</v>
      </c>
      <c r="V1023" s="4">
        <f t="shared" ca="1" si="346"/>
        <v>0</v>
      </c>
      <c r="W1023" s="13">
        <f t="shared" ca="1" si="347"/>
        <v>19411.875</v>
      </c>
      <c r="X1023" s="4">
        <f t="shared" ca="1" si="348"/>
        <v>0</v>
      </c>
      <c r="Y1023" s="4">
        <f t="shared" si="349"/>
        <v>0</v>
      </c>
      <c r="Z1023" s="13">
        <f t="shared" ca="1" si="350"/>
        <v>19411.875</v>
      </c>
      <c r="AA1023" s="4">
        <f t="shared" ca="1" si="351"/>
        <v>0</v>
      </c>
    </row>
    <row r="1024" spans="1:27">
      <c r="A1024">
        <v>3</v>
      </c>
      <c r="B1024">
        <v>2</v>
      </c>
      <c r="C1024">
        <f t="shared" ca="1" si="330"/>
        <v>7</v>
      </c>
      <c r="D1024">
        <f t="shared" ca="1" si="331"/>
        <v>6</v>
      </c>
      <c r="E1024">
        <f t="shared" ca="1" si="332"/>
        <v>3</v>
      </c>
      <c r="F1024" s="110">
        <f t="shared" ca="1" si="333"/>
        <v>0</v>
      </c>
      <c r="G1024">
        <v>0</v>
      </c>
      <c r="H1024">
        <v>0</v>
      </c>
      <c r="I1024">
        <v>6</v>
      </c>
      <c r="J1024" s="1">
        <f t="shared" ca="1" si="334"/>
        <v>3.6754594531249997E-2</v>
      </c>
      <c r="K1024" s="1">
        <f t="shared" ca="1" si="335"/>
        <v>0</v>
      </c>
      <c r="L1024" s="13">
        <f t="shared" ca="1" si="336"/>
        <v>114</v>
      </c>
      <c r="M1024" s="7">
        <f t="shared" ca="1" si="337"/>
        <v>1386</v>
      </c>
      <c r="N1024" s="26">
        <f t="shared" ca="1" si="338"/>
        <v>4</v>
      </c>
      <c r="O1024" s="44">
        <f t="shared" ca="1" si="339"/>
        <v>2.8908103757121246</v>
      </c>
      <c r="P1024" s="44">
        <f t="shared" ca="1" si="340"/>
        <v>28.908103757121246</v>
      </c>
      <c r="Q1024" s="44">
        <f t="shared" ca="1" si="341"/>
        <v>28.908103757121246</v>
      </c>
      <c r="R1024" s="44">
        <f t="shared" ca="1" si="342"/>
        <v>2.8908103757121246</v>
      </c>
      <c r="S1024" s="44">
        <f t="shared" ca="1" si="343"/>
        <v>2.8908103757121246</v>
      </c>
      <c r="T1024" s="4">
        <f t="shared" ca="1" si="344"/>
        <v>0</v>
      </c>
      <c r="U1024" s="120">
        <f t="shared" ca="1" si="345"/>
        <v>1965.6750620401288</v>
      </c>
      <c r="V1024" s="4">
        <f t="shared" ca="1" si="346"/>
        <v>0</v>
      </c>
      <c r="W1024" s="13">
        <f t="shared" ca="1" si="347"/>
        <v>16638.75</v>
      </c>
      <c r="X1024" s="4">
        <f t="shared" ca="1" si="348"/>
        <v>0</v>
      </c>
      <c r="Y1024" s="4">
        <f t="shared" si="349"/>
        <v>0</v>
      </c>
      <c r="Z1024" s="13">
        <f t="shared" ca="1" si="350"/>
        <v>16638.75</v>
      </c>
      <c r="AA1024" s="4">
        <f t="shared" ca="1" si="351"/>
        <v>0</v>
      </c>
    </row>
    <row r="1025" spans="1:27">
      <c r="A1025">
        <v>3</v>
      </c>
      <c r="B1025">
        <v>2</v>
      </c>
      <c r="C1025">
        <f t="shared" ca="1" si="330"/>
        <v>7</v>
      </c>
      <c r="D1025">
        <f t="shared" ca="1" si="331"/>
        <v>6</v>
      </c>
      <c r="E1025">
        <f t="shared" ca="1" si="332"/>
        <v>3</v>
      </c>
      <c r="F1025" s="110">
        <f t="shared" ca="1" si="333"/>
        <v>0</v>
      </c>
      <c r="G1025">
        <v>0</v>
      </c>
      <c r="H1025">
        <v>0</v>
      </c>
      <c r="I1025">
        <v>5</v>
      </c>
      <c r="J1025" s="1">
        <f t="shared" ca="1" si="334"/>
        <v>1.1606714062500011E-2</v>
      </c>
      <c r="K1025" s="1">
        <f t="shared" ca="1" si="335"/>
        <v>0</v>
      </c>
      <c r="L1025" s="13">
        <f t="shared" ca="1" si="336"/>
        <v>95</v>
      </c>
      <c r="M1025" s="7">
        <f t="shared" ca="1" si="337"/>
        <v>1405</v>
      </c>
      <c r="N1025" s="26">
        <f t="shared" ca="1" si="338"/>
        <v>5</v>
      </c>
      <c r="O1025" s="44">
        <f t="shared" ca="1" si="339"/>
        <v>3.5395046525977252</v>
      </c>
      <c r="P1025" s="44">
        <f t="shared" ca="1" si="340"/>
        <v>35.39504652597725</v>
      </c>
      <c r="Q1025" s="44">
        <f t="shared" ca="1" si="341"/>
        <v>30.205492310892446</v>
      </c>
      <c r="R1025" s="44">
        <f t="shared" ca="1" si="342"/>
        <v>3.2800269418434853</v>
      </c>
      <c r="S1025" s="44">
        <f t="shared" ca="1" si="343"/>
        <v>3.5213412128449284</v>
      </c>
      <c r="T1025" s="4">
        <f t="shared" ca="1" si="344"/>
        <v>0</v>
      </c>
      <c r="U1025" s="120">
        <f t="shared" ca="1" si="345"/>
        <v>2290.8626329996823</v>
      </c>
      <c r="V1025" s="4">
        <f t="shared" ca="1" si="346"/>
        <v>0</v>
      </c>
      <c r="W1025" s="13">
        <f t="shared" ca="1" si="347"/>
        <v>13865.625</v>
      </c>
      <c r="X1025" s="4">
        <f t="shared" ca="1" si="348"/>
        <v>0</v>
      </c>
      <c r="Y1025" s="4">
        <f t="shared" si="349"/>
        <v>0</v>
      </c>
      <c r="Z1025" s="13">
        <f t="shared" ca="1" si="350"/>
        <v>13865.625</v>
      </c>
      <c r="AA1025" s="4">
        <f t="shared" ca="1" si="351"/>
        <v>0</v>
      </c>
    </row>
    <row r="1026" spans="1:27">
      <c r="A1026">
        <v>3</v>
      </c>
      <c r="B1026">
        <v>2</v>
      </c>
      <c r="C1026">
        <f t="shared" ca="1" si="330"/>
        <v>7</v>
      </c>
      <c r="D1026">
        <f t="shared" ca="1" si="331"/>
        <v>6</v>
      </c>
      <c r="E1026">
        <f t="shared" ca="1" si="332"/>
        <v>3</v>
      </c>
      <c r="F1026" s="110">
        <f t="shared" ca="1" si="333"/>
        <v>0</v>
      </c>
      <c r="G1026">
        <v>0</v>
      </c>
      <c r="H1026">
        <v>0</v>
      </c>
      <c r="I1026">
        <v>4</v>
      </c>
      <c r="J1026" s="1">
        <f t="shared" ca="1" si="334"/>
        <v>1.5271992187500026E-3</v>
      </c>
      <c r="K1026" s="1">
        <f t="shared" ca="1" si="335"/>
        <v>0</v>
      </c>
      <c r="L1026" s="13">
        <f t="shared" ca="1" si="336"/>
        <v>76</v>
      </c>
      <c r="M1026" s="7">
        <f t="shared" ca="1" si="337"/>
        <v>1424</v>
      </c>
      <c r="N1026" s="26">
        <f t="shared" ca="1" si="338"/>
        <v>5</v>
      </c>
      <c r="O1026" s="44">
        <f t="shared" ca="1" si="339"/>
        <v>3.5395046525977252</v>
      </c>
      <c r="P1026" s="44">
        <f t="shared" ca="1" si="340"/>
        <v>35.39504652597725</v>
      </c>
      <c r="Q1026" s="44">
        <f t="shared" ca="1" si="341"/>
        <v>35.39504652597725</v>
      </c>
      <c r="R1026" s="44">
        <f t="shared" ca="1" si="342"/>
        <v>3.5395046525977252</v>
      </c>
      <c r="S1026" s="44">
        <f t="shared" ca="1" si="343"/>
        <v>3.5395046525977252</v>
      </c>
      <c r="T1026" s="4">
        <f t="shared" ca="1" si="344"/>
        <v>0</v>
      </c>
      <c r="U1026" s="120">
        <f t="shared" ca="1" si="345"/>
        <v>2281.7775012989287</v>
      </c>
      <c r="V1026" s="4">
        <f t="shared" ca="1" si="346"/>
        <v>0</v>
      </c>
      <c r="W1026" s="13">
        <f t="shared" ca="1" si="347"/>
        <v>11092.5</v>
      </c>
      <c r="X1026" s="4">
        <f t="shared" ca="1" si="348"/>
        <v>0</v>
      </c>
      <c r="Y1026" s="4">
        <f t="shared" si="349"/>
        <v>0</v>
      </c>
      <c r="Z1026" s="13">
        <f t="shared" ca="1" si="350"/>
        <v>11092.5</v>
      </c>
      <c r="AA1026" s="4">
        <f t="shared" ca="1" si="351"/>
        <v>0</v>
      </c>
    </row>
    <row r="1027" spans="1:27">
      <c r="A1027">
        <v>3</v>
      </c>
      <c r="B1027">
        <v>2</v>
      </c>
      <c r="C1027">
        <f t="shared" ca="1" si="330"/>
        <v>7</v>
      </c>
      <c r="D1027">
        <f t="shared" ca="1" si="331"/>
        <v>6</v>
      </c>
      <c r="E1027">
        <f t="shared" ca="1" si="332"/>
        <v>3</v>
      </c>
      <c r="F1027" s="110">
        <f t="shared" ca="1" si="333"/>
        <v>0</v>
      </c>
      <c r="G1027">
        <v>0</v>
      </c>
      <c r="H1027">
        <v>0</v>
      </c>
      <c r="I1027">
        <v>3</v>
      </c>
      <c r="J1027" s="1">
        <f t="shared" ca="1" si="334"/>
        <v>1.0717187500000027E-4</v>
      </c>
      <c r="K1027" s="1">
        <f t="shared" ca="1" si="335"/>
        <v>0</v>
      </c>
      <c r="L1027" s="13">
        <f t="shared" ca="1" si="336"/>
        <v>57</v>
      </c>
      <c r="M1027" s="7">
        <f t="shared" ca="1" si="337"/>
        <v>1443</v>
      </c>
      <c r="N1027" s="26">
        <f t="shared" ca="1" si="338"/>
        <v>5</v>
      </c>
      <c r="O1027" s="44">
        <f t="shared" ca="1" si="339"/>
        <v>3.5395046525977252</v>
      </c>
      <c r="P1027" s="44">
        <f t="shared" ca="1" si="340"/>
        <v>35.39504652597725</v>
      </c>
      <c r="Q1027" s="44">
        <f t="shared" ca="1" si="341"/>
        <v>35.39504652597725</v>
      </c>
      <c r="R1027" s="44">
        <f t="shared" ca="1" si="342"/>
        <v>3.5395046525977252</v>
      </c>
      <c r="S1027" s="44">
        <f t="shared" ca="1" si="343"/>
        <v>3.5395046525977252</v>
      </c>
      <c r="T1027" s="4">
        <f t="shared" ca="1" si="344"/>
        <v>0</v>
      </c>
      <c r="U1027" s="120">
        <f t="shared" ca="1" si="345"/>
        <v>2262.7775012989287</v>
      </c>
      <c r="V1027" s="4">
        <f t="shared" ca="1" si="346"/>
        <v>0</v>
      </c>
      <c r="W1027" s="13">
        <f t="shared" ca="1" si="347"/>
        <v>8319.375</v>
      </c>
      <c r="X1027" s="4">
        <f t="shared" ca="1" si="348"/>
        <v>0</v>
      </c>
      <c r="Y1027" s="4">
        <f t="shared" si="349"/>
        <v>0</v>
      </c>
      <c r="Z1027" s="13">
        <f t="shared" ca="1" si="350"/>
        <v>8319.375</v>
      </c>
      <c r="AA1027" s="4">
        <f t="shared" ca="1" si="351"/>
        <v>0</v>
      </c>
    </row>
    <row r="1028" spans="1:27">
      <c r="A1028">
        <v>3</v>
      </c>
      <c r="B1028">
        <v>2</v>
      </c>
      <c r="C1028">
        <f t="shared" ca="1" si="330"/>
        <v>7</v>
      </c>
      <c r="D1028">
        <f t="shared" ca="1" si="331"/>
        <v>6</v>
      </c>
      <c r="E1028">
        <f t="shared" ca="1" si="332"/>
        <v>3</v>
      </c>
      <c r="F1028" s="110">
        <f t="shared" ca="1" si="333"/>
        <v>0</v>
      </c>
      <c r="G1028">
        <v>0</v>
      </c>
      <c r="H1028">
        <v>0</v>
      </c>
      <c r="I1028">
        <v>2</v>
      </c>
      <c r="J1028" s="1">
        <f t="shared" ca="1" si="334"/>
        <v>4.2304687500000152E-6</v>
      </c>
      <c r="K1028" s="1">
        <f t="shared" ca="1" si="335"/>
        <v>0</v>
      </c>
      <c r="L1028" s="13">
        <f t="shared" ca="1" si="336"/>
        <v>38</v>
      </c>
      <c r="M1028" s="7">
        <f t="shared" ca="1" si="337"/>
        <v>1462</v>
      </c>
      <c r="N1028" s="26">
        <f t="shared" ca="1" si="338"/>
        <v>5</v>
      </c>
      <c r="O1028" s="44">
        <f t="shared" ca="1" si="339"/>
        <v>3.5395046525977252</v>
      </c>
      <c r="P1028" s="44">
        <f t="shared" ca="1" si="340"/>
        <v>35.39504652597725</v>
      </c>
      <c r="Q1028" s="44">
        <f t="shared" ca="1" si="341"/>
        <v>35.39504652597725</v>
      </c>
      <c r="R1028" s="44">
        <f t="shared" ca="1" si="342"/>
        <v>3.5395046525977252</v>
      </c>
      <c r="S1028" s="44">
        <f t="shared" ca="1" si="343"/>
        <v>3.5395046525977252</v>
      </c>
      <c r="T1028" s="4">
        <f t="shared" ca="1" si="344"/>
        <v>0</v>
      </c>
      <c r="U1028" s="120">
        <f t="shared" ca="1" si="345"/>
        <v>2243.7775012989287</v>
      </c>
      <c r="V1028" s="4">
        <f t="shared" ca="1" si="346"/>
        <v>0</v>
      </c>
      <c r="W1028" s="13">
        <f t="shared" ca="1" si="347"/>
        <v>5546.25</v>
      </c>
      <c r="X1028" s="4">
        <f t="shared" ca="1" si="348"/>
        <v>0</v>
      </c>
      <c r="Y1028" s="4">
        <f t="shared" si="349"/>
        <v>0</v>
      </c>
      <c r="Z1028" s="13">
        <f t="shared" ca="1" si="350"/>
        <v>5546.25</v>
      </c>
      <c r="AA1028" s="4">
        <f t="shared" ca="1" si="351"/>
        <v>0</v>
      </c>
    </row>
    <row r="1029" spans="1:27">
      <c r="A1029">
        <v>3</v>
      </c>
      <c r="B1029">
        <v>2</v>
      </c>
      <c r="C1029">
        <f t="shared" ca="1" si="330"/>
        <v>7</v>
      </c>
      <c r="D1029">
        <f t="shared" ca="1" si="331"/>
        <v>6</v>
      </c>
      <c r="E1029">
        <f t="shared" ca="1" si="332"/>
        <v>3</v>
      </c>
      <c r="F1029" s="110">
        <f t="shared" ca="1" si="333"/>
        <v>0</v>
      </c>
      <c r="G1029">
        <v>0</v>
      </c>
      <c r="H1029">
        <v>0</v>
      </c>
      <c r="I1029">
        <v>1</v>
      </c>
      <c r="J1029" s="1">
        <f t="shared" ca="1" si="334"/>
        <v>8.9062500000000418E-8</v>
      </c>
      <c r="K1029" s="1">
        <f t="shared" ca="1" si="335"/>
        <v>0</v>
      </c>
      <c r="L1029" s="13">
        <f t="shared" ca="1" si="336"/>
        <v>19</v>
      </c>
      <c r="M1029" s="7">
        <f t="shared" ca="1" si="337"/>
        <v>1481</v>
      </c>
      <c r="N1029" s="26">
        <f t="shared" ca="1" si="338"/>
        <v>5</v>
      </c>
      <c r="O1029" s="44">
        <f t="shared" ca="1" si="339"/>
        <v>3.5395046525977252</v>
      </c>
      <c r="P1029" s="44">
        <f t="shared" ca="1" si="340"/>
        <v>35.39504652597725</v>
      </c>
      <c r="Q1029" s="44">
        <f t="shared" ca="1" si="341"/>
        <v>35.39504652597725</v>
      </c>
      <c r="R1029" s="44">
        <f t="shared" ca="1" si="342"/>
        <v>3.5395046525977252</v>
      </c>
      <c r="S1029" s="44">
        <f t="shared" ca="1" si="343"/>
        <v>3.5395046525977252</v>
      </c>
      <c r="T1029" s="4">
        <f t="shared" ca="1" si="344"/>
        <v>0</v>
      </c>
      <c r="U1029" s="120">
        <f t="shared" ca="1" si="345"/>
        <v>2224.7775012989287</v>
      </c>
      <c r="V1029" s="4">
        <f t="shared" ca="1" si="346"/>
        <v>0</v>
      </c>
      <c r="W1029" s="13">
        <f t="shared" ca="1" si="347"/>
        <v>2773.125</v>
      </c>
      <c r="X1029" s="4">
        <f t="shared" ca="1" si="348"/>
        <v>0</v>
      </c>
      <c r="Y1029" s="4">
        <f t="shared" si="349"/>
        <v>0</v>
      </c>
      <c r="Z1029" s="13">
        <f t="shared" ca="1" si="350"/>
        <v>2773.125</v>
      </c>
      <c r="AA1029" s="4">
        <f t="shared" ca="1" si="351"/>
        <v>0</v>
      </c>
    </row>
    <row r="1030" spans="1:27">
      <c r="A1030">
        <v>3</v>
      </c>
      <c r="B1030">
        <v>2</v>
      </c>
      <c r="C1030">
        <f t="shared" ca="1" si="330"/>
        <v>7</v>
      </c>
      <c r="D1030">
        <f t="shared" ca="1" si="331"/>
        <v>6</v>
      </c>
      <c r="E1030">
        <f t="shared" ca="1" si="332"/>
        <v>3</v>
      </c>
      <c r="F1030" s="110">
        <f t="shared" ca="1" si="333"/>
        <v>0</v>
      </c>
      <c r="G1030">
        <v>0</v>
      </c>
      <c r="H1030">
        <v>0</v>
      </c>
      <c r="I1030">
        <v>0</v>
      </c>
      <c r="J1030" s="1">
        <f t="shared" ca="1" si="334"/>
        <v>7.812500000000041E-10</v>
      </c>
      <c r="K1030" s="1">
        <f t="shared" ca="1" si="335"/>
        <v>0</v>
      </c>
      <c r="L1030" s="13">
        <f t="shared" ca="1" si="336"/>
        <v>0</v>
      </c>
      <c r="M1030" s="7">
        <f t="shared" ca="1" si="337"/>
        <v>1500</v>
      </c>
      <c r="N1030" s="26">
        <f t="shared" ca="1" si="338"/>
        <v>5</v>
      </c>
      <c r="O1030" s="44">
        <f t="shared" ca="1" si="339"/>
        <v>3.5395046525977252</v>
      </c>
      <c r="P1030" s="44">
        <f t="shared" ca="1" si="340"/>
        <v>35.39504652597725</v>
      </c>
      <c r="Q1030" s="44">
        <f t="shared" ca="1" si="341"/>
        <v>35.39504652597725</v>
      </c>
      <c r="R1030" s="44">
        <f t="shared" ca="1" si="342"/>
        <v>3.5395046525977252</v>
      </c>
      <c r="S1030" s="44">
        <f t="shared" ca="1" si="343"/>
        <v>3.5395046525977252</v>
      </c>
      <c r="T1030" s="4">
        <f t="shared" ca="1" si="344"/>
        <v>0</v>
      </c>
      <c r="U1030" s="120">
        <f t="shared" ca="1" si="345"/>
        <v>2205.7775012989287</v>
      </c>
      <c r="V1030" s="4">
        <f t="shared" ca="1" si="346"/>
        <v>0</v>
      </c>
      <c r="W1030" s="13">
        <f t="shared" ca="1" si="347"/>
        <v>0</v>
      </c>
      <c r="X1030" s="4">
        <f t="shared" ca="1" si="348"/>
        <v>0</v>
      </c>
      <c r="Y1030" s="4">
        <f t="shared" si="349"/>
        <v>0</v>
      </c>
      <c r="Z1030" s="13">
        <f t="shared" ca="1" si="350"/>
        <v>0</v>
      </c>
      <c r="AA1030" s="4">
        <f t="shared" ca="1" si="351"/>
        <v>0</v>
      </c>
    </row>
    <row r="1031" spans="1:27">
      <c r="A1031">
        <v>3</v>
      </c>
      <c r="B1031">
        <v>3</v>
      </c>
      <c r="C1031">
        <f t="shared" ca="1" si="330"/>
        <v>8</v>
      </c>
      <c r="D1031">
        <f t="shared" ca="1" si="331"/>
        <v>7</v>
      </c>
      <c r="E1031">
        <f t="shared" ca="1" si="332"/>
        <v>3</v>
      </c>
      <c r="F1031" s="110">
        <f t="shared" ca="1" si="333"/>
        <v>8.9999999999999998E-4</v>
      </c>
      <c r="G1031">
        <v>1</v>
      </c>
      <c r="H1031">
        <v>1</v>
      </c>
      <c r="I1031">
        <v>7</v>
      </c>
      <c r="J1031" s="1">
        <f t="shared" ca="1" si="334"/>
        <v>0</v>
      </c>
      <c r="K1031" s="1">
        <f t="shared" ca="1" si="335"/>
        <v>0</v>
      </c>
      <c r="L1031" s="13">
        <f t="shared" ca="1" si="336"/>
        <v>701</v>
      </c>
      <c r="M1031" s="7">
        <f t="shared" ca="1" si="337"/>
        <v>799</v>
      </c>
      <c r="N1031" s="26">
        <f t="shared" ca="1" si="338"/>
        <v>3</v>
      </c>
      <c r="O1031" s="44">
        <f t="shared" ca="1" si="339"/>
        <v>2.2758855914378953</v>
      </c>
      <c r="P1031" s="44">
        <f t="shared" ca="1" si="340"/>
        <v>22.758855914378952</v>
      </c>
      <c r="Q1031" s="44">
        <f t="shared" ca="1" si="341"/>
        <v>22.758855914378952</v>
      </c>
      <c r="R1031" s="44">
        <f t="shared" ca="1" si="342"/>
        <v>2.2758855914378953</v>
      </c>
      <c r="S1031" s="44">
        <f t="shared" ca="1" si="343"/>
        <v>2.2758855914378953</v>
      </c>
      <c r="T1031" s="4">
        <f t="shared" ca="1" si="344"/>
        <v>0</v>
      </c>
      <c r="U1031" s="120">
        <f t="shared" ca="1" si="345"/>
        <v>2217.0063598009133</v>
      </c>
      <c r="V1031" s="4">
        <f t="shared" ca="1" si="346"/>
        <v>0</v>
      </c>
      <c r="W1031" s="13">
        <f t="shared" ca="1" si="347"/>
        <v>49588.256250000006</v>
      </c>
      <c r="X1031" s="4">
        <f t="shared" ca="1" si="348"/>
        <v>0</v>
      </c>
      <c r="Y1031" s="4">
        <f t="shared" si="349"/>
        <v>0</v>
      </c>
      <c r="Z1031" s="13">
        <f t="shared" ca="1" si="350"/>
        <v>49588.256250000006</v>
      </c>
      <c r="AA1031" s="4">
        <f t="shared" ca="1" si="351"/>
        <v>0</v>
      </c>
    </row>
    <row r="1032" spans="1:27">
      <c r="A1032">
        <v>3</v>
      </c>
      <c r="B1032">
        <v>3</v>
      </c>
      <c r="C1032">
        <f t="shared" ca="1" si="330"/>
        <v>8</v>
      </c>
      <c r="D1032">
        <f t="shared" ca="1" si="331"/>
        <v>7</v>
      </c>
      <c r="E1032">
        <f t="shared" ca="1" si="332"/>
        <v>3</v>
      </c>
      <c r="F1032" s="110">
        <f t="shared" ca="1" si="333"/>
        <v>8.9999999999999998E-4</v>
      </c>
      <c r="G1032">
        <v>1</v>
      </c>
      <c r="H1032">
        <v>1</v>
      </c>
      <c r="I1032">
        <v>6</v>
      </c>
      <c r="J1032" s="1">
        <f t="shared" ca="1" si="334"/>
        <v>0</v>
      </c>
      <c r="K1032" s="1">
        <f t="shared" ca="1" si="335"/>
        <v>0</v>
      </c>
      <c r="L1032" s="13">
        <f t="shared" ca="1" si="336"/>
        <v>682</v>
      </c>
      <c r="M1032" s="7">
        <f t="shared" ca="1" si="337"/>
        <v>818</v>
      </c>
      <c r="N1032" s="26">
        <f t="shared" ca="1" si="338"/>
        <v>3</v>
      </c>
      <c r="O1032" s="44">
        <f t="shared" ca="1" si="339"/>
        <v>2.2758855914378953</v>
      </c>
      <c r="P1032" s="44">
        <f t="shared" ca="1" si="340"/>
        <v>22.758855914378952</v>
      </c>
      <c r="Q1032" s="44">
        <f t="shared" ca="1" si="341"/>
        <v>22.758855914378952</v>
      </c>
      <c r="R1032" s="44">
        <f t="shared" ca="1" si="342"/>
        <v>2.2758855914378953</v>
      </c>
      <c r="S1032" s="44">
        <f t="shared" ca="1" si="343"/>
        <v>2.2758855914378953</v>
      </c>
      <c r="T1032" s="4">
        <f t="shared" ca="1" si="344"/>
        <v>0</v>
      </c>
      <c r="U1032" s="120">
        <f t="shared" ca="1" si="345"/>
        <v>2198.0063598009133</v>
      </c>
      <c r="V1032" s="4">
        <f t="shared" ca="1" si="346"/>
        <v>0</v>
      </c>
      <c r="W1032" s="13">
        <f t="shared" ca="1" si="347"/>
        <v>46815.131250000006</v>
      </c>
      <c r="X1032" s="4">
        <f t="shared" ca="1" si="348"/>
        <v>0</v>
      </c>
      <c r="Y1032" s="4">
        <f t="shared" si="349"/>
        <v>0</v>
      </c>
      <c r="Z1032" s="13">
        <f t="shared" ca="1" si="350"/>
        <v>46815.131250000006</v>
      </c>
      <c r="AA1032" s="4">
        <f t="shared" ca="1" si="351"/>
        <v>0</v>
      </c>
    </row>
    <row r="1033" spans="1:27">
      <c r="A1033">
        <v>3</v>
      </c>
      <c r="B1033">
        <v>3</v>
      </c>
      <c r="C1033">
        <f t="shared" ca="1" si="330"/>
        <v>8</v>
      </c>
      <c r="D1033">
        <f t="shared" ca="1" si="331"/>
        <v>7</v>
      </c>
      <c r="E1033">
        <f t="shared" ca="1" si="332"/>
        <v>3</v>
      </c>
      <c r="F1033" s="110">
        <f t="shared" ca="1" si="333"/>
        <v>8.9999999999999998E-4</v>
      </c>
      <c r="G1033">
        <v>1</v>
      </c>
      <c r="H1033">
        <v>1</v>
      </c>
      <c r="I1033">
        <v>5</v>
      </c>
      <c r="J1033" s="1">
        <f t="shared" ca="1" si="334"/>
        <v>0</v>
      </c>
      <c r="K1033" s="1">
        <f t="shared" ca="1" si="335"/>
        <v>0</v>
      </c>
      <c r="L1033" s="13">
        <f t="shared" ca="1" si="336"/>
        <v>663</v>
      </c>
      <c r="M1033" s="7">
        <f t="shared" ca="1" si="337"/>
        <v>837</v>
      </c>
      <c r="N1033" s="26">
        <f t="shared" ca="1" si="338"/>
        <v>3</v>
      </c>
      <c r="O1033" s="44">
        <f t="shared" ca="1" si="339"/>
        <v>2.2758855914378953</v>
      </c>
      <c r="P1033" s="44">
        <f t="shared" ca="1" si="340"/>
        <v>22.758855914378952</v>
      </c>
      <c r="Q1033" s="44">
        <f t="shared" ca="1" si="341"/>
        <v>22.758855914378952</v>
      </c>
      <c r="R1033" s="44">
        <f t="shared" ca="1" si="342"/>
        <v>2.2758855914378953</v>
      </c>
      <c r="S1033" s="44">
        <f t="shared" ca="1" si="343"/>
        <v>2.2758855914378953</v>
      </c>
      <c r="T1033" s="4">
        <f t="shared" ca="1" si="344"/>
        <v>0</v>
      </c>
      <c r="U1033" s="120">
        <f t="shared" ca="1" si="345"/>
        <v>2179.0063598009133</v>
      </c>
      <c r="V1033" s="4">
        <f t="shared" ca="1" si="346"/>
        <v>0</v>
      </c>
      <c r="W1033" s="13">
        <f t="shared" ca="1" si="347"/>
        <v>44042.006250000006</v>
      </c>
      <c r="X1033" s="4">
        <f t="shared" ca="1" si="348"/>
        <v>0</v>
      </c>
      <c r="Y1033" s="4">
        <f t="shared" si="349"/>
        <v>0</v>
      </c>
      <c r="Z1033" s="13">
        <f t="shared" ca="1" si="350"/>
        <v>44042.006250000006</v>
      </c>
      <c r="AA1033" s="4">
        <f t="shared" ca="1" si="351"/>
        <v>0</v>
      </c>
    </row>
    <row r="1034" spans="1:27">
      <c r="A1034">
        <v>3</v>
      </c>
      <c r="B1034">
        <v>3</v>
      </c>
      <c r="C1034">
        <f t="shared" ca="1" si="330"/>
        <v>8</v>
      </c>
      <c r="D1034">
        <f t="shared" ca="1" si="331"/>
        <v>7</v>
      </c>
      <c r="E1034">
        <f t="shared" ca="1" si="332"/>
        <v>3</v>
      </c>
      <c r="F1034" s="110">
        <f t="shared" ca="1" si="333"/>
        <v>8.9999999999999998E-4</v>
      </c>
      <c r="G1034">
        <v>1</v>
      </c>
      <c r="H1034">
        <v>1</v>
      </c>
      <c r="I1034">
        <v>4</v>
      </c>
      <c r="J1034" s="1">
        <f t="shared" ca="1" si="334"/>
        <v>0</v>
      </c>
      <c r="K1034" s="1">
        <f t="shared" ca="1" si="335"/>
        <v>0</v>
      </c>
      <c r="L1034" s="13">
        <f t="shared" ca="1" si="336"/>
        <v>644</v>
      </c>
      <c r="M1034" s="7">
        <f t="shared" ca="1" si="337"/>
        <v>856</v>
      </c>
      <c r="N1034" s="26">
        <f t="shared" ca="1" si="338"/>
        <v>3</v>
      </c>
      <c r="O1034" s="44">
        <f t="shared" ca="1" si="339"/>
        <v>2.2758855914378953</v>
      </c>
      <c r="P1034" s="44">
        <f t="shared" ca="1" si="340"/>
        <v>22.758855914378952</v>
      </c>
      <c r="Q1034" s="44">
        <f t="shared" ca="1" si="341"/>
        <v>22.758855914378952</v>
      </c>
      <c r="R1034" s="44">
        <f t="shared" ca="1" si="342"/>
        <v>2.2758855914378953</v>
      </c>
      <c r="S1034" s="44">
        <f t="shared" ca="1" si="343"/>
        <v>2.2758855914378953</v>
      </c>
      <c r="T1034" s="4">
        <f t="shared" ca="1" si="344"/>
        <v>0</v>
      </c>
      <c r="U1034" s="120">
        <f t="shared" ca="1" si="345"/>
        <v>2160.0063598009133</v>
      </c>
      <c r="V1034" s="4">
        <f t="shared" ca="1" si="346"/>
        <v>0</v>
      </c>
      <c r="W1034" s="13">
        <f t="shared" ca="1" si="347"/>
        <v>41268.881250000006</v>
      </c>
      <c r="X1034" s="4">
        <f t="shared" ca="1" si="348"/>
        <v>0</v>
      </c>
      <c r="Y1034" s="4">
        <f t="shared" si="349"/>
        <v>0</v>
      </c>
      <c r="Z1034" s="13">
        <f t="shared" ca="1" si="350"/>
        <v>41268.881250000006</v>
      </c>
      <c r="AA1034" s="4">
        <f t="shared" ca="1" si="351"/>
        <v>0</v>
      </c>
    </row>
    <row r="1035" spans="1:27">
      <c r="A1035">
        <v>3</v>
      </c>
      <c r="B1035">
        <v>3</v>
      </c>
      <c r="C1035">
        <f t="shared" ca="1" si="330"/>
        <v>8</v>
      </c>
      <c r="D1035">
        <f t="shared" ca="1" si="331"/>
        <v>7</v>
      </c>
      <c r="E1035">
        <f t="shared" ca="1" si="332"/>
        <v>3</v>
      </c>
      <c r="F1035" s="110">
        <f t="shared" ca="1" si="333"/>
        <v>8.9999999999999998E-4</v>
      </c>
      <c r="G1035">
        <v>1</v>
      </c>
      <c r="H1035">
        <v>1</v>
      </c>
      <c r="I1035">
        <v>3</v>
      </c>
      <c r="J1035" s="1">
        <f t="shared" ca="1" si="334"/>
        <v>0</v>
      </c>
      <c r="K1035" s="1">
        <f t="shared" ca="1" si="335"/>
        <v>0</v>
      </c>
      <c r="L1035" s="13">
        <f t="shared" ca="1" si="336"/>
        <v>625</v>
      </c>
      <c r="M1035" s="7">
        <f t="shared" ca="1" si="337"/>
        <v>875</v>
      </c>
      <c r="N1035" s="26">
        <f t="shared" ca="1" si="338"/>
        <v>3</v>
      </c>
      <c r="O1035" s="44">
        <f t="shared" ca="1" si="339"/>
        <v>2.2758855914378953</v>
      </c>
      <c r="P1035" s="44">
        <f t="shared" ca="1" si="340"/>
        <v>22.758855914378952</v>
      </c>
      <c r="Q1035" s="44">
        <f t="shared" ca="1" si="341"/>
        <v>22.758855914378952</v>
      </c>
      <c r="R1035" s="44">
        <f t="shared" ca="1" si="342"/>
        <v>2.2758855914378953</v>
      </c>
      <c r="S1035" s="44">
        <f t="shared" ca="1" si="343"/>
        <v>2.2758855914378953</v>
      </c>
      <c r="T1035" s="4">
        <f t="shared" ca="1" si="344"/>
        <v>0</v>
      </c>
      <c r="U1035" s="120">
        <f t="shared" ca="1" si="345"/>
        <v>2141.0063598009133</v>
      </c>
      <c r="V1035" s="4">
        <f t="shared" ca="1" si="346"/>
        <v>0</v>
      </c>
      <c r="W1035" s="13">
        <f t="shared" ca="1" si="347"/>
        <v>38495.756250000006</v>
      </c>
      <c r="X1035" s="4">
        <f t="shared" ca="1" si="348"/>
        <v>0</v>
      </c>
      <c r="Y1035" s="4">
        <f t="shared" si="349"/>
        <v>0</v>
      </c>
      <c r="Z1035" s="13">
        <f t="shared" ca="1" si="350"/>
        <v>38495.756250000006</v>
      </c>
      <c r="AA1035" s="4">
        <f t="shared" ca="1" si="351"/>
        <v>0</v>
      </c>
    </row>
    <row r="1036" spans="1:27">
      <c r="A1036">
        <v>3</v>
      </c>
      <c r="B1036">
        <v>3</v>
      </c>
      <c r="C1036">
        <f t="shared" ca="1" si="330"/>
        <v>8</v>
      </c>
      <c r="D1036">
        <f t="shared" ca="1" si="331"/>
        <v>7</v>
      </c>
      <c r="E1036">
        <f t="shared" ca="1" si="332"/>
        <v>3</v>
      </c>
      <c r="F1036" s="110">
        <f t="shared" ca="1" si="333"/>
        <v>8.9999999999999998E-4</v>
      </c>
      <c r="G1036">
        <v>1</v>
      </c>
      <c r="H1036">
        <v>1</v>
      </c>
      <c r="I1036">
        <v>2</v>
      </c>
      <c r="J1036" s="1">
        <f t="shared" ca="1" si="334"/>
        <v>0</v>
      </c>
      <c r="K1036" s="1">
        <f t="shared" ca="1" si="335"/>
        <v>0</v>
      </c>
      <c r="L1036" s="13">
        <f t="shared" ca="1" si="336"/>
        <v>606</v>
      </c>
      <c r="M1036" s="7">
        <f t="shared" ca="1" si="337"/>
        <v>894</v>
      </c>
      <c r="N1036" s="26">
        <f t="shared" ca="1" si="338"/>
        <v>3</v>
      </c>
      <c r="O1036" s="44">
        <f t="shared" ca="1" si="339"/>
        <v>2.2758855914378953</v>
      </c>
      <c r="P1036" s="44">
        <f t="shared" ca="1" si="340"/>
        <v>22.758855914378952</v>
      </c>
      <c r="Q1036" s="44">
        <f t="shared" ca="1" si="341"/>
        <v>22.758855914378952</v>
      </c>
      <c r="R1036" s="44">
        <f t="shared" ca="1" si="342"/>
        <v>2.2758855914378953</v>
      </c>
      <c r="S1036" s="44">
        <f t="shared" ca="1" si="343"/>
        <v>2.2758855914378953</v>
      </c>
      <c r="T1036" s="4">
        <f t="shared" ca="1" si="344"/>
        <v>0</v>
      </c>
      <c r="U1036" s="120">
        <f t="shared" ca="1" si="345"/>
        <v>2122.0063598009133</v>
      </c>
      <c r="V1036" s="4">
        <f t="shared" ca="1" si="346"/>
        <v>0</v>
      </c>
      <c r="W1036" s="13">
        <f t="shared" ca="1" si="347"/>
        <v>35722.631250000006</v>
      </c>
      <c r="X1036" s="4">
        <f t="shared" ca="1" si="348"/>
        <v>0</v>
      </c>
      <c r="Y1036" s="4">
        <f t="shared" si="349"/>
        <v>0</v>
      </c>
      <c r="Z1036" s="13">
        <f t="shared" ca="1" si="350"/>
        <v>35722.631250000006</v>
      </c>
      <c r="AA1036" s="4">
        <f t="shared" ca="1" si="351"/>
        <v>0</v>
      </c>
    </row>
    <row r="1037" spans="1:27">
      <c r="A1037">
        <v>3</v>
      </c>
      <c r="B1037">
        <v>3</v>
      </c>
      <c r="C1037">
        <f t="shared" ca="1" si="330"/>
        <v>8</v>
      </c>
      <c r="D1037">
        <f t="shared" ca="1" si="331"/>
        <v>7</v>
      </c>
      <c r="E1037">
        <f t="shared" ca="1" si="332"/>
        <v>3</v>
      </c>
      <c r="F1037" s="110">
        <f t="shared" ca="1" si="333"/>
        <v>8.9999999999999998E-4</v>
      </c>
      <c r="G1037">
        <v>1</v>
      </c>
      <c r="H1037">
        <v>1</v>
      </c>
      <c r="I1037">
        <v>1</v>
      </c>
      <c r="J1037" s="1">
        <f t="shared" ca="1" si="334"/>
        <v>0</v>
      </c>
      <c r="K1037" s="1">
        <f t="shared" ca="1" si="335"/>
        <v>0</v>
      </c>
      <c r="L1037" s="13">
        <f t="shared" ca="1" si="336"/>
        <v>587</v>
      </c>
      <c r="M1037" s="7">
        <f t="shared" ca="1" si="337"/>
        <v>913</v>
      </c>
      <c r="N1037" s="26">
        <f t="shared" ca="1" si="338"/>
        <v>3</v>
      </c>
      <c r="O1037" s="44">
        <f t="shared" ca="1" si="339"/>
        <v>2.2758855914378953</v>
      </c>
      <c r="P1037" s="44">
        <f t="shared" ca="1" si="340"/>
        <v>22.758855914378952</v>
      </c>
      <c r="Q1037" s="44">
        <f t="shared" ca="1" si="341"/>
        <v>22.758855914378952</v>
      </c>
      <c r="R1037" s="44">
        <f t="shared" ca="1" si="342"/>
        <v>2.2758855914378953</v>
      </c>
      <c r="S1037" s="44">
        <f t="shared" ca="1" si="343"/>
        <v>2.2758855914378953</v>
      </c>
      <c r="T1037" s="4">
        <f t="shared" ca="1" si="344"/>
        <v>0</v>
      </c>
      <c r="U1037" s="120">
        <f t="shared" ca="1" si="345"/>
        <v>2103.0063598009133</v>
      </c>
      <c r="V1037" s="4">
        <f t="shared" ca="1" si="346"/>
        <v>0</v>
      </c>
      <c r="W1037" s="13">
        <f t="shared" ca="1" si="347"/>
        <v>32949.506250000006</v>
      </c>
      <c r="X1037" s="4">
        <f t="shared" ca="1" si="348"/>
        <v>0</v>
      </c>
      <c r="Y1037" s="4">
        <f t="shared" si="349"/>
        <v>0</v>
      </c>
      <c r="Z1037" s="13">
        <f t="shared" ca="1" si="350"/>
        <v>32949.506250000006</v>
      </c>
      <c r="AA1037" s="4">
        <f t="shared" ca="1" si="351"/>
        <v>0</v>
      </c>
    </row>
    <row r="1038" spans="1:27">
      <c r="A1038">
        <v>3</v>
      </c>
      <c r="B1038">
        <v>3</v>
      </c>
      <c r="C1038">
        <f t="shared" ca="1" si="330"/>
        <v>8</v>
      </c>
      <c r="D1038">
        <f t="shared" ca="1" si="331"/>
        <v>7</v>
      </c>
      <c r="E1038">
        <f t="shared" ca="1" si="332"/>
        <v>3</v>
      </c>
      <c r="F1038" s="110">
        <f t="shared" ca="1" si="333"/>
        <v>8.9999999999999998E-4</v>
      </c>
      <c r="G1038">
        <v>1</v>
      </c>
      <c r="H1038">
        <v>1</v>
      </c>
      <c r="I1038">
        <v>0</v>
      </c>
      <c r="J1038" s="1">
        <f t="shared" ca="1" si="334"/>
        <v>0</v>
      </c>
      <c r="K1038" s="1">
        <f t="shared" ca="1" si="335"/>
        <v>0</v>
      </c>
      <c r="L1038" s="13">
        <f t="shared" ca="1" si="336"/>
        <v>568</v>
      </c>
      <c r="M1038" s="7">
        <f t="shared" ca="1" si="337"/>
        <v>932</v>
      </c>
      <c r="N1038" s="26">
        <f t="shared" ca="1" si="338"/>
        <v>3</v>
      </c>
      <c r="O1038" s="44">
        <f t="shared" ca="1" si="339"/>
        <v>2.2758855914378953</v>
      </c>
      <c r="P1038" s="44">
        <f t="shared" ca="1" si="340"/>
        <v>22.758855914378952</v>
      </c>
      <c r="Q1038" s="44">
        <f t="shared" ca="1" si="341"/>
        <v>22.758855914378952</v>
      </c>
      <c r="R1038" s="44">
        <f t="shared" ca="1" si="342"/>
        <v>2.2758855914378953</v>
      </c>
      <c r="S1038" s="44">
        <f t="shared" ca="1" si="343"/>
        <v>2.2758855914378953</v>
      </c>
      <c r="T1038" s="4">
        <f t="shared" ca="1" si="344"/>
        <v>0</v>
      </c>
      <c r="U1038" s="120">
        <f t="shared" ca="1" si="345"/>
        <v>2084.0063598009133</v>
      </c>
      <c r="V1038" s="4">
        <f t="shared" ca="1" si="346"/>
        <v>0</v>
      </c>
      <c r="W1038" s="13">
        <f t="shared" ca="1" si="347"/>
        <v>30176.381250000002</v>
      </c>
      <c r="X1038" s="4">
        <f t="shared" ca="1" si="348"/>
        <v>0</v>
      </c>
      <c r="Y1038" s="4">
        <f t="shared" si="349"/>
        <v>0</v>
      </c>
      <c r="Z1038" s="13">
        <f t="shared" ca="1" si="350"/>
        <v>30176.381250000002</v>
      </c>
      <c r="AA1038" s="4">
        <f t="shared" ca="1" si="351"/>
        <v>0</v>
      </c>
    </row>
    <row r="1039" spans="1:27">
      <c r="A1039">
        <v>3</v>
      </c>
      <c r="B1039">
        <v>3</v>
      </c>
      <c r="C1039">
        <f t="shared" ca="1" si="330"/>
        <v>8</v>
      </c>
      <c r="D1039">
        <f t="shared" ca="1" si="331"/>
        <v>7</v>
      </c>
      <c r="E1039">
        <f t="shared" ca="1" si="332"/>
        <v>3</v>
      </c>
      <c r="F1039" s="110">
        <f t="shared" ca="1" si="333"/>
        <v>8.9999999999999998E-4</v>
      </c>
      <c r="G1039">
        <v>1</v>
      </c>
      <c r="H1039">
        <v>0</v>
      </c>
      <c r="I1039">
        <v>7</v>
      </c>
      <c r="J1039" s="1">
        <f t="shared" ca="1" si="334"/>
        <v>0.66342043128906247</v>
      </c>
      <c r="K1039" s="1">
        <f t="shared" ca="1" si="335"/>
        <v>5.9707838816015616E-4</v>
      </c>
      <c r="L1039" s="13">
        <f t="shared" ca="1" si="336"/>
        <v>417</v>
      </c>
      <c r="M1039" s="7">
        <f t="shared" ca="1" si="337"/>
        <v>1083</v>
      </c>
      <c r="N1039" s="26">
        <f t="shared" ca="1" si="338"/>
        <v>4</v>
      </c>
      <c r="O1039" s="44">
        <f t="shared" ca="1" si="339"/>
        <v>2.8908103757121246</v>
      </c>
      <c r="P1039" s="44">
        <f t="shared" ca="1" si="340"/>
        <v>28.908103757121246</v>
      </c>
      <c r="Q1039" s="44">
        <f t="shared" ca="1" si="341"/>
        <v>28.908103757121246</v>
      </c>
      <c r="R1039" s="44">
        <f t="shared" ca="1" si="342"/>
        <v>2.8908103757121246</v>
      </c>
      <c r="S1039" s="44">
        <f t="shared" ca="1" si="343"/>
        <v>2.8908103757121246</v>
      </c>
      <c r="T1039" s="4">
        <f t="shared" ca="1" si="344"/>
        <v>1.7260403996068507E-3</v>
      </c>
      <c r="U1039" s="120">
        <f t="shared" ca="1" si="345"/>
        <v>2268.675062040129</v>
      </c>
      <c r="V1039" s="4">
        <f t="shared" ca="1" si="346"/>
        <v>1.3545768493020625</v>
      </c>
      <c r="W1039" s="13">
        <f t="shared" ca="1" si="347"/>
        <v>49588.256250000006</v>
      </c>
      <c r="X1039" s="4">
        <f t="shared" ca="1" si="348"/>
        <v>29.608076113422793</v>
      </c>
      <c r="Y1039" s="4">
        <f t="shared" si="349"/>
        <v>0</v>
      </c>
      <c r="Z1039" s="13">
        <f t="shared" ca="1" si="350"/>
        <v>49588.256250000006</v>
      </c>
      <c r="AA1039" s="4">
        <f t="shared" ca="1" si="351"/>
        <v>29.608076113422793</v>
      </c>
    </row>
    <row r="1040" spans="1:27">
      <c r="A1040">
        <v>3</v>
      </c>
      <c r="B1040">
        <v>3</v>
      </c>
      <c r="C1040">
        <f t="shared" ca="1" si="330"/>
        <v>8</v>
      </c>
      <c r="D1040">
        <f t="shared" ca="1" si="331"/>
        <v>7</v>
      </c>
      <c r="E1040">
        <f t="shared" ca="1" si="332"/>
        <v>3</v>
      </c>
      <c r="F1040" s="110">
        <f t="shared" ca="1" si="333"/>
        <v>8.9999999999999998E-4</v>
      </c>
      <c r="G1040">
        <v>1</v>
      </c>
      <c r="H1040">
        <v>0</v>
      </c>
      <c r="I1040">
        <v>6</v>
      </c>
      <c r="J1040" s="1">
        <f t="shared" ca="1" si="334"/>
        <v>0.24441805363281272</v>
      </c>
      <c r="K1040" s="1">
        <f t="shared" ca="1" si="335"/>
        <v>2.1997624826953143E-4</v>
      </c>
      <c r="L1040" s="13">
        <f t="shared" ca="1" si="336"/>
        <v>398</v>
      </c>
      <c r="M1040" s="7">
        <f t="shared" ca="1" si="337"/>
        <v>1102</v>
      </c>
      <c r="N1040" s="26">
        <f t="shared" ca="1" si="338"/>
        <v>4</v>
      </c>
      <c r="O1040" s="44">
        <f t="shared" ca="1" si="339"/>
        <v>2.8908103757121246</v>
      </c>
      <c r="P1040" s="44">
        <f t="shared" ca="1" si="340"/>
        <v>28.908103757121246</v>
      </c>
      <c r="Q1040" s="44">
        <f t="shared" ca="1" si="341"/>
        <v>28.908103757121246</v>
      </c>
      <c r="R1040" s="44">
        <f t="shared" ca="1" si="342"/>
        <v>2.8908103757121246</v>
      </c>
      <c r="S1040" s="44">
        <f t="shared" ca="1" si="343"/>
        <v>2.8908103757121246</v>
      </c>
      <c r="T1040" s="4">
        <f t="shared" ca="1" si="344"/>
        <v>6.3590962090778779E-4</v>
      </c>
      <c r="U1040" s="120">
        <f t="shared" ca="1" si="345"/>
        <v>2249.675062040129</v>
      </c>
      <c r="V1040" s="4">
        <f t="shared" ca="1" si="346"/>
        <v>0.49487507997311292</v>
      </c>
      <c r="W1040" s="13">
        <f t="shared" ca="1" si="347"/>
        <v>46815.131250000006</v>
      </c>
      <c r="X1040" s="4">
        <f t="shared" ca="1" si="348"/>
        <v>10.298216934620701</v>
      </c>
      <c r="Y1040" s="4">
        <f t="shared" si="349"/>
        <v>0</v>
      </c>
      <c r="Z1040" s="13">
        <f t="shared" ca="1" si="350"/>
        <v>46815.131250000006</v>
      </c>
      <c r="AA1040" s="4">
        <f t="shared" ca="1" si="351"/>
        <v>10.298216934620701</v>
      </c>
    </row>
    <row r="1041" spans="1:27">
      <c r="A1041">
        <v>3</v>
      </c>
      <c r="B1041">
        <v>3</v>
      </c>
      <c r="C1041">
        <f t="shared" ca="1" si="330"/>
        <v>8</v>
      </c>
      <c r="D1041">
        <f t="shared" ca="1" si="331"/>
        <v>7</v>
      </c>
      <c r="E1041">
        <f t="shared" ca="1" si="332"/>
        <v>3</v>
      </c>
      <c r="F1041" s="110">
        <f t="shared" ca="1" si="333"/>
        <v>8.9999999999999998E-4</v>
      </c>
      <c r="G1041">
        <v>1</v>
      </c>
      <c r="H1041">
        <v>0</v>
      </c>
      <c r="I1041">
        <v>5</v>
      </c>
      <c r="J1041" s="1">
        <f t="shared" ca="1" si="334"/>
        <v>3.8592324257812567E-2</v>
      </c>
      <c r="K1041" s="1">
        <f t="shared" ca="1" si="335"/>
        <v>3.4733091832031313E-5</v>
      </c>
      <c r="L1041" s="13">
        <f t="shared" ca="1" si="336"/>
        <v>379</v>
      </c>
      <c r="M1041" s="7">
        <f t="shared" ca="1" si="337"/>
        <v>1121</v>
      </c>
      <c r="N1041" s="26">
        <f t="shared" ca="1" si="338"/>
        <v>4</v>
      </c>
      <c r="O1041" s="44">
        <f t="shared" ca="1" si="339"/>
        <v>2.8908103757121246</v>
      </c>
      <c r="P1041" s="44">
        <f t="shared" ca="1" si="340"/>
        <v>28.908103757121246</v>
      </c>
      <c r="Q1041" s="44">
        <f t="shared" ca="1" si="341"/>
        <v>28.908103757121246</v>
      </c>
      <c r="R1041" s="44">
        <f t="shared" ca="1" si="342"/>
        <v>2.8908103757121246</v>
      </c>
      <c r="S1041" s="44">
        <f t="shared" ca="1" si="343"/>
        <v>2.8908103757121246</v>
      </c>
      <c r="T1041" s="4">
        <f t="shared" ca="1" si="344"/>
        <v>1.0040678224859817E-4</v>
      </c>
      <c r="U1041" s="120">
        <f t="shared" ca="1" si="345"/>
        <v>2230.675062040129</v>
      </c>
      <c r="V1041" s="4">
        <f t="shared" ca="1" si="346"/>
        <v>7.7478241777261939E-2</v>
      </c>
      <c r="W1041" s="13">
        <f t="shared" ca="1" si="347"/>
        <v>44042.006250000006</v>
      </c>
      <c r="X1041" s="4">
        <f t="shared" ca="1" si="348"/>
        <v>1.5297150475481471</v>
      </c>
      <c r="Y1041" s="4">
        <f t="shared" si="349"/>
        <v>0</v>
      </c>
      <c r="Z1041" s="13">
        <f t="shared" ca="1" si="350"/>
        <v>44042.006250000006</v>
      </c>
      <c r="AA1041" s="4">
        <f t="shared" ca="1" si="351"/>
        <v>1.5297150475481471</v>
      </c>
    </row>
    <row r="1042" spans="1:27">
      <c r="A1042">
        <v>3</v>
      </c>
      <c r="B1042">
        <v>3</v>
      </c>
      <c r="C1042">
        <f t="shared" ca="1" si="330"/>
        <v>8</v>
      </c>
      <c r="D1042">
        <f t="shared" ca="1" si="331"/>
        <v>7</v>
      </c>
      <c r="E1042">
        <f t="shared" ca="1" si="332"/>
        <v>3</v>
      </c>
      <c r="F1042" s="110">
        <f t="shared" ca="1" si="333"/>
        <v>8.9999999999999998E-4</v>
      </c>
      <c r="G1042">
        <v>1</v>
      </c>
      <c r="H1042">
        <v>0</v>
      </c>
      <c r="I1042">
        <v>4</v>
      </c>
      <c r="J1042" s="1">
        <f t="shared" ca="1" si="334"/>
        <v>3.3852916015625085E-3</v>
      </c>
      <c r="K1042" s="1">
        <f t="shared" ca="1" si="335"/>
        <v>3.0467624414062576E-6</v>
      </c>
      <c r="L1042" s="13">
        <f t="shared" ca="1" si="336"/>
        <v>360</v>
      </c>
      <c r="M1042" s="7">
        <f t="shared" ca="1" si="337"/>
        <v>1140</v>
      </c>
      <c r="N1042" s="26">
        <f t="shared" ca="1" si="338"/>
        <v>4</v>
      </c>
      <c r="O1042" s="44">
        <f t="shared" ca="1" si="339"/>
        <v>2.8908103757121246</v>
      </c>
      <c r="P1042" s="44">
        <f t="shared" ca="1" si="340"/>
        <v>28.908103757121246</v>
      </c>
      <c r="Q1042" s="44">
        <f t="shared" ca="1" si="341"/>
        <v>28.908103757121246</v>
      </c>
      <c r="R1042" s="44">
        <f t="shared" ca="1" si="342"/>
        <v>2.8908103757121246</v>
      </c>
      <c r="S1042" s="44">
        <f t="shared" ca="1" si="343"/>
        <v>2.8908103757121246</v>
      </c>
      <c r="T1042" s="4">
        <f t="shared" ca="1" si="344"/>
        <v>8.8076124779472137E-6</v>
      </c>
      <c r="U1042" s="120">
        <f t="shared" ca="1" si="345"/>
        <v>2211.675062040129</v>
      </c>
      <c r="V1042" s="4">
        <f t="shared" ca="1" si="346"/>
        <v>6.7384485116187198E-3</v>
      </c>
      <c r="W1042" s="13">
        <f t="shared" ca="1" si="347"/>
        <v>41268.881250000006</v>
      </c>
      <c r="X1042" s="4">
        <f t="shared" ca="1" si="348"/>
        <v>0.12573647739135493</v>
      </c>
      <c r="Y1042" s="4">
        <f t="shared" si="349"/>
        <v>0</v>
      </c>
      <c r="Z1042" s="13">
        <f t="shared" ca="1" si="350"/>
        <v>41268.881250000006</v>
      </c>
      <c r="AA1042" s="4">
        <f t="shared" ca="1" si="351"/>
        <v>0.12573647739135493</v>
      </c>
    </row>
    <row r="1043" spans="1:27">
      <c r="A1043">
        <v>3</v>
      </c>
      <c r="B1043">
        <v>3</v>
      </c>
      <c r="C1043">
        <f t="shared" ca="1" si="330"/>
        <v>8</v>
      </c>
      <c r="D1043">
        <f t="shared" ca="1" si="331"/>
        <v>7</v>
      </c>
      <c r="E1043">
        <f t="shared" ca="1" si="332"/>
        <v>3</v>
      </c>
      <c r="F1043" s="110">
        <f t="shared" ca="1" si="333"/>
        <v>8.9999999999999998E-4</v>
      </c>
      <c r="G1043">
        <v>1</v>
      </c>
      <c r="H1043">
        <v>0</v>
      </c>
      <c r="I1043">
        <v>3</v>
      </c>
      <c r="J1043" s="1">
        <f t="shared" ca="1" si="334"/>
        <v>1.7817324218750058E-4</v>
      </c>
      <c r="K1043" s="1">
        <f t="shared" ca="1" si="335"/>
        <v>1.6035591796875052E-7</v>
      </c>
      <c r="L1043" s="13">
        <f t="shared" ca="1" si="336"/>
        <v>341</v>
      </c>
      <c r="M1043" s="7">
        <f t="shared" ca="1" si="337"/>
        <v>1159</v>
      </c>
      <c r="N1043" s="26">
        <f t="shared" ca="1" si="338"/>
        <v>4</v>
      </c>
      <c r="O1043" s="44">
        <f t="shared" ca="1" si="339"/>
        <v>2.8908103757121246</v>
      </c>
      <c r="P1043" s="44">
        <f t="shared" ca="1" si="340"/>
        <v>28.908103757121246</v>
      </c>
      <c r="Q1043" s="44">
        <f t="shared" ca="1" si="341"/>
        <v>28.908103757121246</v>
      </c>
      <c r="R1043" s="44">
        <f t="shared" ca="1" si="342"/>
        <v>2.8908103757121246</v>
      </c>
      <c r="S1043" s="44">
        <f t="shared" ca="1" si="343"/>
        <v>2.8908103757121246</v>
      </c>
      <c r="T1043" s="4">
        <f t="shared" ca="1" si="344"/>
        <v>4.6355855147090631E-7</v>
      </c>
      <c r="U1043" s="120">
        <f t="shared" ca="1" si="345"/>
        <v>2192.675062040129</v>
      </c>
      <c r="V1043" s="4">
        <f t="shared" ca="1" si="346"/>
        <v>3.5160842238063188E-4</v>
      </c>
      <c r="W1043" s="13">
        <f t="shared" ca="1" si="347"/>
        <v>38495.756250000006</v>
      </c>
      <c r="X1043" s="4">
        <f t="shared" ca="1" si="348"/>
        <v>6.1730223313700159E-3</v>
      </c>
      <c r="Y1043" s="4">
        <f t="shared" si="349"/>
        <v>0</v>
      </c>
      <c r="Z1043" s="13">
        <f t="shared" ca="1" si="350"/>
        <v>38495.756250000006</v>
      </c>
      <c r="AA1043" s="4">
        <f t="shared" ca="1" si="351"/>
        <v>6.1730223313700159E-3</v>
      </c>
    </row>
    <row r="1044" spans="1:27">
      <c r="A1044">
        <v>3</v>
      </c>
      <c r="B1044">
        <v>3</v>
      </c>
      <c r="C1044">
        <f t="shared" ca="1" si="330"/>
        <v>8</v>
      </c>
      <c r="D1044">
        <f t="shared" ca="1" si="331"/>
        <v>7</v>
      </c>
      <c r="E1044">
        <f t="shared" ca="1" si="332"/>
        <v>3</v>
      </c>
      <c r="F1044" s="110">
        <f t="shared" ca="1" si="333"/>
        <v>8.9999999999999998E-4</v>
      </c>
      <c r="G1044">
        <v>1</v>
      </c>
      <c r="H1044">
        <v>0</v>
      </c>
      <c r="I1044">
        <v>2</v>
      </c>
      <c r="J1044" s="1">
        <f t="shared" ca="1" si="334"/>
        <v>5.6265234375000243E-6</v>
      </c>
      <c r="K1044" s="1">
        <f t="shared" ca="1" si="335"/>
        <v>5.063871093750022E-9</v>
      </c>
      <c r="L1044" s="13">
        <f t="shared" ca="1" si="336"/>
        <v>322</v>
      </c>
      <c r="M1044" s="7">
        <f t="shared" ca="1" si="337"/>
        <v>1178</v>
      </c>
      <c r="N1044" s="26">
        <f t="shared" ca="1" si="338"/>
        <v>4</v>
      </c>
      <c r="O1044" s="44">
        <f t="shared" ca="1" si="339"/>
        <v>2.8908103757121246</v>
      </c>
      <c r="P1044" s="44">
        <f t="shared" ca="1" si="340"/>
        <v>28.908103757121246</v>
      </c>
      <c r="Q1044" s="44">
        <f t="shared" ca="1" si="341"/>
        <v>28.908103757121246</v>
      </c>
      <c r="R1044" s="44">
        <f t="shared" ca="1" si="342"/>
        <v>2.8908103757121246</v>
      </c>
      <c r="S1044" s="44">
        <f t="shared" ca="1" si="343"/>
        <v>2.8908103757121246</v>
      </c>
      <c r="T1044" s="4">
        <f t="shared" ca="1" si="344"/>
        <v>1.4638691099081269E-8</v>
      </c>
      <c r="U1044" s="120">
        <f t="shared" ca="1" si="345"/>
        <v>2173.675062040129</v>
      </c>
      <c r="V1044" s="4">
        <f t="shared" ca="1" si="346"/>
        <v>1.1007210313870294E-5</v>
      </c>
      <c r="W1044" s="13">
        <f t="shared" ca="1" si="347"/>
        <v>35722.631250000006</v>
      </c>
      <c r="X1044" s="4">
        <f t="shared" ca="1" si="348"/>
        <v>1.8089479977956624E-4</v>
      </c>
      <c r="Y1044" s="4">
        <f t="shared" si="349"/>
        <v>0</v>
      </c>
      <c r="Z1044" s="13">
        <f t="shared" ca="1" si="350"/>
        <v>35722.631250000006</v>
      </c>
      <c r="AA1044" s="4">
        <f t="shared" ca="1" si="351"/>
        <v>1.8089479977956624E-4</v>
      </c>
    </row>
    <row r="1045" spans="1:27">
      <c r="A1045">
        <v>3</v>
      </c>
      <c r="B1045">
        <v>3</v>
      </c>
      <c r="C1045">
        <f t="shared" ca="1" si="330"/>
        <v>8</v>
      </c>
      <c r="D1045">
        <f t="shared" ca="1" si="331"/>
        <v>7</v>
      </c>
      <c r="E1045">
        <f t="shared" ca="1" si="332"/>
        <v>3</v>
      </c>
      <c r="F1045" s="110">
        <f t="shared" ca="1" si="333"/>
        <v>8.9999999999999998E-4</v>
      </c>
      <c r="G1045">
        <v>1</v>
      </c>
      <c r="H1045">
        <v>0</v>
      </c>
      <c r="I1045">
        <v>1</v>
      </c>
      <c r="J1045" s="1">
        <f t="shared" ca="1" si="334"/>
        <v>9.8710937500000504E-8</v>
      </c>
      <c r="K1045" s="1">
        <f t="shared" ca="1" si="335"/>
        <v>8.8839843750000455E-11</v>
      </c>
      <c r="L1045" s="13">
        <f t="shared" ca="1" si="336"/>
        <v>303</v>
      </c>
      <c r="M1045" s="7">
        <f t="shared" ca="1" si="337"/>
        <v>1197</v>
      </c>
      <c r="N1045" s="26">
        <f t="shared" ca="1" si="338"/>
        <v>4</v>
      </c>
      <c r="O1045" s="44">
        <f t="shared" ca="1" si="339"/>
        <v>2.8908103757121246</v>
      </c>
      <c r="P1045" s="44">
        <f t="shared" ca="1" si="340"/>
        <v>28.908103757121246</v>
      </c>
      <c r="Q1045" s="44">
        <f t="shared" ca="1" si="341"/>
        <v>28.908103757121246</v>
      </c>
      <c r="R1045" s="44">
        <f t="shared" ca="1" si="342"/>
        <v>2.8908103757121246</v>
      </c>
      <c r="S1045" s="44">
        <f t="shared" ca="1" si="343"/>
        <v>2.8908103757121246</v>
      </c>
      <c r="T1045" s="4">
        <f t="shared" ca="1" si="344"/>
        <v>2.5681914208914524E-10</v>
      </c>
      <c r="U1045" s="120">
        <f t="shared" ca="1" si="345"/>
        <v>2154.675062040129</v>
      </c>
      <c r="V1045" s="4">
        <f t="shared" ca="1" si="346"/>
        <v>1.9142099584366759E-7</v>
      </c>
      <c r="W1045" s="13">
        <f t="shared" ca="1" si="347"/>
        <v>32949.506250000006</v>
      </c>
      <c r="X1045" s="4">
        <f t="shared" ca="1" si="348"/>
        <v>2.9272289868896641E-6</v>
      </c>
      <c r="Y1045" s="4">
        <f t="shared" si="349"/>
        <v>0</v>
      </c>
      <c r="Z1045" s="13">
        <f t="shared" ca="1" si="350"/>
        <v>32949.506250000006</v>
      </c>
      <c r="AA1045" s="4">
        <f t="shared" ca="1" si="351"/>
        <v>2.9272289868896641E-6</v>
      </c>
    </row>
    <row r="1046" spans="1:27">
      <c r="A1046">
        <v>3</v>
      </c>
      <c r="B1046">
        <v>3</v>
      </c>
      <c r="C1046">
        <f t="shared" ca="1" si="330"/>
        <v>8</v>
      </c>
      <c r="D1046">
        <f t="shared" ca="1" si="331"/>
        <v>7</v>
      </c>
      <c r="E1046">
        <f t="shared" ca="1" si="332"/>
        <v>3</v>
      </c>
      <c r="F1046" s="110">
        <f t="shared" ca="1" si="333"/>
        <v>8.9999999999999998E-4</v>
      </c>
      <c r="G1046">
        <v>1</v>
      </c>
      <c r="H1046">
        <v>0</v>
      </c>
      <c r="I1046">
        <v>0</v>
      </c>
      <c r="J1046" s="1">
        <f t="shared" ca="1" si="334"/>
        <v>7.4218750000000458E-10</v>
      </c>
      <c r="K1046" s="1">
        <f t="shared" ca="1" si="335"/>
        <v>6.6796875000000405E-13</v>
      </c>
      <c r="L1046" s="13">
        <f t="shared" ca="1" si="336"/>
        <v>284</v>
      </c>
      <c r="M1046" s="7">
        <f t="shared" ca="1" si="337"/>
        <v>1216</v>
      </c>
      <c r="N1046" s="26">
        <f t="shared" ca="1" si="338"/>
        <v>4</v>
      </c>
      <c r="O1046" s="44">
        <f t="shared" ca="1" si="339"/>
        <v>2.8908103757121246</v>
      </c>
      <c r="P1046" s="44">
        <f t="shared" ca="1" si="340"/>
        <v>28.908103757121246</v>
      </c>
      <c r="Q1046" s="44">
        <f t="shared" ca="1" si="341"/>
        <v>28.908103757121246</v>
      </c>
      <c r="R1046" s="44">
        <f t="shared" ca="1" si="342"/>
        <v>2.8908103757121246</v>
      </c>
      <c r="S1046" s="44">
        <f t="shared" ca="1" si="343"/>
        <v>2.8908103757121246</v>
      </c>
      <c r="T1046" s="4">
        <f t="shared" ca="1" si="344"/>
        <v>1.93097099315147E-12</v>
      </c>
      <c r="U1046" s="120">
        <f t="shared" ca="1" si="345"/>
        <v>2135.675062040129</v>
      </c>
      <c r="V1046" s="4">
        <f t="shared" ca="1" si="346"/>
        <v>1.4265642015971261E-9</v>
      </c>
      <c r="W1046" s="13">
        <f t="shared" ca="1" si="347"/>
        <v>30176.381250000002</v>
      </c>
      <c r="X1046" s="4">
        <f t="shared" ca="1" si="348"/>
        <v>2.0156879663086062E-8</v>
      </c>
      <c r="Y1046" s="4">
        <f t="shared" si="349"/>
        <v>0</v>
      </c>
      <c r="Z1046" s="13">
        <f t="shared" ca="1" si="350"/>
        <v>30176.381250000002</v>
      </c>
      <c r="AA1046" s="4">
        <f t="shared" ca="1" si="351"/>
        <v>2.0156879663086062E-8</v>
      </c>
    </row>
    <row r="1047" spans="1:27">
      <c r="A1047">
        <v>3</v>
      </c>
      <c r="B1047">
        <v>3</v>
      </c>
      <c r="C1047">
        <f t="shared" ca="1" si="330"/>
        <v>8</v>
      </c>
      <c r="D1047">
        <f t="shared" ca="1" si="331"/>
        <v>7</v>
      </c>
      <c r="E1047">
        <f t="shared" ca="1" si="332"/>
        <v>3</v>
      </c>
      <c r="F1047" s="110">
        <f t="shared" ca="1" si="333"/>
        <v>8.9999999999999998E-4</v>
      </c>
      <c r="G1047">
        <v>0</v>
      </c>
      <c r="H1047">
        <v>1</v>
      </c>
      <c r="I1047">
        <v>7</v>
      </c>
      <c r="J1047" s="1">
        <f t="shared" ca="1" si="334"/>
        <v>0</v>
      </c>
      <c r="K1047" s="1">
        <f t="shared" ca="1" si="335"/>
        <v>0</v>
      </c>
      <c r="L1047" s="13">
        <f t="shared" ca="1" si="336"/>
        <v>417</v>
      </c>
      <c r="M1047" s="7">
        <f t="shared" ca="1" si="337"/>
        <v>1083</v>
      </c>
      <c r="N1047" s="26">
        <f t="shared" ca="1" si="338"/>
        <v>4</v>
      </c>
      <c r="O1047" s="44">
        <f t="shared" ca="1" si="339"/>
        <v>2.8908103757121246</v>
      </c>
      <c r="P1047" s="44">
        <f t="shared" ca="1" si="340"/>
        <v>28.908103757121246</v>
      </c>
      <c r="Q1047" s="44">
        <f t="shared" ca="1" si="341"/>
        <v>28.908103757121246</v>
      </c>
      <c r="R1047" s="44">
        <f t="shared" ca="1" si="342"/>
        <v>2.8908103757121246</v>
      </c>
      <c r="S1047" s="44">
        <f t="shared" ca="1" si="343"/>
        <v>2.8908103757121246</v>
      </c>
      <c r="T1047" s="4">
        <f t="shared" ca="1" si="344"/>
        <v>0</v>
      </c>
      <c r="U1047" s="120">
        <f t="shared" ca="1" si="345"/>
        <v>2268.675062040129</v>
      </c>
      <c r="V1047" s="4">
        <f t="shared" ca="1" si="346"/>
        <v>0</v>
      </c>
      <c r="W1047" s="13">
        <f t="shared" ca="1" si="347"/>
        <v>19411.875</v>
      </c>
      <c r="X1047" s="4">
        <f t="shared" ca="1" si="348"/>
        <v>0</v>
      </c>
      <c r="Y1047" s="4">
        <f t="shared" si="349"/>
        <v>0</v>
      </c>
      <c r="Z1047" s="13">
        <f t="shared" ca="1" si="350"/>
        <v>19411.875</v>
      </c>
      <c r="AA1047" s="4">
        <f t="shared" ca="1" si="351"/>
        <v>0</v>
      </c>
    </row>
    <row r="1048" spans="1:27">
      <c r="A1048">
        <v>3</v>
      </c>
      <c r="B1048">
        <v>3</v>
      </c>
      <c r="C1048">
        <f t="shared" ca="1" si="330"/>
        <v>8</v>
      </c>
      <c r="D1048">
        <f t="shared" ca="1" si="331"/>
        <v>7</v>
      </c>
      <c r="E1048">
        <f t="shared" ca="1" si="332"/>
        <v>3</v>
      </c>
      <c r="F1048" s="110">
        <f t="shared" ca="1" si="333"/>
        <v>8.9999999999999998E-4</v>
      </c>
      <c r="G1048">
        <v>0</v>
      </c>
      <c r="H1048">
        <v>1</v>
      </c>
      <c r="I1048">
        <v>6</v>
      </c>
      <c r="J1048" s="1">
        <f t="shared" ca="1" si="334"/>
        <v>0</v>
      </c>
      <c r="K1048" s="1">
        <f t="shared" ca="1" si="335"/>
        <v>0</v>
      </c>
      <c r="L1048" s="13">
        <f t="shared" ca="1" si="336"/>
        <v>398</v>
      </c>
      <c r="M1048" s="7">
        <f t="shared" ca="1" si="337"/>
        <v>1102</v>
      </c>
      <c r="N1048" s="26">
        <f t="shared" ca="1" si="338"/>
        <v>4</v>
      </c>
      <c r="O1048" s="44">
        <f t="shared" ca="1" si="339"/>
        <v>2.8908103757121246</v>
      </c>
      <c r="P1048" s="44">
        <f t="shared" ca="1" si="340"/>
        <v>28.908103757121246</v>
      </c>
      <c r="Q1048" s="44">
        <f t="shared" ca="1" si="341"/>
        <v>28.908103757121246</v>
      </c>
      <c r="R1048" s="44">
        <f t="shared" ca="1" si="342"/>
        <v>2.8908103757121246</v>
      </c>
      <c r="S1048" s="44">
        <f t="shared" ca="1" si="343"/>
        <v>2.8908103757121246</v>
      </c>
      <c r="T1048" s="4">
        <f t="shared" ca="1" si="344"/>
        <v>0</v>
      </c>
      <c r="U1048" s="120">
        <f t="shared" ca="1" si="345"/>
        <v>2249.675062040129</v>
      </c>
      <c r="V1048" s="4">
        <f t="shared" ca="1" si="346"/>
        <v>0</v>
      </c>
      <c r="W1048" s="13">
        <f t="shared" ca="1" si="347"/>
        <v>16638.75</v>
      </c>
      <c r="X1048" s="4">
        <f t="shared" ca="1" si="348"/>
        <v>0</v>
      </c>
      <c r="Y1048" s="4">
        <f t="shared" si="349"/>
        <v>0</v>
      </c>
      <c r="Z1048" s="13">
        <f t="shared" ca="1" si="350"/>
        <v>16638.75</v>
      </c>
      <c r="AA1048" s="4">
        <f t="shared" ca="1" si="351"/>
        <v>0</v>
      </c>
    </row>
    <row r="1049" spans="1:27">
      <c r="A1049">
        <v>3</v>
      </c>
      <c r="B1049">
        <v>3</v>
      </c>
      <c r="C1049">
        <f t="shared" ca="1" si="330"/>
        <v>8</v>
      </c>
      <c r="D1049">
        <f t="shared" ca="1" si="331"/>
        <v>7</v>
      </c>
      <c r="E1049">
        <f t="shared" ca="1" si="332"/>
        <v>3</v>
      </c>
      <c r="F1049" s="110">
        <f t="shared" ca="1" si="333"/>
        <v>8.9999999999999998E-4</v>
      </c>
      <c r="G1049">
        <v>0</v>
      </c>
      <c r="H1049">
        <v>1</v>
      </c>
      <c r="I1049">
        <v>5</v>
      </c>
      <c r="J1049" s="1">
        <f t="shared" ca="1" si="334"/>
        <v>0</v>
      </c>
      <c r="K1049" s="1">
        <f t="shared" ca="1" si="335"/>
        <v>0</v>
      </c>
      <c r="L1049" s="13">
        <f t="shared" ca="1" si="336"/>
        <v>379</v>
      </c>
      <c r="M1049" s="7">
        <f t="shared" ca="1" si="337"/>
        <v>1121</v>
      </c>
      <c r="N1049" s="26">
        <f t="shared" ca="1" si="338"/>
        <v>4</v>
      </c>
      <c r="O1049" s="44">
        <f t="shared" ca="1" si="339"/>
        <v>2.8908103757121246</v>
      </c>
      <c r="P1049" s="44">
        <f t="shared" ca="1" si="340"/>
        <v>28.908103757121246</v>
      </c>
      <c r="Q1049" s="44">
        <f t="shared" ca="1" si="341"/>
        <v>28.908103757121246</v>
      </c>
      <c r="R1049" s="44">
        <f t="shared" ca="1" si="342"/>
        <v>2.8908103757121246</v>
      </c>
      <c r="S1049" s="44">
        <f t="shared" ca="1" si="343"/>
        <v>2.8908103757121246</v>
      </c>
      <c r="T1049" s="4">
        <f t="shared" ca="1" si="344"/>
        <v>0</v>
      </c>
      <c r="U1049" s="120">
        <f t="shared" ca="1" si="345"/>
        <v>2230.675062040129</v>
      </c>
      <c r="V1049" s="4">
        <f t="shared" ca="1" si="346"/>
        <v>0</v>
      </c>
      <c r="W1049" s="13">
        <f t="shared" ca="1" si="347"/>
        <v>13865.625</v>
      </c>
      <c r="X1049" s="4">
        <f t="shared" ca="1" si="348"/>
        <v>0</v>
      </c>
      <c r="Y1049" s="4">
        <f t="shared" si="349"/>
        <v>0</v>
      </c>
      <c r="Z1049" s="13">
        <f t="shared" ca="1" si="350"/>
        <v>13865.625</v>
      </c>
      <c r="AA1049" s="4">
        <f t="shared" ca="1" si="351"/>
        <v>0</v>
      </c>
    </row>
    <row r="1050" spans="1:27">
      <c r="A1050">
        <v>3</v>
      </c>
      <c r="B1050">
        <v>3</v>
      </c>
      <c r="C1050">
        <f t="shared" ca="1" si="330"/>
        <v>8</v>
      </c>
      <c r="D1050">
        <f t="shared" ca="1" si="331"/>
        <v>7</v>
      </c>
      <c r="E1050">
        <f t="shared" ca="1" si="332"/>
        <v>3</v>
      </c>
      <c r="F1050" s="110">
        <f t="shared" ca="1" si="333"/>
        <v>8.9999999999999998E-4</v>
      </c>
      <c r="G1050">
        <v>0</v>
      </c>
      <c r="H1050">
        <v>1</v>
      </c>
      <c r="I1050">
        <v>4</v>
      </c>
      <c r="J1050" s="1">
        <f t="shared" ca="1" si="334"/>
        <v>0</v>
      </c>
      <c r="K1050" s="1">
        <f t="shared" ca="1" si="335"/>
        <v>0</v>
      </c>
      <c r="L1050" s="13">
        <f t="shared" ca="1" si="336"/>
        <v>360</v>
      </c>
      <c r="M1050" s="7">
        <f t="shared" ca="1" si="337"/>
        <v>1140</v>
      </c>
      <c r="N1050" s="26">
        <f t="shared" ca="1" si="338"/>
        <v>4</v>
      </c>
      <c r="O1050" s="44">
        <f t="shared" ca="1" si="339"/>
        <v>2.8908103757121246</v>
      </c>
      <c r="P1050" s="44">
        <f t="shared" ca="1" si="340"/>
        <v>28.908103757121246</v>
      </c>
      <c r="Q1050" s="44">
        <f t="shared" ca="1" si="341"/>
        <v>28.908103757121246</v>
      </c>
      <c r="R1050" s="44">
        <f t="shared" ca="1" si="342"/>
        <v>2.8908103757121246</v>
      </c>
      <c r="S1050" s="44">
        <f t="shared" ca="1" si="343"/>
        <v>2.8908103757121246</v>
      </c>
      <c r="T1050" s="4">
        <f t="shared" ca="1" si="344"/>
        <v>0</v>
      </c>
      <c r="U1050" s="120">
        <f t="shared" ca="1" si="345"/>
        <v>2211.675062040129</v>
      </c>
      <c r="V1050" s="4">
        <f t="shared" ca="1" si="346"/>
        <v>0</v>
      </c>
      <c r="W1050" s="13">
        <f t="shared" ca="1" si="347"/>
        <v>11092.5</v>
      </c>
      <c r="X1050" s="4">
        <f t="shared" ca="1" si="348"/>
        <v>0</v>
      </c>
      <c r="Y1050" s="4">
        <f t="shared" si="349"/>
        <v>0</v>
      </c>
      <c r="Z1050" s="13">
        <f t="shared" ca="1" si="350"/>
        <v>11092.5</v>
      </c>
      <c r="AA1050" s="4">
        <f t="shared" ca="1" si="351"/>
        <v>0</v>
      </c>
    </row>
    <row r="1051" spans="1:27">
      <c r="A1051">
        <v>3</v>
      </c>
      <c r="B1051">
        <v>3</v>
      </c>
      <c r="C1051">
        <f t="shared" ca="1" si="330"/>
        <v>8</v>
      </c>
      <c r="D1051">
        <f t="shared" ca="1" si="331"/>
        <v>7</v>
      </c>
      <c r="E1051">
        <f t="shared" ca="1" si="332"/>
        <v>3</v>
      </c>
      <c r="F1051" s="110">
        <f t="shared" ca="1" si="333"/>
        <v>8.9999999999999998E-4</v>
      </c>
      <c r="G1051">
        <v>0</v>
      </c>
      <c r="H1051">
        <v>1</v>
      </c>
      <c r="I1051">
        <v>3</v>
      </c>
      <c r="J1051" s="1">
        <f t="shared" ca="1" si="334"/>
        <v>0</v>
      </c>
      <c r="K1051" s="1">
        <f t="shared" ca="1" si="335"/>
        <v>0</v>
      </c>
      <c r="L1051" s="13">
        <f t="shared" ca="1" si="336"/>
        <v>341</v>
      </c>
      <c r="M1051" s="7">
        <f t="shared" ca="1" si="337"/>
        <v>1159</v>
      </c>
      <c r="N1051" s="26">
        <f t="shared" ca="1" si="338"/>
        <v>4</v>
      </c>
      <c r="O1051" s="44">
        <f t="shared" ca="1" si="339"/>
        <v>2.8908103757121246</v>
      </c>
      <c r="P1051" s="44">
        <f t="shared" ca="1" si="340"/>
        <v>28.908103757121246</v>
      </c>
      <c r="Q1051" s="44">
        <f t="shared" ca="1" si="341"/>
        <v>28.908103757121246</v>
      </c>
      <c r="R1051" s="44">
        <f t="shared" ca="1" si="342"/>
        <v>2.8908103757121246</v>
      </c>
      <c r="S1051" s="44">
        <f t="shared" ca="1" si="343"/>
        <v>2.8908103757121246</v>
      </c>
      <c r="T1051" s="4">
        <f t="shared" ca="1" si="344"/>
        <v>0</v>
      </c>
      <c r="U1051" s="120">
        <f t="shared" ca="1" si="345"/>
        <v>2192.675062040129</v>
      </c>
      <c r="V1051" s="4">
        <f t="shared" ca="1" si="346"/>
        <v>0</v>
      </c>
      <c r="W1051" s="13">
        <f t="shared" ca="1" si="347"/>
        <v>8319.375</v>
      </c>
      <c r="X1051" s="4">
        <f t="shared" ca="1" si="348"/>
        <v>0</v>
      </c>
      <c r="Y1051" s="4">
        <f t="shared" si="349"/>
        <v>0</v>
      </c>
      <c r="Z1051" s="13">
        <f t="shared" ca="1" si="350"/>
        <v>8319.375</v>
      </c>
      <c r="AA1051" s="4">
        <f t="shared" ca="1" si="351"/>
        <v>0</v>
      </c>
    </row>
    <row r="1052" spans="1:27">
      <c r="A1052">
        <v>3</v>
      </c>
      <c r="B1052">
        <v>3</v>
      </c>
      <c r="C1052">
        <f t="shared" ca="1" si="330"/>
        <v>8</v>
      </c>
      <c r="D1052">
        <f t="shared" ca="1" si="331"/>
        <v>7</v>
      </c>
      <c r="E1052">
        <f t="shared" ca="1" si="332"/>
        <v>3</v>
      </c>
      <c r="F1052" s="110">
        <f t="shared" ca="1" si="333"/>
        <v>8.9999999999999998E-4</v>
      </c>
      <c r="G1052">
        <v>0</v>
      </c>
      <c r="H1052">
        <v>1</v>
      </c>
      <c r="I1052">
        <v>2</v>
      </c>
      <c r="J1052" s="1">
        <f t="shared" ca="1" si="334"/>
        <v>0</v>
      </c>
      <c r="K1052" s="1">
        <f t="shared" ca="1" si="335"/>
        <v>0</v>
      </c>
      <c r="L1052" s="13">
        <f t="shared" ca="1" si="336"/>
        <v>322</v>
      </c>
      <c r="M1052" s="7">
        <f t="shared" ca="1" si="337"/>
        <v>1178</v>
      </c>
      <c r="N1052" s="26">
        <f t="shared" ca="1" si="338"/>
        <v>4</v>
      </c>
      <c r="O1052" s="44">
        <f t="shared" ca="1" si="339"/>
        <v>2.8908103757121246</v>
      </c>
      <c r="P1052" s="44">
        <f t="shared" ca="1" si="340"/>
        <v>28.908103757121246</v>
      </c>
      <c r="Q1052" s="44">
        <f t="shared" ca="1" si="341"/>
        <v>28.908103757121246</v>
      </c>
      <c r="R1052" s="44">
        <f t="shared" ca="1" si="342"/>
        <v>2.8908103757121246</v>
      </c>
      <c r="S1052" s="44">
        <f t="shared" ca="1" si="343"/>
        <v>2.8908103757121246</v>
      </c>
      <c r="T1052" s="4">
        <f t="shared" ca="1" si="344"/>
        <v>0</v>
      </c>
      <c r="U1052" s="120">
        <f t="shared" ca="1" si="345"/>
        <v>2173.675062040129</v>
      </c>
      <c r="V1052" s="4">
        <f t="shared" ca="1" si="346"/>
        <v>0</v>
      </c>
      <c r="W1052" s="13">
        <f t="shared" ca="1" si="347"/>
        <v>5546.25</v>
      </c>
      <c r="X1052" s="4">
        <f t="shared" ca="1" si="348"/>
        <v>0</v>
      </c>
      <c r="Y1052" s="4">
        <f t="shared" si="349"/>
        <v>0</v>
      </c>
      <c r="Z1052" s="13">
        <f t="shared" ca="1" si="350"/>
        <v>5546.25</v>
      </c>
      <c r="AA1052" s="4">
        <f t="shared" ca="1" si="351"/>
        <v>0</v>
      </c>
    </row>
    <row r="1053" spans="1:27">
      <c r="A1053">
        <v>3</v>
      </c>
      <c r="B1053">
        <v>3</v>
      </c>
      <c r="C1053">
        <f t="shared" ca="1" si="330"/>
        <v>8</v>
      </c>
      <c r="D1053">
        <f t="shared" ca="1" si="331"/>
        <v>7</v>
      </c>
      <c r="E1053">
        <f t="shared" ca="1" si="332"/>
        <v>3</v>
      </c>
      <c r="F1053" s="110">
        <f t="shared" ca="1" si="333"/>
        <v>8.9999999999999998E-4</v>
      </c>
      <c r="G1053">
        <v>0</v>
      </c>
      <c r="H1053">
        <v>1</v>
      </c>
      <c r="I1053">
        <v>1</v>
      </c>
      <c r="J1053" s="1">
        <f t="shared" ca="1" si="334"/>
        <v>0</v>
      </c>
      <c r="K1053" s="1">
        <f t="shared" ca="1" si="335"/>
        <v>0</v>
      </c>
      <c r="L1053" s="13">
        <f t="shared" ca="1" si="336"/>
        <v>303</v>
      </c>
      <c r="M1053" s="7">
        <f t="shared" ca="1" si="337"/>
        <v>1197</v>
      </c>
      <c r="N1053" s="26">
        <f t="shared" ca="1" si="338"/>
        <v>4</v>
      </c>
      <c r="O1053" s="44">
        <f t="shared" ca="1" si="339"/>
        <v>2.8908103757121246</v>
      </c>
      <c r="P1053" s="44">
        <f t="shared" ca="1" si="340"/>
        <v>28.908103757121246</v>
      </c>
      <c r="Q1053" s="44">
        <f t="shared" ca="1" si="341"/>
        <v>28.908103757121246</v>
      </c>
      <c r="R1053" s="44">
        <f t="shared" ca="1" si="342"/>
        <v>2.8908103757121246</v>
      </c>
      <c r="S1053" s="44">
        <f t="shared" ca="1" si="343"/>
        <v>2.8908103757121246</v>
      </c>
      <c r="T1053" s="4">
        <f t="shared" ca="1" si="344"/>
        <v>0</v>
      </c>
      <c r="U1053" s="120">
        <f t="shared" ca="1" si="345"/>
        <v>2154.675062040129</v>
      </c>
      <c r="V1053" s="4">
        <f t="shared" ca="1" si="346"/>
        <v>0</v>
      </c>
      <c r="W1053" s="13">
        <f t="shared" ca="1" si="347"/>
        <v>2773.125</v>
      </c>
      <c r="X1053" s="4">
        <f t="shared" ca="1" si="348"/>
        <v>0</v>
      </c>
      <c r="Y1053" s="4">
        <f t="shared" si="349"/>
        <v>0</v>
      </c>
      <c r="Z1053" s="13">
        <f t="shared" ca="1" si="350"/>
        <v>2773.125</v>
      </c>
      <c r="AA1053" s="4">
        <f t="shared" ca="1" si="351"/>
        <v>0</v>
      </c>
    </row>
    <row r="1054" spans="1:27">
      <c r="A1054">
        <v>3</v>
      </c>
      <c r="B1054">
        <v>3</v>
      </c>
      <c r="C1054">
        <f t="shared" ca="1" si="330"/>
        <v>8</v>
      </c>
      <c r="D1054">
        <f t="shared" ca="1" si="331"/>
        <v>7</v>
      </c>
      <c r="E1054">
        <f t="shared" ca="1" si="332"/>
        <v>3</v>
      </c>
      <c r="F1054" s="110">
        <f t="shared" ca="1" si="333"/>
        <v>8.9999999999999998E-4</v>
      </c>
      <c r="G1054">
        <v>0</v>
      </c>
      <c r="H1054">
        <v>1</v>
      </c>
      <c r="I1054">
        <v>0</v>
      </c>
      <c r="J1054" s="1">
        <f t="shared" ca="1" si="334"/>
        <v>0</v>
      </c>
      <c r="K1054" s="1">
        <f t="shared" ca="1" si="335"/>
        <v>0</v>
      </c>
      <c r="L1054" s="13">
        <f t="shared" ca="1" si="336"/>
        <v>284</v>
      </c>
      <c r="M1054" s="7">
        <f t="shared" ca="1" si="337"/>
        <v>1216</v>
      </c>
      <c r="N1054" s="26">
        <f t="shared" ca="1" si="338"/>
        <v>4</v>
      </c>
      <c r="O1054" s="44">
        <f t="shared" ca="1" si="339"/>
        <v>2.8908103757121246</v>
      </c>
      <c r="P1054" s="44">
        <f t="shared" ca="1" si="340"/>
        <v>28.908103757121246</v>
      </c>
      <c r="Q1054" s="44">
        <f t="shared" ca="1" si="341"/>
        <v>28.908103757121246</v>
      </c>
      <c r="R1054" s="44">
        <f t="shared" ca="1" si="342"/>
        <v>2.8908103757121246</v>
      </c>
      <c r="S1054" s="44">
        <f t="shared" ca="1" si="343"/>
        <v>2.8908103757121246</v>
      </c>
      <c r="T1054" s="4">
        <f t="shared" ca="1" si="344"/>
        <v>0</v>
      </c>
      <c r="U1054" s="120">
        <f t="shared" ca="1" si="345"/>
        <v>2135.675062040129</v>
      </c>
      <c r="V1054" s="4">
        <f t="shared" ca="1" si="346"/>
        <v>0</v>
      </c>
      <c r="W1054" s="13">
        <f t="shared" ca="1" si="347"/>
        <v>0</v>
      </c>
      <c r="X1054" s="4">
        <f t="shared" ca="1" si="348"/>
        <v>0</v>
      </c>
      <c r="Y1054" s="4">
        <f t="shared" si="349"/>
        <v>0</v>
      </c>
      <c r="Z1054" s="13">
        <f t="shared" ca="1" si="350"/>
        <v>0</v>
      </c>
      <c r="AA1054" s="4">
        <f t="shared" ca="1" si="351"/>
        <v>0</v>
      </c>
    </row>
    <row r="1055" spans="1:27">
      <c r="A1055">
        <v>3</v>
      </c>
      <c r="B1055">
        <v>3</v>
      </c>
      <c r="C1055">
        <f t="shared" ca="1" si="330"/>
        <v>8</v>
      </c>
      <c r="D1055">
        <f t="shared" ca="1" si="331"/>
        <v>7</v>
      </c>
      <c r="E1055">
        <f t="shared" ca="1" si="332"/>
        <v>3</v>
      </c>
      <c r="F1055" s="110">
        <f t="shared" ca="1" si="333"/>
        <v>8.9999999999999998E-4</v>
      </c>
      <c r="G1055">
        <v>0</v>
      </c>
      <c r="H1055">
        <v>0</v>
      </c>
      <c r="I1055">
        <v>7</v>
      </c>
      <c r="J1055" s="1">
        <f t="shared" ca="1" si="334"/>
        <v>3.4916864804687496E-2</v>
      </c>
      <c r="K1055" s="1">
        <f t="shared" ca="1" si="335"/>
        <v>3.1425178324218745E-5</v>
      </c>
      <c r="L1055" s="13">
        <f t="shared" ca="1" si="336"/>
        <v>133</v>
      </c>
      <c r="M1055" s="7">
        <f t="shared" ca="1" si="337"/>
        <v>1367</v>
      </c>
      <c r="N1055" s="26">
        <f t="shared" ca="1" si="338"/>
        <v>4</v>
      </c>
      <c r="O1055" s="44">
        <f t="shared" ca="1" si="339"/>
        <v>2.8908103757121246</v>
      </c>
      <c r="P1055" s="44">
        <f t="shared" ca="1" si="340"/>
        <v>28.908103757121246</v>
      </c>
      <c r="Q1055" s="44">
        <f t="shared" ca="1" si="341"/>
        <v>28.908103757121246</v>
      </c>
      <c r="R1055" s="44">
        <f t="shared" ca="1" si="342"/>
        <v>2.8908103757121246</v>
      </c>
      <c r="S1055" s="44">
        <f t="shared" ca="1" si="343"/>
        <v>2.8908103757121246</v>
      </c>
      <c r="T1055" s="4">
        <f t="shared" ca="1" si="344"/>
        <v>9.0844231558255304E-5</v>
      </c>
      <c r="U1055" s="120">
        <f t="shared" ca="1" si="345"/>
        <v>1984.6750620401288</v>
      </c>
      <c r="V1055" s="4">
        <f t="shared" ca="1" si="346"/>
        <v>6.236876774024095E-2</v>
      </c>
      <c r="W1055" s="13">
        <f t="shared" ca="1" si="347"/>
        <v>19411.875</v>
      </c>
      <c r="X1055" s="4">
        <f t="shared" ca="1" si="348"/>
        <v>0.61002163348244376</v>
      </c>
      <c r="Y1055" s="4">
        <f t="shared" si="349"/>
        <v>0</v>
      </c>
      <c r="Z1055" s="13">
        <f t="shared" ca="1" si="350"/>
        <v>19411.875</v>
      </c>
      <c r="AA1055" s="4">
        <f t="shared" ca="1" si="351"/>
        <v>0.61002163348244376</v>
      </c>
    </row>
    <row r="1056" spans="1:27">
      <c r="A1056">
        <v>3</v>
      </c>
      <c r="B1056">
        <v>3</v>
      </c>
      <c r="C1056">
        <f t="shared" ca="1" si="330"/>
        <v>8</v>
      </c>
      <c r="D1056">
        <f t="shared" ca="1" si="331"/>
        <v>7</v>
      </c>
      <c r="E1056">
        <f t="shared" ca="1" si="332"/>
        <v>3</v>
      </c>
      <c r="F1056" s="110">
        <f t="shared" ca="1" si="333"/>
        <v>8.9999999999999998E-4</v>
      </c>
      <c r="G1056">
        <v>0</v>
      </c>
      <c r="H1056">
        <v>0</v>
      </c>
      <c r="I1056">
        <v>6</v>
      </c>
      <c r="J1056" s="1">
        <f t="shared" ca="1" si="334"/>
        <v>1.2864108085937513E-2</v>
      </c>
      <c r="K1056" s="1">
        <f t="shared" ca="1" si="335"/>
        <v>1.1577697277343762E-5</v>
      </c>
      <c r="L1056" s="13">
        <f t="shared" ca="1" si="336"/>
        <v>114</v>
      </c>
      <c r="M1056" s="7">
        <f t="shared" ca="1" si="337"/>
        <v>1386</v>
      </c>
      <c r="N1056" s="26">
        <f t="shared" ca="1" si="338"/>
        <v>4</v>
      </c>
      <c r="O1056" s="44">
        <f t="shared" ca="1" si="339"/>
        <v>2.8908103757121246</v>
      </c>
      <c r="P1056" s="44">
        <f t="shared" ca="1" si="340"/>
        <v>28.908103757121246</v>
      </c>
      <c r="Q1056" s="44">
        <f t="shared" ca="1" si="341"/>
        <v>28.908103757121246</v>
      </c>
      <c r="R1056" s="44">
        <f t="shared" ca="1" si="342"/>
        <v>2.8908103757121246</v>
      </c>
      <c r="S1056" s="44">
        <f t="shared" ca="1" si="343"/>
        <v>2.8908103757121246</v>
      </c>
      <c r="T1056" s="4">
        <f t="shared" ca="1" si="344"/>
        <v>3.3468927416199364E-5</v>
      </c>
      <c r="U1056" s="120">
        <f t="shared" ca="1" si="345"/>
        <v>1965.6750620401288</v>
      </c>
      <c r="V1056" s="4">
        <f t="shared" ca="1" si="346"/>
        <v>2.2757990813924527E-2</v>
      </c>
      <c r="W1056" s="13">
        <f t="shared" ca="1" si="347"/>
        <v>16638.75</v>
      </c>
      <c r="X1056" s="4">
        <f t="shared" ca="1" si="348"/>
        <v>0.19263841057340353</v>
      </c>
      <c r="Y1056" s="4">
        <f t="shared" si="349"/>
        <v>0</v>
      </c>
      <c r="Z1056" s="13">
        <f t="shared" ca="1" si="350"/>
        <v>16638.75</v>
      </c>
      <c r="AA1056" s="4">
        <f t="shared" ca="1" si="351"/>
        <v>0.19263841057340353</v>
      </c>
    </row>
    <row r="1057" spans="1:27">
      <c r="A1057">
        <v>3</v>
      </c>
      <c r="B1057">
        <v>3</v>
      </c>
      <c r="C1057">
        <f t="shared" ca="1" si="330"/>
        <v>8</v>
      </c>
      <c r="D1057">
        <f t="shared" ca="1" si="331"/>
        <v>7</v>
      </c>
      <c r="E1057">
        <f t="shared" ca="1" si="332"/>
        <v>3</v>
      </c>
      <c r="F1057" s="110">
        <f t="shared" ca="1" si="333"/>
        <v>8.9999999999999998E-4</v>
      </c>
      <c r="G1057">
        <v>0</v>
      </c>
      <c r="H1057">
        <v>0</v>
      </c>
      <c r="I1057">
        <v>5</v>
      </c>
      <c r="J1057" s="1">
        <f t="shared" ca="1" si="334"/>
        <v>2.0311749609375038E-3</v>
      </c>
      <c r="K1057" s="1">
        <f t="shared" ca="1" si="335"/>
        <v>1.8280574648437534E-6</v>
      </c>
      <c r="L1057" s="13">
        <f t="shared" ca="1" si="336"/>
        <v>95</v>
      </c>
      <c r="M1057" s="7">
        <f t="shared" ca="1" si="337"/>
        <v>1405</v>
      </c>
      <c r="N1057" s="26">
        <f t="shared" ca="1" si="338"/>
        <v>5</v>
      </c>
      <c r="O1057" s="44">
        <f t="shared" ca="1" si="339"/>
        <v>3.5395046525977252</v>
      </c>
      <c r="P1057" s="44">
        <f t="shared" ca="1" si="340"/>
        <v>35.39504652597725</v>
      </c>
      <c r="Q1057" s="44">
        <f t="shared" ca="1" si="341"/>
        <v>30.205492310892446</v>
      </c>
      <c r="R1057" s="44">
        <f t="shared" ca="1" si="342"/>
        <v>3.2800269418434853</v>
      </c>
      <c r="S1057" s="44">
        <f t="shared" ca="1" si="343"/>
        <v>3.5213412128449284</v>
      </c>
      <c r="T1057" s="4">
        <f t="shared" ca="1" si="344"/>
        <v>6.4372140904031276E-6</v>
      </c>
      <c r="U1057" s="120">
        <f t="shared" ca="1" si="345"/>
        <v>2290.8626329996823</v>
      </c>
      <c r="V1057" s="4">
        <f t="shared" ca="1" si="346"/>
        <v>4.1878285371866851E-3</v>
      </c>
      <c r="W1057" s="13">
        <f t="shared" ca="1" si="347"/>
        <v>13865.625</v>
      </c>
      <c r="X1057" s="4">
        <f t="shared" ca="1" si="348"/>
        <v>2.5347159285974169E-2</v>
      </c>
      <c r="Y1057" s="4">
        <f t="shared" si="349"/>
        <v>0</v>
      </c>
      <c r="Z1057" s="13">
        <f t="shared" ca="1" si="350"/>
        <v>13865.625</v>
      </c>
      <c r="AA1057" s="4">
        <f t="shared" ca="1" si="351"/>
        <v>2.5347159285974169E-2</v>
      </c>
    </row>
    <row r="1058" spans="1:27">
      <c r="A1058">
        <v>3</v>
      </c>
      <c r="B1058">
        <v>3</v>
      </c>
      <c r="C1058">
        <f t="shared" ca="1" si="330"/>
        <v>8</v>
      </c>
      <c r="D1058">
        <f t="shared" ca="1" si="331"/>
        <v>7</v>
      </c>
      <c r="E1058">
        <f t="shared" ca="1" si="332"/>
        <v>3</v>
      </c>
      <c r="F1058" s="110">
        <f t="shared" ca="1" si="333"/>
        <v>8.9999999999999998E-4</v>
      </c>
      <c r="G1058">
        <v>0</v>
      </c>
      <c r="H1058">
        <v>0</v>
      </c>
      <c r="I1058">
        <v>4</v>
      </c>
      <c r="J1058" s="1">
        <f t="shared" ca="1" si="334"/>
        <v>1.7817324218750047E-4</v>
      </c>
      <c r="K1058" s="1">
        <f t="shared" ca="1" si="335"/>
        <v>1.6035591796875042E-7</v>
      </c>
      <c r="L1058" s="13">
        <f t="shared" ca="1" si="336"/>
        <v>76</v>
      </c>
      <c r="M1058" s="7">
        <f t="shared" ca="1" si="337"/>
        <v>1424</v>
      </c>
      <c r="N1058" s="26">
        <f t="shared" ca="1" si="338"/>
        <v>5</v>
      </c>
      <c r="O1058" s="44">
        <f t="shared" ca="1" si="339"/>
        <v>3.5395046525977252</v>
      </c>
      <c r="P1058" s="44">
        <f t="shared" ca="1" si="340"/>
        <v>35.39504652597725</v>
      </c>
      <c r="Q1058" s="44">
        <f t="shared" ca="1" si="341"/>
        <v>35.39504652597725</v>
      </c>
      <c r="R1058" s="44">
        <f t="shared" ca="1" si="342"/>
        <v>3.5395046525977252</v>
      </c>
      <c r="S1058" s="44">
        <f t="shared" ca="1" si="343"/>
        <v>3.5395046525977252</v>
      </c>
      <c r="T1058" s="4">
        <f t="shared" ca="1" si="344"/>
        <v>5.6758051772197131E-7</v>
      </c>
      <c r="U1058" s="120">
        <f t="shared" ca="1" si="345"/>
        <v>2281.7775012989287</v>
      </c>
      <c r="V1058" s="4">
        <f t="shared" ca="1" si="346"/>
        <v>3.6589652582123128E-4</v>
      </c>
      <c r="W1058" s="13">
        <f t="shared" ca="1" si="347"/>
        <v>11092.5</v>
      </c>
      <c r="X1058" s="4">
        <f t="shared" ca="1" si="348"/>
        <v>1.778748020068364E-3</v>
      </c>
      <c r="Y1058" s="4">
        <f t="shared" si="349"/>
        <v>0</v>
      </c>
      <c r="Z1058" s="13">
        <f t="shared" ca="1" si="350"/>
        <v>11092.5</v>
      </c>
      <c r="AA1058" s="4">
        <f t="shared" ca="1" si="351"/>
        <v>1.778748020068364E-3</v>
      </c>
    </row>
    <row r="1059" spans="1:27">
      <c r="A1059">
        <v>3</v>
      </c>
      <c r="B1059">
        <v>3</v>
      </c>
      <c r="C1059">
        <f t="shared" ca="1" si="330"/>
        <v>8</v>
      </c>
      <c r="D1059">
        <f t="shared" ca="1" si="331"/>
        <v>7</v>
      </c>
      <c r="E1059">
        <f t="shared" ca="1" si="332"/>
        <v>3</v>
      </c>
      <c r="F1059" s="110">
        <f t="shared" ca="1" si="333"/>
        <v>8.9999999999999998E-4</v>
      </c>
      <c r="G1059">
        <v>0</v>
      </c>
      <c r="H1059">
        <v>0</v>
      </c>
      <c r="I1059">
        <v>3</v>
      </c>
      <c r="J1059" s="1">
        <f t="shared" ca="1" si="334"/>
        <v>9.3775390625000315E-6</v>
      </c>
      <c r="K1059" s="1">
        <f t="shared" ca="1" si="335"/>
        <v>8.4397851562500278E-9</v>
      </c>
      <c r="L1059" s="13">
        <f t="shared" ca="1" si="336"/>
        <v>57</v>
      </c>
      <c r="M1059" s="7">
        <f t="shared" ca="1" si="337"/>
        <v>1443</v>
      </c>
      <c r="N1059" s="26">
        <f t="shared" ca="1" si="338"/>
        <v>5</v>
      </c>
      <c r="O1059" s="44">
        <f t="shared" ca="1" si="339"/>
        <v>3.5395046525977252</v>
      </c>
      <c r="P1059" s="44">
        <f t="shared" ca="1" si="340"/>
        <v>35.39504652597725</v>
      </c>
      <c r="Q1059" s="44">
        <f t="shared" ca="1" si="341"/>
        <v>35.39504652597725</v>
      </c>
      <c r="R1059" s="44">
        <f t="shared" ca="1" si="342"/>
        <v>3.5395046525977252</v>
      </c>
      <c r="S1059" s="44">
        <f t="shared" ca="1" si="343"/>
        <v>3.5395046525977252</v>
      </c>
      <c r="T1059" s="4">
        <f t="shared" ca="1" si="344"/>
        <v>2.9872658827472193E-8</v>
      </c>
      <c r="U1059" s="120">
        <f t="shared" ca="1" si="345"/>
        <v>2262.7775012989287</v>
      </c>
      <c r="V1059" s="4">
        <f t="shared" ca="1" si="346"/>
        <v>1.9097355967359227E-5</v>
      </c>
      <c r="W1059" s="13">
        <f t="shared" ca="1" si="347"/>
        <v>8319.375</v>
      </c>
      <c r="X1059" s="4">
        <f t="shared" ca="1" si="348"/>
        <v>7.0213737634277579E-5</v>
      </c>
      <c r="Y1059" s="4">
        <f t="shared" si="349"/>
        <v>0</v>
      </c>
      <c r="Z1059" s="13">
        <f t="shared" ca="1" si="350"/>
        <v>8319.375</v>
      </c>
      <c r="AA1059" s="4">
        <f t="shared" ca="1" si="351"/>
        <v>7.0213737634277579E-5</v>
      </c>
    </row>
    <row r="1060" spans="1:27">
      <c r="A1060">
        <v>3</v>
      </c>
      <c r="B1060">
        <v>3</v>
      </c>
      <c r="C1060">
        <f t="shared" ca="1" si="330"/>
        <v>8</v>
      </c>
      <c r="D1060">
        <f t="shared" ca="1" si="331"/>
        <v>7</v>
      </c>
      <c r="E1060">
        <f t="shared" ca="1" si="332"/>
        <v>3</v>
      </c>
      <c r="F1060" s="110">
        <f t="shared" ca="1" si="333"/>
        <v>8.9999999999999998E-4</v>
      </c>
      <c r="G1060">
        <v>0</v>
      </c>
      <c r="H1060">
        <v>0</v>
      </c>
      <c r="I1060">
        <v>2</v>
      </c>
      <c r="J1060" s="1">
        <f t="shared" ca="1" si="334"/>
        <v>2.961328125000013E-7</v>
      </c>
      <c r="K1060" s="1">
        <f t="shared" ca="1" si="335"/>
        <v>2.6651953125000117E-10</v>
      </c>
      <c r="L1060" s="13">
        <f t="shared" ca="1" si="336"/>
        <v>38</v>
      </c>
      <c r="M1060" s="7">
        <f t="shared" ca="1" si="337"/>
        <v>1462</v>
      </c>
      <c r="N1060" s="26">
        <f t="shared" ca="1" si="338"/>
        <v>5</v>
      </c>
      <c r="O1060" s="44">
        <f t="shared" ca="1" si="339"/>
        <v>3.5395046525977252</v>
      </c>
      <c r="P1060" s="44">
        <f t="shared" ca="1" si="340"/>
        <v>35.39504652597725</v>
      </c>
      <c r="Q1060" s="44">
        <f t="shared" ca="1" si="341"/>
        <v>35.39504652597725</v>
      </c>
      <c r="R1060" s="44">
        <f t="shared" ca="1" si="342"/>
        <v>3.5395046525977252</v>
      </c>
      <c r="S1060" s="44">
        <f t="shared" ca="1" si="343"/>
        <v>3.5395046525977252</v>
      </c>
      <c r="T1060" s="4">
        <f t="shared" ca="1" si="344"/>
        <v>9.4334712086754397E-10</v>
      </c>
      <c r="U1060" s="120">
        <f t="shared" ca="1" si="345"/>
        <v>2243.7775012989287</v>
      </c>
      <c r="V1060" s="4">
        <f t="shared" ca="1" si="346"/>
        <v>5.9801052787548934E-7</v>
      </c>
      <c r="W1060" s="13">
        <f t="shared" ca="1" si="347"/>
        <v>5546.25</v>
      </c>
      <c r="X1060" s="4">
        <f t="shared" ca="1" si="348"/>
        <v>1.4781839501953189E-6</v>
      </c>
      <c r="Y1060" s="4">
        <f t="shared" si="349"/>
        <v>0</v>
      </c>
      <c r="Z1060" s="13">
        <f t="shared" ca="1" si="350"/>
        <v>5546.25</v>
      </c>
      <c r="AA1060" s="4">
        <f t="shared" ca="1" si="351"/>
        <v>1.4781839501953189E-6</v>
      </c>
    </row>
    <row r="1061" spans="1:27">
      <c r="A1061">
        <v>3</v>
      </c>
      <c r="B1061">
        <v>3</v>
      </c>
      <c r="C1061">
        <f t="shared" ca="1" si="330"/>
        <v>8</v>
      </c>
      <c r="D1061">
        <f t="shared" ca="1" si="331"/>
        <v>7</v>
      </c>
      <c r="E1061">
        <f t="shared" ca="1" si="332"/>
        <v>3</v>
      </c>
      <c r="F1061" s="110">
        <f t="shared" ca="1" si="333"/>
        <v>8.9999999999999998E-4</v>
      </c>
      <c r="G1061">
        <v>0</v>
      </c>
      <c r="H1061">
        <v>0</v>
      </c>
      <c r="I1061">
        <v>1</v>
      </c>
      <c r="J1061" s="1">
        <f t="shared" ca="1" si="334"/>
        <v>5.1953125000000272E-9</v>
      </c>
      <c r="K1061" s="1">
        <f t="shared" ca="1" si="335"/>
        <v>4.6757812500000246E-12</v>
      </c>
      <c r="L1061" s="13">
        <f t="shared" ca="1" si="336"/>
        <v>19</v>
      </c>
      <c r="M1061" s="7">
        <f t="shared" ca="1" si="337"/>
        <v>1481</v>
      </c>
      <c r="N1061" s="26">
        <f t="shared" ca="1" si="338"/>
        <v>5</v>
      </c>
      <c r="O1061" s="44">
        <f t="shared" ca="1" si="339"/>
        <v>3.5395046525977252</v>
      </c>
      <c r="P1061" s="44">
        <f t="shared" ca="1" si="340"/>
        <v>35.39504652597725</v>
      </c>
      <c r="Q1061" s="44">
        <f t="shared" ca="1" si="341"/>
        <v>35.39504652597725</v>
      </c>
      <c r="R1061" s="44">
        <f t="shared" ca="1" si="342"/>
        <v>3.5395046525977252</v>
      </c>
      <c r="S1061" s="44">
        <f t="shared" ca="1" si="343"/>
        <v>3.5395046525977252</v>
      </c>
      <c r="T1061" s="4">
        <f t="shared" ca="1" si="344"/>
        <v>1.6549949488904293E-11</v>
      </c>
      <c r="U1061" s="120">
        <f t="shared" ca="1" si="345"/>
        <v>2224.7775012989287</v>
      </c>
      <c r="V1061" s="4">
        <f t="shared" ca="1" si="346"/>
        <v>1.0402572925995436E-8</v>
      </c>
      <c r="W1061" s="13">
        <f t="shared" ca="1" si="347"/>
        <v>2773.125</v>
      </c>
      <c r="X1061" s="4">
        <f t="shared" ca="1" si="348"/>
        <v>1.2966525878906318E-8</v>
      </c>
      <c r="Y1061" s="4">
        <f t="shared" si="349"/>
        <v>0</v>
      </c>
      <c r="Z1061" s="13">
        <f t="shared" ca="1" si="350"/>
        <v>2773.125</v>
      </c>
      <c r="AA1061" s="4">
        <f t="shared" ca="1" si="351"/>
        <v>1.2966525878906318E-8</v>
      </c>
    </row>
    <row r="1062" spans="1:27">
      <c r="A1062">
        <v>3</v>
      </c>
      <c r="B1062">
        <v>3</v>
      </c>
      <c r="C1062">
        <f t="shared" ca="1" si="330"/>
        <v>8</v>
      </c>
      <c r="D1062">
        <f t="shared" ca="1" si="331"/>
        <v>7</v>
      </c>
      <c r="E1062">
        <f t="shared" ca="1" si="332"/>
        <v>3</v>
      </c>
      <c r="F1062" s="110">
        <f t="shared" ca="1" si="333"/>
        <v>8.9999999999999998E-4</v>
      </c>
      <c r="G1062">
        <v>0</v>
      </c>
      <c r="H1062">
        <v>0</v>
      </c>
      <c r="I1062">
        <v>0</v>
      </c>
      <c r="J1062" s="1">
        <f t="shared" ca="1" si="334"/>
        <v>3.9062500000000246E-11</v>
      </c>
      <c r="K1062" s="1">
        <f t="shared" ca="1" si="335"/>
        <v>3.5156250000000219E-14</v>
      </c>
      <c r="L1062" s="13">
        <f t="shared" ca="1" si="336"/>
        <v>0</v>
      </c>
      <c r="M1062" s="7">
        <f t="shared" ca="1" si="337"/>
        <v>1500</v>
      </c>
      <c r="N1062" s="26">
        <f t="shared" ca="1" si="338"/>
        <v>5</v>
      </c>
      <c r="O1062" s="44">
        <f t="shared" ca="1" si="339"/>
        <v>3.5395046525977252</v>
      </c>
      <c r="P1062" s="44">
        <f t="shared" ca="1" si="340"/>
        <v>35.39504652597725</v>
      </c>
      <c r="Q1062" s="44">
        <f t="shared" ca="1" si="341"/>
        <v>35.39504652597725</v>
      </c>
      <c r="R1062" s="44">
        <f t="shared" ca="1" si="342"/>
        <v>3.5395046525977252</v>
      </c>
      <c r="S1062" s="44">
        <f t="shared" ca="1" si="343"/>
        <v>3.5395046525977252</v>
      </c>
      <c r="T1062" s="4">
        <f t="shared" ca="1" si="344"/>
        <v>1.2443571044288956E-13</v>
      </c>
      <c r="U1062" s="120">
        <f t="shared" ca="1" si="345"/>
        <v>2205.7775012989287</v>
      </c>
      <c r="V1062" s="4">
        <f t="shared" ca="1" si="346"/>
        <v>7.7546865280040949E-11</v>
      </c>
      <c r="W1062" s="13">
        <f t="shared" ca="1" si="347"/>
        <v>0</v>
      </c>
      <c r="X1062" s="4">
        <f t="shared" ca="1" si="348"/>
        <v>0</v>
      </c>
      <c r="Y1062" s="4">
        <f t="shared" si="349"/>
        <v>0</v>
      </c>
      <c r="Z1062" s="13">
        <f t="shared" ca="1" si="350"/>
        <v>0</v>
      </c>
      <c r="AA1062" s="4">
        <f t="shared" ca="1" si="351"/>
        <v>0</v>
      </c>
    </row>
    <row r="1064" spans="1:27">
      <c r="J1064" s="2" t="s">
        <v>405</v>
      </c>
      <c r="K1064" s="27">
        <f ca="1">SUM(K551:K1062)</f>
        <v>1.0000000000000002</v>
      </c>
      <c r="O1064" s="26"/>
      <c r="P1064" s="26"/>
      <c r="Q1064" s="26"/>
      <c r="R1064" s="26"/>
      <c r="S1064" s="26" t="s">
        <v>406</v>
      </c>
      <c r="T1064" s="4">
        <f ca="1">SUM(T551:T1062)</f>
        <v>2.9232147067135088</v>
      </c>
      <c r="U1064" t="s">
        <v>158</v>
      </c>
      <c r="V1064" s="4">
        <f ca="1">SUM(V551:V1062)</f>
        <v>2162.5636189349311</v>
      </c>
      <c r="W1064" t="s">
        <v>106</v>
      </c>
      <c r="X1064" s="4">
        <f ca="1">SUM(X551:X1062)</f>
        <v>32082.887475000003</v>
      </c>
      <c r="Z1064" t="s">
        <v>426</v>
      </c>
      <c r="AA1064" s="4">
        <f ca="1">SUM(AA551:AA1062)</f>
        <v>32082.887475000003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5" enableFormatConditionsCalculation="0">
    <tabColor indexed="52"/>
  </sheetPr>
  <dimension ref="A1:U112"/>
  <sheetViews>
    <sheetView workbookViewId="0">
      <selection activeCell="R13" sqref="R13"/>
    </sheetView>
  </sheetViews>
  <sheetFormatPr defaultRowHeight="12.75"/>
  <cols>
    <col min="1" max="1" width="15.140625" style="88" customWidth="1"/>
    <col min="2" max="4" width="9.140625" style="88"/>
    <col min="5" max="5" width="9.28515625" style="88" bestFit="1" customWidth="1"/>
    <col min="6" max="16" width="9.140625" style="88"/>
    <col min="17" max="17" width="13.7109375" style="88" customWidth="1"/>
    <col min="18" max="18" width="10.28515625" style="88" customWidth="1"/>
    <col min="19" max="19" width="9.140625" style="88"/>
    <col min="20" max="20" width="13.7109375" style="88" customWidth="1"/>
    <col min="21" max="21" width="10.140625" style="88" customWidth="1"/>
    <col min="22" max="16384" width="9.140625" style="88"/>
  </cols>
  <sheetData>
    <row r="1" spans="1:21">
      <c r="A1" s="88" t="s">
        <v>152</v>
      </c>
    </row>
    <row r="2" spans="1:21">
      <c r="Q2" s="106" t="s">
        <v>152</v>
      </c>
      <c r="T2" s="106" t="s">
        <v>156</v>
      </c>
    </row>
    <row r="3" spans="1:21">
      <c r="A3" s="88" t="s">
        <v>50</v>
      </c>
      <c r="B3" s="89">
        <f ca="1">Data!B114</f>
        <v>0.95</v>
      </c>
      <c r="D3" s="90" t="s">
        <v>185</v>
      </c>
      <c r="E3" s="90"/>
      <c r="F3" s="90"/>
      <c r="G3" s="90"/>
      <c r="H3" s="90"/>
      <c r="I3" s="90"/>
      <c r="R3" s="88" t="s">
        <v>52</v>
      </c>
      <c r="U3" s="88" t="s">
        <v>52</v>
      </c>
    </row>
    <row r="4" spans="1:21">
      <c r="A4" s="88" t="s">
        <v>44</v>
      </c>
      <c r="B4" s="91">
        <f ca="1">Data!B182</f>
        <v>0.3</v>
      </c>
      <c r="D4" s="88" t="s">
        <v>45</v>
      </c>
      <c r="E4" s="88" t="s">
        <v>46</v>
      </c>
      <c r="F4" s="92">
        <v>0</v>
      </c>
      <c r="G4" s="92">
        <v>1</v>
      </c>
      <c r="H4" s="92">
        <v>2</v>
      </c>
      <c r="I4" s="93">
        <v>3</v>
      </c>
      <c r="J4" s="93">
        <v>4</v>
      </c>
      <c r="K4" s="93">
        <v>5</v>
      </c>
      <c r="L4" s="93">
        <v>6</v>
      </c>
      <c r="M4" s="93">
        <v>7</v>
      </c>
      <c r="N4" s="93">
        <v>8</v>
      </c>
      <c r="Q4" s="94"/>
      <c r="R4" s="94"/>
      <c r="T4" s="94"/>
      <c r="U4" s="94"/>
    </row>
    <row r="5" spans="1:21">
      <c r="A5" s="88" t="s">
        <v>153</v>
      </c>
      <c r="B5" s="91">
        <f ca="1">Data!B183</f>
        <v>9.0000000000000011E-2</v>
      </c>
      <c r="D5" s="88">
        <v>0</v>
      </c>
      <c r="E5" s="95">
        <v>0</v>
      </c>
      <c r="F5" s="96">
        <f t="shared" ref="F5:N5" ca="1" si="0">IF($D5&gt;=F$4, POWER($B$3, F$4) * POWER((1-$B$3), $D5-F$4) * COMBIN($D5,F$4) * $E5, 0)</f>
        <v>0</v>
      </c>
      <c r="G5" s="96">
        <f t="shared" si="0"/>
        <v>0</v>
      </c>
      <c r="H5" s="96">
        <f t="shared" si="0"/>
        <v>0</v>
      </c>
      <c r="I5" s="96">
        <f t="shared" si="0"/>
        <v>0</v>
      </c>
      <c r="J5" s="96">
        <f t="shared" si="0"/>
        <v>0</v>
      </c>
      <c r="K5" s="96">
        <f t="shared" si="0"/>
        <v>0</v>
      </c>
      <c r="L5" s="96">
        <f t="shared" si="0"/>
        <v>0</v>
      </c>
      <c r="M5" s="96">
        <f t="shared" si="0"/>
        <v>0</v>
      </c>
      <c r="N5" s="96">
        <f t="shared" si="0"/>
        <v>0</v>
      </c>
      <c r="R5" s="97">
        <v>0</v>
      </c>
      <c r="U5" s="97">
        <v>0</v>
      </c>
    </row>
    <row r="6" spans="1:21">
      <c r="A6" s="88" t="s">
        <v>378</v>
      </c>
      <c r="B6" s="91">
        <f ca="1">Data!B184</f>
        <v>0.08</v>
      </c>
      <c r="D6" s="88">
        <v>1</v>
      </c>
      <c r="E6" s="134">
        <f ca="1">(1-B6)*(1-B5)*(1-B4)*(1-B8)*(1-B7)*(1-B25)</f>
        <v>0.58604000000000001</v>
      </c>
      <c r="F6" s="96">
        <f ca="1">IF($D6&gt;=F$4, POWER($B$3, F$4) * POWER((1-$B$3), $D6-F$4) * COMBIN($D6,F$4) * $E6, 0) * (1 - B28*B29*(1-E19))</f>
        <v>2.9302000000000026E-2</v>
      </c>
      <c r="G6" s="96">
        <f ca="1">IF($D6&gt;=G$4, POWER($B$3, G$4) * POWER((1-$B$3), $D6-G$4) * COMBIN($D6,G$4) * $E6, 0) + IF($D6&gt;=F$4, POWER($B$3, F$4) * POWER((1-$B$3), $D6-F$4) * COMBIN($D6,F$4) * $E6, 0) * B28 * B29 * (1-E19)</f>
        <v>0.55673799999999996</v>
      </c>
      <c r="H6" s="96">
        <f t="shared" ref="H6:N13" si="1">IF($D6&gt;=H$4, POWER($B$3, H$4) * POWER((1-$B$3), $D6-H$4) * COMBIN($D6,H$4) * $E6, 0)</f>
        <v>0</v>
      </c>
      <c r="I6" s="96">
        <f t="shared" si="1"/>
        <v>0</v>
      </c>
      <c r="J6" s="96">
        <f t="shared" si="1"/>
        <v>0</v>
      </c>
      <c r="K6" s="96">
        <f t="shared" si="1"/>
        <v>0</v>
      </c>
      <c r="L6" s="96">
        <f t="shared" si="1"/>
        <v>0</v>
      </c>
      <c r="M6" s="96">
        <f t="shared" si="1"/>
        <v>0</v>
      </c>
      <c r="N6" s="96">
        <f t="shared" si="1"/>
        <v>0</v>
      </c>
      <c r="R6" s="88">
        <v>0</v>
      </c>
      <c r="U6" s="88">
        <v>0</v>
      </c>
    </row>
    <row r="7" spans="1:21">
      <c r="A7" s="88" t="s">
        <v>448</v>
      </c>
      <c r="B7" s="91">
        <v>0</v>
      </c>
      <c r="D7" s="88">
        <v>2</v>
      </c>
      <c r="E7" s="134">
        <f ca="1">(1-B6)*(1-B5)*(1-B7)*(B4) + (1-B6)*(1-B5)*(1-B4)*(1-B7)*(B8)*(B9) + (1-B6)*(1-B5)*(1-B4)*(1-B7)*(1-B8)*(B25)*(B26) + (1-B6)*(1-B5)*(1-B4)*(1-B8)*(1-B25)*(B7)</f>
        <v>0.25115999999999999</v>
      </c>
      <c r="F7" s="96">
        <f t="shared" ref="F7:G13" ca="1" si="2">IF($D7&gt;=F$4, POWER($B$3, F$4) * POWER((1-$B$3), $D7-F$4) * COMBIN($D7,F$4) * $E7, 0)</f>
        <v>6.2790000000000111E-4</v>
      </c>
      <c r="G7" s="96">
        <f t="shared" ca="1" si="2"/>
        <v>2.3860200000000022E-2</v>
      </c>
      <c r="H7" s="96">
        <f t="shared" ca="1" si="1"/>
        <v>0.22667189999999998</v>
      </c>
      <c r="I7" s="96">
        <f t="shared" si="1"/>
        <v>0</v>
      </c>
      <c r="J7" s="96">
        <f t="shared" si="1"/>
        <v>0</v>
      </c>
      <c r="K7" s="96">
        <f t="shared" si="1"/>
        <v>0</v>
      </c>
      <c r="L7" s="96">
        <f t="shared" si="1"/>
        <v>0</v>
      </c>
      <c r="M7" s="96">
        <f t="shared" si="1"/>
        <v>0</v>
      </c>
      <c r="N7" s="96">
        <f t="shared" si="1"/>
        <v>0</v>
      </c>
      <c r="R7" s="88">
        <v>0</v>
      </c>
      <c r="U7" s="88">
        <v>0</v>
      </c>
    </row>
    <row r="8" spans="1:21">
      <c r="A8" s="88" t="s">
        <v>449</v>
      </c>
      <c r="B8" s="91">
        <f ca="1">IF(ISBLANK(Gear!$B$3), 0, VLOOKUP(Gear!$B$3, INDIRECT(Gear!A3), MATCH("OAx", StatHeader, 0), 0))</f>
        <v>0</v>
      </c>
      <c r="D8" s="88">
        <v>3</v>
      </c>
      <c r="E8" s="134">
        <f ca="1">(1-B6)*(1-B7)*(B5) + (1-B6)*(1-B5)*(1-B4)*(1-B7)*(B8)*(B10) + (1-B6)*(1-B5)*(1-B4)*(1-B7)*(1-B8)*(B25)*(B27) + (1-B6)*(1-B5)*(B7)*(B4) + (1-B6)*(1-B5)*(1-B4)*(B7)*(B8)*(B9) + (1-B6)*(1-B5)*(1-B4)*(B7)*(B25)*(B26)</f>
        <v>8.2800000000000012E-2</v>
      </c>
      <c r="F8" s="96">
        <f t="shared" ca="1" si="2"/>
        <v>1.0350000000000028E-5</v>
      </c>
      <c r="G8" s="96">
        <f t="shared" ca="1" si="2"/>
        <v>5.8995000000000109E-4</v>
      </c>
      <c r="H8" s="96">
        <f t="shared" ca="1" si="1"/>
        <v>1.1209050000000012E-2</v>
      </c>
      <c r="I8" s="96">
        <f t="shared" ca="1" si="1"/>
        <v>7.0990650000000002E-2</v>
      </c>
      <c r="J8" s="96">
        <f t="shared" si="1"/>
        <v>0</v>
      </c>
      <c r="K8" s="96">
        <f t="shared" si="1"/>
        <v>0</v>
      </c>
      <c r="L8" s="96">
        <f t="shared" si="1"/>
        <v>0</v>
      </c>
      <c r="M8" s="96">
        <f t="shared" si="1"/>
        <v>0</v>
      </c>
      <c r="N8" s="96">
        <f t="shared" si="1"/>
        <v>0</v>
      </c>
      <c r="R8" s="88">
        <v>0</v>
      </c>
      <c r="U8" s="88">
        <v>0</v>
      </c>
    </row>
    <row r="9" spans="1:21">
      <c r="A9" s="88" t="s">
        <v>438</v>
      </c>
      <c r="B9" s="91">
        <f ca="1">IF(ISBLANK(Gear!$B$3), 0, VLOOKUP(Gear!$B$3, INDIRECT(Gear!A3), MATCH(A9, StatHeader, 0), 0))</f>
        <v>0</v>
      </c>
      <c r="D9" s="88">
        <v>4</v>
      </c>
      <c r="E9" s="134">
        <f ca="1">(B6)*(1-B7) + (1-B6)*(B7)*(B5) + (1-B6)*(1-B5)*(1-B4)*(1-B7)*(B8)*(B11) + (1-B6)*(1-B5)*(1-B4)*(B7)*(B25)*(B27) + (1-B6)*(1-B5)*(1-B4)*(B7)*(B8)*(B10)</f>
        <v>0.08</v>
      </c>
      <c r="F9" s="96">
        <f t="shared" ca="1" si="2"/>
        <v>5.0000000000000178E-7</v>
      </c>
      <c r="G9" s="96">
        <f t="shared" ca="1" si="2"/>
        <v>3.8000000000000104E-5</v>
      </c>
      <c r="H9" s="96">
        <f t="shared" ca="1" si="1"/>
        <v>1.0830000000000019E-3</v>
      </c>
      <c r="I9" s="96">
        <f t="shared" ca="1" si="1"/>
        <v>1.371800000000001E-2</v>
      </c>
      <c r="J9" s="96">
        <f t="shared" ca="1" si="1"/>
        <v>6.5160499999999996E-2</v>
      </c>
      <c r="K9" s="96">
        <f t="shared" si="1"/>
        <v>0</v>
      </c>
      <c r="L9" s="96">
        <f t="shared" si="1"/>
        <v>0</v>
      </c>
      <c r="M9" s="96">
        <f t="shared" si="1"/>
        <v>0</v>
      </c>
      <c r="N9" s="96">
        <f t="shared" si="1"/>
        <v>0</v>
      </c>
      <c r="R9" s="88">
        <v>0</v>
      </c>
      <c r="U9" s="88">
        <v>0</v>
      </c>
    </row>
    <row r="10" spans="1:21">
      <c r="A10" s="88" t="s">
        <v>439</v>
      </c>
      <c r="B10" s="91">
        <f ca="1">IF(ISBLANK(Gear!$B$3), 0, VLOOKUP(Gear!$B$3, INDIRECT(Gear!A3), MATCH(A10, StatHeader, 0), 0))</f>
        <v>0</v>
      </c>
      <c r="D10" s="88">
        <v>5</v>
      </c>
      <c r="E10" s="135">
        <f ca="1">(1-B6)*(1-B5)*(1-B4)*(1-B7)*(B8)*(B12) + (1-B6)*(1-B5)*(1-B4)*(B7)*(B8)*(B11) + (B6)*(B7)</f>
        <v>0</v>
      </c>
      <c r="F10" s="96">
        <f t="shared" ca="1" si="2"/>
        <v>0</v>
      </c>
      <c r="G10" s="96">
        <f t="shared" ca="1" si="2"/>
        <v>0</v>
      </c>
      <c r="H10" s="96">
        <f t="shared" ca="1" si="1"/>
        <v>0</v>
      </c>
      <c r="I10" s="96">
        <f t="shared" ca="1" si="1"/>
        <v>0</v>
      </c>
      <c r="J10" s="96">
        <f t="shared" ca="1" si="1"/>
        <v>0</v>
      </c>
      <c r="K10" s="96">
        <f t="shared" ca="1" si="1"/>
        <v>0</v>
      </c>
      <c r="L10" s="96">
        <f t="shared" si="1"/>
        <v>0</v>
      </c>
      <c r="M10" s="96">
        <f t="shared" si="1"/>
        <v>0</v>
      </c>
      <c r="N10" s="96">
        <f t="shared" si="1"/>
        <v>0</v>
      </c>
      <c r="R10" s="88">
        <v>0</v>
      </c>
      <c r="U10" s="88">
        <v>0</v>
      </c>
    </row>
    <row r="11" spans="1:21">
      <c r="A11" s="88" t="s">
        <v>440</v>
      </c>
      <c r="B11" s="91">
        <f ca="1">IF(ISBLANK(Gear!$B$3), 0, VLOOKUP(Gear!$B$3, INDIRECT(Gear!A3), MATCH(A11, StatHeader, 0), 0))</f>
        <v>0</v>
      </c>
      <c r="D11" s="90">
        <v>6</v>
      </c>
      <c r="E11" s="135">
        <f ca="1">(1-B6)*(1-B5)*(1-B4)*(1-B7)*(B8)*(B13) + (1-B6)*(1-B5)*(1-B4)*(B7)*(B8)*(B12)</f>
        <v>0</v>
      </c>
      <c r="F11" s="96">
        <f t="shared" ca="1" si="2"/>
        <v>0</v>
      </c>
      <c r="G11" s="96">
        <f t="shared" ca="1" si="2"/>
        <v>0</v>
      </c>
      <c r="H11" s="96">
        <f t="shared" ca="1" si="1"/>
        <v>0</v>
      </c>
      <c r="I11" s="96">
        <f t="shared" ca="1" si="1"/>
        <v>0</v>
      </c>
      <c r="J11" s="96">
        <f t="shared" ca="1" si="1"/>
        <v>0</v>
      </c>
      <c r="K11" s="96">
        <f t="shared" ca="1" si="1"/>
        <v>0</v>
      </c>
      <c r="L11" s="96">
        <f t="shared" ca="1" si="1"/>
        <v>0</v>
      </c>
      <c r="M11" s="96">
        <f t="shared" si="1"/>
        <v>0</v>
      </c>
      <c r="N11" s="96">
        <f t="shared" si="1"/>
        <v>0</v>
      </c>
      <c r="Q11" s="88" t="s">
        <v>47</v>
      </c>
      <c r="R11" s="88">
        <v>0</v>
      </c>
      <c r="T11" s="88" t="s">
        <v>47</v>
      </c>
      <c r="U11" s="88">
        <v>0</v>
      </c>
    </row>
    <row r="12" spans="1:21">
      <c r="A12" s="88" t="s">
        <v>441</v>
      </c>
      <c r="B12" s="91">
        <f ca="1">IF(ISBLANK(Gear!$B$3), 0, VLOOKUP(Gear!$B$3, INDIRECT(Gear!A3), MATCH(A12, StatHeader, 0), 0))</f>
        <v>0</v>
      </c>
      <c r="D12" s="100">
        <v>7</v>
      </c>
      <c r="E12" s="134">
        <f ca="1">(1-B6)*(1-B5)*(1-B4)*(1-B7)*(B8)*(B14) + (1-B6)*(1-B5)*(1-B4)*(B7)*(B8)*(B13)</f>
        <v>0</v>
      </c>
      <c r="F12" s="96">
        <f t="shared" ca="1" si="2"/>
        <v>0</v>
      </c>
      <c r="G12" s="96">
        <f t="shared" ca="1" si="2"/>
        <v>0</v>
      </c>
      <c r="H12" s="96">
        <f t="shared" ca="1" si="1"/>
        <v>0</v>
      </c>
      <c r="I12" s="96">
        <f t="shared" ca="1" si="1"/>
        <v>0</v>
      </c>
      <c r="J12" s="96">
        <f t="shared" ca="1" si="1"/>
        <v>0</v>
      </c>
      <c r="K12" s="96">
        <f t="shared" ca="1" si="1"/>
        <v>0</v>
      </c>
      <c r="L12" s="96">
        <f t="shared" ca="1" si="1"/>
        <v>0</v>
      </c>
      <c r="M12" s="96">
        <f t="shared" ca="1" si="1"/>
        <v>0</v>
      </c>
      <c r="N12" s="96">
        <f t="shared" si="1"/>
        <v>0</v>
      </c>
      <c r="O12" s="90"/>
      <c r="P12" s="90"/>
      <c r="Q12" s="88">
        <v>0</v>
      </c>
      <c r="R12" s="88">
        <v>0</v>
      </c>
      <c r="T12" s="88">
        <v>0</v>
      </c>
      <c r="U12" s="88">
        <v>0</v>
      </c>
    </row>
    <row r="13" spans="1:21">
      <c r="A13" s="88" t="s">
        <v>442</v>
      </c>
      <c r="B13" s="91">
        <f ca="1">IF(ISBLANK(Gear!$B$3), 0, VLOOKUP(Gear!$B$3, INDIRECT(Gear!A3), MATCH(A13, StatHeader, 0), 0))</f>
        <v>0</v>
      </c>
      <c r="D13" s="100">
        <v>8</v>
      </c>
      <c r="E13" s="134">
        <f ca="1">(1-B6)*(1-B5)*(1-B4)*(B8)*(B15) + (1-B6)*(1-B5)*(1-B4)*(B7)*(B8)*(B14)</f>
        <v>0</v>
      </c>
      <c r="F13" s="101">
        <f t="shared" ca="1" si="2"/>
        <v>0</v>
      </c>
      <c r="G13" s="102">
        <f t="shared" ca="1" si="2"/>
        <v>0</v>
      </c>
      <c r="H13" s="102">
        <f t="shared" ca="1" si="1"/>
        <v>0</v>
      </c>
      <c r="I13" s="102">
        <f t="shared" ca="1" si="1"/>
        <v>0</v>
      </c>
      <c r="J13" s="102">
        <f t="shared" ca="1" si="1"/>
        <v>0</v>
      </c>
      <c r="K13" s="102">
        <f t="shared" ca="1" si="1"/>
        <v>0</v>
      </c>
      <c r="L13" s="102">
        <f t="shared" ca="1" si="1"/>
        <v>0</v>
      </c>
      <c r="M13" s="102">
        <f t="shared" ca="1" si="1"/>
        <v>0</v>
      </c>
      <c r="N13" s="102">
        <f t="shared" ca="1" si="1"/>
        <v>0</v>
      </c>
      <c r="O13" s="90"/>
      <c r="P13" s="90"/>
      <c r="Q13" s="88">
        <v>1</v>
      </c>
      <c r="R13" s="103">
        <f t="shared" ref="R13:R76" ca="1" si="3">(1+R12*$F$37+R11*$G$37+R10*$H$37+R9*$I$37+R8*$J$37+R7*$K$37+R6*$L$37+R5*$M$37)/(1-$E$37)</f>
        <v>1.0308648672748599</v>
      </c>
      <c r="T13" s="88">
        <v>1</v>
      </c>
      <c r="U13" s="103">
        <f t="shared" ref="U13:U76" ca="1" si="4">(1+U12*$F$77+U11*$G$77+U10*$H$77+U9*$I$77+U8*$J$77+U7*$K$77+U6*$L$77+U5*$M$77)/(1-$E$77)</f>
        <v>1.0302661492725012</v>
      </c>
    </row>
    <row r="14" spans="1:21">
      <c r="A14" s="88" t="s">
        <v>443</v>
      </c>
      <c r="B14" s="91">
        <f ca="1">IF(ISBLANK(Gear!$B$3), 0, VLOOKUP(Gear!$B$3, INDIRECT(Gear!A3), MATCH(A14, StatHeader, 0), 0))</f>
        <v>0</v>
      </c>
      <c r="E14" s="91">
        <f ca="1">SUM(E5:E13)</f>
        <v>0.99999999999999989</v>
      </c>
      <c r="O14" s="96"/>
      <c r="P14" s="96"/>
      <c r="Q14" s="88">
        <v>2</v>
      </c>
      <c r="R14" s="103">
        <f t="shared" ca="1" si="3"/>
        <v>1.6485236525257894</v>
      </c>
      <c r="T14" s="88">
        <v>2</v>
      </c>
      <c r="U14" s="103">
        <f t="shared" ca="1" si="4"/>
        <v>1.6373183360513401</v>
      </c>
    </row>
    <row r="15" spans="1:21">
      <c r="A15" s="88" t="s">
        <v>444</v>
      </c>
      <c r="B15" s="91">
        <f ca="1">IF(ISBLANK(Gear!$B$3), 0, VLOOKUP(Gear!$B$3, INDIRECT(Gear!A3), MATCH(A15, StatHeader, 0), 0))</f>
        <v>0</v>
      </c>
      <c r="E15" s="88" t="s">
        <v>154</v>
      </c>
      <c r="F15" s="104">
        <f t="shared" ref="F15:N15" ca="1" si="5">SUM(F5:F13)</f>
        <v>2.9940750000000026E-2</v>
      </c>
      <c r="G15" s="104">
        <f t="shared" ca="1" si="5"/>
        <v>0.58122614999999989</v>
      </c>
      <c r="H15" s="104">
        <f t="shared" ca="1" si="5"/>
        <v>0.23896394999999998</v>
      </c>
      <c r="I15" s="104">
        <f t="shared" ca="1" si="5"/>
        <v>8.470865000000001E-2</v>
      </c>
      <c r="J15" s="104">
        <f t="shared" ca="1" si="5"/>
        <v>6.5160499999999996E-2</v>
      </c>
      <c r="K15" s="104">
        <f t="shared" ca="1" si="5"/>
        <v>0</v>
      </c>
      <c r="L15" s="104">
        <f t="shared" ca="1" si="5"/>
        <v>0</v>
      </c>
      <c r="M15" s="104">
        <f t="shared" ca="1" si="5"/>
        <v>0</v>
      </c>
      <c r="N15" s="104">
        <f t="shared" ca="1" si="5"/>
        <v>0</v>
      </c>
      <c r="O15" s="96">
        <f ca="1">SUM(F15:N15)</f>
        <v>1</v>
      </c>
      <c r="P15" s="90"/>
      <c r="Q15" s="88">
        <v>3</v>
      </c>
      <c r="R15" s="103">
        <f t="shared" ca="1" si="3"/>
        <v>2.2725463381146342</v>
      </c>
      <c r="T15" s="88">
        <v>3</v>
      </c>
      <c r="U15" s="103">
        <f t="shared" ca="1" si="4"/>
        <v>2.2758855914378953</v>
      </c>
    </row>
    <row r="16" spans="1:21">
      <c r="A16" s="88" t="s">
        <v>634</v>
      </c>
      <c r="B16" s="159">
        <f ca="1">Data!B174</f>
        <v>0.2</v>
      </c>
      <c r="E16" s="96" t="s">
        <v>155</v>
      </c>
      <c r="F16" s="105">
        <f ca="1">F4*F15+G4*G15+H4*H15+I4*I15+J15*J4+K15*K4+L15*L4+M15*M4+N15*N4</f>
        <v>1.5739219999999998</v>
      </c>
      <c r="G16" s="96"/>
      <c r="H16" s="96"/>
      <c r="I16" s="96"/>
      <c r="O16" s="90"/>
      <c r="P16" s="90"/>
      <c r="Q16" s="88">
        <v>4</v>
      </c>
      <c r="R16" s="103">
        <f t="shared" ca="1" si="3"/>
        <v>2.8886114468927948</v>
      </c>
      <c r="T16" s="88">
        <v>4</v>
      </c>
      <c r="U16" s="103">
        <f t="shared" ca="1" si="4"/>
        <v>2.8908103757121246</v>
      </c>
    </row>
    <row r="17" spans="1:21">
      <c r="A17" s="88" t="s">
        <v>450</v>
      </c>
      <c r="B17" s="91">
        <f ca="1">IF(AND(Setup!$B$35="Axe", Data!$G$23&gt;0), IF(ISBLANK(Gear!$B$4), 0, VLOOKUP(Gear!$B$4, INDIRECT(Gear!A4), MATCH("OAx", StatHeader, 0), 0)), 0)</f>
        <v>0</v>
      </c>
      <c r="Q17" s="88">
        <v>5</v>
      </c>
      <c r="R17" s="103">
        <f t="shared" ca="1" si="3"/>
        <v>3.5346387789404914</v>
      </c>
      <c r="T17" s="88">
        <v>5</v>
      </c>
      <c r="U17" s="103">
        <f t="shared" ca="1" si="4"/>
        <v>3.5395046525977252</v>
      </c>
    </row>
    <row r="18" spans="1:21">
      <c r="A18" s="88" t="s">
        <v>438</v>
      </c>
      <c r="B18" s="91">
        <f ca="1">IF(AND(Setup!$B$35="Axe", Data!$G$23&gt;0), IF(ISBLANK(Gear!$B$4), 0, VLOOKUP(Gear!$B$4, INDIRECT(Gear!A4), MATCH(A18, StatHeader, 0), 0)), 0)</f>
        <v>0</v>
      </c>
      <c r="Q18" s="88">
        <v>6</v>
      </c>
      <c r="R18" s="103">
        <f t="shared" ca="1" si="3"/>
        <v>4.1694581524927896</v>
      </c>
      <c r="T18" s="88">
        <v>6</v>
      </c>
      <c r="U18" s="103">
        <f t="shared" ca="1" si="4"/>
        <v>4.1754776198733339</v>
      </c>
    </row>
    <row r="19" spans="1:21">
      <c r="A19" s="88" t="s">
        <v>439</v>
      </c>
      <c r="B19" s="91">
        <f ca="1">IF(AND(Setup!$B$35="Axe", Data!$G$23&gt;0), IF(ISBLANK(Gear!$B$4), 0, VLOOKUP(Gear!$B$4, INDIRECT(Gear!A4), MATCH(A19, StatHeader, 0), 0)), 0)</f>
        <v>0</v>
      </c>
      <c r="D19" s="90" t="s">
        <v>186</v>
      </c>
      <c r="E19" s="90">
        <f ca="1">IF(Data!G23&gt;0, 1, 0)</f>
        <v>0</v>
      </c>
      <c r="F19" s="90"/>
      <c r="G19" s="90"/>
      <c r="H19" s="90"/>
      <c r="I19" s="90"/>
      <c r="J19" s="90"/>
      <c r="Q19" s="88">
        <v>7</v>
      </c>
      <c r="R19" s="103">
        <f t="shared" ca="1" si="3"/>
        <v>4.8046755759546107</v>
      </c>
      <c r="T19" s="88">
        <v>7</v>
      </c>
      <c r="U19" s="103">
        <f t="shared" ca="1" si="4"/>
        <v>4.8135981228601956</v>
      </c>
    </row>
    <row r="20" spans="1:21">
      <c r="A20" s="88" t="s">
        <v>440</v>
      </c>
      <c r="B20" s="91">
        <f ca="1">IF(AND(Setup!$B$35="Axe", Data!$G$23&gt;0), IF(ISBLANK(Gear!$B$4), 0, VLOOKUP(Gear!$B$4, INDIRECT(Gear!A4), MATCH(A20, StatHeader, 0), 0)), 0)</f>
        <v>0</v>
      </c>
      <c r="D20" s="88" t="s">
        <v>45</v>
      </c>
      <c r="E20" s="88" t="s">
        <v>46</v>
      </c>
      <c r="F20" s="92">
        <v>0</v>
      </c>
      <c r="G20" s="92">
        <v>1</v>
      </c>
      <c r="H20" s="92">
        <v>2</v>
      </c>
      <c r="I20" s="93">
        <v>3</v>
      </c>
      <c r="J20" s="93">
        <v>4</v>
      </c>
      <c r="K20" s="93">
        <v>5</v>
      </c>
      <c r="L20" s="93">
        <v>6</v>
      </c>
      <c r="M20" s="93">
        <v>7</v>
      </c>
      <c r="N20" s="93">
        <v>8</v>
      </c>
      <c r="O20" s="90"/>
      <c r="Q20" s="88">
        <v>8</v>
      </c>
      <c r="R20" s="103">
        <f t="shared" ca="1" si="3"/>
        <v>5.4394524065179173</v>
      </c>
      <c r="T20" s="88">
        <v>8</v>
      </c>
      <c r="U20" s="103">
        <f t="shared" ca="1" si="4"/>
        <v>5.4503268964094636</v>
      </c>
    </row>
    <row r="21" spans="1:21">
      <c r="A21" s="88" t="s">
        <v>441</v>
      </c>
      <c r="B21" s="91">
        <f ca="1">IF(AND(Setup!$B$35="Axe", Data!$G$23&gt;0), IF(ISBLANK(Gear!$B$4), 0, VLOOKUP(Gear!$B$4, INDIRECT(Gear!A4), MATCH(A21, StatHeader, 0), 0)), 0)</f>
        <v>0</v>
      </c>
      <c r="D21" s="88">
        <v>0</v>
      </c>
      <c r="E21" s="95">
        <f ca="1">IF(E19=0, 100%, 0)</f>
        <v>1</v>
      </c>
      <c r="F21" s="96">
        <f ca="1">IF($D21&gt;=F$20, POWER($B$16, F$20) * POWER((1-$B$16), $D21-F$20) * COMBIN($D21,F$20) * $E21, 0)</f>
        <v>1</v>
      </c>
      <c r="G21" s="96">
        <f t="shared" ref="G21:N29" si="6">IF($D21&gt;=G$20, POWER($B$16, G$20) * POWER((1-$B$16), $D21-G$20) * COMBIN($D21,G$20) * $E21, 0)</f>
        <v>0</v>
      </c>
      <c r="H21" s="96">
        <f t="shared" si="6"/>
        <v>0</v>
      </c>
      <c r="I21" s="96">
        <f t="shared" si="6"/>
        <v>0</v>
      </c>
      <c r="J21" s="96">
        <f t="shared" si="6"/>
        <v>0</v>
      </c>
      <c r="K21" s="96">
        <f t="shared" si="6"/>
        <v>0</v>
      </c>
      <c r="L21" s="96">
        <f t="shared" si="6"/>
        <v>0</v>
      </c>
      <c r="M21" s="96">
        <f t="shared" si="6"/>
        <v>0</v>
      </c>
      <c r="N21" s="96">
        <f t="shared" si="6"/>
        <v>0</v>
      </c>
      <c r="O21" s="90"/>
      <c r="Q21" s="88">
        <v>9</v>
      </c>
      <c r="R21" s="103">
        <f t="shared" ca="1" si="3"/>
        <v>6.0750972024972629</v>
      </c>
      <c r="T21" s="88">
        <v>9</v>
      </c>
      <c r="U21" s="103">
        <f t="shared" ca="1" si="4"/>
        <v>6.0881846953337861</v>
      </c>
    </row>
    <row r="22" spans="1:21">
      <c r="A22" s="88" t="s">
        <v>442</v>
      </c>
      <c r="B22" s="91">
        <f ca="1">IF(AND(Setup!$B$35="Axe", Data!$G$23&gt;0), IF(ISBLANK(Gear!$B$4), 0, VLOOKUP(Gear!$B$4, INDIRECT(Gear!A4), MATCH(A22, StatHeader, 0), 0)), 0)</f>
        <v>0</v>
      </c>
      <c r="D22" s="88">
        <v>1</v>
      </c>
      <c r="E22" s="98">
        <f ca="1">IF(E19=1, (1-B6)*(1-B5)*(1-B4)*(1-B17), 0)</f>
        <v>0</v>
      </c>
      <c r="F22" s="96">
        <f t="shared" ref="F22:F29" ca="1" si="7">IF($D22&gt;=F$20, POWER($B$16, F$20) * POWER((1-$B$16), $D22-F$20) * COMBIN($D22,F$20) * $E22, 0)</f>
        <v>0</v>
      </c>
      <c r="G22" s="96">
        <f t="shared" ca="1" si="6"/>
        <v>0</v>
      </c>
      <c r="H22" s="96">
        <f t="shared" si="6"/>
        <v>0</v>
      </c>
      <c r="I22" s="96">
        <f t="shared" si="6"/>
        <v>0</v>
      </c>
      <c r="J22" s="96">
        <f t="shared" si="6"/>
        <v>0</v>
      </c>
      <c r="K22" s="96">
        <f t="shared" si="6"/>
        <v>0</v>
      </c>
      <c r="L22" s="96">
        <f t="shared" si="6"/>
        <v>0</v>
      </c>
      <c r="M22" s="96">
        <f t="shared" si="6"/>
        <v>0</v>
      </c>
      <c r="N22" s="96">
        <f t="shared" si="6"/>
        <v>0</v>
      </c>
      <c r="O22" s="90"/>
      <c r="Q22" s="88">
        <v>10</v>
      </c>
      <c r="R22" s="103">
        <f t="shared" ca="1" si="3"/>
        <v>6.710435419748201</v>
      </c>
      <c r="T22" s="88">
        <v>10</v>
      </c>
      <c r="U22" s="103">
        <f t="shared" ca="1" si="4"/>
        <v>6.7256268122084526</v>
      </c>
    </row>
    <row r="23" spans="1:21">
      <c r="A23" s="88" t="s">
        <v>443</v>
      </c>
      <c r="B23" s="91">
        <f ca="1">IF(AND(Setup!$B$35="Axe", Data!$G$23&gt;0), IF(ISBLANK(Gear!$B$4), 0, VLOOKUP(Gear!$B$4, INDIRECT(Gear!A4), MATCH(A23, StatHeader, 0), 0)), 0)</f>
        <v>0</v>
      </c>
      <c r="D23" s="88">
        <v>2</v>
      </c>
      <c r="E23" s="98">
        <f ca="1">IF(E19=1, (1-B6)*(1-B5)*(1-B4)*(B17)*(B18) + (1-B6)*(1-B5)*B4, 0)</f>
        <v>0</v>
      </c>
      <c r="F23" s="96">
        <f t="shared" ca="1" si="7"/>
        <v>0</v>
      </c>
      <c r="G23" s="96">
        <f t="shared" ca="1" si="6"/>
        <v>0</v>
      </c>
      <c r="H23" s="96">
        <f t="shared" ca="1" si="6"/>
        <v>0</v>
      </c>
      <c r="I23" s="96">
        <f t="shared" si="6"/>
        <v>0</v>
      </c>
      <c r="J23" s="96">
        <f t="shared" si="6"/>
        <v>0</v>
      </c>
      <c r="K23" s="96">
        <f t="shared" si="6"/>
        <v>0</v>
      </c>
      <c r="L23" s="96">
        <f t="shared" si="6"/>
        <v>0</v>
      </c>
      <c r="M23" s="96">
        <f t="shared" si="6"/>
        <v>0</v>
      </c>
      <c r="N23" s="96">
        <f t="shared" si="6"/>
        <v>0</v>
      </c>
      <c r="O23" s="90"/>
      <c r="Q23" s="88">
        <v>11</v>
      </c>
      <c r="R23" s="103">
        <f t="shared" ca="1" si="3"/>
        <v>7.3457920234758358</v>
      </c>
      <c r="T23" s="88">
        <v>11</v>
      </c>
      <c r="U23" s="103">
        <f t="shared" ca="1" si="4"/>
        <v>7.3631771369002381</v>
      </c>
    </row>
    <row r="24" spans="1:21">
      <c r="A24" s="88" t="s">
        <v>444</v>
      </c>
      <c r="B24" s="91">
        <f ca="1">IF(AND(Setup!$B$35="Axe", Data!$G$23&gt;0), IF(ISBLANK(Gear!$B$4), 0, VLOOKUP(Gear!$B$4, INDIRECT(Gear!A4), MATCH(A24, StatHeader, 0), 0)), 0)</f>
        <v>0</v>
      </c>
      <c r="D24" s="88">
        <v>3</v>
      </c>
      <c r="E24" s="98">
        <f ca="1">IF(E19=1, (1-B6)*(1-B5)*(1-B4)*(B17)*(B19) + (1-B6)*(B5), 0)</f>
        <v>0</v>
      </c>
      <c r="F24" s="96">
        <f t="shared" ca="1" si="7"/>
        <v>0</v>
      </c>
      <c r="G24" s="96">
        <f t="shared" ca="1" si="6"/>
        <v>0</v>
      </c>
      <c r="H24" s="96">
        <f t="shared" ca="1" si="6"/>
        <v>0</v>
      </c>
      <c r="I24" s="96">
        <f t="shared" ca="1" si="6"/>
        <v>0</v>
      </c>
      <c r="J24" s="96">
        <f t="shared" si="6"/>
        <v>0</v>
      </c>
      <c r="K24" s="96">
        <f t="shared" si="6"/>
        <v>0</v>
      </c>
      <c r="L24" s="96">
        <f t="shared" si="6"/>
        <v>0</v>
      </c>
      <c r="M24" s="96">
        <f t="shared" si="6"/>
        <v>0</v>
      </c>
      <c r="N24" s="96">
        <f t="shared" si="6"/>
        <v>0</v>
      </c>
      <c r="O24" s="90"/>
      <c r="Q24" s="88">
        <v>12</v>
      </c>
      <c r="R24" s="103">
        <f t="shared" ca="1" si="3"/>
        <v>7.9811303194168168</v>
      </c>
      <c r="T24" s="88">
        <v>12</v>
      </c>
      <c r="U24" s="103">
        <f t="shared" ca="1" si="4"/>
        <v>8.000664644664182</v>
      </c>
    </row>
    <row r="25" spans="1:21">
      <c r="A25" s="106" t="s">
        <v>546</v>
      </c>
      <c r="B25" s="91">
        <f ca="1">IF(Setup!B$40=1, IF(ISBLANK(Gear!$B$3), 0, VLOOKUP(Gear!$B$3, INDIRECT(Gear!A3), MATCH(A25, StatHeader, 0), 0)), 0)</f>
        <v>0</v>
      </c>
      <c r="D25" s="88">
        <v>4</v>
      </c>
      <c r="E25" s="98">
        <f ca="1">IF(E19=1, (1-B6)*(1-B5)*(1-B4)*(B17)*(B20) + (B6), 0)</f>
        <v>0</v>
      </c>
      <c r="F25" s="96">
        <f t="shared" ca="1" si="7"/>
        <v>0</v>
      </c>
      <c r="G25" s="96">
        <f t="shared" ca="1" si="6"/>
        <v>0</v>
      </c>
      <c r="H25" s="96">
        <f t="shared" ca="1" si="6"/>
        <v>0</v>
      </c>
      <c r="I25" s="96">
        <f t="shared" ca="1" si="6"/>
        <v>0</v>
      </c>
      <c r="J25" s="96">
        <f t="shared" ca="1" si="6"/>
        <v>0</v>
      </c>
      <c r="K25" s="96">
        <f t="shared" si="6"/>
        <v>0</v>
      </c>
      <c r="L25" s="96">
        <f t="shared" si="6"/>
        <v>0</v>
      </c>
      <c r="M25" s="96">
        <f t="shared" si="6"/>
        <v>0</v>
      </c>
      <c r="N25" s="96">
        <f t="shared" si="6"/>
        <v>0</v>
      </c>
      <c r="O25" s="90"/>
      <c r="Q25" s="88">
        <v>13</v>
      </c>
      <c r="R25" s="103">
        <f t="shared" ca="1" si="3"/>
        <v>8.6164937065375753</v>
      </c>
      <c r="T25" s="88">
        <v>13</v>
      </c>
      <c r="U25" s="103">
        <f t="shared" ca="1" si="4"/>
        <v>8.638190913161484</v>
      </c>
    </row>
    <row r="26" spans="1:21">
      <c r="A26" s="106" t="s">
        <v>547</v>
      </c>
      <c r="B26" s="91">
        <f ca="1">IF(Setup!B$40=1, IF(ISBLANK(Gear!$B$3), 0, VLOOKUP(Gear!$B$3, INDIRECT(Gear!A3), MATCH(A26, StatHeader, 0), 0)), 0)</f>
        <v>0</v>
      </c>
      <c r="D26" s="88">
        <v>5</v>
      </c>
      <c r="E26" s="99">
        <f ca="1">IF(E19=1, (1-B6)*(1-B5)*(1-B4)*(B17)*(B21), 0)</f>
        <v>0</v>
      </c>
      <c r="F26" s="96">
        <f t="shared" ca="1" si="7"/>
        <v>0</v>
      </c>
      <c r="G26" s="96">
        <f t="shared" ca="1" si="6"/>
        <v>0</v>
      </c>
      <c r="H26" s="96">
        <f t="shared" ca="1" si="6"/>
        <v>0</v>
      </c>
      <c r="I26" s="96">
        <f t="shared" ca="1" si="6"/>
        <v>0</v>
      </c>
      <c r="J26" s="96">
        <f t="shared" ca="1" si="6"/>
        <v>0</v>
      </c>
      <c r="K26" s="96">
        <f t="shared" ca="1" si="6"/>
        <v>0</v>
      </c>
      <c r="L26" s="96">
        <f t="shared" si="6"/>
        <v>0</v>
      </c>
      <c r="M26" s="96">
        <f t="shared" si="6"/>
        <v>0</v>
      </c>
      <c r="N26" s="96">
        <f t="shared" si="6"/>
        <v>0</v>
      </c>
      <c r="O26" s="90"/>
      <c r="Q26" s="108">
        <v>14</v>
      </c>
      <c r="R26" s="103">
        <f t="shared" ca="1" si="3"/>
        <v>9.2518486296590421</v>
      </c>
      <c r="T26" s="108">
        <v>14</v>
      </c>
      <c r="U26" s="103">
        <f t="shared" ca="1" si="4"/>
        <v>9.2757026734806018</v>
      </c>
    </row>
    <row r="27" spans="1:21">
      <c r="A27" s="106" t="s">
        <v>548</v>
      </c>
      <c r="B27" s="91">
        <f ca="1">IF(Setup!B$40=1, IF(ISBLANK(Gear!$B$3), 0, VLOOKUP(Gear!$B$3, INDIRECT(Gear!A3), MATCH(A27, StatHeader, 0), 0)), 0)</f>
        <v>0</v>
      </c>
      <c r="D27" s="109">
        <v>6</v>
      </c>
      <c r="E27" s="99">
        <f ca="1">IF(E19=1, (1-B6)*(1-B5)*(1-B4)*(B17)*(B22), 0)</f>
        <v>0</v>
      </c>
      <c r="F27" s="96">
        <f t="shared" ca="1" si="7"/>
        <v>0</v>
      </c>
      <c r="G27" s="96">
        <f t="shared" ca="1" si="6"/>
        <v>0</v>
      </c>
      <c r="H27" s="96">
        <f t="shared" ca="1" si="6"/>
        <v>0</v>
      </c>
      <c r="I27" s="96">
        <f t="shared" ca="1" si="6"/>
        <v>0</v>
      </c>
      <c r="J27" s="96">
        <f t="shared" ca="1" si="6"/>
        <v>0</v>
      </c>
      <c r="K27" s="96">
        <f t="shared" ca="1" si="6"/>
        <v>0</v>
      </c>
      <c r="L27" s="96">
        <f t="shared" ca="1" si="6"/>
        <v>0</v>
      </c>
      <c r="M27" s="96">
        <f t="shared" si="6"/>
        <v>0</v>
      </c>
      <c r="N27" s="96">
        <f t="shared" si="6"/>
        <v>0</v>
      </c>
      <c r="O27" s="90"/>
      <c r="Q27" s="88">
        <v>15</v>
      </c>
      <c r="R27" s="103">
        <f t="shared" ca="1" si="3"/>
        <v>9.8872042987492001</v>
      </c>
      <c r="T27" s="88">
        <v>15</v>
      </c>
      <c r="U27" s="103">
        <f t="shared" ca="1" si="4"/>
        <v>9.9132192556832237</v>
      </c>
    </row>
    <row r="28" spans="1:21">
      <c r="A28" s="106" t="s">
        <v>451</v>
      </c>
      <c r="B28" s="91">
        <f ca="1">Data!B185</f>
        <v>0</v>
      </c>
      <c r="D28" s="88">
        <v>7</v>
      </c>
      <c r="E28" s="99">
        <f ca="1">IF(E19=1, (1-B6)*(1-B5)*(1-B4)*(B17)*(B23), 0)</f>
        <v>0</v>
      </c>
      <c r="F28" s="96">
        <f t="shared" ca="1" si="7"/>
        <v>0</v>
      </c>
      <c r="G28" s="96">
        <f t="shared" ca="1" si="6"/>
        <v>0</v>
      </c>
      <c r="H28" s="96">
        <f t="shared" ca="1" si="6"/>
        <v>0</v>
      </c>
      <c r="I28" s="96">
        <f t="shared" ca="1" si="6"/>
        <v>0</v>
      </c>
      <c r="J28" s="96">
        <f t="shared" ca="1" si="6"/>
        <v>0</v>
      </c>
      <c r="K28" s="96">
        <f t="shared" ca="1" si="6"/>
        <v>0</v>
      </c>
      <c r="L28" s="96">
        <f t="shared" ca="1" si="6"/>
        <v>0</v>
      </c>
      <c r="M28" s="96">
        <f t="shared" ca="1" si="6"/>
        <v>0</v>
      </c>
      <c r="N28" s="96">
        <f t="shared" si="6"/>
        <v>0</v>
      </c>
      <c r="O28" s="90"/>
      <c r="Q28" s="88">
        <v>16</v>
      </c>
      <c r="R28" s="103">
        <f t="shared" ca="1" si="3"/>
        <v>10.522559291057235</v>
      </c>
      <c r="T28" s="88">
        <v>16</v>
      </c>
      <c r="U28" s="103">
        <f t="shared" ca="1" si="4"/>
        <v>10.550733259368728</v>
      </c>
    </row>
    <row r="29" spans="1:21">
      <c r="A29" s="106" t="s">
        <v>452</v>
      </c>
      <c r="B29" s="107">
        <f ca="1">Data!B115</f>
        <v>0.95</v>
      </c>
      <c r="D29" s="88">
        <v>8</v>
      </c>
      <c r="E29" s="99">
        <f ca="1">IF(E19=1, (1-B6)*(1-B5)*(1-B4)*(B17)*(B24), 0)</f>
        <v>0</v>
      </c>
      <c r="F29" s="101">
        <f t="shared" ca="1" si="7"/>
        <v>0</v>
      </c>
      <c r="G29" s="102">
        <f t="shared" ca="1" si="6"/>
        <v>0</v>
      </c>
      <c r="H29" s="102">
        <f t="shared" ca="1" si="6"/>
        <v>0</v>
      </c>
      <c r="I29" s="102">
        <f t="shared" ca="1" si="6"/>
        <v>0</v>
      </c>
      <c r="J29" s="102">
        <f t="shared" ca="1" si="6"/>
        <v>0</v>
      </c>
      <c r="K29" s="102">
        <f t="shared" ca="1" si="6"/>
        <v>0</v>
      </c>
      <c r="L29" s="102">
        <f t="shared" ca="1" si="6"/>
        <v>0</v>
      </c>
      <c r="M29" s="102">
        <f t="shared" ca="1" si="6"/>
        <v>0</v>
      </c>
      <c r="N29" s="102">
        <f t="shared" ca="1" si="6"/>
        <v>0</v>
      </c>
      <c r="O29" s="90"/>
      <c r="Q29" s="88">
        <v>17</v>
      </c>
      <c r="R29" s="103">
        <f t="shared" ca="1" si="3"/>
        <v>11.157915007935467</v>
      </c>
      <c r="T29" s="88">
        <v>17</v>
      </c>
      <c r="U29" s="103">
        <f t="shared" ca="1" si="4"/>
        <v>11.188248630080563</v>
      </c>
    </row>
    <row r="30" spans="1:21">
      <c r="E30" s="91">
        <f ca="1">SUM(E21:E29)</f>
        <v>1</v>
      </c>
      <c r="O30" s="90"/>
      <c r="Q30" s="88">
        <v>18</v>
      </c>
      <c r="R30" s="103">
        <f t="shared" ca="1" si="3"/>
        <v>11.793270488832436</v>
      </c>
      <c r="T30" s="88">
        <v>18</v>
      </c>
      <c r="U30" s="103">
        <f t="shared" ca="1" si="4"/>
        <v>11.825763471764985</v>
      </c>
    </row>
    <row r="31" spans="1:21">
      <c r="E31" s="88" t="s">
        <v>154</v>
      </c>
      <c r="F31" s="104">
        <f t="shared" ref="F31:N31" ca="1" si="8">SUM(F21:F29)</f>
        <v>1</v>
      </c>
      <c r="G31" s="104">
        <f t="shared" ca="1" si="8"/>
        <v>0</v>
      </c>
      <c r="H31" s="104">
        <f t="shared" ca="1" si="8"/>
        <v>0</v>
      </c>
      <c r="I31" s="104">
        <f t="shared" ca="1" si="8"/>
        <v>0</v>
      </c>
      <c r="J31" s="104">
        <f t="shared" ca="1" si="8"/>
        <v>0</v>
      </c>
      <c r="K31" s="104">
        <f t="shared" ca="1" si="8"/>
        <v>0</v>
      </c>
      <c r="L31" s="104">
        <f t="shared" ca="1" si="8"/>
        <v>0</v>
      </c>
      <c r="M31" s="104">
        <f t="shared" ca="1" si="8"/>
        <v>0</v>
      </c>
      <c r="N31" s="104">
        <f t="shared" ca="1" si="8"/>
        <v>0</v>
      </c>
      <c r="O31" s="96">
        <f ca="1">SUM(F31:N31)</f>
        <v>1</v>
      </c>
      <c r="Q31" s="88">
        <v>19</v>
      </c>
      <c r="R31" s="103">
        <f t="shared" ca="1" si="3"/>
        <v>12.428625997837035</v>
      </c>
      <c r="T31" s="88">
        <v>19</v>
      </c>
      <c r="U31" s="103">
        <f t="shared" ca="1" si="4"/>
        <v>12.46327851500928</v>
      </c>
    </row>
    <row r="32" spans="1:21">
      <c r="E32" s="88" t="s">
        <v>155</v>
      </c>
      <c r="F32" s="105">
        <f ca="1">F20*F31+G20*G31+H20*H31+I20*I31+J31*J20+K31*K20+L31*L20+M31*M20+N31*N20</f>
        <v>0</v>
      </c>
      <c r="I32" s="90"/>
      <c r="J32" s="90"/>
      <c r="K32" s="96"/>
      <c r="O32" s="96"/>
      <c r="P32" s="110"/>
      <c r="Q32" s="88">
        <v>20</v>
      </c>
      <c r="R32" s="103">
        <f t="shared" ca="1" si="3"/>
        <v>13.063981483362427</v>
      </c>
      <c r="T32" s="88">
        <v>20</v>
      </c>
      <c r="U32" s="103">
        <f t="shared" ca="1" si="4"/>
        <v>13.100793456770624</v>
      </c>
    </row>
    <row r="33" spans="1:21">
      <c r="K33" s="96"/>
      <c r="O33" s="90"/>
      <c r="Q33" s="88">
        <v>21</v>
      </c>
      <c r="R33" s="103">
        <f t="shared" ca="1" si="3"/>
        <v>13.699336989807867</v>
      </c>
      <c r="T33" s="88">
        <v>21</v>
      </c>
      <c r="U33" s="103">
        <f t="shared" ca="1" si="4"/>
        <v>13.738308447888384</v>
      </c>
    </row>
    <row r="34" spans="1:21">
      <c r="Q34" s="88">
        <v>22</v>
      </c>
      <c r="R34" s="103">
        <f t="shared" ca="1" si="3"/>
        <v>14.33469248960721</v>
      </c>
      <c r="T34" s="88">
        <v>22</v>
      </c>
      <c r="U34" s="103">
        <f t="shared" ca="1" si="4"/>
        <v>14.375823419220275</v>
      </c>
    </row>
    <row r="35" spans="1:21">
      <c r="D35" s="90" t="s">
        <v>187</v>
      </c>
      <c r="E35" s="90"/>
      <c r="F35" s="96"/>
      <c r="G35" s="96"/>
      <c r="H35" s="96"/>
      <c r="I35" s="96"/>
      <c r="J35" s="96"/>
      <c r="K35" s="96"/>
      <c r="L35" s="96"/>
      <c r="M35" s="96"/>
      <c r="N35" s="96"/>
      <c r="Q35" s="88">
        <v>23</v>
      </c>
      <c r="R35" s="103">
        <f t="shared" ca="1" si="3"/>
        <v>14.970047990415635</v>
      </c>
      <c r="T35" s="88">
        <v>23</v>
      </c>
      <c r="U35" s="103">
        <f t="shared" ca="1" si="4"/>
        <v>15.013338398673962</v>
      </c>
    </row>
    <row r="36" spans="1:21">
      <c r="D36" s="90" t="s">
        <v>188</v>
      </c>
      <c r="E36" s="111">
        <v>0</v>
      </c>
      <c r="F36" s="90">
        <v>1</v>
      </c>
      <c r="G36" s="90">
        <v>2</v>
      </c>
      <c r="H36" s="100">
        <v>3</v>
      </c>
      <c r="I36" s="100">
        <v>4</v>
      </c>
      <c r="J36" s="100">
        <v>5</v>
      </c>
      <c r="K36" s="100">
        <v>6</v>
      </c>
      <c r="L36" s="100">
        <v>7</v>
      </c>
      <c r="M36" s="100">
        <v>8</v>
      </c>
      <c r="N36" s="88" t="s">
        <v>7</v>
      </c>
      <c r="Q36" s="88">
        <v>24</v>
      </c>
      <c r="R36" s="103">
        <f t="shared" ca="1" si="3"/>
        <v>15.605403490441137</v>
      </c>
      <c r="T36" s="88">
        <v>24</v>
      </c>
      <c r="U36" s="103">
        <f t="shared" ca="1" si="4"/>
        <v>15.650853374211398</v>
      </c>
    </row>
    <row r="37" spans="1:21">
      <c r="D37" s="90" t="s">
        <v>189</v>
      </c>
      <c r="E37" s="96">
        <f ca="1">F15*F31</f>
        <v>2.9940750000000026E-2</v>
      </c>
      <c r="F37" s="96">
        <f ca="1">F15*G31+G15*F31</f>
        <v>0.58122614999999989</v>
      </c>
      <c r="G37" s="96">
        <f ca="1">F15*H31+G15*G31+H15*F31</f>
        <v>0.23896394999999998</v>
      </c>
      <c r="H37" s="96">
        <f ca="1">F15*I31+G15*H31+H15*G31+I15*F31</f>
        <v>8.470865000000001E-2</v>
      </c>
      <c r="I37" s="96">
        <f ca="1">F15*J31+G15*I31+H15*H31+I15*G31+J15*F31</f>
        <v>6.5160499999999996E-2</v>
      </c>
      <c r="J37" s="96">
        <f ca="1">F15*K31+G15*J31+H15*I31+I15*H31+J15*G31+K15*F31</f>
        <v>0</v>
      </c>
      <c r="K37" s="96">
        <f ca="1">F15*L31+G15*K31+H15*J31+I15*I31+J15*H31+K15*G31+L15*F31</f>
        <v>0</v>
      </c>
      <c r="L37" s="110">
        <f ca="1">F15*M31+G15*L31+H15*K31+I15*J31+J15*I31+K15*H31+L15*G31+M15*F31</f>
        <v>0</v>
      </c>
      <c r="M37" s="96">
        <f ca="1">F15*N31+G15*M31+H15*L31+I15*K31+J15*J31+K15*I31+L15*H31+M15*G31+N15*F31+G15*N31+H15*M31+I15*L31+J15*K31+K15*J31+L15*I31+M15*H31+N15*G31+H15*N31+I15*M31+J15*L31+K15*K31+L15*J31+M15*I31+N15*H31+I15*N31+J15*M31+K15*L31+L15*K31+M15*J31+N15*I31+J15*N31+K15*M31+L15*L31+M15*K31+N15*J31+K15*N31+L15*M31+M15*L31+N15*K31+L15*N31+M15*M31+N15*L31+M15*N31+N15*M31+N15*N31</f>
        <v>0</v>
      </c>
      <c r="N37" s="96">
        <f ca="1">SUM(E37:M37)</f>
        <v>1</v>
      </c>
      <c r="Q37" s="88">
        <v>25</v>
      </c>
      <c r="R37" s="103">
        <f t="shared" ca="1" si="3"/>
        <v>16.240758991070997</v>
      </c>
      <c r="T37" s="88">
        <v>25</v>
      </c>
      <c r="U37" s="103">
        <f t="shared" ca="1" si="4"/>
        <v>16.288368351563793</v>
      </c>
    </row>
    <row r="38" spans="1:21">
      <c r="D38" s="100" t="s">
        <v>155</v>
      </c>
      <c r="E38" s="103">
        <f ca="1">E36*E37+F36*F37+G36*G37+H36*H37+I36*I37+J36*J37+K36*K37+L36*L37+M36*M37</f>
        <v>1.5739219999999998</v>
      </c>
      <c r="Q38" s="88">
        <v>26</v>
      </c>
      <c r="R38" s="103">
        <f t="shared" ca="1" si="3"/>
        <v>16.876114491511785</v>
      </c>
      <c r="T38" s="88">
        <v>26</v>
      </c>
      <c r="U38" s="103">
        <f t="shared" ca="1" si="4"/>
        <v>16.925883328166435</v>
      </c>
    </row>
    <row r="39" spans="1:21">
      <c r="D39" s="90"/>
      <c r="E39" s="96"/>
      <c r="F39" s="90"/>
      <c r="G39" s="90"/>
      <c r="H39" s="90"/>
      <c r="Q39" s="88">
        <v>27</v>
      </c>
      <c r="R39" s="103">
        <f t="shared" ca="1" si="3"/>
        <v>17.511469991987578</v>
      </c>
      <c r="T39" s="88">
        <v>27</v>
      </c>
      <c r="U39" s="103">
        <f t="shared" ca="1" si="4"/>
        <v>17.56339830508923</v>
      </c>
    </row>
    <row r="40" spans="1:21">
      <c r="D40" s="90"/>
      <c r="E40" s="90"/>
      <c r="F40" s="96"/>
      <c r="G40" s="96"/>
      <c r="H40" s="90"/>
      <c r="Q40" s="88">
        <v>28</v>
      </c>
      <c r="R40" s="103">
        <f t="shared" ca="1" si="3"/>
        <v>18.146825492437952</v>
      </c>
      <c r="T40" s="88">
        <v>28</v>
      </c>
      <c r="U40" s="103">
        <f t="shared" ca="1" si="4"/>
        <v>18.200913281862249</v>
      </c>
    </row>
    <row r="41" spans="1:21">
      <c r="A41" s="88" t="s">
        <v>156</v>
      </c>
      <c r="Q41" s="88">
        <v>29</v>
      </c>
      <c r="R41" s="103">
        <f t="shared" ca="1" si="3"/>
        <v>18.782180992905811</v>
      </c>
      <c r="T41" s="88">
        <v>29</v>
      </c>
      <c r="U41" s="103">
        <f t="shared" ca="1" si="4"/>
        <v>18.838428258702898</v>
      </c>
    </row>
    <row r="42" spans="1:21">
      <c r="Q42" s="88">
        <v>30</v>
      </c>
      <c r="R42" s="103">
        <f t="shared" ca="1" si="3"/>
        <v>19.417536493368235</v>
      </c>
      <c r="T42" s="88">
        <v>30</v>
      </c>
      <c r="U42" s="103">
        <f t="shared" ca="1" si="4"/>
        <v>19.475943235514965</v>
      </c>
    </row>
    <row r="43" spans="1:21">
      <c r="A43" s="88" t="s">
        <v>50</v>
      </c>
      <c r="B43" s="89">
        <f ca="1">Data!C114</f>
        <v>0.95</v>
      </c>
      <c r="D43" s="90" t="s">
        <v>185</v>
      </c>
      <c r="E43" s="90"/>
      <c r="F43" s="90"/>
      <c r="G43" s="90"/>
      <c r="H43" s="90"/>
      <c r="I43" s="90"/>
      <c r="Q43" s="88">
        <v>31</v>
      </c>
      <c r="R43" s="103">
        <f t="shared" ca="1" si="3"/>
        <v>20.052891993831842</v>
      </c>
      <c r="T43" s="88">
        <v>31</v>
      </c>
      <c r="U43" s="103">
        <f t="shared" ca="1" si="4"/>
        <v>20.113458212339484</v>
      </c>
    </row>
    <row r="44" spans="1:21">
      <c r="A44" s="88" t="s">
        <v>44</v>
      </c>
      <c r="B44" s="91">
        <f ca="1">Data!C182</f>
        <v>0.33000000000000007</v>
      </c>
      <c r="D44" s="88" t="s">
        <v>45</v>
      </c>
      <c r="E44" s="88" t="s">
        <v>46</v>
      </c>
      <c r="F44" s="92">
        <v>0</v>
      </c>
      <c r="G44" s="92">
        <v>1</v>
      </c>
      <c r="H44" s="92">
        <v>2</v>
      </c>
      <c r="I44" s="93">
        <v>3</v>
      </c>
      <c r="J44" s="93">
        <v>4</v>
      </c>
      <c r="K44" s="93">
        <v>5</v>
      </c>
      <c r="L44" s="93">
        <v>6</v>
      </c>
      <c r="M44" s="93">
        <v>7</v>
      </c>
      <c r="N44" s="93">
        <v>8</v>
      </c>
      <c r="Q44" s="88">
        <v>32</v>
      </c>
      <c r="R44" s="103">
        <f t="shared" ca="1" si="3"/>
        <v>20.688247494294643</v>
      </c>
      <c r="T44" s="88">
        <v>32</v>
      </c>
      <c r="U44" s="103">
        <f t="shared" ca="1" si="4"/>
        <v>20.750973189158298</v>
      </c>
    </row>
    <row r="45" spans="1:21">
      <c r="A45" s="88" t="s">
        <v>153</v>
      </c>
      <c r="B45" s="91">
        <f ca="1">Data!C183</f>
        <v>7.0000000000000007E-2</v>
      </c>
      <c r="D45" s="88">
        <v>0</v>
      </c>
      <c r="E45" s="95">
        <v>0</v>
      </c>
      <c r="F45" s="96">
        <f t="shared" ref="F45:N45" ca="1" si="9">IF($D45&gt;=F$44, POWER($B$43, F$44) * POWER((1-$B$43), $D45-F$44) * COMBIN($D45,F$44) * $E45, 0)</f>
        <v>0</v>
      </c>
      <c r="G45" s="96">
        <f t="shared" si="9"/>
        <v>0</v>
      </c>
      <c r="H45" s="96">
        <f t="shared" si="9"/>
        <v>0</v>
      </c>
      <c r="I45" s="96">
        <f t="shared" si="9"/>
        <v>0</v>
      </c>
      <c r="J45" s="96">
        <f t="shared" si="9"/>
        <v>0</v>
      </c>
      <c r="K45" s="96">
        <f t="shared" si="9"/>
        <v>0</v>
      </c>
      <c r="L45" s="96">
        <f t="shared" si="9"/>
        <v>0</v>
      </c>
      <c r="M45" s="96">
        <f t="shared" si="9"/>
        <v>0</v>
      </c>
      <c r="N45" s="96">
        <f t="shared" si="9"/>
        <v>0</v>
      </c>
      <c r="Q45" s="88">
        <v>33</v>
      </c>
      <c r="R45" s="103">
        <f t="shared" ca="1" si="3"/>
        <v>21.323602994757952</v>
      </c>
      <c r="T45" s="88">
        <v>33</v>
      </c>
      <c r="U45" s="103">
        <f t="shared" ca="1" si="4"/>
        <v>21.388488165979656</v>
      </c>
    </row>
    <row r="46" spans="1:21">
      <c r="A46" s="88" t="s">
        <v>378</v>
      </c>
      <c r="B46" s="91">
        <f ca="1">Data!C184</f>
        <v>0.08</v>
      </c>
      <c r="D46" s="88">
        <v>1</v>
      </c>
      <c r="E46" s="134">
        <f ca="1">(1-B46)*(1-B45)*(1-B44)*(1-B48)*(1-B47)*(1-B65)</f>
        <v>0.57325199999999998</v>
      </c>
      <c r="F46" s="96">
        <f ca="1">IF($D46&gt;=F$44, POWER($B$43, F$44) * POWER((1-$B$43), $D46-F$44) * COMBIN($D46,F$44) * $E46, 0) * (1 - B68*B69*(1-E59))</f>
        <v>2.8662600000000024E-2</v>
      </c>
      <c r="G46" s="96">
        <f ca="1">IF($D46&gt;=G$44, POWER($B$43, G$44) * POWER((1-$B$43), $D46-G$44) * COMBIN($D46,G$44) * $E46, 0) + IF($D46&gt;=F$44, POWER($B$43, F$44) * POWER((1-$B$43), $D46-F$44) * COMBIN($D46,F$44) * $E46, 0) * B68 * B69 * (1-E59)</f>
        <v>0.5445894</v>
      </c>
      <c r="H46" s="96">
        <f t="shared" ref="H46:N53" si="10">IF($D46&gt;=H$44, POWER($B$43, H$44) * POWER((1-$B$43), $D46-H$44) * COMBIN($D46,H$44) * $E46, 0)</f>
        <v>0</v>
      </c>
      <c r="I46" s="96">
        <f t="shared" si="10"/>
        <v>0</v>
      </c>
      <c r="J46" s="96">
        <f t="shared" si="10"/>
        <v>0</v>
      </c>
      <c r="K46" s="96">
        <f t="shared" si="10"/>
        <v>0</v>
      </c>
      <c r="L46" s="96">
        <f t="shared" si="10"/>
        <v>0</v>
      </c>
      <c r="M46" s="96">
        <f t="shared" si="10"/>
        <v>0</v>
      </c>
      <c r="N46" s="96">
        <f t="shared" si="10"/>
        <v>0</v>
      </c>
      <c r="Q46" s="88">
        <v>34</v>
      </c>
      <c r="R46" s="103">
        <f t="shared" ca="1" si="3"/>
        <v>21.958958495221101</v>
      </c>
      <c r="T46" s="88">
        <v>34</v>
      </c>
      <c r="U46" s="103">
        <f t="shared" ca="1" si="4"/>
        <v>22.026003142799919</v>
      </c>
    </row>
    <row r="47" spans="1:21">
      <c r="A47" s="88" t="s">
        <v>448</v>
      </c>
      <c r="B47" s="91">
        <v>0</v>
      </c>
      <c r="D47" s="88">
        <v>2</v>
      </c>
      <c r="E47" s="134">
        <f ca="1">(1-B46)*(1-B45)*(1-B47)*(B44) + (1-B46)*(1-B45)*(1-B44)*(1-B47)*(B48)*(B49) + (1-B46)*(1-B45)*(1-B44)*(1-B47)*(1-B48)*(B65)*(B66) + (1-B46)*(1-B45)*(1-B44)*(1-B48)*(1-B65)*(B47)</f>
        <v>0.28234800000000004</v>
      </c>
      <c r="F47" s="96">
        <f t="shared" ref="F47:G53" ca="1" si="11">IF($D47&gt;=F$44, POWER($B$43, F$44) * POWER((1-$B$43), $D47-F$44) * COMBIN($D47,F$44) * $E47, 0)</f>
        <v>7.0587000000000134E-4</v>
      </c>
      <c r="G47" s="96">
        <f t="shared" ca="1" si="11"/>
        <v>2.6823060000000027E-2</v>
      </c>
      <c r="H47" s="96">
        <f t="shared" ca="1" si="10"/>
        <v>0.25481907000000004</v>
      </c>
      <c r="I47" s="96">
        <f t="shared" si="10"/>
        <v>0</v>
      </c>
      <c r="J47" s="96">
        <f t="shared" si="10"/>
        <v>0</v>
      </c>
      <c r="K47" s="96">
        <f t="shared" si="10"/>
        <v>0</v>
      </c>
      <c r="L47" s="96">
        <f t="shared" si="10"/>
        <v>0</v>
      </c>
      <c r="M47" s="96">
        <f t="shared" si="10"/>
        <v>0</v>
      </c>
      <c r="N47" s="96">
        <f t="shared" si="10"/>
        <v>0</v>
      </c>
      <c r="Q47" s="88">
        <v>35</v>
      </c>
      <c r="R47" s="103">
        <f t="shared" ca="1" si="3"/>
        <v>22.594313995684288</v>
      </c>
      <c r="T47" s="88">
        <v>35</v>
      </c>
      <c r="U47" s="103">
        <f t="shared" ca="1" si="4"/>
        <v>22.663518119620662</v>
      </c>
    </row>
    <row r="48" spans="1:21">
      <c r="A48" s="88" t="s">
        <v>449</v>
      </c>
      <c r="B48" s="91">
        <f ca="1">IF(ISBLANK(Gear!$AB$3), 0, VLOOKUP(Gear!$AB$3, INDIRECT(Gear!AA3), MATCH("OAx", StatHeader, 0), 0))</f>
        <v>0</v>
      </c>
      <c r="D48" s="88">
        <v>3</v>
      </c>
      <c r="E48" s="134">
        <f ca="1">(1-B46)*(1-B47)*(B45) + (1-B46)*(1-B45)*(1-B44)*(1-B47)*(B48)*(B50) + (1-B46)*(1-B45)*(1-B44)*(1-B47)*(1-B48)*(B65)*(B67) + (1-B46)*(1-B45)*(B47)*(B44) + (1-B46)*(1-B45)*(1-B44)*(B47)*(B48)*(B49) + (1-B46)*(1-B45)*(1-B44)*(B47)*(B65)*(B66)</f>
        <v>6.4400000000000013E-2</v>
      </c>
      <c r="F48" s="96">
        <f t="shared" ca="1" si="11"/>
        <v>8.0500000000000229E-6</v>
      </c>
      <c r="G48" s="96">
        <f t="shared" ca="1" si="11"/>
        <v>4.5885000000000083E-4</v>
      </c>
      <c r="H48" s="96">
        <f t="shared" ca="1" si="10"/>
        <v>8.7181500000000096E-3</v>
      </c>
      <c r="I48" s="96">
        <f t="shared" ca="1" si="10"/>
        <v>5.5214950000000006E-2</v>
      </c>
      <c r="J48" s="96">
        <f t="shared" si="10"/>
        <v>0</v>
      </c>
      <c r="K48" s="96">
        <f t="shared" si="10"/>
        <v>0</v>
      </c>
      <c r="L48" s="96">
        <f t="shared" si="10"/>
        <v>0</v>
      </c>
      <c r="M48" s="96">
        <f t="shared" si="10"/>
        <v>0</v>
      </c>
      <c r="N48" s="96">
        <f t="shared" si="10"/>
        <v>0</v>
      </c>
      <c r="Q48" s="88">
        <v>36</v>
      </c>
      <c r="R48" s="103">
        <f t="shared" ca="1" si="3"/>
        <v>23.229669496147451</v>
      </c>
      <c r="T48" s="88">
        <v>36</v>
      </c>
      <c r="U48" s="103">
        <f t="shared" ca="1" si="4"/>
        <v>23.301033096441188</v>
      </c>
    </row>
    <row r="49" spans="1:21">
      <c r="A49" s="88" t="s">
        <v>438</v>
      </c>
      <c r="B49" s="91">
        <f ca="1">IF(ISBLANK(Gear!$AB$3), 0, VLOOKUP(Gear!$AB$3, INDIRECT(Gear!AA3), MATCH(A49, StatHeader, 0), 0))</f>
        <v>0</v>
      </c>
      <c r="D49" s="88">
        <v>4</v>
      </c>
      <c r="E49" s="134">
        <f ca="1">(B46)*(1-B47) + (1-B46)*(B47)*(B45) + (1-B46)*(1-B45)*(1-B44)*(1-B47)*(B48)*(B51) + (1-B46)*(1-B45)*(1-B44)*(B47)*(B65)*(B67) + (1-B46)*(1-B45)*(1-B44)*(B47)*(B48)*(B50)</f>
        <v>0.08</v>
      </c>
      <c r="F49" s="96">
        <f t="shared" ca="1" si="11"/>
        <v>5.0000000000000178E-7</v>
      </c>
      <c r="G49" s="96">
        <f t="shared" ca="1" si="11"/>
        <v>3.8000000000000104E-5</v>
      </c>
      <c r="H49" s="96">
        <f t="shared" ca="1" si="10"/>
        <v>1.0830000000000019E-3</v>
      </c>
      <c r="I49" s="96">
        <f t="shared" ca="1" si="10"/>
        <v>1.371800000000001E-2</v>
      </c>
      <c r="J49" s="96">
        <f t="shared" ca="1" si="10"/>
        <v>6.5160499999999996E-2</v>
      </c>
      <c r="K49" s="96">
        <f t="shared" si="10"/>
        <v>0</v>
      </c>
      <c r="L49" s="96">
        <f t="shared" si="10"/>
        <v>0</v>
      </c>
      <c r="M49" s="96">
        <f t="shared" si="10"/>
        <v>0</v>
      </c>
      <c r="N49" s="96">
        <f t="shared" si="10"/>
        <v>0</v>
      </c>
      <c r="Q49" s="88">
        <v>37</v>
      </c>
      <c r="R49" s="103">
        <f t="shared" ca="1" si="3"/>
        <v>23.865024996610629</v>
      </c>
      <c r="T49" s="88">
        <v>37</v>
      </c>
      <c r="U49" s="103">
        <f t="shared" ca="1" si="4"/>
        <v>23.93854807326181</v>
      </c>
    </row>
    <row r="50" spans="1:21">
      <c r="A50" s="88" t="s">
        <v>439</v>
      </c>
      <c r="B50" s="91">
        <f ca="1">IF(ISBLANK(Gear!$AB$3), 0, VLOOKUP(Gear!$AB$3, INDIRECT(Gear!AA3), MATCH(A50, StatHeader, 0), 0))</f>
        <v>0</v>
      </c>
      <c r="D50" s="88">
        <v>5</v>
      </c>
      <c r="E50" s="135">
        <f ca="1">(1-B46)*(1-B45)*(1-B44)*(1-B47)*(B48)*(B52) + (1-B46)*(1-B45)*(1-B44)*(B47)*(B48)*(B51) + (B46)*(B47)</f>
        <v>0</v>
      </c>
      <c r="F50" s="96">
        <f t="shared" ca="1" si="11"/>
        <v>0</v>
      </c>
      <c r="G50" s="96">
        <f t="shared" ca="1" si="11"/>
        <v>0</v>
      </c>
      <c r="H50" s="96">
        <f t="shared" ca="1" si="10"/>
        <v>0</v>
      </c>
      <c r="I50" s="96">
        <f t="shared" ca="1" si="10"/>
        <v>0</v>
      </c>
      <c r="J50" s="96">
        <f t="shared" ca="1" si="10"/>
        <v>0</v>
      </c>
      <c r="K50" s="96">
        <f t="shared" ca="1" si="10"/>
        <v>0</v>
      </c>
      <c r="L50" s="96">
        <f t="shared" si="10"/>
        <v>0</v>
      </c>
      <c r="M50" s="96">
        <f t="shared" si="10"/>
        <v>0</v>
      </c>
      <c r="N50" s="96">
        <f t="shared" si="10"/>
        <v>0</v>
      </c>
      <c r="Q50" s="88">
        <v>38</v>
      </c>
      <c r="R50" s="103">
        <f t="shared" ca="1" si="3"/>
        <v>24.500380497073802</v>
      </c>
      <c r="T50" s="88">
        <v>38</v>
      </c>
      <c r="U50" s="103">
        <f t="shared" ca="1" si="4"/>
        <v>24.576063050082389</v>
      </c>
    </row>
    <row r="51" spans="1:21">
      <c r="A51" s="88" t="s">
        <v>440</v>
      </c>
      <c r="B51" s="91">
        <f ca="1">IF(ISBLANK(Gear!$AB$3), 0, VLOOKUP(Gear!$AB$3, INDIRECT(Gear!AA3), MATCH(A51, StatHeader, 0), 0))</f>
        <v>0</v>
      </c>
      <c r="D51" s="90">
        <v>6</v>
      </c>
      <c r="E51" s="135">
        <f ca="1">(1-B46)*(1-B45)*(1-B44)*(1-B47)*(B48)*(B53) + (1-B46)*(1-B45)*(1-B44)*(B47)*(B48)*(B52)</f>
        <v>0</v>
      </c>
      <c r="F51" s="96">
        <f t="shared" ca="1" si="11"/>
        <v>0</v>
      </c>
      <c r="G51" s="96">
        <f t="shared" ca="1" si="11"/>
        <v>0</v>
      </c>
      <c r="H51" s="96">
        <f t="shared" ca="1" si="10"/>
        <v>0</v>
      </c>
      <c r="I51" s="96">
        <f t="shared" ca="1" si="10"/>
        <v>0</v>
      </c>
      <c r="J51" s="96">
        <f t="shared" ca="1" si="10"/>
        <v>0</v>
      </c>
      <c r="K51" s="96">
        <f t="shared" ca="1" si="10"/>
        <v>0</v>
      </c>
      <c r="L51" s="96">
        <f t="shared" ca="1" si="10"/>
        <v>0</v>
      </c>
      <c r="M51" s="96">
        <f t="shared" si="10"/>
        <v>0</v>
      </c>
      <c r="N51" s="96">
        <f t="shared" si="10"/>
        <v>0</v>
      </c>
      <c r="Q51" s="88">
        <v>39</v>
      </c>
      <c r="R51" s="103">
        <f t="shared" ca="1" si="3"/>
        <v>25.135735997536976</v>
      </c>
      <c r="T51" s="88">
        <v>39</v>
      </c>
      <c r="U51" s="103">
        <f t="shared" ca="1" si="4"/>
        <v>25.21357802690299</v>
      </c>
    </row>
    <row r="52" spans="1:21">
      <c r="A52" s="88" t="s">
        <v>441</v>
      </c>
      <c r="B52" s="91">
        <f ca="1">IF(ISBLANK(Gear!$AB$3), 0, VLOOKUP(Gear!$AB$3, INDIRECT(Gear!AA3), MATCH(A52, StatHeader, 0), 0))</f>
        <v>0</v>
      </c>
      <c r="D52" s="100">
        <v>7</v>
      </c>
      <c r="E52" s="134">
        <f ca="1">(1-B46)*(1-B45)*(1-B44)*(1-B47)*(B48)*(B54) + (1-B46)*(1-B45)*(1-B44)*(B47)*(B48)*(B53)</f>
        <v>0</v>
      </c>
      <c r="F52" s="96">
        <f t="shared" ca="1" si="11"/>
        <v>0</v>
      </c>
      <c r="G52" s="96">
        <f t="shared" ca="1" si="11"/>
        <v>0</v>
      </c>
      <c r="H52" s="96">
        <f t="shared" ca="1" si="10"/>
        <v>0</v>
      </c>
      <c r="I52" s="96">
        <f t="shared" ca="1" si="10"/>
        <v>0</v>
      </c>
      <c r="J52" s="96">
        <f t="shared" ca="1" si="10"/>
        <v>0</v>
      </c>
      <c r="K52" s="96">
        <f t="shared" ca="1" si="10"/>
        <v>0</v>
      </c>
      <c r="L52" s="96">
        <f t="shared" ca="1" si="10"/>
        <v>0</v>
      </c>
      <c r="M52" s="96">
        <f t="shared" ca="1" si="10"/>
        <v>0</v>
      </c>
      <c r="N52" s="96">
        <f t="shared" si="10"/>
        <v>0</v>
      </c>
      <c r="O52" s="90"/>
      <c r="P52" s="90"/>
      <c r="Q52" s="88">
        <v>40</v>
      </c>
      <c r="R52" s="103">
        <f t="shared" ca="1" si="3"/>
        <v>25.77109149800015</v>
      </c>
      <c r="T52" s="88">
        <v>40</v>
      </c>
      <c r="U52" s="103">
        <f t="shared" ca="1" si="4"/>
        <v>25.85109300372358</v>
      </c>
    </row>
    <row r="53" spans="1:21">
      <c r="A53" s="88" t="s">
        <v>442</v>
      </c>
      <c r="B53" s="91">
        <f ca="1">IF(ISBLANK(Gear!$AB$3), 0, VLOOKUP(Gear!$AB$3, INDIRECT(Gear!AA3), MATCH(A53, StatHeader, 0), 0))</f>
        <v>0</v>
      </c>
      <c r="D53" s="100">
        <v>8</v>
      </c>
      <c r="E53" s="134">
        <f ca="1">(1-B46)*(1-B45)*(1-B44)*(B48)*(B55) + (1-B46)*(1-B45)*(1-B44)*(B47)*(B48)*(B54)</f>
        <v>0</v>
      </c>
      <c r="F53" s="101">
        <f t="shared" ca="1" si="11"/>
        <v>0</v>
      </c>
      <c r="G53" s="102">
        <f t="shared" ca="1" si="11"/>
        <v>0</v>
      </c>
      <c r="H53" s="102">
        <f t="shared" ca="1" si="10"/>
        <v>0</v>
      </c>
      <c r="I53" s="102">
        <f t="shared" ca="1" si="10"/>
        <v>0</v>
      </c>
      <c r="J53" s="102">
        <f t="shared" ca="1" si="10"/>
        <v>0</v>
      </c>
      <c r="K53" s="102">
        <f t="shared" ca="1" si="10"/>
        <v>0</v>
      </c>
      <c r="L53" s="102">
        <f t="shared" ca="1" si="10"/>
        <v>0</v>
      </c>
      <c r="M53" s="102">
        <f t="shared" ca="1" si="10"/>
        <v>0</v>
      </c>
      <c r="N53" s="102">
        <f t="shared" ca="1" si="10"/>
        <v>0</v>
      </c>
      <c r="O53" s="90"/>
      <c r="P53" s="90"/>
      <c r="Q53" s="88">
        <v>41</v>
      </c>
      <c r="R53" s="103">
        <f t="shared" ca="1" si="3"/>
        <v>26.406446998463323</v>
      </c>
      <c r="T53" s="88">
        <v>41</v>
      </c>
      <c r="U53" s="103">
        <f t="shared" ca="1" si="4"/>
        <v>26.488607980544177</v>
      </c>
    </row>
    <row r="54" spans="1:21">
      <c r="A54" s="88" t="s">
        <v>443</v>
      </c>
      <c r="B54" s="91">
        <f ca="1">IF(ISBLANK(Gear!$AB$3), 0, VLOOKUP(Gear!$AB$3, INDIRECT(Gear!AA3), MATCH(A54, StatHeader, 0), 0))</f>
        <v>0</v>
      </c>
      <c r="E54" s="91">
        <f ca="1">SUM(E45:E53)</f>
        <v>1</v>
      </c>
      <c r="O54" s="96"/>
      <c r="P54" s="96"/>
      <c r="Q54" s="88">
        <v>42</v>
      </c>
      <c r="R54" s="103">
        <f t="shared" ca="1" si="3"/>
        <v>27.041802498926497</v>
      </c>
      <c r="T54" s="88">
        <v>42</v>
      </c>
      <c r="U54" s="103">
        <f t="shared" ca="1" si="4"/>
        <v>27.126122957364764</v>
      </c>
    </row>
    <row r="55" spans="1:21">
      <c r="A55" s="88" t="s">
        <v>444</v>
      </c>
      <c r="B55" s="91">
        <f ca="1">IF(ISBLANK(Gear!$AB$3), 0, VLOOKUP(Gear!$AB$3, INDIRECT(Gear!AA3), MATCH(A55, StatHeader, 0), 0))</f>
        <v>0</v>
      </c>
      <c r="E55" s="88" t="s">
        <v>154</v>
      </c>
      <c r="F55" s="104">
        <f t="shared" ref="F55:N55" ca="1" si="12">SUM(F45:F53)</f>
        <v>2.9377020000000025E-2</v>
      </c>
      <c r="G55" s="104">
        <f t="shared" ca="1" si="12"/>
        <v>0.57190931</v>
      </c>
      <c r="H55" s="104">
        <f t="shared" ca="1" si="12"/>
        <v>0.26462022000000007</v>
      </c>
      <c r="I55" s="104">
        <f t="shared" ca="1" si="12"/>
        <v>6.8932950000000021E-2</v>
      </c>
      <c r="J55" s="104">
        <f t="shared" ca="1" si="12"/>
        <v>6.5160499999999996E-2</v>
      </c>
      <c r="K55" s="104">
        <f t="shared" ca="1" si="12"/>
        <v>0</v>
      </c>
      <c r="L55" s="104">
        <f t="shared" ca="1" si="12"/>
        <v>0</v>
      </c>
      <c r="M55" s="104">
        <f t="shared" ca="1" si="12"/>
        <v>0</v>
      </c>
      <c r="N55" s="104">
        <f t="shared" ca="1" si="12"/>
        <v>0</v>
      </c>
      <c r="O55" s="96">
        <f ca="1">SUM(F55:N55)</f>
        <v>1</v>
      </c>
      <c r="P55" s="90"/>
      <c r="Q55" s="88">
        <v>43</v>
      </c>
      <c r="R55" s="103">
        <f t="shared" ca="1" si="3"/>
        <v>27.677157999389671</v>
      </c>
      <c r="T55" s="88">
        <v>43</v>
      </c>
      <c r="U55" s="103">
        <f t="shared" ca="1" si="4"/>
        <v>27.763637934185361</v>
      </c>
    </row>
    <row r="56" spans="1:21">
      <c r="A56" s="88" t="s">
        <v>634</v>
      </c>
      <c r="B56" s="159">
        <f ca="1">Data!C174</f>
        <v>0.2</v>
      </c>
      <c r="E56" s="96" t="s">
        <v>155</v>
      </c>
      <c r="F56" s="105">
        <f ca="1">F44*F55+G44*G55+H44*H55+I44*I55+J55*J44+K55*K44+L55*L44+M55*M44+N55*N44</f>
        <v>1.5685906000000003</v>
      </c>
      <c r="G56" s="96"/>
      <c r="H56" s="96"/>
      <c r="I56" s="96"/>
      <c r="O56" s="90"/>
      <c r="P56" s="90"/>
      <c r="Q56" s="88">
        <v>44</v>
      </c>
      <c r="R56" s="103">
        <f t="shared" ca="1" si="3"/>
        <v>28.312513499852841</v>
      </c>
      <c r="T56" s="88">
        <v>44</v>
      </c>
      <c r="U56" s="103">
        <f t="shared" ca="1" si="4"/>
        <v>28.401152911005955</v>
      </c>
    </row>
    <row r="57" spans="1:21">
      <c r="A57" s="88" t="s">
        <v>450</v>
      </c>
      <c r="B57" s="91">
        <f ca="1">IF(AND(Setup!$C$35="Axe", Data!$H$23&gt;0), IF(ISBLANK(Gear!$AB$4), 0, VLOOKUP(Gear!$AB$4, INDIRECT(Gear!AA4), MATCH("OAx", StatHeader, 0), 0)), 0)</f>
        <v>0</v>
      </c>
      <c r="Q57" s="88">
        <v>45</v>
      </c>
      <c r="R57" s="103">
        <f t="shared" ca="1" si="3"/>
        <v>28.947869000316018</v>
      </c>
      <c r="T57" s="88">
        <v>45</v>
      </c>
      <c r="U57" s="103">
        <f t="shared" ca="1" si="4"/>
        <v>29.038667887826552</v>
      </c>
    </row>
    <row r="58" spans="1:21">
      <c r="A58" s="88" t="s">
        <v>438</v>
      </c>
      <c r="B58" s="91">
        <f ca="1">IF(AND(Setup!$C$35="Axe", Data!$H$23&gt;0), IF(ISBLANK(Gear!$AB$4), 0, VLOOKUP(Gear!$AB$4, INDIRECT(Gear!AA4), MATCH(A58, StatHeader, 0), 0)), 0)</f>
        <v>0</v>
      </c>
      <c r="Q58" s="88">
        <v>46</v>
      </c>
      <c r="R58" s="103">
        <f t="shared" ca="1" si="3"/>
        <v>29.583224500779188</v>
      </c>
      <c r="T58" s="88">
        <v>46</v>
      </c>
      <c r="U58" s="103">
        <f t="shared" ca="1" si="4"/>
        <v>29.676182864647149</v>
      </c>
    </row>
    <row r="59" spans="1:21">
      <c r="A59" s="88" t="s">
        <v>439</v>
      </c>
      <c r="B59" s="91">
        <f ca="1">IF(AND(Setup!$C$35="Axe", Data!$H$23&gt;0), IF(ISBLANK(Gear!$AB$4), 0, VLOOKUP(Gear!$AB$4, INDIRECT(Gear!AA4), MATCH(A59, StatHeader, 0), 0)), 0)</f>
        <v>0</v>
      </c>
      <c r="D59" s="90" t="s">
        <v>186</v>
      </c>
      <c r="E59" s="90">
        <f ca="1">IF(Data!H23&gt;0, 1, 0)</f>
        <v>0</v>
      </c>
      <c r="F59" s="90"/>
      <c r="G59" s="90"/>
      <c r="H59" s="90"/>
      <c r="I59" s="90"/>
      <c r="J59" s="90"/>
      <c r="Q59" s="88">
        <v>47</v>
      </c>
      <c r="R59" s="103">
        <f t="shared" ca="1" si="3"/>
        <v>30.218580001242362</v>
      </c>
      <c r="T59" s="88">
        <v>47</v>
      </c>
      <c r="U59" s="103">
        <f t="shared" ca="1" si="4"/>
        <v>30.313697841467743</v>
      </c>
    </row>
    <row r="60" spans="1:21">
      <c r="A60" s="88" t="s">
        <v>440</v>
      </c>
      <c r="B60" s="91">
        <f ca="1">IF(AND(Setup!$C$35="Axe", Data!$H$23&gt;0), IF(ISBLANK(Gear!$AB$4), 0, VLOOKUP(Gear!$AB$4, INDIRECT(Gear!AA4), MATCH(A60, StatHeader, 0), 0)), 0)</f>
        <v>0</v>
      </c>
      <c r="D60" s="88" t="s">
        <v>45</v>
      </c>
      <c r="E60" s="88" t="s">
        <v>46</v>
      </c>
      <c r="F60" s="92">
        <v>0</v>
      </c>
      <c r="G60" s="92">
        <v>1</v>
      </c>
      <c r="H60" s="92">
        <v>2</v>
      </c>
      <c r="I60" s="93">
        <v>3</v>
      </c>
      <c r="J60" s="93">
        <v>4</v>
      </c>
      <c r="K60" s="93">
        <v>5</v>
      </c>
      <c r="L60" s="93">
        <v>6</v>
      </c>
      <c r="M60" s="93">
        <v>7</v>
      </c>
      <c r="N60" s="93">
        <v>8</v>
      </c>
      <c r="O60" s="90"/>
      <c r="Q60" s="88">
        <v>48</v>
      </c>
      <c r="R60" s="103">
        <f t="shared" ca="1" si="3"/>
        <v>30.853935501705536</v>
      </c>
      <c r="T60" s="88">
        <v>48</v>
      </c>
      <c r="U60" s="103">
        <f t="shared" ca="1" si="4"/>
        <v>30.951212818288337</v>
      </c>
    </row>
    <row r="61" spans="1:21">
      <c r="A61" s="88" t="s">
        <v>441</v>
      </c>
      <c r="B61" s="91">
        <f ca="1">IF(AND(Setup!$C$35="Axe", Data!$H$23&gt;0), IF(ISBLANK(Gear!$AB$4), 0, VLOOKUP(Gear!$AB$4, INDIRECT(Gear!AA4), MATCH(A61, StatHeader, 0), 0)), 0)</f>
        <v>0</v>
      </c>
      <c r="D61" s="88">
        <v>0</v>
      </c>
      <c r="E61" s="95">
        <f ca="1">IF(E59=0, 100%, 0)</f>
        <v>1</v>
      </c>
      <c r="F61" s="96">
        <f ca="1">IF($D61&gt;=F$60, POWER($B$56, F$60) * POWER((1-$B$56), $D61-F$60) * COMBIN($D61,F$60) * $E61, 0)</f>
        <v>1</v>
      </c>
      <c r="G61" s="96">
        <f t="shared" ref="G61:N69" si="13">IF($D61&gt;=G$60, POWER($B$56, G$60) * POWER((1-$B$56), $D61-G$60) * COMBIN($D61,G$60) * $E61, 0)</f>
        <v>0</v>
      </c>
      <c r="H61" s="96">
        <f t="shared" si="13"/>
        <v>0</v>
      </c>
      <c r="I61" s="96">
        <f t="shared" si="13"/>
        <v>0</v>
      </c>
      <c r="J61" s="96">
        <f t="shared" si="13"/>
        <v>0</v>
      </c>
      <c r="K61" s="96">
        <f t="shared" si="13"/>
        <v>0</v>
      </c>
      <c r="L61" s="96">
        <f t="shared" si="13"/>
        <v>0</v>
      </c>
      <c r="M61" s="96">
        <f t="shared" si="13"/>
        <v>0</v>
      </c>
      <c r="N61" s="96">
        <f t="shared" si="13"/>
        <v>0</v>
      </c>
      <c r="O61" s="90"/>
      <c r="Q61" s="88">
        <v>49</v>
      </c>
      <c r="R61" s="103">
        <f t="shared" ca="1" si="3"/>
        <v>31.489291002168709</v>
      </c>
      <c r="T61" s="88">
        <v>49</v>
      </c>
      <c r="U61" s="103">
        <f t="shared" ca="1" si="4"/>
        <v>31.58872779510893</v>
      </c>
    </row>
    <row r="62" spans="1:21">
      <c r="A62" s="88" t="s">
        <v>442</v>
      </c>
      <c r="B62" s="91">
        <f ca="1">IF(AND(Setup!$C$35="Axe", Data!$H$23&gt;0), IF(ISBLANK(Gear!$AB$4), 0, VLOOKUP(Gear!$AB$4, INDIRECT(Gear!AA4), MATCH(A62, StatHeader, 0), 0)), 0)</f>
        <v>0</v>
      </c>
      <c r="D62" s="88">
        <v>1</v>
      </c>
      <c r="E62" s="98">
        <f ca="1">IF(E59=1, (1-B46)*(1-B45)*(1-B44)*(1-B57), 0)</f>
        <v>0</v>
      </c>
      <c r="F62" s="96">
        <f t="shared" ref="F62:F69" ca="1" si="14">IF($D62&gt;=F$60, POWER($B$56, F$60) * POWER((1-$B$56), $D62-F$60) * COMBIN($D62,F$60) * $E62, 0)</f>
        <v>0</v>
      </c>
      <c r="G62" s="96">
        <f t="shared" ca="1" si="13"/>
        <v>0</v>
      </c>
      <c r="H62" s="96">
        <f t="shared" si="13"/>
        <v>0</v>
      </c>
      <c r="I62" s="96">
        <f t="shared" si="13"/>
        <v>0</v>
      </c>
      <c r="J62" s="96">
        <f t="shared" si="13"/>
        <v>0</v>
      </c>
      <c r="K62" s="96">
        <f t="shared" si="13"/>
        <v>0</v>
      </c>
      <c r="L62" s="96">
        <f t="shared" si="13"/>
        <v>0</v>
      </c>
      <c r="M62" s="96">
        <f t="shared" si="13"/>
        <v>0</v>
      </c>
      <c r="N62" s="96">
        <f t="shared" si="13"/>
        <v>0</v>
      </c>
      <c r="O62" s="90"/>
      <c r="Q62" s="88">
        <v>50</v>
      </c>
      <c r="R62" s="103">
        <f t="shared" ca="1" si="3"/>
        <v>32.124646502631883</v>
      </c>
      <c r="T62" s="88">
        <v>50</v>
      </c>
      <c r="U62" s="103">
        <f t="shared" ca="1" si="4"/>
        <v>32.226242771929527</v>
      </c>
    </row>
    <row r="63" spans="1:21">
      <c r="A63" s="88" t="s">
        <v>443</v>
      </c>
      <c r="B63" s="91">
        <f ca="1">IF(AND(Setup!$C$35="Axe", Data!$H$23&gt;0), IF(ISBLANK(Gear!$AB$4), 0, VLOOKUP(Gear!$AB$4, INDIRECT(Gear!AA4), MATCH(A63, StatHeader, 0), 0)), 0)</f>
        <v>0</v>
      </c>
      <c r="D63" s="88">
        <v>2</v>
      </c>
      <c r="E63" s="98">
        <f ca="1">IF(E59=1, (1-B46)*(1-B45)*(1-B44)*(B57)*(B58) + (1-B46)*(1-B45)*B44, 0)</f>
        <v>0</v>
      </c>
      <c r="F63" s="96">
        <f t="shared" ca="1" si="14"/>
        <v>0</v>
      </c>
      <c r="G63" s="96">
        <f t="shared" ca="1" si="13"/>
        <v>0</v>
      </c>
      <c r="H63" s="96">
        <f t="shared" ca="1" si="13"/>
        <v>0</v>
      </c>
      <c r="I63" s="96">
        <f t="shared" si="13"/>
        <v>0</v>
      </c>
      <c r="J63" s="96">
        <f t="shared" si="13"/>
        <v>0</v>
      </c>
      <c r="K63" s="96">
        <f t="shared" si="13"/>
        <v>0</v>
      </c>
      <c r="L63" s="96">
        <f t="shared" si="13"/>
        <v>0</v>
      </c>
      <c r="M63" s="96">
        <f t="shared" si="13"/>
        <v>0</v>
      </c>
      <c r="N63" s="96">
        <f t="shared" si="13"/>
        <v>0</v>
      </c>
      <c r="O63" s="90"/>
      <c r="Q63" s="88">
        <v>51</v>
      </c>
      <c r="R63" s="103">
        <f t="shared" ca="1" si="3"/>
        <v>32.76000200309506</v>
      </c>
      <c r="T63" s="88">
        <v>51</v>
      </c>
      <c r="U63" s="103">
        <f t="shared" ca="1" si="4"/>
        <v>32.863757748750118</v>
      </c>
    </row>
    <row r="64" spans="1:21">
      <c r="A64" s="88" t="s">
        <v>444</v>
      </c>
      <c r="B64" s="91">
        <f ca="1">IF(AND(Setup!$C$35="Axe", Data!$H$23&gt;0), IF(ISBLANK(Gear!$AB$4), 0, VLOOKUP(Gear!$AB$4, INDIRECT(Gear!AA4), MATCH(A64, StatHeader, 0), 0)), 0)</f>
        <v>0</v>
      </c>
      <c r="D64" s="88">
        <v>3</v>
      </c>
      <c r="E64" s="98">
        <f ca="1">IF(E59=1, (1-B46)*(1-B45)*(1-B44)*(B57)*(B59) + (1-B46)*(B45), 0)</f>
        <v>0</v>
      </c>
      <c r="F64" s="96">
        <f t="shared" ca="1" si="14"/>
        <v>0</v>
      </c>
      <c r="G64" s="96">
        <f t="shared" ca="1" si="13"/>
        <v>0</v>
      </c>
      <c r="H64" s="96">
        <f t="shared" ca="1" si="13"/>
        <v>0</v>
      </c>
      <c r="I64" s="96">
        <f t="shared" ca="1" si="13"/>
        <v>0</v>
      </c>
      <c r="J64" s="96">
        <f t="shared" si="13"/>
        <v>0</v>
      </c>
      <c r="K64" s="96">
        <f t="shared" si="13"/>
        <v>0</v>
      </c>
      <c r="L64" s="96">
        <f t="shared" si="13"/>
        <v>0</v>
      </c>
      <c r="M64" s="96">
        <f t="shared" si="13"/>
        <v>0</v>
      </c>
      <c r="N64" s="96">
        <f t="shared" si="13"/>
        <v>0</v>
      </c>
      <c r="O64" s="90"/>
      <c r="Q64" s="88">
        <v>52</v>
      </c>
      <c r="R64" s="103">
        <f t="shared" ca="1" si="3"/>
        <v>33.39535750355823</v>
      </c>
      <c r="T64" s="88">
        <v>52</v>
      </c>
      <c r="U64" s="103">
        <f t="shared" ca="1" si="4"/>
        <v>33.501272725570708</v>
      </c>
    </row>
    <row r="65" spans="1:21">
      <c r="A65" s="106" t="s">
        <v>546</v>
      </c>
      <c r="B65" s="91">
        <f ca="1">IF(Setup!C$40=1, IF(ISBLANK(Gear!$AB$3), 0, VLOOKUP(Gear!$AB$3, INDIRECT(Gear!AA3), MATCH(A65, StatHeader, 0), 0)), 0)</f>
        <v>0</v>
      </c>
      <c r="D65" s="88">
        <v>4</v>
      </c>
      <c r="E65" s="98">
        <f ca="1">IF(E59=1, (1-B46)*(1-B45)*(1-B44)*(B57)*(B60) + (B46), 0)</f>
        <v>0</v>
      </c>
      <c r="F65" s="96">
        <f t="shared" ca="1" si="14"/>
        <v>0</v>
      </c>
      <c r="G65" s="96">
        <f t="shared" ca="1" si="13"/>
        <v>0</v>
      </c>
      <c r="H65" s="96">
        <f t="shared" ca="1" si="13"/>
        <v>0</v>
      </c>
      <c r="I65" s="96">
        <f t="shared" ca="1" si="13"/>
        <v>0</v>
      </c>
      <c r="J65" s="96">
        <f t="shared" ca="1" si="13"/>
        <v>0</v>
      </c>
      <c r="K65" s="96">
        <f t="shared" si="13"/>
        <v>0</v>
      </c>
      <c r="L65" s="96">
        <f t="shared" si="13"/>
        <v>0</v>
      </c>
      <c r="M65" s="96">
        <f t="shared" si="13"/>
        <v>0</v>
      </c>
      <c r="N65" s="96">
        <f t="shared" si="13"/>
        <v>0</v>
      </c>
      <c r="O65" s="90"/>
      <c r="Q65" s="88">
        <v>53</v>
      </c>
      <c r="R65" s="103">
        <f t="shared" ca="1" si="3"/>
        <v>34.030713004021408</v>
      </c>
      <c r="T65" s="88">
        <v>53</v>
      </c>
      <c r="U65" s="103">
        <f t="shared" ca="1" si="4"/>
        <v>34.138787702391305</v>
      </c>
    </row>
    <row r="66" spans="1:21">
      <c r="A66" s="106" t="s">
        <v>547</v>
      </c>
      <c r="B66" s="91">
        <f ca="1">IF(Setup!C$40=1, IF(ISBLANK(Gear!$AB$3), 0, VLOOKUP(Gear!$AB$3, INDIRECT(Gear!AA3), MATCH(A66, StatHeader, 0), 0)), 0)</f>
        <v>0</v>
      </c>
      <c r="D66" s="88">
        <v>5</v>
      </c>
      <c r="E66" s="99">
        <f ca="1">IF(E59=1, (1-B46)*(1-B45)*(1-B44)*(B57)*(B61), 0)</f>
        <v>0</v>
      </c>
      <c r="F66" s="96">
        <f t="shared" ca="1" si="14"/>
        <v>0</v>
      </c>
      <c r="G66" s="96">
        <f t="shared" ca="1" si="13"/>
        <v>0</v>
      </c>
      <c r="H66" s="96">
        <f t="shared" ca="1" si="13"/>
        <v>0</v>
      </c>
      <c r="I66" s="96">
        <f t="shared" ca="1" si="13"/>
        <v>0</v>
      </c>
      <c r="J66" s="96">
        <f t="shared" ca="1" si="13"/>
        <v>0</v>
      </c>
      <c r="K66" s="96">
        <f t="shared" ca="1" si="13"/>
        <v>0</v>
      </c>
      <c r="L66" s="96">
        <f t="shared" si="13"/>
        <v>0</v>
      </c>
      <c r="M66" s="96">
        <f t="shared" si="13"/>
        <v>0</v>
      </c>
      <c r="N66" s="96">
        <f t="shared" si="13"/>
        <v>0</v>
      </c>
      <c r="O66" s="90"/>
      <c r="Q66" s="88">
        <v>54</v>
      </c>
      <c r="R66" s="103">
        <f t="shared" ca="1" si="3"/>
        <v>34.666068504484578</v>
      </c>
      <c r="T66" s="88">
        <v>54</v>
      </c>
      <c r="U66" s="103">
        <f t="shared" ca="1" si="4"/>
        <v>34.776302679211902</v>
      </c>
    </row>
    <row r="67" spans="1:21">
      <c r="A67" s="106" t="s">
        <v>548</v>
      </c>
      <c r="B67" s="91">
        <f ca="1">IF(Setup!C$40=1, IF(ISBLANK(Gear!$AB$3), 0, VLOOKUP(Gear!$AB$3, INDIRECT(Gear!AA3), MATCH(A67, StatHeader, 0), 0)), 0)</f>
        <v>0</v>
      </c>
      <c r="D67" s="109">
        <v>6</v>
      </c>
      <c r="E67" s="99">
        <f ca="1">IF(E59=1, (1-B46)*(1-B45)*(1-B44)*(B57)*(B62), 0)</f>
        <v>0</v>
      </c>
      <c r="F67" s="96">
        <f t="shared" ca="1" si="14"/>
        <v>0</v>
      </c>
      <c r="G67" s="96">
        <f t="shared" ca="1" si="13"/>
        <v>0</v>
      </c>
      <c r="H67" s="96">
        <f t="shared" ca="1" si="13"/>
        <v>0</v>
      </c>
      <c r="I67" s="96">
        <f t="shared" ca="1" si="13"/>
        <v>0</v>
      </c>
      <c r="J67" s="96">
        <f t="shared" ca="1" si="13"/>
        <v>0</v>
      </c>
      <c r="K67" s="96">
        <f t="shared" ca="1" si="13"/>
        <v>0</v>
      </c>
      <c r="L67" s="96">
        <f t="shared" ca="1" si="13"/>
        <v>0</v>
      </c>
      <c r="M67" s="96">
        <f t="shared" si="13"/>
        <v>0</v>
      </c>
      <c r="N67" s="96">
        <f t="shared" si="13"/>
        <v>0</v>
      </c>
      <c r="O67" s="90"/>
      <c r="Q67" s="88">
        <v>55</v>
      </c>
      <c r="R67" s="103">
        <f t="shared" ca="1" si="3"/>
        <v>35.301424004947748</v>
      </c>
      <c r="T67" s="88">
        <v>55</v>
      </c>
      <c r="U67" s="103">
        <f t="shared" ca="1" si="4"/>
        <v>35.413817656032499</v>
      </c>
    </row>
    <row r="68" spans="1:21">
      <c r="A68" s="106" t="s">
        <v>451</v>
      </c>
      <c r="B68" s="91">
        <f ca="1">Data!C185</f>
        <v>0</v>
      </c>
      <c r="D68" s="88">
        <v>7</v>
      </c>
      <c r="E68" s="99">
        <f ca="1">IF(E59=1, (1-B46)*(1-B45)*(1-B44)*(B57)*(B63), 0)</f>
        <v>0</v>
      </c>
      <c r="F68" s="96">
        <f t="shared" ca="1" si="14"/>
        <v>0</v>
      </c>
      <c r="G68" s="96">
        <f t="shared" ca="1" si="13"/>
        <v>0</v>
      </c>
      <c r="H68" s="96">
        <f t="shared" ca="1" si="13"/>
        <v>0</v>
      </c>
      <c r="I68" s="96">
        <f t="shared" ca="1" si="13"/>
        <v>0</v>
      </c>
      <c r="J68" s="96">
        <f t="shared" ca="1" si="13"/>
        <v>0</v>
      </c>
      <c r="K68" s="96">
        <f t="shared" ca="1" si="13"/>
        <v>0</v>
      </c>
      <c r="L68" s="96">
        <f t="shared" ca="1" si="13"/>
        <v>0</v>
      </c>
      <c r="M68" s="96">
        <f t="shared" ca="1" si="13"/>
        <v>0</v>
      </c>
      <c r="N68" s="96">
        <f t="shared" si="13"/>
        <v>0</v>
      </c>
      <c r="O68" s="90"/>
      <c r="Q68" s="88">
        <v>56</v>
      </c>
      <c r="R68" s="103">
        <f t="shared" ca="1" si="3"/>
        <v>35.936779505410918</v>
      </c>
      <c r="T68" s="88">
        <v>56</v>
      </c>
      <c r="U68" s="103">
        <f t="shared" ca="1" si="4"/>
        <v>36.051332632853089</v>
      </c>
    </row>
    <row r="69" spans="1:21">
      <c r="A69" s="106" t="s">
        <v>452</v>
      </c>
      <c r="B69" s="107">
        <f ca="1">Data!C115</f>
        <v>0.95</v>
      </c>
      <c r="D69" s="88">
        <v>8</v>
      </c>
      <c r="E69" s="99">
        <f ca="1">IF(E59=1, (1-B46)*(1-B45)*(1-B44)*(B57)*(B64), 0)</f>
        <v>0</v>
      </c>
      <c r="F69" s="101">
        <f t="shared" ca="1" si="14"/>
        <v>0</v>
      </c>
      <c r="G69" s="102">
        <f t="shared" ca="1" si="13"/>
        <v>0</v>
      </c>
      <c r="H69" s="102">
        <f t="shared" ca="1" si="13"/>
        <v>0</v>
      </c>
      <c r="I69" s="102">
        <f t="shared" ca="1" si="13"/>
        <v>0</v>
      </c>
      <c r="J69" s="102">
        <f t="shared" ca="1" si="13"/>
        <v>0</v>
      </c>
      <c r="K69" s="102">
        <f t="shared" ca="1" si="13"/>
        <v>0</v>
      </c>
      <c r="L69" s="102">
        <f t="shared" ca="1" si="13"/>
        <v>0</v>
      </c>
      <c r="M69" s="102">
        <f t="shared" ca="1" si="13"/>
        <v>0</v>
      </c>
      <c r="N69" s="102">
        <f t="shared" ca="1" si="13"/>
        <v>0</v>
      </c>
      <c r="O69" s="90"/>
      <c r="Q69" s="88">
        <v>57</v>
      </c>
      <c r="R69" s="103">
        <f t="shared" ca="1" si="3"/>
        <v>36.572135005874088</v>
      </c>
      <c r="T69" s="88">
        <v>57</v>
      </c>
      <c r="U69" s="103">
        <f t="shared" ca="1" si="4"/>
        <v>36.68884760967368</v>
      </c>
    </row>
    <row r="70" spans="1:21">
      <c r="E70" s="91">
        <f ca="1">SUM(E61:E69)</f>
        <v>1</v>
      </c>
      <c r="O70" s="90"/>
      <c r="Q70" s="88">
        <v>58</v>
      </c>
      <c r="R70" s="103">
        <f t="shared" ca="1" si="3"/>
        <v>37.207490506337265</v>
      </c>
      <c r="T70" s="88">
        <v>58</v>
      </c>
      <c r="U70" s="103">
        <f t="shared" ca="1" si="4"/>
        <v>37.326362586494277</v>
      </c>
    </row>
    <row r="71" spans="1:21">
      <c r="E71" s="88" t="s">
        <v>154</v>
      </c>
      <c r="F71" s="104">
        <f t="shared" ref="F71:N71" ca="1" si="15">SUM(F61:F69)</f>
        <v>1</v>
      </c>
      <c r="G71" s="104">
        <f t="shared" ca="1" si="15"/>
        <v>0</v>
      </c>
      <c r="H71" s="104">
        <f t="shared" ca="1" si="15"/>
        <v>0</v>
      </c>
      <c r="I71" s="104">
        <f t="shared" ca="1" si="15"/>
        <v>0</v>
      </c>
      <c r="J71" s="104">
        <f t="shared" ca="1" si="15"/>
        <v>0</v>
      </c>
      <c r="K71" s="104">
        <f t="shared" ca="1" si="15"/>
        <v>0</v>
      </c>
      <c r="L71" s="104">
        <f t="shared" ca="1" si="15"/>
        <v>0</v>
      </c>
      <c r="M71" s="104">
        <f t="shared" ca="1" si="15"/>
        <v>0</v>
      </c>
      <c r="N71" s="104">
        <f t="shared" ca="1" si="15"/>
        <v>0</v>
      </c>
      <c r="O71" s="96">
        <f ca="1">SUM(F71:N71)</f>
        <v>1</v>
      </c>
      <c r="Q71" s="88">
        <v>59</v>
      </c>
      <c r="R71" s="103">
        <f t="shared" ca="1" si="3"/>
        <v>37.842846006800428</v>
      </c>
      <c r="T71" s="88">
        <v>59</v>
      </c>
      <c r="U71" s="103">
        <f t="shared" ca="1" si="4"/>
        <v>37.963877563314874</v>
      </c>
    </row>
    <row r="72" spans="1:21">
      <c r="E72" s="88" t="s">
        <v>155</v>
      </c>
      <c r="F72" s="105">
        <f ca="1">F60*F71+G60*G71+H60*H71+I60*I71+J71*J60+K71*K60+L71*L60+M71*M60+N71*N60</f>
        <v>0</v>
      </c>
      <c r="I72" s="90"/>
      <c r="J72" s="90"/>
      <c r="K72" s="96"/>
      <c r="O72" s="96"/>
      <c r="P72" s="110"/>
      <c r="Q72" s="88">
        <v>60</v>
      </c>
      <c r="R72" s="103">
        <f t="shared" ca="1" si="3"/>
        <v>38.478201507263599</v>
      </c>
      <c r="T72" s="88">
        <v>60</v>
      </c>
      <c r="U72" s="103">
        <f t="shared" ca="1" si="4"/>
        <v>38.601392540135471</v>
      </c>
    </row>
    <row r="73" spans="1:21">
      <c r="K73" s="96"/>
      <c r="O73" s="90"/>
      <c r="Q73" s="88">
        <v>61</v>
      </c>
      <c r="R73" s="103">
        <f t="shared" ca="1" si="3"/>
        <v>39.113557007726776</v>
      </c>
      <c r="T73" s="88">
        <v>61</v>
      </c>
      <c r="U73" s="103">
        <f t="shared" ca="1" si="4"/>
        <v>39.238907516956061</v>
      </c>
    </row>
    <row r="74" spans="1:21">
      <c r="Q74" s="88">
        <v>62</v>
      </c>
      <c r="R74" s="103">
        <f t="shared" ca="1" si="3"/>
        <v>39.748912508189946</v>
      </c>
      <c r="T74" s="88">
        <v>62</v>
      </c>
      <c r="U74" s="103">
        <f t="shared" ca="1" si="4"/>
        <v>39.876422493776651</v>
      </c>
    </row>
    <row r="75" spans="1:21">
      <c r="D75" s="90" t="s">
        <v>187</v>
      </c>
      <c r="E75" s="90"/>
      <c r="F75" s="96"/>
      <c r="G75" s="96"/>
      <c r="H75" s="96"/>
      <c r="I75" s="96"/>
      <c r="J75" s="96"/>
      <c r="K75" s="96"/>
      <c r="L75" s="96"/>
      <c r="M75" s="96"/>
      <c r="N75" s="96"/>
      <c r="Q75" s="88">
        <v>63</v>
      </c>
      <c r="R75" s="103">
        <f t="shared" ca="1" si="3"/>
        <v>40.384268008653116</v>
      </c>
      <c r="T75" s="88">
        <v>63</v>
      </c>
      <c r="U75" s="103">
        <f t="shared" ca="1" si="4"/>
        <v>40.513937470597249</v>
      </c>
    </row>
    <row r="76" spans="1:21">
      <c r="D76" s="90" t="s">
        <v>188</v>
      </c>
      <c r="E76" s="111">
        <v>0</v>
      </c>
      <c r="F76" s="90">
        <v>1</v>
      </c>
      <c r="G76" s="90">
        <v>2</v>
      </c>
      <c r="H76" s="100">
        <v>3</v>
      </c>
      <c r="I76" s="100">
        <v>4</v>
      </c>
      <c r="J76" s="100">
        <v>5</v>
      </c>
      <c r="K76" s="100">
        <v>6</v>
      </c>
      <c r="L76" s="100">
        <v>7</v>
      </c>
      <c r="M76" s="100">
        <v>8</v>
      </c>
      <c r="N76" s="88" t="s">
        <v>7</v>
      </c>
      <c r="Q76" s="88">
        <v>64</v>
      </c>
      <c r="R76" s="103">
        <f t="shared" ca="1" si="3"/>
        <v>41.019623509116286</v>
      </c>
      <c r="T76" s="88">
        <v>64</v>
      </c>
      <c r="U76" s="103">
        <f t="shared" ca="1" si="4"/>
        <v>41.151452447417846</v>
      </c>
    </row>
    <row r="77" spans="1:21">
      <c r="D77" s="90" t="s">
        <v>189</v>
      </c>
      <c r="E77" s="96">
        <f ca="1">F55*F71</f>
        <v>2.9377020000000025E-2</v>
      </c>
      <c r="F77" s="96">
        <f ca="1">F55*G71+G55*F71</f>
        <v>0.57190931</v>
      </c>
      <c r="G77" s="96">
        <f ca="1">F55*H71+G55*G71+H55*F71</f>
        <v>0.26462022000000007</v>
      </c>
      <c r="H77" s="96">
        <f ca="1">F55*I71+G55*H71+H55*G71+I55*F71</f>
        <v>6.8932950000000021E-2</v>
      </c>
      <c r="I77" s="96">
        <f ca="1">F55*J71+G55*I71+H55*H71+I55*G71+J55*F71</f>
        <v>6.5160499999999996E-2</v>
      </c>
      <c r="J77" s="96">
        <f ca="1">F55*K71+G55*J71+H55*I71+I55*H71+J55*G71+K55*F71</f>
        <v>0</v>
      </c>
      <c r="K77" s="96">
        <f ca="1">F55*L71+G55*K71+H55*J71+I55*I71+J55*H71+K55*G71+L55*F71</f>
        <v>0</v>
      </c>
      <c r="L77" s="110">
        <f ca="1">F55*M71+G55*L71+H55*K71+I55*J71+J55*I71+K55*H71+L55*G71+M55*F71</f>
        <v>0</v>
      </c>
      <c r="M77" s="96">
        <f ca="1">F55*N71+G55*M71+H55*L71+I55*K71+J55*J71+K55*I71+L55*H71+M55*G71+N55*F71+G55*N71+H55*M71+I55*L71+J55*K71+K55*J71+L55*I71+M55*H71+N55*G71+H55*N71+I55*M71+J55*L71+K55*K71+L55*J71+M55*I71+N55*H71+I55*N71+J55*M71+K55*L71+L55*K71+M55*J71+N55*I71+J55*N71+K55*M71+L55*L71+M55*K71+N55*J71+K55*N71+L55*M71+M55*L71+N55*K71+L55*N71+M55*M71+N55*L71+M55*N71+N55*M71+N55*N71</f>
        <v>0</v>
      </c>
      <c r="N77" s="96">
        <f ca="1">SUM(E77:M77)</f>
        <v>1</v>
      </c>
      <c r="Q77" s="88">
        <v>65</v>
      </c>
      <c r="R77" s="103">
        <f t="shared" ref="R77:R112" ca="1" si="16">(1+R76*$F$37+R75*$G$37+R74*$H$37+R73*$I$37+R72*$J$37+R71*$K$37+R70*$L$37+R69*$M$37)/(1-$E$37)</f>
        <v>41.654979009579456</v>
      </c>
      <c r="T77" s="88">
        <v>65</v>
      </c>
      <c r="U77" s="103">
        <f t="shared" ref="U77:U112" ca="1" si="17">(1+U76*$F$77+U75*$G$77+U74*$H$77+U73*$I$77+U72*$J$77+U71*$K$77+U70*$L$77+U69*$M$77)/(1-$E$77)</f>
        <v>41.788967424238443</v>
      </c>
    </row>
    <row r="78" spans="1:21">
      <c r="D78" s="100" t="s">
        <v>155</v>
      </c>
      <c r="E78" s="103">
        <f ca="1">E76*E77+F76*F77+G76*G77+H76*H77+I76*I77+J76*J77+K76*K77+L76*L77+M76*M77</f>
        <v>1.5685906000000003</v>
      </c>
      <c r="Q78" s="88">
        <v>66</v>
      </c>
      <c r="R78" s="103">
        <f t="shared" ca="1" si="16"/>
        <v>42.290334510042634</v>
      </c>
      <c r="T78" s="88">
        <v>66</v>
      </c>
      <c r="U78" s="103">
        <f t="shared" ca="1" si="17"/>
        <v>42.426482401059026</v>
      </c>
    </row>
    <row r="79" spans="1:21">
      <c r="D79" s="90"/>
      <c r="E79" s="96"/>
      <c r="F79" s="96"/>
      <c r="G79" s="96"/>
      <c r="H79" s="96"/>
      <c r="I79" s="96"/>
      <c r="J79" s="96"/>
      <c r="K79" s="96"/>
      <c r="L79" s="96"/>
      <c r="M79" s="96"/>
      <c r="N79" s="90"/>
      <c r="Q79" s="88">
        <v>67</v>
      </c>
      <c r="R79" s="103">
        <f t="shared" ca="1" si="16"/>
        <v>42.925690010505804</v>
      </c>
      <c r="T79" s="88">
        <v>67</v>
      </c>
      <c r="U79" s="103">
        <f t="shared" ca="1" si="17"/>
        <v>43.063997377879616</v>
      </c>
    </row>
    <row r="80" spans="1:21">
      <c r="D80" s="90"/>
      <c r="E80" s="90"/>
      <c r="F80" s="96"/>
      <c r="G80" s="96"/>
      <c r="Q80" s="88">
        <v>68</v>
      </c>
      <c r="R80" s="103">
        <f t="shared" ca="1" si="16"/>
        <v>43.561045510968974</v>
      </c>
      <c r="T80" s="88">
        <v>68</v>
      </c>
      <c r="U80" s="103">
        <f t="shared" ca="1" si="17"/>
        <v>43.701512354700213</v>
      </c>
    </row>
    <row r="81" spans="1:21">
      <c r="D81" s="90"/>
      <c r="E81" s="96"/>
      <c r="F81" s="112"/>
      <c r="G81" s="90"/>
      <c r="Q81" s="88">
        <v>69</v>
      </c>
      <c r="R81" s="103">
        <f t="shared" ca="1" si="16"/>
        <v>44.196401011432144</v>
      </c>
      <c r="T81" s="88">
        <v>69</v>
      </c>
      <c r="U81" s="103">
        <f t="shared" ca="1" si="17"/>
        <v>44.339027331520803</v>
      </c>
    </row>
    <row r="82" spans="1:21">
      <c r="Q82" s="88">
        <v>70</v>
      </c>
      <c r="R82" s="103">
        <f t="shared" ca="1" si="16"/>
        <v>44.831756511895328</v>
      </c>
      <c r="T82" s="88">
        <v>70</v>
      </c>
      <c r="U82" s="103">
        <f t="shared" ca="1" si="17"/>
        <v>44.976542308341401</v>
      </c>
    </row>
    <row r="83" spans="1:2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88">
        <v>71</v>
      </c>
      <c r="R83" s="103">
        <f t="shared" ca="1" si="16"/>
        <v>45.467112012358491</v>
      </c>
      <c r="T83" s="88">
        <v>71</v>
      </c>
      <c r="U83" s="103">
        <f t="shared" ca="1" si="17"/>
        <v>45.614057285161991</v>
      </c>
    </row>
    <row r="84" spans="1:2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88">
        <v>72</v>
      </c>
      <c r="R84" s="103">
        <f t="shared" ca="1" si="16"/>
        <v>46.102467512821669</v>
      </c>
      <c r="T84" s="88">
        <v>72</v>
      </c>
      <c r="U84" s="103">
        <f t="shared" ca="1" si="17"/>
        <v>46.251572261982588</v>
      </c>
    </row>
    <row r="85" spans="1:21">
      <c r="A85" s="26" t="s">
        <v>306</v>
      </c>
      <c r="B85" s="40">
        <v>0.1</v>
      </c>
      <c r="C85" s="26"/>
      <c r="D85" s="26"/>
      <c r="E85" s="26"/>
      <c r="F85" s="26"/>
      <c r="G85" s="26"/>
      <c r="H85" s="26" t="s">
        <v>306</v>
      </c>
      <c r="I85" s="40">
        <v>0.12</v>
      </c>
      <c r="J85" s="26"/>
      <c r="K85" s="26"/>
      <c r="L85" s="26"/>
      <c r="M85" s="26"/>
      <c r="O85" s="90"/>
      <c r="P85" s="90"/>
      <c r="Q85" s="88">
        <v>73</v>
      </c>
      <c r="R85" s="103">
        <f t="shared" ca="1" si="16"/>
        <v>46.737823013284846</v>
      </c>
      <c r="T85" s="88">
        <v>73</v>
      </c>
      <c r="U85" s="103">
        <f t="shared" ca="1" si="17"/>
        <v>46.889087238803178</v>
      </c>
    </row>
    <row r="86" spans="1:21">
      <c r="A86" s="26" t="s">
        <v>217</v>
      </c>
      <c r="B86" s="53">
        <v>1000000</v>
      </c>
      <c r="C86" s="26"/>
      <c r="D86" s="26"/>
      <c r="E86" s="40"/>
      <c r="F86" s="27"/>
      <c r="G86" s="27"/>
      <c r="H86" s="26" t="s">
        <v>217</v>
      </c>
      <c r="I86" s="53">
        <v>1000000</v>
      </c>
      <c r="J86" s="26"/>
      <c r="K86" s="26"/>
      <c r="L86" s="40"/>
      <c r="M86" s="27"/>
      <c r="O86" s="90"/>
      <c r="P86" s="90"/>
      <c r="Q86" s="88">
        <v>74</v>
      </c>
      <c r="R86" s="103">
        <f t="shared" ca="1" si="16"/>
        <v>47.373178513748016</v>
      </c>
      <c r="T86" s="88">
        <v>74</v>
      </c>
      <c r="U86" s="103">
        <f t="shared" ca="1" si="17"/>
        <v>47.526602215623768</v>
      </c>
    </row>
    <row r="87" spans="1:21">
      <c r="A87" s="26" t="s">
        <v>43</v>
      </c>
      <c r="B87" s="27" t="s">
        <v>102</v>
      </c>
      <c r="C87" s="26" t="s">
        <v>321</v>
      </c>
      <c r="D87" s="26" t="s">
        <v>322</v>
      </c>
      <c r="E87" s="27" t="s">
        <v>323</v>
      </c>
      <c r="F87" s="27" t="s">
        <v>324</v>
      </c>
      <c r="G87" s="27"/>
      <c r="H87" s="26" t="s">
        <v>43</v>
      </c>
      <c r="I87" s="27" t="s">
        <v>102</v>
      </c>
      <c r="J87" s="26" t="s">
        <v>321</v>
      </c>
      <c r="K87" s="26" t="s">
        <v>322</v>
      </c>
      <c r="L87" s="27" t="s">
        <v>323</v>
      </c>
      <c r="M87" s="27" t="s">
        <v>324</v>
      </c>
      <c r="O87" s="90"/>
      <c r="P87" s="90"/>
      <c r="Q87" s="88">
        <v>75</v>
      </c>
      <c r="R87" s="103">
        <f t="shared" ca="1" si="16"/>
        <v>48.008534014211186</v>
      </c>
      <c r="T87" s="88">
        <v>75</v>
      </c>
      <c r="U87" s="103">
        <f t="shared" ca="1" si="17"/>
        <v>48.164117192444365</v>
      </c>
    </row>
    <row r="88" spans="1:21">
      <c r="A88" s="26">
        <v>0</v>
      </c>
      <c r="B88" s="53">
        <v>0</v>
      </c>
      <c r="C88" s="53">
        <f t="shared" ref="C88:C96" si="18">FLOOR(B88/2, 1)</f>
        <v>0</v>
      </c>
      <c r="D88" s="53">
        <f>B86-C88</f>
        <v>1000000</v>
      </c>
      <c r="E88" s="53">
        <f>SUM(B$88:B88)</f>
        <v>0</v>
      </c>
      <c r="F88" s="27">
        <f t="shared" ref="F88:F96" si="19">E88/$B$86</f>
        <v>0</v>
      </c>
      <c r="G88" s="27"/>
      <c r="H88" s="26">
        <v>0</v>
      </c>
      <c r="I88" s="53">
        <v>0</v>
      </c>
      <c r="J88" s="53">
        <f t="shared" ref="J88:J96" si="20">FLOOR(I88/2, 1)</f>
        <v>0</v>
      </c>
      <c r="K88" s="53">
        <f>I86-J88</f>
        <v>1000000</v>
      </c>
      <c r="L88" s="53">
        <f>SUM(I$88:I88)</f>
        <v>0</v>
      </c>
      <c r="M88" s="27">
        <f t="shared" ref="M88:M96" si="21">L88/$B$86</f>
        <v>0</v>
      </c>
      <c r="O88" s="90"/>
      <c r="P88" s="90"/>
      <c r="Q88" s="88">
        <v>76</v>
      </c>
      <c r="R88" s="103">
        <f t="shared" ca="1" si="16"/>
        <v>48.643889514674363</v>
      </c>
      <c r="T88" s="88">
        <v>76</v>
      </c>
      <c r="U88" s="103">
        <f t="shared" ca="1" si="17"/>
        <v>48.801632169264956</v>
      </c>
    </row>
    <row r="89" spans="1:21">
      <c r="A89" s="26">
        <v>1</v>
      </c>
      <c r="B89" s="53">
        <f t="shared" ref="B89:B96" si="22">FLOOR(D88*$B$85, 1)</f>
        <v>100000</v>
      </c>
      <c r="C89" s="53">
        <f t="shared" si="18"/>
        <v>50000</v>
      </c>
      <c r="D89" s="53">
        <f t="shared" ref="D89:D96" si="23">D88-C89</f>
        <v>950000</v>
      </c>
      <c r="E89" s="53">
        <f>SUM(B$88:B89)</f>
        <v>100000</v>
      </c>
      <c r="F89" s="27">
        <f t="shared" si="19"/>
        <v>0.1</v>
      </c>
      <c r="G89" s="27"/>
      <c r="H89" s="26">
        <v>1</v>
      </c>
      <c r="I89" s="53">
        <f>FLOOR(K88*$I$85, 1)</f>
        <v>120000</v>
      </c>
      <c r="J89" s="53">
        <f t="shared" si="20"/>
        <v>60000</v>
      </c>
      <c r="K89" s="53">
        <f t="shared" ref="K89:K96" si="24">K88-J89</f>
        <v>940000</v>
      </c>
      <c r="L89" s="53">
        <f>SUM(I$88:I89)</f>
        <v>120000</v>
      </c>
      <c r="M89" s="27">
        <f t="shared" si="21"/>
        <v>0.12</v>
      </c>
      <c r="O89" s="90"/>
      <c r="P89" s="90"/>
      <c r="Q89" s="88">
        <v>77</v>
      </c>
      <c r="R89" s="103">
        <f t="shared" ca="1" si="16"/>
        <v>49.279245015137533</v>
      </c>
      <c r="T89" s="88">
        <v>77</v>
      </c>
      <c r="U89" s="103">
        <f t="shared" ca="1" si="17"/>
        <v>49.439147146085553</v>
      </c>
    </row>
    <row r="90" spans="1:21">
      <c r="A90" s="26">
        <v>2</v>
      </c>
      <c r="B90" s="53">
        <f t="shared" si="22"/>
        <v>95000</v>
      </c>
      <c r="C90" s="53">
        <f t="shared" si="18"/>
        <v>47500</v>
      </c>
      <c r="D90" s="53">
        <f t="shared" si="23"/>
        <v>902500</v>
      </c>
      <c r="E90" s="53">
        <f>SUM(B$88:B90)</f>
        <v>195000</v>
      </c>
      <c r="F90" s="27">
        <f t="shared" si="19"/>
        <v>0.19500000000000001</v>
      </c>
      <c r="G90" s="27"/>
      <c r="H90" s="26">
        <v>2</v>
      </c>
      <c r="I90" s="53">
        <f t="shared" ref="I90:I96" si="25">FLOOR(K89*$B$85, 1)</f>
        <v>94000</v>
      </c>
      <c r="J90" s="53">
        <f t="shared" si="20"/>
        <v>47000</v>
      </c>
      <c r="K90" s="53">
        <f t="shared" si="24"/>
        <v>893000</v>
      </c>
      <c r="L90" s="53">
        <f>SUM(I$88:I90)</f>
        <v>214000</v>
      </c>
      <c r="M90" s="27">
        <f t="shared" si="21"/>
        <v>0.214</v>
      </c>
      <c r="N90" s="90"/>
      <c r="O90" s="90"/>
      <c r="P90" s="90"/>
      <c r="Q90" s="88">
        <v>78</v>
      </c>
      <c r="R90" s="103">
        <f t="shared" ca="1" si="16"/>
        <v>49.914600515600711</v>
      </c>
      <c r="T90" s="88">
        <v>78</v>
      </c>
      <c r="U90" s="103">
        <f t="shared" ca="1" si="17"/>
        <v>50.07666212290615</v>
      </c>
    </row>
    <row r="91" spans="1:21">
      <c r="A91" s="20">
        <v>3</v>
      </c>
      <c r="B91" s="53">
        <f t="shared" si="22"/>
        <v>90250</v>
      </c>
      <c r="C91" s="53">
        <f t="shared" si="18"/>
        <v>45125</v>
      </c>
      <c r="D91" s="53">
        <f t="shared" si="23"/>
        <v>857375</v>
      </c>
      <c r="E91" s="53">
        <f>SUM(B$88:B91)</f>
        <v>285250</v>
      </c>
      <c r="F91" s="27">
        <f t="shared" si="19"/>
        <v>0.28525</v>
      </c>
      <c r="G91" s="26"/>
      <c r="H91" s="20">
        <v>3</v>
      </c>
      <c r="I91" s="53">
        <f t="shared" si="25"/>
        <v>89300</v>
      </c>
      <c r="J91" s="53">
        <f t="shared" si="20"/>
        <v>44650</v>
      </c>
      <c r="K91" s="53">
        <f t="shared" si="24"/>
        <v>848350</v>
      </c>
      <c r="L91" s="53">
        <f>SUM(I$88:I91)</f>
        <v>303300</v>
      </c>
      <c r="M91" s="27">
        <f t="shared" si="21"/>
        <v>0.30330000000000001</v>
      </c>
      <c r="N91" s="90"/>
      <c r="O91" s="90"/>
      <c r="P91" s="90"/>
      <c r="Q91" s="88">
        <v>79</v>
      </c>
      <c r="R91" s="103">
        <f t="shared" ca="1" si="16"/>
        <v>50.549956016063881</v>
      </c>
      <c r="T91" s="88">
        <v>79</v>
      </c>
      <c r="U91" s="103">
        <f t="shared" ca="1" si="17"/>
        <v>50.714177099726747</v>
      </c>
    </row>
    <row r="92" spans="1:21">
      <c r="A92" s="20">
        <v>4</v>
      </c>
      <c r="B92" s="53">
        <f t="shared" si="22"/>
        <v>85737</v>
      </c>
      <c r="C92" s="53">
        <f t="shared" si="18"/>
        <v>42868</v>
      </c>
      <c r="D92" s="53">
        <f t="shared" si="23"/>
        <v>814507</v>
      </c>
      <c r="E92" s="53">
        <f>SUM(B$88:B92)</f>
        <v>370987</v>
      </c>
      <c r="F92" s="27">
        <f t="shared" si="19"/>
        <v>0.37098700000000001</v>
      </c>
      <c r="G92" s="27"/>
      <c r="H92" s="20">
        <v>4</v>
      </c>
      <c r="I92" s="53">
        <f t="shared" si="25"/>
        <v>84835</v>
      </c>
      <c r="J92" s="53">
        <f t="shared" si="20"/>
        <v>42417</v>
      </c>
      <c r="K92" s="53">
        <f t="shared" si="24"/>
        <v>805933</v>
      </c>
      <c r="L92" s="53">
        <f>SUM(I$88:I92)</f>
        <v>388135</v>
      </c>
      <c r="M92" s="27">
        <f t="shared" si="21"/>
        <v>0.38813500000000001</v>
      </c>
      <c r="N92" s="90"/>
      <c r="O92" s="90"/>
      <c r="P92" s="90"/>
      <c r="Q92" s="88">
        <v>80</v>
      </c>
      <c r="R92" s="103">
        <f t="shared" ca="1" si="16"/>
        <v>51.185311516527051</v>
      </c>
      <c r="T92" s="88">
        <v>80</v>
      </c>
      <c r="U92" s="103">
        <f t="shared" ca="1" si="17"/>
        <v>51.351692076547351</v>
      </c>
    </row>
    <row r="93" spans="1:21">
      <c r="A93" s="20">
        <v>5</v>
      </c>
      <c r="B93" s="53">
        <f t="shared" si="22"/>
        <v>81450</v>
      </c>
      <c r="C93" s="53">
        <f t="shared" si="18"/>
        <v>40725</v>
      </c>
      <c r="D93" s="53">
        <f t="shared" si="23"/>
        <v>773782</v>
      </c>
      <c r="E93" s="53">
        <f>SUM(B$88:B93)</f>
        <v>452437</v>
      </c>
      <c r="F93" s="27">
        <f t="shared" si="19"/>
        <v>0.45243699999999998</v>
      </c>
      <c r="G93" s="27"/>
      <c r="H93" s="20">
        <v>5</v>
      </c>
      <c r="I93" s="53">
        <f t="shared" si="25"/>
        <v>80593</v>
      </c>
      <c r="J93" s="53">
        <f t="shared" si="20"/>
        <v>40296</v>
      </c>
      <c r="K93" s="53">
        <f t="shared" si="24"/>
        <v>765637</v>
      </c>
      <c r="L93" s="53">
        <f>SUM(I$88:I93)</f>
        <v>468728</v>
      </c>
      <c r="M93" s="27">
        <f t="shared" si="21"/>
        <v>0.46872799999999998</v>
      </c>
      <c r="Q93" s="88">
        <v>81</v>
      </c>
      <c r="R93" s="103">
        <f t="shared" ca="1" si="16"/>
        <v>51.820667016990228</v>
      </c>
      <c r="T93" s="88">
        <v>81</v>
      </c>
      <c r="U93" s="103">
        <f t="shared" ca="1" si="17"/>
        <v>51.989207053367942</v>
      </c>
    </row>
    <row r="94" spans="1:21">
      <c r="A94" s="20">
        <v>6</v>
      </c>
      <c r="B94" s="53">
        <f t="shared" si="22"/>
        <v>77378</v>
      </c>
      <c r="C94" s="53">
        <f t="shared" si="18"/>
        <v>38689</v>
      </c>
      <c r="D94" s="53">
        <f t="shared" si="23"/>
        <v>735093</v>
      </c>
      <c r="E94" s="53">
        <f>SUM(B$88:B94)</f>
        <v>529815</v>
      </c>
      <c r="F94" s="27">
        <f t="shared" si="19"/>
        <v>0.52981500000000004</v>
      </c>
      <c r="G94" s="26"/>
      <c r="H94" s="20">
        <v>6</v>
      </c>
      <c r="I94" s="53">
        <f t="shared" si="25"/>
        <v>76563</v>
      </c>
      <c r="J94" s="53">
        <f t="shared" si="20"/>
        <v>38281</v>
      </c>
      <c r="K94" s="53">
        <f t="shared" si="24"/>
        <v>727356</v>
      </c>
      <c r="L94" s="53">
        <f>SUM(I$88:I94)</f>
        <v>545291</v>
      </c>
      <c r="M94" s="27">
        <f t="shared" si="21"/>
        <v>0.54529099999999997</v>
      </c>
      <c r="Q94" s="88">
        <v>82</v>
      </c>
      <c r="R94" s="103">
        <f t="shared" ca="1" si="16"/>
        <v>52.456022517453405</v>
      </c>
      <c r="T94" s="88">
        <v>82</v>
      </c>
      <c r="U94" s="103">
        <f t="shared" ca="1" si="17"/>
        <v>52.626722030188539</v>
      </c>
    </row>
    <row r="95" spans="1:21">
      <c r="A95" s="20">
        <v>7</v>
      </c>
      <c r="B95" s="53">
        <f t="shared" si="22"/>
        <v>73509</v>
      </c>
      <c r="C95" s="53">
        <f t="shared" si="18"/>
        <v>36754</v>
      </c>
      <c r="D95" s="53">
        <f t="shared" si="23"/>
        <v>698339</v>
      </c>
      <c r="E95" s="53">
        <f>SUM(B$88:B95)</f>
        <v>603324</v>
      </c>
      <c r="F95" s="27">
        <f t="shared" si="19"/>
        <v>0.60332399999999997</v>
      </c>
      <c r="G95" s="26"/>
      <c r="H95" s="20">
        <v>7</v>
      </c>
      <c r="I95" s="53">
        <f t="shared" si="25"/>
        <v>72735</v>
      </c>
      <c r="J95" s="53">
        <f t="shared" si="20"/>
        <v>36367</v>
      </c>
      <c r="K95" s="53">
        <f t="shared" si="24"/>
        <v>690989</v>
      </c>
      <c r="L95" s="53">
        <f>SUM(I$88:I95)</f>
        <v>618026</v>
      </c>
      <c r="M95" s="27">
        <f t="shared" si="21"/>
        <v>0.61802599999999996</v>
      </c>
      <c r="Q95" s="88">
        <v>83</v>
      </c>
      <c r="R95" s="103">
        <f t="shared" ca="1" si="16"/>
        <v>53.091378017916576</v>
      </c>
      <c r="T95" s="88">
        <v>83</v>
      </c>
      <c r="U95" s="103">
        <f t="shared" ca="1" si="17"/>
        <v>53.264237007009129</v>
      </c>
    </row>
    <row r="96" spans="1:21">
      <c r="A96" s="20">
        <v>8</v>
      </c>
      <c r="B96" s="53">
        <f t="shared" si="22"/>
        <v>69833</v>
      </c>
      <c r="C96" s="53">
        <f t="shared" si="18"/>
        <v>34916</v>
      </c>
      <c r="D96" s="53">
        <f t="shared" si="23"/>
        <v>663423</v>
      </c>
      <c r="E96" s="53">
        <f>SUM(B$88:B96)</f>
        <v>673157</v>
      </c>
      <c r="F96" s="27">
        <f t="shared" si="19"/>
        <v>0.67315700000000001</v>
      </c>
      <c r="G96" s="26"/>
      <c r="H96" s="20">
        <v>8</v>
      </c>
      <c r="I96" s="53">
        <f t="shared" si="25"/>
        <v>69098</v>
      </c>
      <c r="J96" s="53">
        <f t="shared" si="20"/>
        <v>34549</v>
      </c>
      <c r="K96" s="53">
        <f t="shared" si="24"/>
        <v>656440</v>
      </c>
      <c r="L96" s="53">
        <f>SUM(I$88:I96)</f>
        <v>687124</v>
      </c>
      <c r="M96" s="27">
        <f t="shared" si="21"/>
        <v>0.68712399999999996</v>
      </c>
      <c r="Q96" s="88">
        <v>84</v>
      </c>
      <c r="R96" s="103">
        <f t="shared" ca="1" si="16"/>
        <v>53.726733518379746</v>
      </c>
      <c r="T96" s="88">
        <v>84</v>
      </c>
      <c r="U96" s="103">
        <f t="shared" ca="1" si="17"/>
        <v>53.901751983829726</v>
      </c>
    </row>
    <row r="97" spans="17:21">
      <c r="Q97" s="88">
        <v>85</v>
      </c>
      <c r="R97" s="103">
        <f t="shared" ca="1" si="16"/>
        <v>54.362089018842916</v>
      </c>
      <c r="T97" s="88">
        <v>85</v>
      </c>
      <c r="U97" s="103">
        <f t="shared" ca="1" si="17"/>
        <v>54.539266960650323</v>
      </c>
    </row>
    <row r="98" spans="17:21">
      <c r="Q98" s="88">
        <v>86</v>
      </c>
      <c r="R98" s="103">
        <f t="shared" ca="1" si="16"/>
        <v>54.997444519306093</v>
      </c>
      <c r="T98" s="88">
        <v>86</v>
      </c>
      <c r="U98" s="103">
        <f t="shared" ca="1" si="17"/>
        <v>55.176781937470921</v>
      </c>
    </row>
    <row r="99" spans="17:21">
      <c r="Q99" s="88">
        <v>87</v>
      </c>
      <c r="R99" s="103">
        <f t="shared" ca="1" si="16"/>
        <v>55.632800019769263</v>
      </c>
      <c r="T99" s="88">
        <v>87</v>
      </c>
      <c r="U99" s="103">
        <f t="shared" ca="1" si="17"/>
        <v>55.814296914291511</v>
      </c>
    </row>
    <row r="100" spans="17:21">
      <c r="Q100" s="88">
        <v>88</v>
      </c>
      <c r="R100" s="103">
        <f t="shared" ca="1" si="16"/>
        <v>56.268155520232433</v>
      </c>
      <c r="T100" s="88">
        <v>88</v>
      </c>
      <c r="U100" s="103">
        <f t="shared" ca="1" si="17"/>
        <v>56.451811891112108</v>
      </c>
    </row>
    <row r="101" spans="17:21">
      <c r="Q101" s="88">
        <v>89</v>
      </c>
      <c r="R101" s="103">
        <f t="shared" ca="1" si="16"/>
        <v>56.903511020695611</v>
      </c>
      <c r="T101" s="88">
        <v>89</v>
      </c>
      <c r="U101" s="103">
        <f t="shared" ca="1" si="17"/>
        <v>57.089326867932705</v>
      </c>
    </row>
    <row r="102" spans="17:21">
      <c r="Q102" s="88">
        <v>90</v>
      </c>
      <c r="R102" s="103">
        <f t="shared" ca="1" si="16"/>
        <v>57.538866521158788</v>
      </c>
      <c r="T102" s="88">
        <v>90</v>
      </c>
      <c r="U102" s="103">
        <f t="shared" ca="1" si="17"/>
        <v>57.726841844753295</v>
      </c>
    </row>
    <row r="103" spans="17:21">
      <c r="Q103" s="88">
        <v>91</v>
      </c>
      <c r="R103" s="103">
        <f t="shared" ca="1" si="16"/>
        <v>58.174222021621958</v>
      </c>
      <c r="T103" s="88">
        <v>91</v>
      </c>
      <c r="U103" s="103">
        <f t="shared" ca="1" si="17"/>
        <v>58.364356821573899</v>
      </c>
    </row>
    <row r="104" spans="17:21">
      <c r="Q104" s="88">
        <v>92</v>
      </c>
      <c r="R104" s="103">
        <f t="shared" ca="1" si="16"/>
        <v>58.809577522085128</v>
      </c>
      <c r="T104" s="88">
        <v>92</v>
      </c>
      <c r="U104" s="103">
        <f t="shared" ca="1" si="17"/>
        <v>59.001871798394482</v>
      </c>
    </row>
    <row r="105" spans="17:21">
      <c r="Q105" s="88">
        <v>93</v>
      </c>
      <c r="R105" s="103">
        <f t="shared" ca="1" si="16"/>
        <v>59.444933022548298</v>
      </c>
      <c r="T105" s="88">
        <v>93</v>
      </c>
      <c r="U105" s="103">
        <f t="shared" ca="1" si="17"/>
        <v>59.639386775215073</v>
      </c>
    </row>
    <row r="106" spans="17:21">
      <c r="Q106" s="88">
        <v>94</v>
      </c>
      <c r="R106" s="103">
        <f t="shared" ca="1" si="16"/>
        <v>60.080288523011468</v>
      </c>
      <c r="T106" s="88">
        <v>94</v>
      </c>
      <c r="U106" s="103">
        <f t="shared" ca="1" si="17"/>
        <v>60.27690175203567</v>
      </c>
    </row>
    <row r="107" spans="17:21">
      <c r="Q107" s="88">
        <v>95</v>
      </c>
      <c r="R107" s="103">
        <f t="shared" ca="1" si="16"/>
        <v>60.715644023474638</v>
      </c>
      <c r="T107" s="88">
        <v>95</v>
      </c>
      <c r="U107" s="103">
        <f t="shared" ca="1" si="17"/>
        <v>60.91441672885626</v>
      </c>
    </row>
    <row r="108" spans="17:21">
      <c r="Q108" s="88">
        <v>96</v>
      </c>
      <c r="R108" s="103">
        <f t="shared" ca="1" si="16"/>
        <v>61.350999523937809</v>
      </c>
      <c r="T108" s="88">
        <v>96</v>
      </c>
      <c r="U108" s="103">
        <f t="shared" ca="1" si="17"/>
        <v>61.551931705676857</v>
      </c>
    </row>
    <row r="109" spans="17:21">
      <c r="Q109" s="88">
        <v>97</v>
      </c>
      <c r="R109" s="103">
        <f t="shared" ca="1" si="16"/>
        <v>61.986355024400986</v>
      </c>
      <c r="T109" s="88">
        <v>97</v>
      </c>
      <c r="U109" s="103">
        <f t="shared" ca="1" si="17"/>
        <v>62.189446682497454</v>
      </c>
    </row>
    <row r="110" spans="17:21">
      <c r="Q110" s="88">
        <v>98</v>
      </c>
      <c r="R110" s="103">
        <f t="shared" ca="1" si="16"/>
        <v>62.621710524864163</v>
      </c>
      <c r="T110" s="88">
        <v>98</v>
      </c>
      <c r="U110" s="103">
        <f t="shared" ca="1" si="17"/>
        <v>62.826961659318052</v>
      </c>
    </row>
    <row r="111" spans="17:21">
      <c r="Q111" s="88">
        <v>99</v>
      </c>
      <c r="R111" s="103">
        <f t="shared" ca="1" si="16"/>
        <v>63.257066025327326</v>
      </c>
      <c r="T111" s="88">
        <v>99</v>
      </c>
      <c r="U111" s="103">
        <f t="shared" ca="1" si="17"/>
        <v>63.464476636138649</v>
      </c>
    </row>
    <row r="112" spans="17:21">
      <c r="Q112" s="88">
        <v>100</v>
      </c>
      <c r="R112" s="103">
        <f t="shared" ca="1" si="16"/>
        <v>63.892421525790496</v>
      </c>
      <c r="T112" s="88">
        <v>100</v>
      </c>
      <c r="U112" s="103">
        <f t="shared" ca="1" si="17"/>
        <v>64.101991612959253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6" enableFormatConditionsCalculation="0">
    <tabColor indexed="46"/>
  </sheetPr>
  <dimension ref="A1:BL474"/>
  <sheetViews>
    <sheetView zoomScaleNormal="100" workbookViewId="0">
      <pane ySplit="1" topLeftCell="A2" activePane="bottomLeft" state="frozen"/>
      <selection pane="bottomLeft" activeCell="AH6" sqref="AH6"/>
    </sheetView>
  </sheetViews>
  <sheetFormatPr defaultRowHeight="12.75"/>
  <cols>
    <col min="1" max="1" width="23.42578125" customWidth="1"/>
    <col min="2" max="5" width="5.28515625" customWidth="1"/>
    <col min="6" max="6" width="11" bestFit="1" customWidth="1"/>
    <col min="7" max="15" width="4.7109375" customWidth="1"/>
    <col min="16" max="18" width="5.28515625" customWidth="1"/>
    <col min="19" max="19" width="6.7109375" bestFit="1" customWidth="1"/>
    <col min="20" max="20" width="5.140625" bestFit="1" customWidth="1"/>
    <col min="21" max="21" width="6.42578125" bestFit="1" customWidth="1"/>
    <col min="22" max="27" width="4.7109375" customWidth="1"/>
    <col min="28" max="30" width="6.7109375" customWidth="1"/>
    <col min="31" max="31" width="5" customWidth="1"/>
    <col min="32" max="32" width="6.7109375" customWidth="1"/>
    <col min="33" max="33" width="7.5703125" customWidth="1"/>
    <col min="34" max="34" width="7.85546875" customWidth="1"/>
    <col min="35" max="36" width="4.7109375" style="32" customWidth="1"/>
    <col min="37" max="37" width="5.7109375" style="32" customWidth="1"/>
    <col min="38" max="38" width="4.7109375" customWidth="1"/>
    <col min="39" max="39" width="5.7109375" style="32" customWidth="1"/>
    <col min="40" max="40" width="4.7109375" style="32" customWidth="1"/>
    <col min="41" max="41" width="4.7109375" customWidth="1"/>
    <col min="42" max="42" width="7" customWidth="1"/>
    <col min="43" max="43" width="6.5703125" customWidth="1"/>
    <col min="44" max="51" width="5.42578125" customWidth="1"/>
    <col min="52" max="54" width="6.7109375" customWidth="1"/>
    <col min="55" max="55" width="8.85546875" customWidth="1"/>
  </cols>
  <sheetData>
    <row r="1" spans="1:55">
      <c r="A1" s="29" t="s">
        <v>755</v>
      </c>
      <c r="B1" t="s">
        <v>491</v>
      </c>
      <c r="C1" t="s">
        <v>488</v>
      </c>
      <c r="D1" t="s">
        <v>489</v>
      </c>
      <c r="E1" t="s">
        <v>490</v>
      </c>
      <c r="F1" s="29" t="s">
        <v>635</v>
      </c>
      <c r="G1" t="s">
        <v>3</v>
      </c>
      <c r="H1" t="s">
        <v>4</v>
      </c>
      <c r="I1" t="s">
        <v>5</v>
      </c>
      <c r="J1" t="s">
        <v>42</v>
      </c>
      <c r="K1" t="s">
        <v>181</v>
      </c>
      <c r="L1" t="s">
        <v>182</v>
      </c>
      <c r="M1" t="s">
        <v>244</v>
      </c>
      <c r="N1" t="s">
        <v>10</v>
      </c>
      <c r="O1" t="s">
        <v>9</v>
      </c>
      <c r="P1" t="s">
        <v>436</v>
      </c>
      <c r="Q1" t="s">
        <v>756</v>
      </c>
      <c r="R1" t="s">
        <v>757</v>
      </c>
      <c r="S1" t="s">
        <v>758</v>
      </c>
      <c r="T1" s="32" t="s">
        <v>759</v>
      </c>
      <c r="U1" s="173" t="s">
        <v>760</v>
      </c>
      <c r="V1" t="s">
        <v>12</v>
      </c>
      <c r="W1" t="s">
        <v>149</v>
      </c>
      <c r="X1" t="s">
        <v>415</v>
      </c>
      <c r="Y1" t="s">
        <v>595</v>
      </c>
      <c r="Z1" t="s">
        <v>453</v>
      </c>
      <c r="AA1" t="s">
        <v>265</v>
      </c>
      <c r="AB1" t="s">
        <v>11</v>
      </c>
      <c r="AC1" t="s">
        <v>125</v>
      </c>
      <c r="AD1" t="s">
        <v>124</v>
      </c>
      <c r="AE1" t="s">
        <v>454</v>
      </c>
      <c r="AF1" t="s">
        <v>122</v>
      </c>
      <c r="AG1" t="s">
        <v>183</v>
      </c>
      <c r="AH1" t="s">
        <v>163</v>
      </c>
      <c r="AI1" s="32" t="s">
        <v>563</v>
      </c>
      <c r="AJ1" s="32" t="s">
        <v>564</v>
      </c>
      <c r="AK1" s="29" t="s">
        <v>537</v>
      </c>
      <c r="AL1" t="s">
        <v>416</v>
      </c>
      <c r="AM1" t="s">
        <v>690</v>
      </c>
      <c r="AN1" s="32" t="s">
        <v>217</v>
      </c>
      <c r="AO1" t="s">
        <v>218</v>
      </c>
      <c r="AP1" t="s">
        <v>61</v>
      </c>
      <c r="AQ1" t="s">
        <v>62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546</v>
      </c>
      <c r="BA1" t="s">
        <v>547</v>
      </c>
      <c r="BB1" t="s">
        <v>548</v>
      </c>
      <c r="BC1" t="s">
        <v>291</v>
      </c>
    </row>
    <row r="4" spans="1:55">
      <c r="A4" s="29" t="s">
        <v>613</v>
      </c>
      <c r="B4" t="s">
        <v>491</v>
      </c>
      <c r="C4" t="s">
        <v>488</v>
      </c>
      <c r="D4" t="s">
        <v>489</v>
      </c>
      <c r="E4" t="s">
        <v>490</v>
      </c>
      <c r="F4" s="29" t="s">
        <v>635</v>
      </c>
      <c r="G4" t="s">
        <v>3</v>
      </c>
      <c r="H4" t="s">
        <v>4</v>
      </c>
      <c r="I4" t="s">
        <v>5</v>
      </c>
      <c r="J4" t="s">
        <v>42</v>
      </c>
      <c r="K4" t="s">
        <v>181</v>
      </c>
      <c r="L4" t="s">
        <v>182</v>
      </c>
      <c r="M4" t="s">
        <v>244</v>
      </c>
      <c r="N4" t="s">
        <v>10</v>
      </c>
      <c r="O4" t="s">
        <v>9</v>
      </c>
      <c r="P4" t="s">
        <v>436</v>
      </c>
      <c r="Q4" t="s">
        <v>756</v>
      </c>
      <c r="R4" t="s">
        <v>757</v>
      </c>
      <c r="S4" t="s">
        <v>758</v>
      </c>
      <c r="T4" s="32" t="s">
        <v>759</v>
      </c>
      <c r="U4" s="173" t="s">
        <v>760</v>
      </c>
      <c r="V4" t="s">
        <v>12</v>
      </c>
      <c r="W4" t="s">
        <v>149</v>
      </c>
      <c r="X4" t="s">
        <v>415</v>
      </c>
      <c r="Y4" t="s">
        <v>595</v>
      </c>
      <c r="Z4" t="s">
        <v>453</v>
      </c>
      <c r="AA4" t="s">
        <v>265</v>
      </c>
      <c r="AB4" t="s">
        <v>11</v>
      </c>
      <c r="AC4" t="s">
        <v>125</v>
      </c>
      <c r="AD4" t="s">
        <v>124</v>
      </c>
      <c r="AE4" t="s">
        <v>454</v>
      </c>
      <c r="AF4" t="s">
        <v>122</v>
      </c>
      <c r="AG4" t="s">
        <v>183</v>
      </c>
      <c r="AH4" t="s">
        <v>163</v>
      </c>
      <c r="AI4" s="32" t="s">
        <v>563</v>
      </c>
      <c r="AJ4" s="32" t="s">
        <v>564</v>
      </c>
      <c r="AK4" s="29" t="s">
        <v>537</v>
      </c>
      <c r="AL4" t="s">
        <v>416</v>
      </c>
      <c r="AM4" t="s">
        <v>690</v>
      </c>
      <c r="AN4" s="32" t="s">
        <v>217</v>
      </c>
      <c r="AO4" t="s">
        <v>218</v>
      </c>
      <c r="AP4" t="s">
        <v>61</v>
      </c>
      <c r="AQ4" t="s">
        <v>62</v>
      </c>
      <c r="AR4" t="s">
        <v>437</v>
      </c>
      <c r="AS4" t="s">
        <v>438</v>
      </c>
      <c r="AT4" t="s">
        <v>439</v>
      </c>
      <c r="AU4" t="s">
        <v>440</v>
      </c>
      <c r="AV4" t="s">
        <v>441</v>
      </c>
      <c r="AW4" t="s">
        <v>442</v>
      </c>
      <c r="AX4" t="s">
        <v>443</v>
      </c>
      <c r="AY4" t="s">
        <v>444</v>
      </c>
      <c r="AZ4" t="s">
        <v>546</v>
      </c>
      <c r="BA4" t="s">
        <v>547</v>
      </c>
      <c r="BB4" t="s">
        <v>548</v>
      </c>
      <c r="BC4" t="s">
        <v>291</v>
      </c>
    </row>
    <row r="5" spans="1:55">
      <c r="A5" s="29" t="s">
        <v>687</v>
      </c>
      <c r="F5">
        <v>242</v>
      </c>
      <c r="G5">
        <v>10</v>
      </c>
      <c r="K5">
        <v>15</v>
      </c>
      <c r="O5">
        <v>15</v>
      </c>
      <c r="V5" s="2"/>
      <c r="W5" s="2"/>
      <c r="X5" s="2"/>
      <c r="Y5" s="2"/>
      <c r="Z5" s="2"/>
      <c r="AA5" s="2"/>
      <c r="AB5" s="32"/>
      <c r="AC5" s="2"/>
      <c r="AD5" s="2"/>
      <c r="AF5" s="2"/>
      <c r="AH5" s="2"/>
      <c r="AL5" s="2"/>
      <c r="AP5">
        <v>286</v>
      </c>
      <c r="AQ5">
        <v>528</v>
      </c>
    </row>
    <row r="6" spans="1:55">
      <c r="A6" s="29" t="s">
        <v>952</v>
      </c>
      <c r="F6">
        <v>269</v>
      </c>
      <c r="V6" s="2"/>
      <c r="W6" s="2"/>
      <c r="X6" s="2"/>
      <c r="Y6" s="2"/>
      <c r="Z6" s="2"/>
      <c r="AA6" s="2"/>
      <c r="AB6" s="32"/>
      <c r="AC6" s="2"/>
      <c r="AD6" s="2"/>
      <c r="AE6">
        <v>10</v>
      </c>
      <c r="AF6" s="2"/>
      <c r="AG6">
        <v>500</v>
      </c>
      <c r="AH6" s="2"/>
      <c r="AL6" s="2"/>
      <c r="AP6">
        <v>370</v>
      </c>
      <c r="AQ6">
        <v>528</v>
      </c>
    </row>
    <row r="7" spans="1:55">
      <c r="A7" s="29" t="s">
        <v>822</v>
      </c>
      <c r="F7">
        <v>242</v>
      </c>
      <c r="N7">
        <v>40</v>
      </c>
      <c r="V7" s="2"/>
      <c r="W7" s="2"/>
      <c r="X7" s="2"/>
      <c r="Y7" s="2"/>
      <c r="Z7" s="2"/>
      <c r="AA7" s="2"/>
      <c r="AB7" s="32"/>
      <c r="AC7" s="2"/>
      <c r="AD7" s="2"/>
      <c r="AF7" s="2"/>
      <c r="AH7" s="2"/>
      <c r="AL7" s="2"/>
      <c r="AP7">
        <v>266</v>
      </c>
      <c r="AQ7">
        <v>513</v>
      </c>
    </row>
    <row r="8" spans="1:55">
      <c r="A8" s="29" t="s">
        <v>653</v>
      </c>
      <c r="F8">
        <v>269</v>
      </c>
      <c r="N8">
        <v>60</v>
      </c>
      <c r="V8" s="2"/>
      <c r="W8" s="2"/>
      <c r="X8" s="2"/>
      <c r="Y8" s="2"/>
      <c r="Z8" s="2"/>
      <c r="AA8" s="2"/>
      <c r="AB8" s="32"/>
      <c r="AC8" s="2"/>
      <c r="AD8" s="2"/>
      <c r="AF8" s="2"/>
      <c r="AH8" s="2"/>
      <c r="AL8" s="2"/>
      <c r="AP8">
        <v>362</v>
      </c>
      <c r="AQ8">
        <v>513</v>
      </c>
    </row>
    <row r="9" spans="1:55">
      <c r="A9" s="29" t="s">
        <v>812</v>
      </c>
      <c r="F9">
        <v>242</v>
      </c>
      <c r="O9">
        <v>20</v>
      </c>
      <c r="V9" s="2">
        <v>0.04</v>
      </c>
      <c r="W9" s="2"/>
      <c r="X9" s="2"/>
      <c r="Y9" s="2"/>
      <c r="Z9" s="2"/>
      <c r="AA9" s="2"/>
      <c r="AB9" s="32"/>
      <c r="AC9" s="2"/>
      <c r="AD9" s="2"/>
      <c r="AE9">
        <v>3</v>
      </c>
      <c r="AF9" s="2"/>
      <c r="AH9" s="2">
        <v>0.05</v>
      </c>
      <c r="AL9" s="2"/>
      <c r="AP9">
        <v>290</v>
      </c>
      <c r="AQ9">
        <v>528</v>
      </c>
    </row>
    <row r="10" spans="1:55">
      <c r="A10" s="29" t="s">
        <v>813</v>
      </c>
      <c r="F10">
        <v>242</v>
      </c>
      <c r="G10">
        <v>20</v>
      </c>
      <c r="O10">
        <v>20</v>
      </c>
      <c r="V10" s="2">
        <v>0.04</v>
      </c>
      <c r="W10" s="2"/>
      <c r="X10" s="2"/>
      <c r="Y10" s="2"/>
      <c r="Z10" s="2"/>
      <c r="AA10" s="2"/>
      <c r="AB10" s="32"/>
      <c r="AC10" s="2"/>
      <c r="AD10" s="2"/>
      <c r="AE10">
        <v>3</v>
      </c>
      <c r="AF10" s="2"/>
      <c r="AH10" s="2">
        <v>0.05</v>
      </c>
      <c r="AL10" s="2"/>
      <c r="AP10">
        <v>322</v>
      </c>
      <c r="AQ10">
        <v>528</v>
      </c>
    </row>
    <row r="11" spans="1:55">
      <c r="A11" s="29" t="s">
        <v>857</v>
      </c>
      <c r="F11">
        <v>242</v>
      </c>
      <c r="O11">
        <v>45</v>
      </c>
      <c r="V11" s="2"/>
      <c r="W11" s="2"/>
      <c r="X11" s="2"/>
      <c r="Y11" s="2"/>
      <c r="Z11" s="2"/>
      <c r="AA11" s="2"/>
      <c r="AB11" s="32"/>
      <c r="AC11" s="2"/>
      <c r="AD11" s="2">
        <v>0.05</v>
      </c>
      <c r="AF11" s="2"/>
      <c r="AH11" s="2"/>
      <c r="AL11" s="2"/>
      <c r="AN11" s="32">
        <v>150</v>
      </c>
      <c r="AP11">
        <v>317</v>
      </c>
      <c r="AQ11">
        <v>528</v>
      </c>
    </row>
    <row r="12" spans="1:55">
      <c r="A12" s="29" t="s">
        <v>697</v>
      </c>
      <c r="F12">
        <v>242</v>
      </c>
      <c r="N12">
        <v>15</v>
      </c>
      <c r="O12">
        <v>15</v>
      </c>
      <c r="V12" s="2"/>
      <c r="W12" s="2"/>
      <c r="X12" s="2"/>
      <c r="Y12" s="2"/>
      <c r="Z12" s="2"/>
      <c r="AA12" s="2"/>
      <c r="AB12" s="32"/>
      <c r="AC12" s="2"/>
      <c r="AD12" s="2"/>
      <c r="AF12" s="2"/>
      <c r="AH12" s="2"/>
      <c r="AL12" s="2"/>
      <c r="AP12">
        <v>288</v>
      </c>
      <c r="AQ12">
        <v>528</v>
      </c>
    </row>
    <row r="13" spans="1:55">
      <c r="A13" s="29" t="s">
        <v>685</v>
      </c>
      <c r="F13">
        <v>215</v>
      </c>
      <c r="V13" s="2"/>
      <c r="W13" s="2"/>
      <c r="X13" s="2"/>
      <c r="Y13" s="2"/>
      <c r="Z13" s="2"/>
      <c r="AA13" s="2"/>
      <c r="AB13" s="32"/>
      <c r="AC13" s="2"/>
      <c r="AD13" s="2"/>
      <c r="AF13" s="2"/>
      <c r="AH13" s="2"/>
      <c r="AL13" s="2"/>
      <c r="AP13">
        <v>232</v>
      </c>
      <c r="AQ13">
        <v>501</v>
      </c>
    </row>
    <row r="14" spans="1:55">
      <c r="A14" s="29" t="s">
        <v>686</v>
      </c>
      <c r="F14">
        <v>215</v>
      </c>
      <c r="N14">
        <v>15</v>
      </c>
      <c r="O14">
        <v>10</v>
      </c>
      <c r="V14" s="2"/>
      <c r="W14" s="2"/>
      <c r="X14" s="2"/>
      <c r="Y14" s="2"/>
      <c r="Z14" s="2"/>
      <c r="AA14" s="2"/>
      <c r="AB14" s="32"/>
      <c r="AC14" s="2"/>
      <c r="AD14" s="2"/>
      <c r="AF14" s="2"/>
      <c r="AH14" s="2"/>
      <c r="AL14" s="2"/>
      <c r="AP14">
        <v>244</v>
      </c>
      <c r="AQ14">
        <v>501</v>
      </c>
    </row>
    <row r="15" spans="1:55">
      <c r="A15" s="29" t="s">
        <v>784</v>
      </c>
      <c r="F15">
        <v>242</v>
      </c>
      <c r="G15">
        <v>15</v>
      </c>
      <c r="H15">
        <v>15</v>
      </c>
      <c r="N15">
        <v>15</v>
      </c>
      <c r="O15">
        <v>15</v>
      </c>
      <c r="V15" s="2">
        <v>0.04</v>
      </c>
      <c r="W15" s="2"/>
      <c r="X15" s="2"/>
      <c r="Y15" s="2"/>
      <c r="Z15" s="2"/>
      <c r="AA15" s="2"/>
      <c r="AB15" s="32"/>
      <c r="AC15" s="2"/>
      <c r="AD15" s="2"/>
      <c r="AF15" s="2"/>
      <c r="AH15" s="2"/>
      <c r="AL15" s="2"/>
      <c r="AP15">
        <f>288+39</f>
        <v>327</v>
      </c>
      <c r="AQ15">
        <v>550</v>
      </c>
    </row>
    <row r="16" spans="1:55">
      <c r="A16" s="29" t="s">
        <v>652</v>
      </c>
      <c r="F16">
        <v>269</v>
      </c>
      <c r="V16" s="2"/>
      <c r="W16" s="2"/>
      <c r="X16" s="2"/>
      <c r="Y16" s="2"/>
      <c r="Z16" s="2"/>
      <c r="AA16" s="2"/>
      <c r="AB16" s="32"/>
      <c r="AC16" s="2"/>
      <c r="AD16" s="2"/>
      <c r="AF16" s="2"/>
      <c r="AH16" s="2"/>
      <c r="AL16" s="2"/>
      <c r="AP16">
        <v>330</v>
      </c>
      <c r="AQ16">
        <v>528</v>
      </c>
      <c r="AZ16" s="2">
        <v>0.6</v>
      </c>
      <c r="BA16" s="2">
        <v>0.67</v>
      </c>
      <c r="BB16" s="2">
        <v>0.33</v>
      </c>
    </row>
    <row r="17" spans="1:55">
      <c r="A17" s="29" t="s">
        <v>651</v>
      </c>
      <c r="F17">
        <v>242</v>
      </c>
      <c r="G17">
        <v>13</v>
      </c>
      <c r="L17">
        <v>13</v>
      </c>
      <c r="V17" s="2"/>
      <c r="W17" s="2"/>
      <c r="X17" s="2"/>
      <c r="Y17" s="2"/>
      <c r="Z17" s="2"/>
      <c r="AA17" s="2"/>
      <c r="AB17" s="32"/>
      <c r="AC17" s="2"/>
      <c r="AD17" s="2"/>
      <c r="AF17" s="2"/>
      <c r="AH17" s="2"/>
      <c r="AL17" s="2"/>
      <c r="AP17">
        <v>255</v>
      </c>
      <c r="AQ17">
        <v>502</v>
      </c>
    </row>
    <row r="18" spans="1:55">
      <c r="A18" t="s">
        <v>162</v>
      </c>
      <c r="G18">
        <v>8</v>
      </c>
      <c r="V18" s="2"/>
      <c r="W18" s="2"/>
      <c r="X18" s="2"/>
      <c r="Y18" s="2"/>
      <c r="Z18" s="2"/>
      <c r="AA18" s="2"/>
      <c r="AB18" s="32"/>
      <c r="AC18" s="2"/>
      <c r="AD18" s="2"/>
      <c r="AF18" s="2"/>
      <c r="AH18" s="2"/>
      <c r="AL18" s="2"/>
      <c r="AP18">
        <v>128</v>
      </c>
      <c r="AQ18">
        <v>513</v>
      </c>
    </row>
    <row r="19" spans="1:55">
      <c r="A19" s="29" t="s">
        <v>710</v>
      </c>
      <c r="F19">
        <v>242</v>
      </c>
      <c r="G19">
        <v>4</v>
      </c>
      <c r="K19">
        <v>4</v>
      </c>
      <c r="V19" s="2"/>
      <c r="W19" s="2"/>
      <c r="X19" s="2"/>
      <c r="Y19" s="2"/>
      <c r="Z19" s="2"/>
      <c r="AA19" s="2"/>
      <c r="AB19" s="32"/>
      <c r="AC19" s="2"/>
      <c r="AD19" s="2"/>
      <c r="AF19" s="2"/>
      <c r="AH19" s="2"/>
      <c r="AL19" s="2"/>
      <c r="AP19">
        <v>281</v>
      </c>
      <c r="AQ19">
        <v>528</v>
      </c>
    </row>
    <row r="20" spans="1:55">
      <c r="A20" s="29" t="s">
        <v>638</v>
      </c>
      <c r="F20">
        <v>188</v>
      </c>
      <c r="G20">
        <v>12</v>
      </c>
      <c r="H20">
        <v>12</v>
      </c>
      <c r="N20">
        <v>15</v>
      </c>
      <c r="V20" s="2"/>
      <c r="W20" s="2"/>
      <c r="X20" s="2"/>
      <c r="Y20" s="2"/>
      <c r="Z20" s="2"/>
      <c r="AA20" s="2"/>
      <c r="AB20" s="32"/>
      <c r="AC20" s="2"/>
      <c r="AD20" s="2"/>
      <c r="AF20" s="2"/>
      <c r="AH20" s="2"/>
      <c r="AL20" s="2"/>
      <c r="AP20">
        <v>256</v>
      </c>
      <c r="AQ20">
        <v>528</v>
      </c>
      <c r="AR20" s="2">
        <v>0.4</v>
      </c>
      <c r="AS20" s="2">
        <v>1</v>
      </c>
    </row>
    <row r="23" spans="1:55">
      <c r="A23" s="29" t="s">
        <v>612</v>
      </c>
      <c r="B23" t="s">
        <v>491</v>
      </c>
      <c r="C23" t="s">
        <v>488</v>
      </c>
      <c r="D23" t="s">
        <v>489</v>
      </c>
      <c r="E23" t="s">
        <v>490</v>
      </c>
      <c r="F23" s="29" t="s">
        <v>635</v>
      </c>
      <c r="G23" t="s">
        <v>3</v>
      </c>
      <c r="H23" t="s">
        <v>4</v>
      </c>
      <c r="I23" t="s">
        <v>5</v>
      </c>
      <c r="J23" t="s">
        <v>42</v>
      </c>
      <c r="K23" t="s">
        <v>181</v>
      </c>
      <c r="L23" t="s">
        <v>182</v>
      </c>
      <c r="M23" t="s">
        <v>244</v>
      </c>
      <c r="N23" t="s">
        <v>10</v>
      </c>
      <c r="O23" t="s">
        <v>9</v>
      </c>
      <c r="P23" t="s">
        <v>436</v>
      </c>
      <c r="Q23" t="s">
        <v>756</v>
      </c>
      <c r="R23" t="s">
        <v>757</v>
      </c>
      <c r="S23" t="s">
        <v>758</v>
      </c>
      <c r="T23" s="32" t="s">
        <v>759</v>
      </c>
      <c r="U23" s="173" t="s">
        <v>760</v>
      </c>
      <c r="V23" t="s">
        <v>12</v>
      </c>
      <c r="W23" t="s">
        <v>149</v>
      </c>
      <c r="X23" t="s">
        <v>415</v>
      </c>
      <c r="Y23" t="s">
        <v>595</v>
      </c>
      <c r="Z23" t="s">
        <v>453</v>
      </c>
      <c r="AA23" t="s">
        <v>265</v>
      </c>
      <c r="AB23" t="s">
        <v>11</v>
      </c>
      <c r="AC23" t="s">
        <v>125</v>
      </c>
      <c r="AD23" t="s">
        <v>124</v>
      </c>
      <c r="AE23" t="s">
        <v>454</v>
      </c>
      <c r="AF23" t="s">
        <v>122</v>
      </c>
      <c r="AG23" t="s">
        <v>183</v>
      </c>
      <c r="AH23" t="s">
        <v>163</v>
      </c>
      <c r="AI23" s="32" t="s">
        <v>563</v>
      </c>
      <c r="AJ23" s="32" t="s">
        <v>564</v>
      </c>
      <c r="AK23" s="29" t="s">
        <v>537</v>
      </c>
      <c r="AL23" t="s">
        <v>416</v>
      </c>
      <c r="AM23" t="s">
        <v>690</v>
      </c>
      <c r="AN23" s="32" t="s">
        <v>217</v>
      </c>
      <c r="AO23" t="s">
        <v>218</v>
      </c>
      <c r="AP23" t="s">
        <v>61</v>
      </c>
      <c r="AQ23" t="s">
        <v>62</v>
      </c>
      <c r="AR23" t="s">
        <v>437</v>
      </c>
      <c r="AS23" t="s">
        <v>438</v>
      </c>
      <c r="AT23" t="s">
        <v>439</v>
      </c>
      <c r="AU23" t="s">
        <v>440</v>
      </c>
      <c r="AV23" t="s">
        <v>441</v>
      </c>
      <c r="AW23" t="s">
        <v>442</v>
      </c>
      <c r="AX23" t="s">
        <v>443</v>
      </c>
      <c r="AY23" t="s">
        <v>444</v>
      </c>
      <c r="AZ23" t="s">
        <v>546</v>
      </c>
      <c r="BA23" t="s">
        <v>547</v>
      </c>
      <c r="BB23" t="s">
        <v>548</v>
      </c>
      <c r="BC23" t="s">
        <v>291</v>
      </c>
    </row>
    <row r="24" spans="1:55">
      <c r="A24" s="29" t="s">
        <v>685</v>
      </c>
      <c r="F24" s="32">
        <v>215</v>
      </c>
      <c r="V24" s="2"/>
      <c r="W24" s="2"/>
      <c r="X24" s="2"/>
      <c r="Y24" s="2"/>
      <c r="Z24" s="2"/>
      <c r="AA24" s="2"/>
      <c r="AB24" s="32"/>
      <c r="AC24" s="2"/>
      <c r="AD24" s="2"/>
      <c r="AF24" s="2"/>
      <c r="AG24" s="32"/>
      <c r="AH24" s="2"/>
      <c r="AL24" s="2"/>
      <c r="AP24">
        <v>234</v>
      </c>
      <c r="AQ24">
        <v>504</v>
      </c>
    </row>
    <row r="25" spans="1:55">
      <c r="A25" s="29" t="s">
        <v>686</v>
      </c>
      <c r="F25" s="32">
        <v>215</v>
      </c>
      <c r="N25">
        <v>15</v>
      </c>
      <c r="O25">
        <v>10</v>
      </c>
      <c r="V25" s="2"/>
      <c r="W25" s="2"/>
      <c r="X25" s="2"/>
      <c r="Y25" s="2"/>
      <c r="Z25" s="2"/>
      <c r="AA25" s="2"/>
      <c r="AB25" s="32"/>
      <c r="AC25" s="2"/>
      <c r="AD25" s="2"/>
      <c r="AF25" s="2"/>
      <c r="AG25" s="32"/>
      <c r="AH25" s="2"/>
      <c r="AL25" s="2"/>
      <c r="AP25">
        <v>246</v>
      </c>
      <c r="AQ25">
        <v>504</v>
      </c>
    </row>
    <row r="26" spans="1:55">
      <c r="V26" s="2"/>
      <c r="W26" s="2"/>
      <c r="X26" s="2"/>
      <c r="Y26" s="2"/>
      <c r="Z26" s="2"/>
      <c r="AA26" s="2"/>
      <c r="AB26" s="32"/>
      <c r="AC26" s="2"/>
      <c r="AD26" s="2"/>
      <c r="AF26" s="2"/>
      <c r="AH26" s="2"/>
      <c r="AL26" s="2"/>
    </row>
    <row r="28" spans="1:55">
      <c r="A28" s="29" t="s">
        <v>611</v>
      </c>
      <c r="B28" t="s">
        <v>491</v>
      </c>
      <c r="C28" t="s">
        <v>488</v>
      </c>
      <c r="D28" t="s">
        <v>489</v>
      </c>
      <c r="E28" t="s">
        <v>490</v>
      </c>
      <c r="F28" s="29" t="s">
        <v>635</v>
      </c>
      <c r="G28" t="s">
        <v>3</v>
      </c>
      <c r="H28" t="s">
        <v>4</v>
      </c>
      <c r="I28" t="s">
        <v>5</v>
      </c>
      <c r="J28" t="s">
        <v>42</v>
      </c>
      <c r="K28" t="s">
        <v>181</v>
      </c>
      <c r="L28" t="s">
        <v>182</v>
      </c>
      <c r="M28" t="s">
        <v>244</v>
      </c>
      <c r="N28" t="s">
        <v>10</v>
      </c>
      <c r="O28" t="s">
        <v>9</v>
      </c>
      <c r="P28" t="s">
        <v>436</v>
      </c>
      <c r="Q28" t="s">
        <v>756</v>
      </c>
      <c r="R28" t="s">
        <v>757</v>
      </c>
      <c r="S28" t="s">
        <v>758</v>
      </c>
      <c r="T28" s="32" t="s">
        <v>759</v>
      </c>
      <c r="U28" s="173" t="s">
        <v>760</v>
      </c>
      <c r="V28" t="s">
        <v>12</v>
      </c>
      <c r="W28" t="s">
        <v>149</v>
      </c>
      <c r="X28" t="s">
        <v>415</v>
      </c>
      <c r="Y28" t="s">
        <v>595</v>
      </c>
      <c r="Z28" t="s">
        <v>453</v>
      </c>
      <c r="AA28" t="s">
        <v>265</v>
      </c>
      <c r="AB28" t="s">
        <v>11</v>
      </c>
      <c r="AC28" t="s">
        <v>125</v>
      </c>
      <c r="AD28" t="s">
        <v>124</v>
      </c>
      <c r="AE28" t="s">
        <v>454</v>
      </c>
      <c r="AF28" t="s">
        <v>122</v>
      </c>
      <c r="AG28" t="s">
        <v>183</v>
      </c>
      <c r="AH28" t="s">
        <v>163</v>
      </c>
      <c r="AI28" s="32" t="s">
        <v>563</v>
      </c>
      <c r="AJ28" s="32" t="s">
        <v>564</v>
      </c>
      <c r="AK28" s="29" t="s">
        <v>537</v>
      </c>
      <c r="AL28" t="s">
        <v>416</v>
      </c>
      <c r="AM28" t="s">
        <v>690</v>
      </c>
      <c r="AN28" s="32" t="s">
        <v>217</v>
      </c>
      <c r="AO28" t="s">
        <v>218</v>
      </c>
      <c r="AP28" t="s">
        <v>61</v>
      </c>
      <c r="AQ28" t="s">
        <v>62</v>
      </c>
      <c r="AR28" t="s">
        <v>437</v>
      </c>
      <c r="AS28" t="s">
        <v>438</v>
      </c>
      <c r="AT28" t="s">
        <v>439</v>
      </c>
      <c r="AU28" t="s">
        <v>440</v>
      </c>
      <c r="AV28" t="s">
        <v>441</v>
      </c>
      <c r="AW28" t="s">
        <v>442</v>
      </c>
      <c r="AX28" t="s">
        <v>443</v>
      </c>
      <c r="AY28" t="s">
        <v>444</v>
      </c>
      <c r="AZ28" t="s">
        <v>546</v>
      </c>
      <c r="BA28" t="s">
        <v>547</v>
      </c>
      <c r="BB28" t="s">
        <v>548</v>
      </c>
      <c r="BC28" t="s">
        <v>291</v>
      </c>
    </row>
    <row r="29" spans="1:55">
      <c r="A29" s="29" t="s">
        <v>772</v>
      </c>
      <c r="F29">
        <v>242</v>
      </c>
      <c r="N29">
        <v>20</v>
      </c>
      <c r="V29" s="2"/>
      <c r="W29" s="2"/>
      <c r="X29" s="2"/>
      <c r="Y29" s="2"/>
      <c r="Z29" s="2"/>
      <c r="AA29" s="2"/>
      <c r="AB29" s="32"/>
      <c r="AC29" s="2"/>
      <c r="AD29" s="2"/>
      <c r="AF29" s="32"/>
      <c r="AG29" s="32"/>
      <c r="AH29" s="2"/>
      <c r="AL29" s="32"/>
      <c r="AM29" s="2"/>
      <c r="AP29">
        <v>255</v>
      </c>
      <c r="AQ29">
        <v>494</v>
      </c>
    </row>
    <row r="30" spans="1:55">
      <c r="A30" s="29" t="s">
        <v>648</v>
      </c>
      <c r="F30">
        <v>269</v>
      </c>
      <c r="I30">
        <v>50</v>
      </c>
      <c r="V30" s="2"/>
      <c r="W30" s="2"/>
      <c r="X30" s="2"/>
      <c r="Y30" s="2"/>
      <c r="Z30" s="2"/>
      <c r="AA30" s="2"/>
      <c r="AB30" s="32"/>
      <c r="AC30" s="2"/>
      <c r="AD30" s="2"/>
      <c r="AF30" s="32"/>
      <c r="AG30" s="32"/>
      <c r="AH30" s="2"/>
      <c r="AL30" s="2"/>
      <c r="AP30">
        <v>303</v>
      </c>
      <c r="AQ30">
        <v>430</v>
      </c>
    </row>
    <row r="31" spans="1:55">
      <c r="A31" s="29" t="s">
        <v>821</v>
      </c>
      <c r="F31">
        <v>242</v>
      </c>
      <c r="G31">
        <v>16</v>
      </c>
      <c r="H31">
        <v>15</v>
      </c>
      <c r="I31">
        <v>15</v>
      </c>
      <c r="N31">
        <v>18</v>
      </c>
      <c r="O31">
        <v>20</v>
      </c>
      <c r="V31" s="2"/>
      <c r="W31" s="2"/>
      <c r="X31" s="2"/>
      <c r="Y31" s="2"/>
      <c r="Z31" s="2"/>
      <c r="AA31" s="2"/>
      <c r="AB31" s="32"/>
      <c r="AC31" s="2"/>
      <c r="AD31" s="2"/>
      <c r="AF31" s="32"/>
      <c r="AG31" s="32"/>
      <c r="AH31" s="2"/>
      <c r="AL31" s="32"/>
      <c r="AO31" s="2"/>
      <c r="AP31">
        <v>277</v>
      </c>
      <c r="AQ31">
        <v>480</v>
      </c>
      <c r="AR31" s="2"/>
      <c r="AS31" s="2"/>
    </row>
    <row r="32" spans="1:55">
      <c r="A32" s="29" t="s">
        <v>650</v>
      </c>
      <c r="F32">
        <v>188</v>
      </c>
      <c r="H32">
        <v>12</v>
      </c>
      <c r="J32">
        <v>12</v>
      </c>
      <c r="O32">
        <v>15</v>
      </c>
      <c r="V32" s="2"/>
      <c r="W32" s="2">
        <v>0.02</v>
      </c>
      <c r="X32" s="2"/>
      <c r="Y32" s="2"/>
      <c r="Z32" s="2"/>
      <c r="AA32" s="2"/>
      <c r="AB32" s="32"/>
      <c r="AC32" s="2"/>
      <c r="AD32" s="2"/>
      <c r="AE32">
        <v>4</v>
      </c>
      <c r="AF32" s="32"/>
      <c r="AG32" s="32"/>
      <c r="AH32" s="2"/>
      <c r="AL32" s="2"/>
      <c r="AP32">
        <v>233</v>
      </c>
      <c r="AQ32">
        <v>480</v>
      </c>
      <c r="AR32" s="2">
        <v>0.4</v>
      </c>
      <c r="AS32" s="2">
        <v>1</v>
      </c>
    </row>
    <row r="33" spans="1:55">
      <c r="A33" t="s">
        <v>776</v>
      </c>
      <c r="F33" s="32">
        <v>242</v>
      </c>
      <c r="N33">
        <v>15</v>
      </c>
      <c r="O33">
        <v>15</v>
      </c>
      <c r="V33" s="2">
        <v>0.03</v>
      </c>
      <c r="W33" s="2"/>
      <c r="X33" s="2"/>
      <c r="Y33" s="2"/>
      <c r="Z33" s="2"/>
      <c r="AA33" s="2"/>
      <c r="AB33" s="32"/>
      <c r="AC33" s="2"/>
      <c r="AD33" s="2"/>
      <c r="AF33" s="2"/>
      <c r="AG33" s="2"/>
      <c r="AH33" s="2"/>
      <c r="AL33" s="2"/>
      <c r="AP33">
        <f>268+36</f>
        <v>304</v>
      </c>
      <c r="AQ33">
        <v>510</v>
      </c>
    </row>
    <row r="34" spans="1:55">
      <c r="A34" t="s">
        <v>773</v>
      </c>
      <c r="F34" s="32">
        <v>242</v>
      </c>
      <c r="O34">
        <v>40</v>
      </c>
      <c r="V34" s="2"/>
      <c r="W34" s="2"/>
      <c r="X34" s="2"/>
      <c r="Y34" s="2"/>
      <c r="Z34" s="2"/>
      <c r="AA34" s="2"/>
      <c r="AB34" s="32"/>
      <c r="AC34" s="2"/>
      <c r="AD34" s="2"/>
      <c r="AF34" s="2"/>
      <c r="AG34" s="2"/>
      <c r="AH34" s="2"/>
      <c r="AL34" s="32"/>
      <c r="AM34" s="2"/>
      <c r="AP34">
        <v>297</v>
      </c>
      <c r="AQ34">
        <v>480</v>
      </c>
    </row>
    <row r="35" spans="1:55">
      <c r="A35" t="s">
        <v>942</v>
      </c>
      <c r="F35" s="32">
        <v>242</v>
      </c>
      <c r="O35">
        <v>34</v>
      </c>
      <c r="V35" s="2"/>
      <c r="W35" s="2">
        <v>0.05</v>
      </c>
      <c r="X35" s="2"/>
      <c r="Y35" s="2"/>
      <c r="Z35" s="2"/>
      <c r="AA35" s="2"/>
      <c r="AB35" s="32"/>
      <c r="AC35" s="2"/>
      <c r="AD35" s="2"/>
      <c r="AE35">
        <v>11</v>
      </c>
      <c r="AF35" s="2"/>
      <c r="AG35" s="2"/>
      <c r="AH35" s="2"/>
      <c r="AL35" s="32"/>
      <c r="AM35" s="2"/>
      <c r="AP35">
        <v>299</v>
      </c>
      <c r="AQ35">
        <v>475</v>
      </c>
    </row>
    <row r="36" spans="1:55">
      <c r="A36" s="29" t="s">
        <v>649</v>
      </c>
      <c r="F36">
        <v>269</v>
      </c>
      <c r="N36">
        <v>60</v>
      </c>
      <c r="V36" s="2"/>
      <c r="W36" s="2"/>
      <c r="X36" s="2"/>
      <c r="Y36" s="2"/>
      <c r="Z36" s="2"/>
      <c r="AA36" s="2"/>
      <c r="AB36" s="32"/>
      <c r="AC36" s="2">
        <v>0.14000000000000001</v>
      </c>
      <c r="AD36" s="2"/>
      <c r="AF36" s="2"/>
      <c r="AH36" s="2"/>
      <c r="AL36" s="2"/>
      <c r="AP36">
        <v>304</v>
      </c>
      <c r="AQ36">
        <v>431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5">
      <c r="A37" s="29" t="s">
        <v>868</v>
      </c>
      <c r="F37">
        <v>242</v>
      </c>
      <c r="N37">
        <v>40</v>
      </c>
      <c r="V37" s="2"/>
      <c r="W37" s="2"/>
      <c r="X37" s="2"/>
      <c r="Y37" s="2"/>
      <c r="Z37" s="2"/>
      <c r="AA37" s="2"/>
      <c r="AB37" s="32"/>
      <c r="AC37" s="2">
        <v>0.14000000000000001</v>
      </c>
      <c r="AD37" s="2"/>
      <c r="AF37" s="2"/>
      <c r="AH37" s="2"/>
      <c r="AL37" s="2"/>
      <c r="AP37">
        <v>224</v>
      </c>
      <c r="AQ37">
        <v>431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5">
      <c r="A38" s="29" t="s">
        <v>943</v>
      </c>
      <c r="F38">
        <v>242</v>
      </c>
      <c r="G38">
        <v>15</v>
      </c>
      <c r="N38">
        <v>45</v>
      </c>
      <c r="O38">
        <v>45</v>
      </c>
      <c r="V38" s="2">
        <v>0.06</v>
      </c>
      <c r="W38" s="2"/>
      <c r="X38" s="2"/>
      <c r="Y38" s="2"/>
      <c r="Z38" s="2"/>
      <c r="AA38" s="2"/>
      <c r="AB38" s="32"/>
      <c r="AC38" s="2"/>
      <c r="AD38" s="2"/>
      <c r="AF38" s="2"/>
      <c r="AH38" s="2">
        <v>0.02</v>
      </c>
      <c r="AL38" s="2"/>
      <c r="AP38">
        <v>312</v>
      </c>
      <c r="AQ38">
        <v>504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41" spans="1:55">
      <c r="A41" s="29" t="s">
        <v>610</v>
      </c>
      <c r="B41" t="s">
        <v>491</v>
      </c>
      <c r="C41" t="s">
        <v>488</v>
      </c>
      <c r="D41" t="s">
        <v>489</v>
      </c>
      <c r="E41" t="s">
        <v>490</v>
      </c>
      <c r="F41" s="29" t="s">
        <v>635</v>
      </c>
      <c r="G41" t="s">
        <v>3</v>
      </c>
      <c r="H41" t="s">
        <v>4</v>
      </c>
      <c r="I41" t="s">
        <v>5</v>
      </c>
      <c r="J41" t="s">
        <v>42</v>
      </c>
      <c r="K41" t="s">
        <v>181</v>
      </c>
      <c r="L41" t="s">
        <v>182</v>
      </c>
      <c r="M41" t="s">
        <v>244</v>
      </c>
      <c r="N41" t="s">
        <v>10</v>
      </c>
      <c r="O41" t="s">
        <v>9</v>
      </c>
      <c r="P41" t="s">
        <v>436</v>
      </c>
      <c r="Q41" t="s">
        <v>756</v>
      </c>
      <c r="R41" t="s">
        <v>757</v>
      </c>
      <c r="S41" t="s">
        <v>758</v>
      </c>
      <c r="T41" s="32" t="s">
        <v>759</v>
      </c>
      <c r="U41" s="173" t="s">
        <v>760</v>
      </c>
      <c r="V41" t="s">
        <v>12</v>
      </c>
      <c r="W41" t="s">
        <v>149</v>
      </c>
      <c r="X41" t="s">
        <v>415</v>
      </c>
      <c r="Y41" t="s">
        <v>595</v>
      </c>
      <c r="Z41" t="s">
        <v>453</v>
      </c>
      <c r="AA41" t="s">
        <v>265</v>
      </c>
      <c r="AB41" t="s">
        <v>11</v>
      </c>
      <c r="AC41" t="s">
        <v>125</v>
      </c>
      <c r="AD41" t="s">
        <v>124</v>
      </c>
      <c r="AE41" t="s">
        <v>454</v>
      </c>
      <c r="AF41" t="s">
        <v>122</v>
      </c>
      <c r="AG41" t="s">
        <v>183</v>
      </c>
      <c r="AH41" t="s">
        <v>163</v>
      </c>
      <c r="AI41" s="32" t="s">
        <v>563</v>
      </c>
      <c r="AJ41" s="32" t="s">
        <v>564</v>
      </c>
      <c r="AK41" s="29" t="s">
        <v>537</v>
      </c>
      <c r="AL41" t="s">
        <v>416</v>
      </c>
      <c r="AM41" t="s">
        <v>690</v>
      </c>
      <c r="AN41" s="32" t="s">
        <v>217</v>
      </c>
      <c r="AO41" t="s">
        <v>218</v>
      </c>
      <c r="AP41" t="s">
        <v>61</v>
      </c>
      <c r="AQ41" t="s">
        <v>62</v>
      </c>
      <c r="AR41" t="s">
        <v>437</v>
      </c>
      <c r="AS41" t="s">
        <v>438</v>
      </c>
      <c r="AT41" t="s">
        <v>439</v>
      </c>
      <c r="AU41" t="s">
        <v>440</v>
      </c>
      <c r="AV41" t="s">
        <v>441</v>
      </c>
      <c r="AW41" t="s">
        <v>442</v>
      </c>
      <c r="AX41" t="s">
        <v>443</v>
      </c>
      <c r="AY41" t="s">
        <v>444</v>
      </c>
      <c r="AZ41" t="s">
        <v>546</v>
      </c>
      <c r="BA41" t="s">
        <v>547</v>
      </c>
      <c r="BB41" t="s">
        <v>548</v>
      </c>
      <c r="BC41" t="s">
        <v>291</v>
      </c>
    </row>
    <row r="42" spans="1:55">
      <c r="A42" t="s">
        <v>53</v>
      </c>
      <c r="V42" s="2"/>
      <c r="W42" s="2"/>
      <c r="X42" s="2"/>
      <c r="Y42" s="2"/>
      <c r="Z42" s="2"/>
      <c r="AA42" s="2"/>
      <c r="AB42" s="32"/>
      <c r="AC42" s="2"/>
      <c r="AD42" s="2"/>
      <c r="AF42" s="2"/>
      <c r="AH42" s="2"/>
      <c r="AL42" s="2"/>
      <c r="AP42">
        <v>0</v>
      </c>
      <c r="AQ42">
        <v>0</v>
      </c>
    </row>
    <row r="43" spans="1:55">
      <c r="A43" s="29" t="s">
        <v>786</v>
      </c>
      <c r="F43">
        <v>242</v>
      </c>
      <c r="N43">
        <v>35</v>
      </c>
      <c r="O43">
        <v>20</v>
      </c>
      <c r="V43" s="2"/>
      <c r="W43" s="2"/>
      <c r="X43" s="2"/>
      <c r="Y43" s="2"/>
      <c r="Z43" s="2"/>
      <c r="AA43" s="2"/>
      <c r="AB43" s="32"/>
      <c r="AC43" s="2">
        <v>0.05</v>
      </c>
      <c r="AD43" s="2"/>
      <c r="AF43" s="2"/>
      <c r="AG43" s="32">
        <v>200</v>
      </c>
      <c r="AH43" s="2">
        <v>7.0000000000000007E-2</v>
      </c>
      <c r="AL43" s="2"/>
      <c r="AO43" s="2"/>
      <c r="AP43">
        <v>135</v>
      </c>
      <c r="AQ43">
        <v>268</v>
      </c>
      <c r="AR43" s="2"/>
      <c r="AS43" s="2"/>
    </row>
    <row r="44" spans="1:55">
      <c r="A44" s="29" t="s">
        <v>798</v>
      </c>
      <c r="F44">
        <v>228</v>
      </c>
      <c r="G44">
        <v>7</v>
      </c>
      <c r="O44">
        <v>26</v>
      </c>
      <c r="V44" s="2">
        <v>0.03</v>
      </c>
      <c r="W44" s="2">
        <v>0.03</v>
      </c>
      <c r="X44" s="2"/>
      <c r="Y44" s="2"/>
      <c r="Z44" s="2"/>
      <c r="AA44" s="2"/>
      <c r="AB44" s="32"/>
      <c r="AC44" s="2">
        <v>0.05</v>
      </c>
      <c r="AD44" s="2"/>
      <c r="AF44" s="2"/>
      <c r="AG44" s="32">
        <v>200</v>
      </c>
      <c r="AH44" s="2">
        <v>7.0000000000000007E-2</v>
      </c>
      <c r="AL44" s="2"/>
      <c r="AO44" s="2"/>
      <c r="AP44">
        <v>158</v>
      </c>
      <c r="AQ44">
        <v>281</v>
      </c>
      <c r="AR44" s="2"/>
      <c r="AS44" s="2"/>
    </row>
    <row r="45" spans="1:55">
      <c r="A45" s="29" t="s">
        <v>711</v>
      </c>
      <c r="F45">
        <v>242</v>
      </c>
      <c r="V45" s="2"/>
      <c r="W45" s="2"/>
      <c r="X45" s="2"/>
      <c r="Y45" s="2"/>
      <c r="Z45" s="2"/>
      <c r="AA45" s="2"/>
      <c r="AB45" s="32"/>
      <c r="AC45" s="2"/>
      <c r="AD45" s="2"/>
      <c r="AF45" s="2"/>
      <c r="AH45" s="2"/>
      <c r="AL45" s="2"/>
      <c r="AP45">
        <v>164</v>
      </c>
      <c r="AQ45">
        <v>312</v>
      </c>
    </row>
    <row r="48" spans="1:55">
      <c r="A48" t="s">
        <v>137</v>
      </c>
      <c r="B48" t="s">
        <v>491</v>
      </c>
      <c r="C48" t="s">
        <v>488</v>
      </c>
      <c r="D48" t="s">
        <v>489</v>
      </c>
      <c r="E48" t="s">
        <v>490</v>
      </c>
      <c r="F48" s="29" t="s">
        <v>635</v>
      </c>
      <c r="G48" t="s">
        <v>3</v>
      </c>
      <c r="H48" t="s">
        <v>4</v>
      </c>
      <c r="I48" t="s">
        <v>5</v>
      </c>
      <c r="J48" t="s">
        <v>42</v>
      </c>
      <c r="K48" t="s">
        <v>181</v>
      </c>
      <c r="L48" t="s">
        <v>182</v>
      </c>
      <c r="M48" t="s">
        <v>244</v>
      </c>
      <c r="N48" t="s">
        <v>10</v>
      </c>
      <c r="O48" t="s">
        <v>9</v>
      </c>
      <c r="P48" t="s">
        <v>436</v>
      </c>
      <c r="Q48" t="s">
        <v>756</v>
      </c>
      <c r="R48" t="s">
        <v>757</v>
      </c>
      <c r="S48" t="s">
        <v>758</v>
      </c>
      <c r="T48" s="32" t="s">
        <v>759</v>
      </c>
      <c r="U48" s="173" t="s">
        <v>760</v>
      </c>
      <c r="V48" t="s">
        <v>12</v>
      </c>
      <c r="W48" t="s">
        <v>149</v>
      </c>
      <c r="X48" t="s">
        <v>415</v>
      </c>
      <c r="Y48" t="s">
        <v>595</v>
      </c>
      <c r="Z48" t="s">
        <v>453</v>
      </c>
      <c r="AA48" t="s">
        <v>265</v>
      </c>
      <c r="AB48" t="s">
        <v>11</v>
      </c>
      <c r="AC48" t="s">
        <v>125</v>
      </c>
      <c r="AD48" t="s">
        <v>124</v>
      </c>
      <c r="AE48" t="s">
        <v>454</v>
      </c>
      <c r="AF48" t="s">
        <v>122</v>
      </c>
      <c r="AG48" t="s">
        <v>183</v>
      </c>
      <c r="AH48" t="s">
        <v>163</v>
      </c>
      <c r="AI48" s="32" t="s">
        <v>563</v>
      </c>
      <c r="AJ48" s="32" t="s">
        <v>564</v>
      </c>
      <c r="AK48" s="29" t="s">
        <v>537</v>
      </c>
      <c r="AL48" t="s">
        <v>416</v>
      </c>
      <c r="AM48" t="s">
        <v>690</v>
      </c>
      <c r="AN48" s="32" t="s">
        <v>217</v>
      </c>
      <c r="AO48" t="s">
        <v>218</v>
      </c>
      <c r="AP48" t="s">
        <v>61</v>
      </c>
      <c r="AQ48" t="s">
        <v>62</v>
      </c>
      <c r="AR48" t="s">
        <v>437</v>
      </c>
      <c r="AS48" t="s">
        <v>438</v>
      </c>
      <c r="AT48" t="s">
        <v>439</v>
      </c>
      <c r="AU48" t="s">
        <v>440</v>
      </c>
      <c r="AV48" t="s">
        <v>441</v>
      </c>
      <c r="AW48" t="s">
        <v>442</v>
      </c>
      <c r="AX48" t="s">
        <v>443</v>
      </c>
      <c r="AY48" t="s">
        <v>444</v>
      </c>
      <c r="AZ48" t="s">
        <v>546</v>
      </c>
      <c r="BA48" t="s">
        <v>547</v>
      </c>
      <c r="BB48" t="s">
        <v>548</v>
      </c>
      <c r="BC48" t="s">
        <v>291</v>
      </c>
    </row>
    <row r="49" spans="1:53">
      <c r="A49" t="s">
        <v>53</v>
      </c>
      <c r="V49" s="2"/>
      <c r="W49" s="2"/>
      <c r="X49" s="2"/>
      <c r="Y49" s="2"/>
      <c r="Z49" s="2"/>
      <c r="AA49" s="2"/>
      <c r="AC49" s="2"/>
      <c r="AD49" s="2"/>
      <c r="AE49" s="32"/>
      <c r="AF49" s="2"/>
      <c r="AG49" s="2"/>
      <c r="AH49" s="2"/>
      <c r="AL49" s="2"/>
      <c r="AP49">
        <v>0</v>
      </c>
      <c r="AQ49">
        <v>0</v>
      </c>
    </row>
    <row r="50" spans="1:53">
      <c r="A50" s="29" t="s">
        <v>688</v>
      </c>
      <c r="N50">
        <v>6</v>
      </c>
      <c r="AE50" s="32">
        <v>6</v>
      </c>
      <c r="AJ50"/>
      <c r="AK50"/>
      <c r="AM50"/>
      <c r="AN50" s="2"/>
      <c r="AP50">
        <v>0</v>
      </c>
      <c r="AQ50">
        <v>0</v>
      </c>
      <c r="AR50" s="32"/>
      <c r="AS50" s="32"/>
    </row>
    <row r="51" spans="1:53">
      <c r="A51" t="s">
        <v>144</v>
      </c>
      <c r="V51" s="2"/>
      <c r="W51" s="2"/>
      <c r="X51" s="2"/>
      <c r="Y51" s="2"/>
      <c r="Z51" s="2"/>
      <c r="AA51" s="2"/>
      <c r="AC51" s="2">
        <v>0.03</v>
      </c>
      <c r="AD51" s="2"/>
      <c r="AE51" s="32"/>
      <c r="AF51" s="2"/>
      <c r="AG51" s="2"/>
      <c r="AH51" s="2"/>
      <c r="AL51" s="2"/>
      <c r="AP51">
        <v>0</v>
      </c>
      <c r="AQ51">
        <v>0</v>
      </c>
    </row>
    <row r="52" spans="1:53">
      <c r="A52" t="s">
        <v>777</v>
      </c>
      <c r="G52">
        <v>2</v>
      </c>
      <c r="K52">
        <v>2</v>
      </c>
      <c r="O52">
        <v>15</v>
      </c>
      <c r="V52" s="2">
        <v>0.01</v>
      </c>
      <c r="W52" s="2"/>
      <c r="X52" s="2"/>
      <c r="Y52" s="2"/>
      <c r="Z52" s="2"/>
      <c r="AA52" s="2"/>
      <c r="AC52" s="2"/>
      <c r="AD52" s="2"/>
      <c r="AE52" s="32">
        <v>2</v>
      </c>
      <c r="AF52" s="2"/>
      <c r="AG52" s="2"/>
      <c r="AH52" s="2"/>
      <c r="AL52" s="2"/>
    </row>
    <row r="53" spans="1:53">
      <c r="A53" t="s">
        <v>750</v>
      </c>
      <c r="N53">
        <v>5</v>
      </c>
      <c r="O53">
        <v>5</v>
      </c>
      <c r="V53" s="2"/>
      <c r="W53" s="2"/>
      <c r="X53" s="2"/>
      <c r="Y53" s="2"/>
      <c r="Z53" s="2"/>
      <c r="AA53" s="2"/>
      <c r="AC53" s="2"/>
      <c r="AD53" s="2"/>
      <c r="AE53" s="32"/>
      <c r="AF53" s="2"/>
      <c r="AG53" s="2"/>
      <c r="AH53" s="2"/>
      <c r="AL53" s="2"/>
    </row>
    <row r="54" spans="1:53">
      <c r="A54" t="s">
        <v>751</v>
      </c>
      <c r="N54">
        <v>6</v>
      </c>
      <c r="O54">
        <v>6</v>
      </c>
      <c r="V54" s="2">
        <v>0.01</v>
      </c>
      <c r="W54" s="2"/>
      <c r="X54" s="2"/>
      <c r="Y54" s="2"/>
      <c r="Z54" s="2"/>
      <c r="AA54" s="2"/>
      <c r="AC54" s="2"/>
      <c r="AD54" s="2"/>
      <c r="AE54" s="32"/>
      <c r="AF54" s="2"/>
      <c r="AG54" s="2"/>
      <c r="AH54" s="2"/>
      <c r="AL54" s="2"/>
    </row>
    <row r="55" spans="1:53">
      <c r="A55" t="s">
        <v>493</v>
      </c>
      <c r="V55" s="2">
        <v>0.03</v>
      </c>
      <c r="W55" s="2"/>
      <c r="X55" s="2"/>
      <c r="Y55" s="2"/>
      <c r="Z55" s="2"/>
      <c r="AA55" s="2"/>
      <c r="AC55" s="2"/>
      <c r="AD55" s="2"/>
      <c r="AE55" s="32"/>
      <c r="AF55" s="2"/>
      <c r="AG55" s="2"/>
      <c r="AH55" s="2"/>
      <c r="AL55" s="2"/>
      <c r="AP55">
        <v>0</v>
      </c>
      <c r="AQ55">
        <v>0</v>
      </c>
    </row>
    <row r="56" spans="1:53">
      <c r="A56" s="29" t="s">
        <v>851</v>
      </c>
      <c r="N56">
        <v>10</v>
      </c>
      <c r="S56">
        <v>8</v>
      </c>
      <c r="V56" s="2">
        <v>0.01</v>
      </c>
      <c r="W56" s="2"/>
      <c r="X56" s="2"/>
      <c r="Y56" s="2"/>
      <c r="Z56" s="2"/>
      <c r="AA56" s="2"/>
      <c r="AC56" s="2"/>
      <c r="AD56" s="2"/>
      <c r="AE56" s="32"/>
      <c r="AF56" s="2"/>
      <c r="AG56" s="2"/>
      <c r="AH56" s="2"/>
      <c r="AL56" s="2"/>
    </row>
    <row r="57" spans="1:53">
      <c r="A57" t="s">
        <v>779</v>
      </c>
      <c r="G57">
        <v>6</v>
      </c>
      <c r="I57">
        <v>3</v>
      </c>
      <c r="V57" s="2"/>
      <c r="W57" s="2"/>
      <c r="X57" s="2"/>
      <c r="Y57" s="2"/>
      <c r="Z57" s="2"/>
      <c r="AA57" s="2"/>
      <c r="AC57" s="2"/>
      <c r="AD57" s="2"/>
      <c r="AE57" s="32">
        <v>3</v>
      </c>
      <c r="AF57" s="2"/>
      <c r="AG57" s="2"/>
      <c r="AH57" s="2"/>
      <c r="AL57" s="2"/>
    </row>
    <row r="58" spans="1:53">
      <c r="A58" s="29" t="s">
        <v>689</v>
      </c>
      <c r="V58" s="2"/>
      <c r="W58" s="2"/>
      <c r="X58" s="2"/>
      <c r="Y58" s="2"/>
      <c r="Z58" s="2"/>
      <c r="AA58" s="2"/>
      <c r="AC58" s="2"/>
      <c r="AD58" s="2"/>
      <c r="AE58" s="32"/>
      <c r="AF58" s="2"/>
      <c r="AG58" s="2"/>
      <c r="AH58" s="2"/>
      <c r="AK58" s="2"/>
      <c r="AL58" s="2"/>
      <c r="AM58" s="2">
        <v>-0.05</v>
      </c>
      <c r="AP58">
        <v>0</v>
      </c>
      <c r="AQ58">
        <v>0</v>
      </c>
    </row>
    <row r="59" spans="1:53" s="185" customFormat="1" ht="12.75" customHeight="1">
      <c r="A59" s="29" t="s">
        <v>874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>
        <v>10</v>
      </c>
      <c r="P59" s="29"/>
      <c r="Q59" s="29"/>
      <c r="R59" s="29"/>
      <c r="S59" s="29"/>
      <c r="T59" s="29"/>
      <c r="U59" s="29"/>
      <c r="V59" s="12"/>
      <c r="W59" s="12"/>
      <c r="X59" s="12"/>
      <c r="Y59" s="12"/>
      <c r="Z59" s="12"/>
      <c r="AA59" s="12"/>
      <c r="AB59" s="29"/>
      <c r="AC59" s="12"/>
      <c r="AD59" s="12"/>
      <c r="AE59" s="29">
        <v>5</v>
      </c>
      <c r="AF59" s="12"/>
      <c r="AG59" s="12"/>
      <c r="AH59" s="12"/>
      <c r="AI59" s="29"/>
      <c r="AJ59" s="29"/>
      <c r="AK59" s="12"/>
      <c r="AL59" s="29"/>
      <c r="AM59" s="12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</row>
    <row r="60" spans="1:53" s="185" customFormat="1" ht="12.75" customHeight="1">
      <c r="A60" s="29" t="s">
        <v>875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>
        <v>15</v>
      </c>
      <c r="P60" s="29"/>
      <c r="Q60" s="29"/>
      <c r="R60" s="29"/>
      <c r="S60" s="29"/>
      <c r="T60" s="29"/>
      <c r="U60" s="29"/>
      <c r="V60" s="12"/>
      <c r="W60" s="12"/>
      <c r="X60" s="12"/>
      <c r="Y60" s="12"/>
      <c r="Z60" s="12"/>
      <c r="AA60" s="12"/>
      <c r="AB60" s="29"/>
      <c r="AC60" s="12"/>
      <c r="AD60" s="12"/>
      <c r="AE60" s="29">
        <v>7</v>
      </c>
      <c r="AF60" s="12"/>
      <c r="AG60" s="12"/>
      <c r="AH60" s="12"/>
      <c r="AI60" s="29"/>
      <c r="AJ60" s="29"/>
      <c r="AK60" s="12"/>
      <c r="AL60" s="29"/>
      <c r="AM60" s="12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</row>
    <row r="61" spans="1:53">
      <c r="A61" t="s">
        <v>139</v>
      </c>
      <c r="V61" s="2">
        <v>0.02</v>
      </c>
      <c r="W61" s="2"/>
      <c r="X61" s="2"/>
      <c r="Y61" s="2"/>
      <c r="Z61" s="2"/>
      <c r="AA61" s="2"/>
      <c r="AC61" s="2"/>
      <c r="AD61" s="2"/>
      <c r="AE61" s="32"/>
      <c r="AF61" s="2"/>
      <c r="AG61" s="2"/>
      <c r="AH61" s="2"/>
      <c r="AL61" s="2"/>
      <c r="AP61">
        <v>0</v>
      </c>
      <c r="AQ61">
        <v>0</v>
      </c>
    </row>
    <row r="62" spans="1:53">
      <c r="A62" t="s">
        <v>138</v>
      </c>
      <c r="V62" s="2"/>
      <c r="W62" s="2"/>
      <c r="X62" s="2"/>
      <c r="Y62" s="2"/>
      <c r="Z62" s="2"/>
      <c r="AA62" s="2"/>
      <c r="AC62" s="2"/>
      <c r="AD62" s="2"/>
      <c r="AE62" s="32">
        <v>4</v>
      </c>
      <c r="AF62" s="2"/>
      <c r="AG62" s="2"/>
      <c r="AH62" s="2"/>
      <c r="AL62" s="2"/>
      <c r="AP62">
        <v>0</v>
      </c>
      <c r="AQ62">
        <v>0</v>
      </c>
    </row>
    <row r="63" spans="1:53">
      <c r="A63" t="s">
        <v>143</v>
      </c>
      <c r="V63" s="2"/>
      <c r="W63" s="2"/>
      <c r="X63" s="2"/>
      <c r="Y63" s="2"/>
      <c r="Z63" s="2"/>
      <c r="AA63" s="2"/>
      <c r="AC63" s="2"/>
      <c r="AD63" s="2"/>
      <c r="AE63" s="32"/>
      <c r="AF63" s="2"/>
      <c r="AG63" s="2"/>
      <c r="AH63" s="2"/>
      <c r="AK63" s="2"/>
      <c r="AL63" s="2"/>
      <c r="AM63" s="2">
        <v>0.03</v>
      </c>
      <c r="AP63">
        <v>0</v>
      </c>
      <c r="AQ63">
        <v>0</v>
      </c>
    </row>
    <row r="64" spans="1:53">
      <c r="A64" t="s">
        <v>766</v>
      </c>
      <c r="N64">
        <v>10</v>
      </c>
      <c r="O64">
        <v>10</v>
      </c>
      <c r="V64" s="2"/>
      <c r="W64" s="2"/>
      <c r="X64" s="2"/>
      <c r="Y64" s="2"/>
      <c r="Z64" s="2"/>
      <c r="AA64" s="2"/>
      <c r="AC64" s="2"/>
      <c r="AD64" s="2"/>
      <c r="AE64" s="32"/>
      <c r="AF64" s="2"/>
      <c r="AG64" s="2"/>
      <c r="AH64" s="2"/>
      <c r="AK64" s="2"/>
      <c r="AL64" s="2"/>
      <c r="AM64" s="2"/>
      <c r="AN64" s="32">
        <v>50</v>
      </c>
    </row>
    <row r="65" spans="1:43">
      <c r="A65" t="s">
        <v>932</v>
      </c>
      <c r="N65">
        <v>30</v>
      </c>
      <c r="O65">
        <v>30</v>
      </c>
      <c r="V65" s="2"/>
      <c r="W65" s="2"/>
      <c r="X65" s="2"/>
      <c r="Y65" s="2"/>
      <c r="Z65" s="2"/>
      <c r="AA65" s="2"/>
      <c r="AB65" s="32"/>
      <c r="AC65" s="2"/>
      <c r="AD65" s="2"/>
      <c r="AE65" s="32"/>
      <c r="AF65" s="2"/>
      <c r="AG65" s="2"/>
      <c r="AH65" s="2"/>
      <c r="AL65" s="2"/>
    </row>
    <row r="66" spans="1:43">
      <c r="A66" t="s">
        <v>492</v>
      </c>
      <c r="B66">
        <v>4</v>
      </c>
      <c r="D66">
        <v>4</v>
      </c>
      <c r="G66">
        <v>4</v>
      </c>
      <c r="V66" s="2"/>
      <c r="W66" s="2"/>
      <c r="X66" s="2"/>
      <c r="Y66" s="2"/>
      <c r="Z66" s="2"/>
      <c r="AA66" s="2"/>
      <c r="AC66" s="2"/>
      <c r="AD66" s="2"/>
      <c r="AE66" s="32"/>
      <c r="AF66" s="2"/>
      <c r="AG66" s="2"/>
      <c r="AH66" s="2"/>
      <c r="AL66" s="2"/>
      <c r="AP66">
        <v>0</v>
      </c>
      <c r="AQ66">
        <v>0</v>
      </c>
    </row>
    <row r="67" spans="1:43">
      <c r="AE67" s="32"/>
    </row>
    <row r="68" spans="1:43">
      <c r="AE68" s="32"/>
    </row>
    <row r="69" spans="1:43">
      <c r="A69" t="s">
        <v>15</v>
      </c>
      <c r="B69" t="s">
        <v>491</v>
      </c>
      <c r="C69" t="s">
        <v>488</v>
      </c>
      <c r="D69" t="s">
        <v>489</v>
      </c>
      <c r="E69" t="s">
        <v>490</v>
      </c>
      <c r="F69" s="29" t="s">
        <v>635</v>
      </c>
      <c r="G69" t="s">
        <v>3</v>
      </c>
      <c r="H69" t="s">
        <v>4</v>
      </c>
      <c r="I69" t="s">
        <v>5</v>
      </c>
      <c r="J69" t="s">
        <v>42</v>
      </c>
      <c r="K69" t="s">
        <v>181</v>
      </c>
      <c r="L69" t="s">
        <v>182</v>
      </c>
      <c r="M69" t="s">
        <v>244</v>
      </c>
      <c r="N69" t="s">
        <v>10</v>
      </c>
      <c r="O69" t="s">
        <v>9</v>
      </c>
      <c r="P69" t="s">
        <v>436</v>
      </c>
      <c r="Q69" t="s">
        <v>756</v>
      </c>
      <c r="R69" t="s">
        <v>757</v>
      </c>
      <c r="S69" t="s">
        <v>758</v>
      </c>
      <c r="T69" s="32" t="s">
        <v>759</v>
      </c>
      <c r="U69" s="173" t="s">
        <v>760</v>
      </c>
      <c r="V69" t="s">
        <v>12</v>
      </c>
      <c r="W69" t="s">
        <v>149</v>
      </c>
      <c r="X69" t="s">
        <v>415</v>
      </c>
      <c r="Y69" t="s">
        <v>595</v>
      </c>
      <c r="Z69" t="s">
        <v>453</v>
      </c>
      <c r="AA69" t="s">
        <v>265</v>
      </c>
      <c r="AB69" t="s">
        <v>11</v>
      </c>
      <c r="AC69" t="s">
        <v>125</v>
      </c>
      <c r="AD69" t="s">
        <v>124</v>
      </c>
      <c r="AE69" s="32" t="s">
        <v>454</v>
      </c>
      <c r="AF69" t="s">
        <v>122</v>
      </c>
      <c r="AG69" t="s">
        <v>183</v>
      </c>
      <c r="AH69" t="s">
        <v>163</v>
      </c>
      <c r="AI69" s="32" t="s">
        <v>563</v>
      </c>
      <c r="AJ69" s="32" t="s">
        <v>564</v>
      </c>
      <c r="AK69" s="29" t="s">
        <v>537</v>
      </c>
      <c r="AL69" t="s">
        <v>416</v>
      </c>
      <c r="AM69" t="s">
        <v>690</v>
      </c>
      <c r="AN69" s="32" t="s">
        <v>217</v>
      </c>
      <c r="AO69" t="s">
        <v>218</v>
      </c>
    </row>
    <row r="70" spans="1:43">
      <c r="A70" t="s">
        <v>328</v>
      </c>
      <c r="O70">
        <v>2</v>
      </c>
      <c r="V70" s="2">
        <v>0.01</v>
      </c>
      <c r="W70" s="2"/>
      <c r="X70" s="2"/>
      <c r="Y70" s="2"/>
      <c r="Z70" s="2"/>
      <c r="AA70" s="2"/>
      <c r="AB70" s="32"/>
      <c r="AC70" s="2"/>
      <c r="AD70" s="2"/>
      <c r="AE70" s="32"/>
      <c r="AF70" s="2"/>
      <c r="AG70" s="2"/>
      <c r="AH70" s="2"/>
      <c r="AL70" s="2"/>
    </row>
    <row r="71" spans="1:43">
      <c r="A71" s="29" t="s">
        <v>657</v>
      </c>
      <c r="G71">
        <v>5</v>
      </c>
      <c r="V71" s="2"/>
      <c r="W71" s="2"/>
      <c r="X71" s="2"/>
      <c r="Y71" s="2"/>
      <c r="Z71" s="2"/>
      <c r="AA71" s="2"/>
      <c r="AB71" s="32"/>
      <c r="AC71" s="2"/>
      <c r="AD71" s="2"/>
      <c r="AE71" s="32"/>
      <c r="AF71" s="2"/>
      <c r="AG71" s="2"/>
      <c r="AH71" s="2"/>
      <c r="AL71" s="2"/>
      <c r="AN71" s="32">
        <v>20</v>
      </c>
    </row>
    <row r="72" spans="1:43">
      <c r="A72" t="s">
        <v>100</v>
      </c>
      <c r="I72">
        <v>4</v>
      </c>
      <c r="V72" s="2"/>
      <c r="W72" s="2"/>
      <c r="X72" s="2"/>
      <c r="Y72" s="2"/>
      <c r="Z72" s="2"/>
      <c r="AA72" s="2"/>
      <c r="AB72" s="32"/>
      <c r="AC72" s="2"/>
      <c r="AD72" s="2"/>
      <c r="AE72" s="32"/>
      <c r="AF72" s="2"/>
      <c r="AG72" s="2"/>
      <c r="AH72" s="2"/>
      <c r="AL72" s="2"/>
    </row>
    <row r="73" spans="1:43">
      <c r="A73" t="s">
        <v>78</v>
      </c>
      <c r="H73">
        <v>1</v>
      </c>
      <c r="N73">
        <v>4</v>
      </c>
      <c r="O73">
        <v>4</v>
      </c>
      <c r="V73" s="2"/>
      <c r="W73" s="2"/>
      <c r="X73" s="2"/>
      <c r="Y73" s="2"/>
      <c r="Z73" s="2"/>
      <c r="AA73" s="2"/>
      <c r="AB73" s="32"/>
      <c r="AC73" s="2"/>
      <c r="AD73" s="2"/>
      <c r="AE73" s="32"/>
      <c r="AF73" s="2"/>
      <c r="AG73" s="2"/>
      <c r="AH73" s="2"/>
      <c r="AL73" s="2"/>
    </row>
    <row r="74" spans="1:43">
      <c r="A74" t="s">
        <v>207</v>
      </c>
      <c r="O74">
        <v>12</v>
      </c>
      <c r="V74" s="2"/>
      <c r="W74" s="2"/>
      <c r="X74" s="2"/>
      <c r="Y74" s="2"/>
      <c r="Z74" s="2"/>
      <c r="AA74" s="2"/>
      <c r="AB74" s="32"/>
      <c r="AC74" s="2"/>
      <c r="AD74" s="2"/>
      <c r="AE74" s="32"/>
      <c r="AF74" s="2"/>
      <c r="AG74" s="2"/>
      <c r="AH74" s="2"/>
      <c r="AL74" s="2"/>
    </row>
    <row r="75" spans="1:43">
      <c r="A75" t="s">
        <v>205</v>
      </c>
      <c r="N75">
        <v>6</v>
      </c>
      <c r="O75">
        <v>6</v>
      </c>
      <c r="V75" s="2"/>
      <c r="W75" s="2"/>
      <c r="X75" s="2"/>
      <c r="Y75" s="2"/>
      <c r="Z75" s="2"/>
      <c r="AA75" s="2"/>
      <c r="AB75" s="32"/>
      <c r="AC75" s="2"/>
      <c r="AD75" s="2"/>
      <c r="AE75" s="32"/>
      <c r="AF75" s="2"/>
      <c r="AG75" s="2"/>
      <c r="AH75" s="2"/>
      <c r="AL75" s="2"/>
    </row>
    <row r="76" spans="1:43">
      <c r="A76" t="s">
        <v>206</v>
      </c>
      <c r="G76">
        <v>2</v>
      </c>
      <c r="V76" s="2"/>
      <c r="W76" s="2"/>
      <c r="X76" s="2"/>
      <c r="Y76" s="2"/>
      <c r="Z76" s="2"/>
      <c r="AA76" s="2"/>
      <c r="AB76" s="32"/>
      <c r="AC76" s="2"/>
      <c r="AD76" s="2"/>
      <c r="AE76" s="32"/>
      <c r="AF76" s="2"/>
      <c r="AG76" s="2"/>
      <c r="AH76" s="2"/>
      <c r="AL76" s="2"/>
    </row>
    <row r="77" spans="1:43">
      <c r="A77" t="s">
        <v>770</v>
      </c>
      <c r="G77">
        <v>3</v>
      </c>
      <c r="K77">
        <v>5</v>
      </c>
      <c r="O77">
        <v>10</v>
      </c>
      <c r="V77" s="2"/>
      <c r="W77" s="2"/>
      <c r="X77" s="2"/>
      <c r="Y77" s="2"/>
      <c r="Z77" s="2"/>
      <c r="AA77" s="2"/>
      <c r="AB77" s="32"/>
      <c r="AC77" s="2"/>
      <c r="AD77" s="2"/>
      <c r="AE77" s="32"/>
      <c r="AF77" s="2"/>
      <c r="AG77" s="2"/>
      <c r="AH77" s="2"/>
      <c r="AL77" s="2"/>
    </row>
    <row r="78" spans="1:43">
      <c r="A78" s="29" t="s">
        <v>855</v>
      </c>
      <c r="N78">
        <v>-10</v>
      </c>
      <c r="O78">
        <v>10</v>
      </c>
      <c r="V78" s="2">
        <v>0.02</v>
      </c>
      <c r="W78" s="2"/>
      <c r="X78" s="2"/>
      <c r="Y78" s="2"/>
      <c r="Z78" s="2"/>
      <c r="AA78" s="2"/>
      <c r="AB78" s="32"/>
      <c r="AC78" s="2"/>
      <c r="AD78" s="2"/>
      <c r="AE78" s="32"/>
      <c r="AF78" s="2"/>
      <c r="AG78" s="2"/>
      <c r="AH78" s="2"/>
      <c r="AL78" s="2"/>
    </row>
    <row r="79" spans="1:43">
      <c r="A79" t="s">
        <v>698</v>
      </c>
      <c r="N79">
        <v>5</v>
      </c>
      <c r="O79">
        <v>10</v>
      </c>
      <c r="V79" s="2"/>
      <c r="W79" s="2"/>
      <c r="X79" s="2"/>
      <c r="Y79" s="2"/>
      <c r="Z79" s="2"/>
      <c r="AA79" s="2"/>
      <c r="AB79" s="32"/>
      <c r="AC79" s="2"/>
      <c r="AD79" s="2"/>
      <c r="AE79" s="32">
        <v>3</v>
      </c>
      <c r="AF79" s="2"/>
      <c r="AG79" s="2"/>
      <c r="AH79" s="2"/>
      <c r="AL79" s="2"/>
    </row>
    <row r="80" spans="1:43">
      <c r="A80" t="s">
        <v>445</v>
      </c>
      <c r="O80">
        <v>3</v>
      </c>
      <c r="V80" s="2"/>
      <c r="W80" s="2"/>
      <c r="X80" s="2"/>
      <c r="Y80" s="2"/>
      <c r="Z80" s="2"/>
      <c r="AA80" s="2"/>
      <c r="AB80" s="32"/>
      <c r="AC80" s="2"/>
      <c r="AD80" s="2"/>
      <c r="AE80" s="32">
        <v>3</v>
      </c>
      <c r="AF80" s="2"/>
      <c r="AG80" s="2"/>
      <c r="AH80" s="2"/>
      <c r="AL80" s="2"/>
    </row>
    <row r="81" spans="1:42">
      <c r="A81" t="s">
        <v>749</v>
      </c>
      <c r="N81">
        <v>10</v>
      </c>
      <c r="O81">
        <v>10</v>
      </c>
      <c r="V81" s="2"/>
      <c r="W81" s="2"/>
      <c r="X81" s="2"/>
      <c r="Y81" s="2"/>
      <c r="Z81" s="2"/>
      <c r="AA81" s="2"/>
      <c r="AB81" s="32">
        <v>21</v>
      </c>
      <c r="AC81" s="2"/>
      <c r="AD81" s="2"/>
      <c r="AE81" s="32">
        <v>-3</v>
      </c>
      <c r="AF81" s="32"/>
      <c r="AG81" s="32"/>
      <c r="AH81" s="2"/>
      <c r="AK81" s="2"/>
      <c r="AN81"/>
      <c r="AP81" s="2"/>
    </row>
    <row r="82" spans="1:42">
      <c r="A82" s="29" t="s">
        <v>645</v>
      </c>
      <c r="H82">
        <v>4</v>
      </c>
      <c r="N82">
        <v>4</v>
      </c>
      <c r="V82" s="2"/>
      <c r="W82" s="2"/>
      <c r="X82" s="2"/>
      <c r="Y82" s="2"/>
      <c r="Z82" s="2"/>
      <c r="AA82" s="2"/>
      <c r="AB82" s="32"/>
      <c r="AC82" s="2"/>
      <c r="AD82" s="2"/>
      <c r="AE82" s="32"/>
      <c r="AF82" s="32"/>
      <c r="AG82" s="32"/>
      <c r="AH82" s="2"/>
      <c r="AL82" s="2"/>
    </row>
    <row r="83" spans="1:42">
      <c r="A83" s="29" t="s">
        <v>931</v>
      </c>
      <c r="O83">
        <v>23</v>
      </c>
      <c r="V83" s="2"/>
      <c r="W83" s="2"/>
      <c r="X83" s="2"/>
      <c r="Y83" s="2"/>
      <c r="Z83" s="2"/>
      <c r="AA83" s="2"/>
      <c r="AB83" s="32"/>
      <c r="AC83" s="2"/>
      <c r="AD83" s="2"/>
      <c r="AE83" s="32"/>
      <c r="AF83" s="32"/>
      <c r="AG83" s="32"/>
      <c r="AH83" s="2">
        <v>0.06</v>
      </c>
      <c r="AL83" s="2"/>
    </row>
    <row r="84" spans="1:42">
      <c r="A84" t="s">
        <v>129</v>
      </c>
      <c r="V84" s="2"/>
      <c r="W84" s="2"/>
      <c r="X84" s="2"/>
      <c r="Y84" s="2"/>
      <c r="Z84" s="2"/>
      <c r="AA84" s="2"/>
      <c r="AB84" s="32"/>
      <c r="AC84" s="2"/>
      <c r="AD84" s="2"/>
      <c r="AE84" s="32"/>
      <c r="AF84" s="2"/>
      <c r="AG84" s="2"/>
      <c r="AH84" s="2"/>
      <c r="AL84" s="2"/>
    </row>
    <row r="85" spans="1:42">
      <c r="A85" t="s">
        <v>696</v>
      </c>
      <c r="K85">
        <v>4</v>
      </c>
      <c r="V85" s="2"/>
      <c r="W85" s="2"/>
      <c r="X85" s="2"/>
      <c r="Y85" s="2"/>
      <c r="Z85" s="2"/>
      <c r="AA85" s="2"/>
      <c r="AB85" s="32"/>
      <c r="AC85" s="2"/>
      <c r="AD85" s="2"/>
      <c r="AE85" s="32"/>
      <c r="AF85" s="2"/>
      <c r="AG85" s="2"/>
      <c r="AH85" s="2"/>
      <c r="AL85" s="2"/>
    </row>
    <row r="86" spans="1:42">
      <c r="A86" t="s">
        <v>748</v>
      </c>
      <c r="K86">
        <v>6</v>
      </c>
      <c r="V86" s="2"/>
      <c r="W86" s="2"/>
      <c r="X86" s="2"/>
      <c r="Y86" s="2"/>
      <c r="Z86" s="2"/>
      <c r="AA86" s="2"/>
      <c r="AB86" s="32"/>
      <c r="AC86" s="2"/>
      <c r="AD86" s="2"/>
      <c r="AE86" s="32"/>
      <c r="AF86" s="32"/>
      <c r="AG86" s="32"/>
      <c r="AH86" s="2"/>
      <c r="AK86" s="2"/>
      <c r="AN86"/>
      <c r="AP86" s="2"/>
    </row>
    <row r="87" spans="1:42">
      <c r="A87" t="s">
        <v>747</v>
      </c>
      <c r="L87">
        <v>4</v>
      </c>
      <c r="V87" s="2"/>
      <c r="W87" s="2"/>
      <c r="X87" s="2"/>
      <c r="Y87" s="2"/>
      <c r="Z87" s="2"/>
      <c r="AA87" s="2"/>
      <c r="AB87" s="32"/>
      <c r="AC87" s="2"/>
      <c r="AD87" s="2"/>
      <c r="AE87" s="32"/>
      <c r="AF87" s="32"/>
      <c r="AG87" s="32"/>
      <c r="AH87" s="2"/>
      <c r="AI87" s="2"/>
      <c r="AJ87" s="2"/>
      <c r="AK87" s="2"/>
      <c r="AM87" s="2"/>
      <c r="AN87"/>
    </row>
    <row r="88" spans="1:42">
      <c r="A88" t="s">
        <v>309</v>
      </c>
      <c r="V88" s="2"/>
      <c r="W88" s="2"/>
      <c r="X88" s="2"/>
      <c r="Y88" s="2"/>
      <c r="Z88" s="2"/>
      <c r="AA88" s="2"/>
      <c r="AB88" s="32"/>
      <c r="AC88" s="2"/>
      <c r="AD88" s="2"/>
      <c r="AE88" s="32"/>
      <c r="AF88" s="2"/>
      <c r="AG88" s="2"/>
      <c r="AH88" s="2"/>
      <c r="AL88" s="2"/>
      <c r="AN88" s="32">
        <v>10</v>
      </c>
    </row>
    <row r="89" spans="1:42">
      <c r="A89" t="s">
        <v>310</v>
      </c>
      <c r="V89" s="2"/>
      <c r="W89" s="2"/>
      <c r="X89" s="2"/>
      <c r="Y89" s="2"/>
      <c r="Z89" s="2"/>
      <c r="AA89" s="2"/>
      <c r="AB89" s="32"/>
      <c r="AC89" s="2"/>
      <c r="AD89" s="2"/>
      <c r="AE89" s="32"/>
      <c r="AF89" s="2"/>
      <c r="AG89" s="2"/>
      <c r="AH89" s="2"/>
      <c r="AL89" s="2"/>
      <c r="AN89" s="32">
        <v>12</v>
      </c>
    </row>
    <row r="90" spans="1:42">
      <c r="A90" s="29" t="s">
        <v>852</v>
      </c>
      <c r="G90">
        <v>5</v>
      </c>
      <c r="N90">
        <v>13</v>
      </c>
      <c r="O90">
        <v>13</v>
      </c>
      <c r="T90">
        <v>7</v>
      </c>
      <c r="V90" s="2"/>
      <c r="W90" s="2"/>
      <c r="X90" s="2"/>
      <c r="Y90" s="2"/>
      <c r="Z90" s="2"/>
      <c r="AA90" s="2"/>
      <c r="AB90" s="32"/>
      <c r="AC90" s="2"/>
      <c r="AD90" s="2"/>
      <c r="AE90" s="32"/>
      <c r="AF90" s="2"/>
      <c r="AG90" s="2"/>
      <c r="AH90" s="2"/>
      <c r="AL90" s="2"/>
    </row>
    <row r="91" spans="1:42" s="29" customFormat="1">
      <c r="A91" s="29" t="s">
        <v>718</v>
      </c>
      <c r="J91" s="29">
        <v>3</v>
      </c>
      <c r="N91" s="29">
        <v>15</v>
      </c>
      <c r="O91" s="29">
        <v>15</v>
      </c>
      <c r="V91" s="12"/>
      <c r="W91" s="12"/>
      <c r="X91" s="12"/>
      <c r="Y91" s="12"/>
      <c r="Z91" s="12"/>
      <c r="AA91" s="12"/>
      <c r="AB91" s="42"/>
      <c r="AC91" s="12"/>
      <c r="AD91" s="12"/>
      <c r="AE91" s="32"/>
      <c r="AF91" s="42"/>
      <c r="AG91" s="12"/>
      <c r="AH91" s="12"/>
      <c r="AI91" s="42"/>
      <c r="AJ91" s="42"/>
      <c r="AK91" s="42"/>
      <c r="AM91" s="42"/>
    </row>
    <row r="92" spans="1:42">
      <c r="A92" t="s">
        <v>101</v>
      </c>
      <c r="N92">
        <v>2</v>
      </c>
      <c r="O92">
        <v>2</v>
      </c>
      <c r="V92" s="2"/>
      <c r="W92" s="2"/>
      <c r="X92" s="2"/>
      <c r="Y92" s="2"/>
      <c r="Z92" s="2"/>
      <c r="AA92" s="2"/>
      <c r="AB92" s="32"/>
      <c r="AC92" s="2"/>
      <c r="AD92" s="2"/>
      <c r="AE92" s="32"/>
      <c r="AF92" s="2"/>
      <c r="AG92" s="2"/>
      <c r="AH92" s="2"/>
      <c r="AL92" s="2"/>
    </row>
    <row r="93" spans="1:42">
      <c r="A93" t="s">
        <v>329</v>
      </c>
      <c r="V93" s="2"/>
      <c r="W93" s="2"/>
      <c r="X93" s="2"/>
      <c r="Y93" s="2"/>
      <c r="Z93" s="2"/>
      <c r="AA93" s="2"/>
      <c r="AB93" s="32"/>
      <c r="AC93" s="2"/>
      <c r="AD93" s="2"/>
      <c r="AE93" s="32"/>
      <c r="AF93" s="2"/>
      <c r="AG93" s="2"/>
      <c r="AH93" s="2"/>
      <c r="AL93" s="2"/>
      <c r="AN93" s="32">
        <v>30</v>
      </c>
    </row>
    <row r="94" spans="1:42">
      <c r="A94" t="s">
        <v>76</v>
      </c>
      <c r="V94" s="2"/>
      <c r="W94" s="2"/>
      <c r="X94" s="2"/>
      <c r="Y94" s="2"/>
      <c r="Z94" s="2"/>
      <c r="AA94" s="2"/>
      <c r="AB94" s="32"/>
      <c r="AC94" s="2"/>
      <c r="AD94" s="2"/>
      <c r="AE94" s="32">
        <v>2</v>
      </c>
      <c r="AF94" s="2"/>
      <c r="AG94" s="2"/>
      <c r="AH94" s="2"/>
      <c r="AL94" s="2"/>
      <c r="AN94" s="32">
        <v>15</v>
      </c>
    </row>
    <row r="95" spans="1:42">
      <c r="A95" t="s">
        <v>706</v>
      </c>
      <c r="V95" s="2"/>
      <c r="W95" s="2"/>
      <c r="X95" s="2"/>
      <c r="Y95" s="2"/>
      <c r="Z95" s="2"/>
      <c r="AA95" s="2"/>
      <c r="AB95" s="32"/>
      <c r="AC95" s="2">
        <v>0.01</v>
      </c>
      <c r="AD95" s="2">
        <v>0.05</v>
      </c>
      <c r="AE95" s="32"/>
      <c r="AF95" s="2"/>
      <c r="AG95" s="32"/>
      <c r="AH95" s="2"/>
      <c r="AK95" s="2"/>
      <c r="AM95" s="2"/>
      <c r="AN95"/>
    </row>
    <row r="96" spans="1:42">
      <c r="A96" t="s">
        <v>707</v>
      </c>
      <c r="V96" s="2"/>
      <c r="W96" s="2"/>
      <c r="X96" s="2"/>
      <c r="Y96" s="2"/>
      <c r="Z96" s="2"/>
      <c r="AA96" s="2"/>
      <c r="AB96" s="32"/>
      <c r="AC96" s="2">
        <v>0.02</v>
      </c>
      <c r="AD96" s="2">
        <v>0.06</v>
      </c>
      <c r="AE96" s="32"/>
      <c r="AF96" s="2"/>
      <c r="AG96" s="32"/>
      <c r="AH96" s="2"/>
      <c r="AK96" s="2"/>
      <c r="AM96" s="2"/>
      <c r="AN96"/>
    </row>
    <row r="97" spans="1:42">
      <c r="AB97" s="32"/>
      <c r="AE97" s="32"/>
    </row>
    <row r="98" spans="1:42">
      <c r="AE98" s="32"/>
    </row>
    <row r="99" spans="1:42">
      <c r="A99" t="s">
        <v>16</v>
      </c>
      <c r="B99" t="s">
        <v>491</v>
      </c>
      <c r="C99" t="s">
        <v>488</v>
      </c>
      <c r="D99" t="s">
        <v>489</v>
      </c>
      <c r="E99" t="s">
        <v>490</v>
      </c>
      <c r="F99" s="29" t="s">
        <v>635</v>
      </c>
      <c r="G99" t="s">
        <v>3</v>
      </c>
      <c r="H99" t="s">
        <v>4</v>
      </c>
      <c r="I99" t="s">
        <v>5</v>
      </c>
      <c r="J99" t="s">
        <v>42</v>
      </c>
      <c r="K99" t="s">
        <v>181</v>
      </c>
      <c r="L99" t="s">
        <v>182</v>
      </c>
      <c r="M99" t="s">
        <v>244</v>
      </c>
      <c r="N99" t="s">
        <v>10</v>
      </c>
      <c r="O99" t="s">
        <v>9</v>
      </c>
      <c r="P99" t="s">
        <v>436</v>
      </c>
      <c r="Q99" t="s">
        <v>756</v>
      </c>
      <c r="R99" t="s">
        <v>757</v>
      </c>
      <c r="S99" t="s">
        <v>758</v>
      </c>
      <c r="T99" s="32" t="s">
        <v>759</v>
      </c>
      <c r="U99" s="173" t="s">
        <v>760</v>
      </c>
      <c r="V99" t="s">
        <v>12</v>
      </c>
      <c r="W99" t="s">
        <v>149</v>
      </c>
      <c r="X99" t="s">
        <v>415</v>
      </c>
      <c r="Y99" t="s">
        <v>595</v>
      </c>
      <c r="Z99" t="s">
        <v>453</v>
      </c>
      <c r="AA99" t="s">
        <v>265</v>
      </c>
      <c r="AB99" t="s">
        <v>11</v>
      </c>
      <c r="AC99" t="s">
        <v>125</v>
      </c>
      <c r="AD99" t="s">
        <v>124</v>
      </c>
      <c r="AE99" s="32" t="s">
        <v>454</v>
      </c>
      <c r="AF99" t="s">
        <v>122</v>
      </c>
      <c r="AG99" t="s">
        <v>183</v>
      </c>
      <c r="AH99" t="s">
        <v>163</v>
      </c>
      <c r="AI99" s="32" t="s">
        <v>563</v>
      </c>
      <c r="AJ99" s="32" t="s">
        <v>564</v>
      </c>
      <c r="AK99" s="29" t="s">
        <v>537</v>
      </c>
      <c r="AL99" t="s">
        <v>416</v>
      </c>
      <c r="AM99" t="s">
        <v>690</v>
      </c>
      <c r="AN99" s="32" t="s">
        <v>217</v>
      </c>
      <c r="AO99" t="s">
        <v>218</v>
      </c>
    </row>
    <row r="100" spans="1:42">
      <c r="A100" s="29" t="s">
        <v>804</v>
      </c>
      <c r="G100">
        <f>22+5</f>
        <v>27</v>
      </c>
      <c r="H100">
        <f>18+5</f>
        <v>23</v>
      </c>
      <c r="I100">
        <v>18</v>
      </c>
      <c r="J100">
        <v>16</v>
      </c>
      <c r="K100">
        <v>15</v>
      </c>
      <c r="L100">
        <v>15</v>
      </c>
      <c r="M100">
        <v>15</v>
      </c>
      <c r="N100">
        <v>20</v>
      </c>
      <c r="O100">
        <v>15</v>
      </c>
      <c r="V100" s="2">
        <v>0.02</v>
      </c>
      <c r="W100" s="2"/>
      <c r="X100" s="2"/>
      <c r="Y100" s="2"/>
      <c r="Z100" s="2"/>
      <c r="AA100" s="2"/>
      <c r="AB100" s="32">
        <v>71</v>
      </c>
      <c r="AC100" s="2"/>
      <c r="AD100" s="2"/>
      <c r="AE100" s="32">
        <v>3</v>
      </c>
      <c r="AF100" s="2"/>
      <c r="AG100" s="2"/>
      <c r="AH100" s="2"/>
      <c r="AL100" s="2"/>
      <c r="AN100" s="32">
        <v>38</v>
      </c>
      <c r="AO100" s="32"/>
      <c r="AP100" s="32"/>
    </row>
    <row r="101" spans="1:42">
      <c r="A101" s="29" t="s">
        <v>805</v>
      </c>
      <c r="G101">
        <f>22+5</f>
        <v>27</v>
      </c>
      <c r="H101">
        <f>18+5</f>
        <v>23</v>
      </c>
      <c r="I101">
        <v>18</v>
      </c>
      <c r="J101">
        <v>16</v>
      </c>
      <c r="K101">
        <v>15</v>
      </c>
      <c r="L101">
        <v>15</v>
      </c>
      <c r="M101">
        <v>15</v>
      </c>
      <c r="O101">
        <v>25</v>
      </c>
      <c r="V101" s="2"/>
      <c r="W101" s="2"/>
      <c r="X101" s="2"/>
      <c r="Y101" s="2"/>
      <c r="Z101" s="2"/>
      <c r="AA101" s="2"/>
      <c r="AB101" s="32">
        <v>71</v>
      </c>
      <c r="AC101" s="2"/>
      <c r="AD101" s="2"/>
      <c r="AE101" s="32">
        <v>7</v>
      </c>
      <c r="AF101" s="2"/>
      <c r="AG101" s="2"/>
      <c r="AH101" s="2"/>
      <c r="AL101" s="2"/>
      <c r="AN101" s="32">
        <v>38</v>
      </c>
      <c r="AO101" s="32"/>
      <c r="AP101" s="32"/>
    </row>
    <row r="102" spans="1:42">
      <c r="A102" s="29" t="s">
        <v>774</v>
      </c>
      <c r="G102">
        <f>22+7</f>
        <v>29</v>
      </c>
      <c r="H102">
        <f>18+7</f>
        <v>25</v>
      </c>
      <c r="I102">
        <v>18</v>
      </c>
      <c r="J102">
        <v>16</v>
      </c>
      <c r="K102">
        <v>15</v>
      </c>
      <c r="L102">
        <v>15</v>
      </c>
      <c r="M102">
        <v>15</v>
      </c>
      <c r="N102">
        <v>20</v>
      </c>
      <c r="O102">
        <f>15+20</f>
        <v>35</v>
      </c>
      <c r="V102" s="2">
        <v>0.03</v>
      </c>
      <c r="W102" s="2"/>
      <c r="X102" s="2"/>
      <c r="Y102" s="2"/>
      <c r="Z102" s="2"/>
      <c r="AA102" s="2"/>
      <c r="AB102" s="32">
        <v>71</v>
      </c>
      <c r="AC102" s="2"/>
      <c r="AD102" s="2"/>
      <c r="AE102" s="32">
        <v>3</v>
      </c>
      <c r="AF102" s="2"/>
      <c r="AG102" s="2"/>
      <c r="AH102" s="2"/>
      <c r="AL102" s="2"/>
      <c r="AN102" s="32">
        <v>38</v>
      </c>
      <c r="AO102" s="32"/>
      <c r="AP102" s="32"/>
    </row>
    <row r="103" spans="1:42">
      <c r="A103" s="29" t="s">
        <v>792</v>
      </c>
      <c r="G103">
        <f>22+7</f>
        <v>29</v>
      </c>
      <c r="H103">
        <f>18+7</f>
        <v>25</v>
      </c>
      <c r="I103">
        <v>18</v>
      </c>
      <c r="J103">
        <v>16</v>
      </c>
      <c r="K103">
        <v>15</v>
      </c>
      <c r="L103">
        <v>15</v>
      </c>
      <c r="M103">
        <v>15</v>
      </c>
      <c r="N103">
        <v>20</v>
      </c>
      <c r="O103">
        <f>15+20</f>
        <v>35</v>
      </c>
      <c r="V103" s="2"/>
      <c r="W103" s="2"/>
      <c r="X103" s="2"/>
      <c r="Y103" s="2"/>
      <c r="Z103" s="2"/>
      <c r="AA103" s="2"/>
      <c r="AB103" s="32">
        <v>71</v>
      </c>
      <c r="AC103" s="2"/>
      <c r="AD103" s="2"/>
      <c r="AE103" s="32">
        <v>9</v>
      </c>
      <c r="AF103" s="2"/>
      <c r="AG103" s="2"/>
      <c r="AH103" s="2"/>
      <c r="AL103" s="2"/>
      <c r="AN103" s="32">
        <v>38</v>
      </c>
      <c r="AO103" s="32"/>
      <c r="AP103" s="32"/>
    </row>
    <row r="104" spans="1:42">
      <c r="A104" t="s">
        <v>808</v>
      </c>
      <c r="G104">
        <v>40</v>
      </c>
      <c r="H104">
        <v>40</v>
      </c>
      <c r="N104">
        <v>20</v>
      </c>
      <c r="O104">
        <v>40</v>
      </c>
      <c r="V104" s="2"/>
      <c r="W104" s="2"/>
      <c r="X104" s="2"/>
      <c r="Y104" s="2"/>
      <c r="Z104" s="2"/>
      <c r="AA104" s="2"/>
      <c r="AB104" s="32">
        <v>71</v>
      </c>
      <c r="AC104" s="2"/>
      <c r="AD104" s="2"/>
      <c r="AE104" s="32">
        <v>6</v>
      </c>
      <c r="AF104" s="2"/>
      <c r="AG104" s="2"/>
      <c r="AH104" s="2"/>
      <c r="AL104" s="2"/>
      <c r="AN104" s="32">
        <v>50</v>
      </c>
      <c r="AO104" s="2"/>
    </row>
    <row r="105" spans="1:42">
      <c r="A105" t="s">
        <v>951</v>
      </c>
      <c r="G105">
        <v>42</v>
      </c>
      <c r="H105">
        <v>42</v>
      </c>
      <c r="N105">
        <v>30</v>
      </c>
      <c r="O105">
        <v>55</v>
      </c>
      <c r="V105" s="2"/>
      <c r="W105" s="2"/>
      <c r="X105" s="2"/>
      <c r="Y105" s="2"/>
      <c r="Z105" s="2"/>
      <c r="AA105" s="2"/>
      <c r="AB105" s="32">
        <v>71</v>
      </c>
      <c r="AC105" s="2"/>
      <c r="AD105" s="2"/>
      <c r="AE105" s="32">
        <v>7</v>
      </c>
      <c r="AF105" s="2"/>
      <c r="AG105" s="2"/>
      <c r="AH105" s="2"/>
      <c r="AL105" s="2"/>
      <c r="AN105" s="32">
        <v>50</v>
      </c>
      <c r="AO105" s="2"/>
    </row>
    <row r="106" spans="1:42">
      <c r="A106" t="s">
        <v>809</v>
      </c>
      <c r="G106">
        <v>30</v>
      </c>
      <c r="H106">
        <v>40</v>
      </c>
      <c r="N106">
        <v>30</v>
      </c>
      <c r="O106">
        <v>25</v>
      </c>
      <c r="V106" s="2">
        <v>0.02</v>
      </c>
      <c r="W106" s="2"/>
      <c r="X106" s="2"/>
      <c r="Y106" s="2"/>
      <c r="Z106" s="2"/>
      <c r="AA106" s="2"/>
      <c r="AB106" s="32">
        <v>71</v>
      </c>
      <c r="AC106" s="2"/>
      <c r="AD106" s="2"/>
      <c r="AE106" s="32">
        <v>6</v>
      </c>
      <c r="AF106" s="2"/>
      <c r="AG106" s="2"/>
      <c r="AH106" s="2"/>
      <c r="AL106" s="2"/>
      <c r="AN106" s="32">
        <v>50</v>
      </c>
      <c r="AO106" s="2"/>
    </row>
    <row r="107" spans="1:42">
      <c r="A107" t="s">
        <v>921</v>
      </c>
      <c r="G107">
        <v>30</v>
      </c>
      <c r="H107">
        <v>42</v>
      </c>
      <c r="N107">
        <v>50</v>
      </c>
      <c r="O107">
        <v>35</v>
      </c>
      <c r="V107" s="2">
        <v>0.03</v>
      </c>
      <c r="W107" s="2"/>
      <c r="X107" s="2"/>
      <c r="Y107" s="2"/>
      <c r="Z107" s="2"/>
      <c r="AA107" s="2"/>
      <c r="AB107" s="32">
        <v>71</v>
      </c>
      <c r="AC107" s="2"/>
      <c r="AD107" s="2"/>
      <c r="AE107" s="32">
        <v>7</v>
      </c>
      <c r="AF107" s="2"/>
      <c r="AG107" s="2"/>
      <c r="AH107" s="2"/>
      <c r="AL107" s="2"/>
      <c r="AO107" s="2"/>
    </row>
    <row r="108" spans="1:42">
      <c r="A108" t="s">
        <v>826</v>
      </c>
      <c r="G108">
        <v>25</v>
      </c>
      <c r="H108">
        <v>25</v>
      </c>
      <c r="I108">
        <v>25</v>
      </c>
      <c r="J108">
        <v>21</v>
      </c>
      <c r="K108">
        <v>25</v>
      </c>
      <c r="L108">
        <v>21</v>
      </c>
      <c r="M108">
        <v>21</v>
      </c>
      <c r="N108">
        <f>28+15</f>
        <v>43</v>
      </c>
      <c r="S108">
        <f>28+10</f>
        <v>38</v>
      </c>
      <c r="V108" s="2"/>
      <c r="W108" s="2"/>
      <c r="X108" s="2"/>
      <c r="Y108" s="2"/>
      <c r="Z108" s="2"/>
      <c r="AA108" s="2"/>
      <c r="AB108" s="32">
        <v>81</v>
      </c>
      <c r="AC108" s="2"/>
      <c r="AD108" s="2"/>
      <c r="AE108" s="32"/>
      <c r="AF108" s="2"/>
      <c r="AG108" s="2"/>
      <c r="AH108" s="2"/>
      <c r="AL108" s="2"/>
      <c r="AO108" s="2"/>
    </row>
    <row r="109" spans="1:42">
      <c r="A109" s="29" t="s">
        <v>850</v>
      </c>
      <c r="G109">
        <v>20</v>
      </c>
      <c r="H109">
        <v>29</v>
      </c>
      <c r="I109">
        <v>15</v>
      </c>
      <c r="J109">
        <v>20</v>
      </c>
      <c r="K109">
        <v>19</v>
      </c>
      <c r="L109">
        <v>16</v>
      </c>
      <c r="M109">
        <v>17</v>
      </c>
      <c r="N109">
        <v>15</v>
      </c>
      <c r="O109">
        <v>25</v>
      </c>
      <c r="V109" s="2"/>
      <c r="W109" s="2"/>
      <c r="X109" s="2"/>
      <c r="Y109" s="2"/>
      <c r="Z109" s="2"/>
      <c r="AA109" s="2"/>
      <c r="AB109" s="32">
        <v>71</v>
      </c>
      <c r="AC109" s="2"/>
      <c r="AD109" s="2"/>
      <c r="AE109" s="32"/>
      <c r="AF109" s="2"/>
      <c r="AG109" s="2"/>
      <c r="AH109" s="2"/>
      <c r="AL109" s="2"/>
      <c r="AO109" s="2"/>
    </row>
    <row r="110" spans="1:42">
      <c r="A110" s="29" t="s">
        <v>708</v>
      </c>
      <c r="G110">
        <v>21</v>
      </c>
      <c r="H110">
        <v>8</v>
      </c>
      <c r="I110">
        <v>21</v>
      </c>
      <c r="J110">
        <v>8</v>
      </c>
      <c r="K110">
        <v>8</v>
      </c>
      <c r="L110">
        <v>8</v>
      </c>
      <c r="M110">
        <v>8</v>
      </c>
      <c r="N110">
        <v>15</v>
      </c>
      <c r="O110">
        <v>15</v>
      </c>
      <c r="V110" s="2"/>
      <c r="W110" s="2"/>
      <c r="X110" s="2"/>
      <c r="Y110" s="2"/>
      <c r="Z110" s="2"/>
      <c r="AA110" s="2"/>
      <c r="AB110" s="32">
        <v>61</v>
      </c>
      <c r="AC110" s="2"/>
      <c r="AD110" s="2"/>
      <c r="AE110" s="32"/>
      <c r="AF110" s="2"/>
      <c r="AG110" s="2"/>
      <c r="AH110" s="2"/>
      <c r="AL110" s="2"/>
    </row>
    <row r="111" spans="1:42">
      <c r="A111" s="29" t="s">
        <v>709</v>
      </c>
      <c r="G111">
        <v>30</v>
      </c>
      <c r="H111">
        <v>14</v>
      </c>
      <c r="I111">
        <v>30</v>
      </c>
      <c r="J111">
        <v>14</v>
      </c>
      <c r="K111">
        <v>12</v>
      </c>
      <c r="L111">
        <v>12</v>
      </c>
      <c r="M111">
        <v>12</v>
      </c>
      <c r="N111">
        <v>15</v>
      </c>
      <c r="O111">
        <v>15</v>
      </c>
      <c r="V111" s="2"/>
      <c r="W111" s="2"/>
      <c r="X111" s="2"/>
      <c r="Y111" s="2"/>
      <c r="Z111" s="2"/>
      <c r="AA111" s="2"/>
      <c r="AB111" s="32">
        <v>71</v>
      </c>
      <c r="AC111" s="2"/>
      <c r="AD111" s="2"/>
      <c r="AE111" s="32"/>
      <c r="AF111" s="2"/>
      <c r="AG111" s="2"/>
      <c r="AH111" s="2"/>
      <c r="AL111" s="2"/>
    </row>
    <row r="112" spans="1:42">
      <c r="A112" s="29" t="s">
        <v>918</v>
      </c>
      <c r="G112">
        <v>32</v>
      </c>
      <c r="H112">
        <v>28</v>
      </c>
      <c r="I112">
        <v>24</v>
      </c>
      <c r="J112">
        <v>16</v>
      </c>
      <c r="K112">
        <v>12</v>
      </c>
      <c r="L112">
        <v>12</v>
      </c>
      <c r="M112">
        <v>12</v>
      </c>
      <c r="N112">
        <v>38</v>
      </c>
      <c r="S112">
        <v>38</v>
      </c>
      <c r="V112" s="2"/>
      <c r="W112" s="2">
        <v>0.04</v>
      </c>
      <c r="X112" s="2"/>
      <c r="Y112" s="2"/>
      <c r="Z112" s="2"/>
      <c r="AA112" s="2"/>
      <c r="AB112" s="32">
        <v>41</v>
      </c>
      <c r="AC112" s="2"/>
      <c r="AD112" s="2"/>
      <c r="AE112" s="32">
        <v>5</v>
      </c>
      <c r="AF112" s="2"/>
      <c r="AG112" s="2"/>
      <c r="AH112" s="2"/>
      <c r="AL112" s="2"/>
    </row>
    <row r="113" spans="1:41">
      <c r="A113" s="29" t="s">
        <v>950</v>
      </c>
      <c r="G113">
        <v>36</v>
      </c>
      <c r="H113">
        <v>32</v>
      </c>
      <c r="I113">
        <v>24</v>
      </c>
      <c r="J113">
        <v>16</v>
      </c>
      <c r="K113">
        <v>12</v>
      </c>
      <c r="L113">
        <v>12</v>
      </c>
      <c r="M113">
        <v>12</v>
      </c>
      <c r="N113">
        <v>44</v>
      </c>
      <c r="S113">
        <v>44</v>
      </c>
      <c r="V113" s="2"/>
      <c r="W113" s="2">
        <v>0.05</v>
      </c>
      <c r="X113" s="2"/>
      <c r="Y113" s="2"/>
      <c r="Z113" s="2"/>
      <c r="AA113" s="2"/>
      <c r="AB113" s="32">
        <v>41</v>
      </c>
      <c r="AC113" s="2"/>
      <c r="AD113" s="2"/>
      <c r="AE113" s="32">
        <v>6</v>
      </c>
      <c r="AF113" s="2"/>
      <c r="AG113" s="2"/>
      <c r="AH113" s="2"/>
      <c r="AL113" s="2"/>
      <c r="AN113" s="32">
        <v>80</v>
      </c>
    </row>
    <row r="114" spans="1:41">
      <c r="A114" s="29" t="s">
        <v>799</v>
      </c>
      <c r="G114">
        <v>24</v>
      </c>
      <c r="H114">
        <f>20+10</f>
        <v>30</v>
      </c>
      <c r="I114">
        <v>23</v>
      </c>
      <c r="J114">
        <v>17</v>
      </c>
      <c r="K114">
        <v>14</v>
      </c>
      <c r="L114">
        <v>14</v>
      </c>
      <c r="M114">
        <v>14</v>
      </c>
      <c r="N114">
        <f>20+15</f>
        <v>35</v>
      </c>
      <c r="V114" s="2">
        <v>0.02</v>
      </c>
      <c r="W114" s="2"/>
      <c r="X114" s="2"/>
      <c r="Y114" s="2"/>
      <c r="Z114" s="2"/>
      <c r="AA114" s="2"/>
      <c r="AB114" s="32">
        <v>71</v>
      </c>
      <c r="AC114" s="2"/>
      <c r="AD114" s="2"/>
      <c r="AE114" s="32"/>
      <c r="AF114" s="2"/>
      <c r="AG114" s="2"/>
      <c r="AH114" s="2"/>
      <c r="AL114" s="2"/>
      <c r="AN114" s="32">
        <v>47</v>
      </c>
    </row>
    <row r="115" spans="1:41" s="29" customFormat="1">
      <c r="A115" s="29" t="s">
        <v>753</v>
      </c>
      <c r="G115" s="29">
        <v>27</v>
      </c>
      <c r="H115" s="29">
        <v>9</v>
      </c>
      <c r="I115" s="29">
        <v>27</v>
      </c>
      <c r="J115" s="29">
        <v>9</v>
      </c>
      <c r="K115" s="29">
        <v>8</v>
      </c>
      <c r="L115" s="29">
        <v>8</v>
      </c>
      <c r="M115" s="29">
        <v>8</v>
      </c>
      <c r="V115" s="12"/>
      <c r="W115" s="12"/>
      <c r="X115" s="12"/>
      <c r="Y115" s="12"/>
      <c r="Z115" s="12"/>
      <c r="AA115" s="12"/>
      <c r="AB115" s="42">
        <v>71</v>
      </c>
      <c r="AC115" s="12"/>
      <c r="AD115" s="12"/>
      <c r="AE115" s="32"/>
      <c r="AF115" s="42"/>
      <c r="AG115" s="12"/>
      <c r="AH115" s="12"/>
      <c r="AI115" s="42"/>
      <c r="AJ115" s="42"/>
      <c r="AK115" s="42"/>
      <c r="AM115" s="42"/>
    </row>
    <row r="116" spans="1:41" s="29" customFormat="1">
      <c r="A116" s="29" t="s">
        <v>754</v>
      </c>
      <c r="G116" s="29">
        <v>21</v>
      </c>
      <c r="H116" s="29">
        <v>25</v>
      </c>
      <c r="I116" s="29">
        <v>21</v>
      </c>
      <c r="J116" s="29">
        <v>25</v>
      </c>
      <c r="K116" s="29">
        <v>18</v>
      </c>
      <c r="L116" s="29">
        <v>18</v>
      </c>
      <c r="M116" s="29">
        <v>19</v>
      </c>
      <c r="N116" s="29">
        <v>25</v>
      </c>
      <c r="O116" s="29">
        <v>25</v>
      </c>
      <c r="V116" s="12"/>
      <c r="W116" s="12"/>
      <c r="X116" s="12"/>
      <c r="Y116" s="12"/>
      <c r="Z116" s="12"/>
      <c r="AA116" s="12"/>
      <c r="AB116" s="42">
        <v>81</v>
      </c>
      <c r="AC116" s="12"/>
      <c r="AD116" s="12"/>
      <c r="AE116" s="32"/>
      <c r="AF116" s="42"/>
      <c r="AG116" s="12"/>
      <c r="AH116" s="12"/>
      <c r="AI116" s="42">
        <v>117</v>
      </c>
      <c r="AJ116" s="42"/>
      <c r="AK116" s="42"/>
      <c r="AM116" s="42"/>
    </row>
    <row r="117" spans="1:41">
      <c r="A117" s="29" t="s">
        <v>715</v>
      </c>
      <c r="G117">
        <v>28</v>
      </c>
      <c r="H117">
        <v>22</v>
      </c>
      <c r="I117">
        <v>28</v>
      </c>
      <c r="J117">
        <v>22</v>
      </c>
      <c r="K117">
        <v>12</v>
      </c>
      <c r="L117">
        <v>12</v>
      </c>
      <c r="M117">
        <v>12</v>
      </c>
      <c r="V117" s="2"/>
      <c r="W117" s="2"/>
      <c r="X117" s="2"/>
      <c r="Y117" s="2"/>
      <c r="Z117" s="2"/>
      <c r="AA117" s="2"/>
      <c r="AB117" s="32">
        <v>71</v>
      </c>
      <c r="AC117" s="2"/>
      <c r="AD117" s="2"/>
      <c r="AE117" s="32"/>
      <c r="AF117" s="2"/>
      <c r="AG117" s="2"/>
      <c r="AH117" s="2"/>
      <c r="AL117" s="2"/>
      <c r="AN117" s="32">
        <f>36+40</f>
        <v>76</v>
      </c>
    </row>
    <row r="118" spans="1:41">
      <c r="A118" s="29" t="s">
        <v>767</v>
      </c>
      <c r="B118">
        <v>18</v>
      </c>
      <c r="G118">
        <v>23</v>
      </c>
      <c r="H118">
        <v>13</v>
      </c>
      <c r="I118">
        <v>14</v>
      </c>
      <c r="J118">
        <v>10</v>
      </c>
      <c r="K118">
        <v>12</v>
      </c>
      <c r="L118">
        <v>10</v>
      </c>
      <c r="M118">
        <v>10</v>
      </c>
      <c r="V118" s="2">
        <v>0.03</v>
      </c>
      <c r="W118" s="2"/>
      <c r="X118" s="2"/>
      <c r="Y118" s="2"/>
      <c r="Z118" s="2"/>
      <c r="AA118" s="2"/>
      <c r="AB118" s="32">
        <v>61</v>
      </c>
      <c r="AC118" s="2"/>
      <c r="AD118" s="2"/>
      <c r="AE118" s="32"/>
      <c r="AF118" s="2"/>
      <c r="AG118" s="2"/>
      <c r="AH118" s="2"/>
      <c r="AL118" s="2"/>
      <c r="AN118" s="32">
        <v>19</v>
      </c>
    </row>
    <row r="119" spans="1:41">
      <c r="A119" s="29" t="s">
        <v>768</v>
      </c>
      <c r="B119">
        <v>28</v>
      </c>
      <c r="G119">
        <v>32</v>
      </c>
      <c r="H119">
        <v>16</v>
      </c>
      <c r="I119">
        <v>21</v>
      </c>
      <c r="J119">
        <v>16</v>
      </c>
      <c r="K119">
        <v>18</v>
      </c>
      <c r="L119">
        <v>14</v>
      </c>
      <c r="M119">
        <v>16</v>
      </c>
      <c r="V119" s="2">
        <v>0.04</v>
      </c>
      <c r="W119" s="2"/>
      <c r="X119" s="2"/>
      <c r="Y119" s="2"/>
      <c r="Z119" s="2"/>
      <c r="AA119" s="2"/>
      <c r="AB119" s="32">
        <v>71</v>
      </c>
      <c r="AC119" s="2"/>
      <c r="AD119" s="2"/>
      <c r="AE119" s="32"/>
      <c r="AF119" s="2"/>
      <c r="AG119" s="2"/>
      <c r="AH119" s="2"/>
      <c r="AL119" s="2"/>
      <c r="AN119" s="32">
        <v>41</v>
      </c>
    </row>
    <row r="120" spans="1:41">
      <c r="A120" s="29" t="s">
        <v>644</v>
      </c>
      <c r="G120">
        <v>20</v>
      </c>
      <c r="H120">
        <v>13</v>
      </c>
      <c r="I120">
        <v>17</v>
      </c>
      <c r="J120">
        <v>13</v>
      </c>
      <c r="K120">
        <v>16</v>
      </c>
      <c r="L120">
        <v>13</v>
      </c>
      <c r="M120">
        <v>13</v>
      </c>
      <c r="O120">
        <v>18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32">
        <v>61</v>
      </c>
      <c r="AC120" s="2"/>
      <c r="AD120" s="2"/>
      <c r="AE120" s="32"/>
      <c r="AF120" s="2"/>
      <c r="AG120" s="2"/>
      <c r="AH120" s="2"/>
      <c r="AL120" s="2"/>
      <c r="AN120" s="32">
        <v>19</v>
      </c>
      <c r="AO120" s="2"/>
    </row>
    <row r="121" spans="1:41">
      <c r="A121" s="29" t="s">
        <v>691</v>
      </c>
      <c r="G121">
        <v>28</v>
      </c>
      <c r="H121">
        <v>19</v>
      </c>
      <c r="I121">
        <v>25</v>
      </c>
      <c r="J121">
        <v>19</v>
      </c>
      <c r="K121">
        <v>20</v>
      </c>
      <c r="L121">
        <v>19</v>
      </c>
      <c r="M121">
        <v>19</v>
      </c>
      <c r="O121">
        <v>18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32">
        <v>61</v>
      </c>
      <c r="AC121" s="2"/>
      <c r="AD121" s="2"/>
      <c r="AE121" s="32"/>
      <c r="AF121" s="2"/>
      <c r="AG121" s="2"/>
      <c r="AH121" s="2"/>
      <c r="AL121" s="2"/>
      <c r="AN121" s="32">
        <v>41</v>
      </c>
      <c r="AO121" s="2"/>
    </row>
    <row r="122" spans="1:41">
      <c r="A122" s="29" t="s">
        <v>928</v>
      </c>
      <c r="G122">
        <v>33</v>
      </c>
      <c r="H122">
        <v>24</v>
      </c>
      <c r="I122">
        <v>30</v>
      </c>
      <c r="J122">
        <v>24</v>
      </c>
      <c r="K122">
        <v>25</v>
      </c>
      <c r="L122">
        <v>22</v>
      </c>
      <c r="M122">
        <v>22</v>
      </c>
      <c r="N122">
        <v>37</v>
      </c>
      <c r="O122">
        <v>28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32">
        <v>71</v>
      </c>
      <c r="AC122" s="2"/>
      <c r="AD122" s="2"/>
      <c r="AE122" s="32"/>
      <c r="AF122" s="2"/>
      <c r="AG122" s="2"/>
      <c r="AH122" s="2"/>
      <c r="AL122" s="2"/>
      <c r="AN122" s="32">
        <v>61</v>
      </c>
      <c r="AO122" s="2"/>
    </row>
    <row r="123" spans="1:41">
      <c r="A123" s="29" t="s">
        <v>929</v>
      </c>
      <c r="G123">
        <v>38</v>
      </c>
      <c r="H123">
        <v>29</v>
      </c>
      <c r="I123">
        <v>35</v>
      </c>
      <c r="J123">
        <v>29</v>
      </c>
      <c r="K123">
        <v>30</v>
      </c>
      <c r="L123">
        <v>27</v>
      </c>
      <c r="M123">
        <v>27</v>
      </c>
      <c r="N123">
        <v>47</v>
      </c>
      <c r="O123">
        <v>38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32">
        <v>71</v>
      </c>
      <c r="AC123" s="2"/>
      <c r="AD123" s="2"/>
      <c r="AE123" s="32"/>
      <c r="AF123" s="2"/>
      <c r="AG123" s="2"/>
      <c r="AH123" s="2"/>
      <c r="AL123" s="2"/>
      <c r="AN123" s="32">
        <v>71</v>
      </c>
      <c r="AO123" s="2"/>
    </row>
    <row r="124" spans="1:41">
      <c r="A124" s="29" t="s">
        <v>796</v>
      </c>
      <c r="G124">
        <v>21</v>
      </c>
      <c r="H124">
        <v>15</v>
      </c>
      <c r="I124">
        <v>38</v>
      </c>
      <c r="J124">
        <v>15</v>
      </c>
      <c r="K124">
        <v>8</v>
      </c>
      <c r="L124">
        <f>8+9</f>
        <v>17</v>
      </c>
      <c r="M124">
        <v>8</v>
      </c>
      <c r="P124" s="2"/>
      <c r="Q124" s="2"/>
      <c r="R124" s="2"/>
      <c r="S124" s="32">
        <v>20</v>
      </c>
      <c r="T124" s="32">
        <v>35</v>
      </c>
      <c r="U124" s="32">
        <v>20</v>
      </c>
      <c r="V124" s="2"/>
      <c r="W124" s="2"/>
      <c r="X124" s="2"/>
      <c r="Y124" s="2"/>
      <c r="Z124" s="2"/>
      <c r="AA124" s="2"/>
      <c r="AB124" s="32">
        <v>71</v>
      </c>
      <c r="AC124" s="2"/>
      <c r="AD124" s="2"/>
      <c r="AE124" s="32"/>
      <c r="AF124" s="2"/>
      <c r="AG124" s="2"/>
      <c r="AH124" s="2"/>
      <c r="AL124" s="2"/>
      <c r="AO124" s="2"/>
    </row>
    <row r="125" spans="1:41">
      <c r="A125" s="29" t="s">
        <v>824</v>
      </c>
      <c r="G125">
        <v>41</v>
      </c>
      <c r="H125">
        <v>36</v>
      </c>
      <c r="O125">
        <v>15</v>
      </c>
      <c r="P125" s="2"/>
      <c r="Q125" s="2"/>
      <c r="R125" s="2"/>
      <c r="S125" s="2"/>
      <c r="T125" s="2"/>
      <c r="U125" s="2"/>
      <c r="V125" s="2">
        <v>0.02</v>
      </c>
      <c r="W125" s="2"/>
      <c r="X125" s="2"/>
      <c r="Y125" s="2"/>
      <c r="Z125" s="2"/>
      <c r="AA125" s="2"/>
      <c r="AB125" s="32"/>
      <c r="AC125" s="2"/>
      <c r="AD125" s="2"/>
      <c r="AE125" s="32"/>
      <c r="AF125" s="2"/>
      <c r="AG125" s="2"/>
      <c r="AH125" s="2"/>
      <c r="AL125" s="2"/>
      <c r="AO125" s="2"/>
    </row>
    <row r="126" spans="1:41">
      <c r="A126" s="29" t="s">
        <v>815</v>
      </c>
      <c r="G126">
        <v>29</v>
      </c>
      <c r="H126">
        <v>15</v>
      </c>
      <c r="I126">
        <v>35</v>
      </c>
      <c r="J126">
        <v>18</v>
      </c>
      <c r="K126">
        <v>17</v>
      </c>
      <c r="L126">
        <v>17</v>
      </c>
      <c r="M126">
        <v>17</v>
      </c>
      <c r="N126">
        <v>8</v>
      </c>
      <c r="O126">
        <v>8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32">
        <v>71</v>
      </c>
      <c r="AC126" s="2"/>
      <c r="AD126" s="2"/>
      <c r="AE126" s="32"/>
      <c r="AF126" s="2"/>
      <c r="AG126" s="2"/>
      <c r="AH126" s="2"/>
      <c r="AL126" s="2"/>
      <c r="AO126" s="2"/>
    </row>
    <row r="127" spans="1:41">
      <c r="A127" s="29" t="s">
        <v>885</v>
      </c>
      <c r="G127">
        <v>29</v>
      </c>
      <c r="H127">
        <v>15</v>
      </c>
      <c r="I127">
        <v>35</v>
      </c>
      <c r="J127">
        <f>18+5</f>
        <v>23</v>
      </c>
      <c r="K127">
        <v>17</v>
      </c>
      <c r="L127">
        <v>17</v>
      </c>
      <c r="M127">
        <v>17</v>
      </c>
      <c r="N127">
        <f>8+18</f>
        <v>26</v>
      </c>
      <c r="O127">
        <f>8+18</f>
        <v>26</v>
      </c>
      <c r="P127" s="2"/>
      <c r="Q127" s="2"/>
      <c r="R127" s="2"/>
      <c r="S127" s="2"/>
      <c r="T127" s="2"/>
      <c r="U127" s="2"/>
      <c r="V127" s="2"/>
      <c r="W127" s="2"/>
      <c r="X127" s="2">
        <v>0.02</v>
      </c>
      <c r="Y127" s="2"/>
      <c r="Z127" s="2"/>
      <c r="AA127" s="2"/>
      <c r="AB127" s="32">
        <v>71</v>
      </c>
      <c r="AC127" s="2"/>
      <c r="AD127" s="2"/>
      <c r="AE127" s="32"/>
      <c r="AF127" s="2"/>
      <c r="AG127" s="2"/>
      <c r="AH127" s="2"/>
      <c r="AL127" s="2"/>
      <c r="AO127" s="2"/>
    </row>
    <row r="128" spans="1:41">
      <c r="A128" s="29" t="s">
        <v>933</v>
      </c>
      <c r="G128">
        <v>29</v>
      </c>
      <c r="H128">
        <v>15</v>
      </c>
      <c r="I128">
        <f>35+11</f>
        <v>46</v>
      </c>
      <c r="J128">
        <v>18</v>
      </c>
      <c r="K128">
        <v>17</v>
      </c>
      <c r="L128">
        <v>17</v>
      </c>
      <c r="M128">
        <v>17</v>
      </c>
      <c r="N128">
        <f>8+17</f>
        <v>25</v>
      </c>
      <c r="O128">
        <f>8+17</f>
        <v>25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32">
        <v>71</v>
      </c>
      <c r="AC128" s="2"/>
      <c r="AD128" s="2"/>
      <c r="AE128" s="32"/>
      <c r="AF128" s="2"/>
      <c r="AG128" s="2"/>
      <c r="AH128" s="2">
        <v>0.03</v>
      </c>
      <c r="AL128" s="2"/>
      <c r="AO128" s="2"/>
    </row>
    <row r="129" spans="1:53">
      <c r="A129" s="29" t="s">
        <v>769</v>
      </c>
      <c r="G129">
        <v>35</v>
      </c>
      <c r="H129">
        <v>17</v>
      </c>
      <c r="I129">
        <v>22</v>
      </c>
      <c r="J129">
        <v>17</v>
      </c>
      <c r="K129">
        <v>16</v>
      </c>
      <c r="L129">
        <v>16</v>
      </c>
      <c r="M129">
        <v>16</v>
      </c>
      <c r="O129">
        <v>20</v>
      </c>
      <c r="V129" s="2">
        <v>0.03</v>
      </c>
      <c r="W129" s="2"/>
      <c r="X129" s="2"/>
      <c r="Y129" s="2"/>
      <c r="Z129" s="2"/>
      <c r="AA129" s="2"/>
      <c r="AB129" s="32">
        <v>81</v>
      </c>
      <c r="AC129" s="2"/>
      <c r="AD129" s="2"/>
      <c r="AE129" s="32"/>
      <c r="AF129" s="2"/>
      <c r="AG129" s="2"/>
      <c r="AH129" s="2"/>
      <c r="AL129" s="2"/>
      <c r="AN129" s="32">
        <v>32</v>
      </c>
    </row>
    <row r="130" spans="1:53">
      <c r="A130" s="29" t="s">
        <v>752</v>
      </c>
      <c r="K130">
        <v>27</v>
      </c>
      <c r="V130" s="2"/>
      <c r="W130" s="2"/>
      <c r="X130" s="2"/>
      <c r="Y130" s="2"/>
      <c r="Z130" s="2"/>
      <c r="AA130" s="2"/>
      <c r="AB130" s="32"/>
      <c r="AC130" s="2"/>
      <c r="AD130" s="2"/>
      <c r="AE130" s="32"/>
      <c r="AF130" s="32"/>
      <c r="AG130" s="32"/>
      <c r="AH130" s="2"/>
      <c r="AI130" s="2"/>
      <c r="AJ130" s="2"/>
      <c r="AK130" s="2"/>
      <c r="AM130" s="2"/>
      <c r="AN130"/>
    </row>
    <row r="131" spans="1:53">
      <c r="A131" s="29" t="s">
        <v>946</v>
      </c>
      <c r="B131">
        <v>44</v>
      </c>
      <c r="G131">
        <v>35</v>
      </c>
      <c r="H131">
        <v>28</v>
      </c>
      <c r="I131">
        <v>26</v>
      </c>
      <c r="J131">
        <v>21</v>
      </c>
      <c r="K131">
        <v>26</v>
      </c>
      <c r="L131">
        <v>23</v>
      </c>
      <c r="M131">
        <v>22</v>
      </c>
      <c r="V131" s="2"/>
      <c r="W131" s="2"/>
      <c r="X131" s="2"/>
      <c r="Y131" s="2"/>
      <c r="Z131" s="2"/>
      <c r="AA131" s="2"/>
      <c r="AB131" s="32">
        <v>71</v>
      </c>
      <c r="AC131" s="2"/>
      <c r="AD131" s="2"/>
      <c r="AE131" s="32"/>
      <c r="AF131" s="32">
        <v>4</v>
      </c>
      <c r="AG131" s="32"/>
      <c r="AH131" s="2">
        <v>0.06</v>
      </c>
      <c r="AI131" s="2"/>
      <c r="AJ131" s="2"/>
      <c r="AK131" s="2"/>
      <c r="AM131" s="2"/>
      <c r="AN131">
        <v>410</v>
      </c>
    </row>
    <row r="132" spans="1:53">
      <c r="A132" s="29" t="s">
        <v>947</v>
      </c>
      <c r="B132">
        <v>54</v>
      </c>
      <c r="G132">
        <v>40</v>
      </c>
      <c r="H132">
        <v>33</v>
      </c>
      <c r="I132">
        <v>26</v>
      </c>
      <c r="J132">
        <v>21</v>
      </c>
      <c r="K132">
        <v>26</v>
      </c>
      <c r="L132">
        <v>23</v>
      </c>
      <c r="M132">
        <v>22</v>
      </c>
      <c r="V132" s="2"/>
      <c r="W132" s="2"/>
      <c r="X132" s="2"/>
      <c r="Y132" s="2"/>
      <c r="Z132" s="2"/>
      <c r="AA132" s="2"/>
      <c r="AB132" s="32">
        <v>71</v>
      </c>
      <c r="AC132" s="2"/>
      <c r="AD132" s="2"/>
      <c r="AE132" s="32"/>
      <c r="AF132" s="32">
        <v>5</v>
      </c>
      <c r="AG132" s="32"/>
      <c r="AH132" s="2">
        <v>0.08</v>
      </c>
      <c r="AI132" s="2"/>
      <c r="AJ132" s="2"/>
      <c r="AK132" s="2"/>
      <c r="AM132" s="2"/>
      <c r="AN132">
        <v>510</v>
      </c>
    </row>
    <row r="133" spans="1:53">
      <c r="A133" s="29" t="s">
        <v>861</v>
      </c>
      <c r="G133">
        <v>30</v>
      </c>
      <c r="H133">
        <v>16</v>
      </c>
      <c r="I133">
        <v>37</v>
      </c>
      <c r="J133">
        <v>12</v>
      </c>
      <c r="K133">
        <v>11</v>
      </c>
      <c r="L133">
        <v>19</v>
      </c>
      <c r="M133">
        <v>19</v>
      </c>
      <c r="N133">
        <v>38</v>
      </c>
      <c r="O133">
        <v>42</v>
      </c>
      <c r="V133" s="2"/>
      <c r="W133" s="2"/>
      <c r="X133" s="2"/>
      <c r="Y133" s="2"/>
      <c r="Z133" s="2"/>
      <c r="AA133" s="2"/>
      <c r="AB133" s="32">
        <v>31</v>
      </c>
      <c r="AC133" s="2"/>
      <c r="AD133" s="2"/>
      <c r="AE133" s="32">
        <v>8</v>
      </c>
      <c r="AF133" s="32"/>
      <c r="AG133" s="32"/>
      <c r="AH133" s="2"/>
      <c r="AI133" s="2"/>
      <c r="AJ133" s="2"/>
      <c r="AK133" s="2"/>
      <c r="AM133" s="2"/>
      <c r="AN133"/>
    </row>
    <row r="134" spans="1:53">
      <c r="A134" s="29" t="s">
        <v>945</v>
      </c>
      <c r="G134">
        <v>33</v>
      </c>
      <c r="H134">
        <v>19</v>
      </c>
      <c r="I134">
        <v>40</v>
      </c>
      <c r="J134">
        <v>12</v>
      </c>
      <c r="K134">
        <v>11</v>
      </c>
      <c r="L134">
        <v>22</v>
      </c>
      <c r="M134">
        <v>22</v>
      </c>
      <c r="N134">
        <v>44</v>
      </c>
      <c r="O134">
        <v>48</v>
      </c>
      <c r="V134" s="2"/>
      <c r="W134" s="2"/>
      <c r="X134" s="2"/>
      <c r="Y134" s="2"/>
      <c r="Z134" s="2"/>
      <c r="AA134" s="2"/>
      <c r="AB134" s="32">
        <v>31</v>
      </c>
      <c r="AC134" s="2"/>
      <c r="AD134" s="2"/>
      <c r="AE134" s="32">
        <v>10</v>
      </c>
      <c r="AF134" s="32"/>
      <c r="AG134" s="32"/>
      <c r="AH134" s="2"/>
      <c r="AI134" s="2"/>
      <c r="AJ134" s="2"/>
      <c r="AK134" s="2"/>
      <c r="AM134" s="2"/>
      <c r="AN134"/>
    </row>
    <row r="135" spans="1:53">
      <c r="A135" s="29" t="s">
        <v>814</v>
      </c>
      <c r="G135">
        <v>28</v>
      </c>
      <c r="H135">
        <v>24</v>
      </c>
      <c r="I135">
        <v>23</v>
      </c>
      <c r="J135">
        <v>18</v>
      </c>
      <c r="K135">
        <v>14</v>
      </c>
      <c r="L135">
        <v>14</v>
      </c>
      <c r="M135">
        <v>14</v>
      </c>
      <c r="N135">
        <v>13</v>
      </c>
      <c r="V135" s="2"/>
      <c r="W135" s="2"/>
      <c r="X135" s="2"/>
      <c r="Y135" s="2"/>
      <c r="Z135" s="2"/>
      <c r="AA135" s="2"/>
      <c r="AB135" s="32">
        <v>71</v>
      </c>
      <c r="AC135" s="2">
        <v>0.02</v>
      </c>
      <c r="AD135" s="2"/>
      <c r="AE135" s="32"/>
      <c r="AF135" s="32">
        <v>3</v>
      </c>
      <c r="AG135" s="2"/>
      <c r="AH135" s="2"/>
      <c r="AL135" s="2"/>
    </row>
    <row r="136" spans="1:53" s="185" customFormat="1" ht="12.75" customHeight="1">
      <c r="A136" s="29" t="s">
        <v>876</v>
      </c>
      <c r="B136" s="29"/>
      <c r="C136" s="29"/>
      <c r="D136" s="29"/>
      <c r="E136" s="29"/>
      <c r="F136" s="29"/>
      <c r="G136" s="29">
        <v>28</v>
      </c>
      <c r="H136" s="29">
        <v>24</v>
      </c>
      <c r="I136" s="29">
        <v>23</v>
      </c>
      <c r="J136" s="29">
        <v>18</v>
      </c>
      <c r="K136" s="29">
        <v>14</v>
      </c>
      <c r="L136" s="29">
        <v>14</v>
      </c>
      <c r="M136" s="29">
        <v>14</v>
      </c>
      <c r="N136" s="29">
        <v>43</v>
      </c>
      <c r="O136" s="29"/>
      <c r="P136" s="29"/>
      <c r="Q136" s="29"/>
      <c r="R136" s="29"/>
      <c r="S136" s="29"/>
      <c r="T136" s="29"/>
      <c r="U136" s="29"/>
      <c r="V136" s="12">
        <v>0.05</v>
      </c>
      <c r="W136" s="12"/>
      <c r="X136" s="12"/>
      <c r="Y136" s="12"/>
      <c r="Z136" s="12"/>
      <c r="AA136" s="12"/>
      <c r="AB136" s="29">
        <v>71</v>
      </c>
      <c r="AC136" s="12">
        <v>0.02</v>
      </c>
      <c r="AD136" s="12"/>
      <c r="AE136" s="29"/>
      <c r="AF136" s="42">
        <v>3</v>
      </c>
      <c r="AG136" s="12"/>
      <c r="AH136" s="12"/>
      <c r="AI136" s="29"/>
      <c r="AJ136" s="29"/>
      <c r="AK136" s="29"/>
      <c r="AL136" s="29"/>
      <c r="AM136" s="12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</row>
    <row r="137" spans="1:53" s="185" customFormat="1" ht="12.75" customHeight="1">
      <c r="A137" s="29" t="s">
        <v>877</v>
      </c>
      <c r="B137" s="29"/>
      <c r="C137" s="29"/>
      <c r="D137" s="29"/>
      <c r="E137" s="29"/>
      <c r="F137" s="29"/>
      <c r="G137" s="29">
        <v>28</v>
      </c>
      <c r="H137" s="29">
        <v>24</v>
      </c>
      <c r="I137" s="29">
        <v>23</v>
      </c>
      <c r="J137" s="29">
        <v>18</v>
      </c>
      <c r="K137" s="29">
        <v>14</v>
      </c>
      <c r="L137" s="29">
        <v>14</v>
      </c>
      <c r="M137" s="29">
        <v>14</v>
      </c>
      <c r="N137" s="29">
        <v>43</v>
      </c>
      <c r="O137" s="29"/>
      <c r="P137" s="29"/>
      <c r="Q137" s="29"/>
      <c r="R137" s="29"/>
      <c r="S137" s="29"/>
      <c r="T137" s="29"/>
      <c r="U137" s="29"/>
      <c r="V137" s="12"/>
      <c r="W137" s="12"/>
      <c r="X137" s="12"/>
      <c r="Y137" s="12"/>
      <c r="Z137" s="12"/>
      <c r="AA137" s="12"/>
      <c r="AB137" s="29">
        <v>71</v>
      </c>
      <c r="AC137" s="12">
        <v>0.02</v>
      </c>
      <c r="AD137" s="12"/>
      <c r="AE137" s="29">
        <v>8</v>
      </c>
      <c r="AF137" s="42">
        <v>3</v>
      </c>
      <c r="AG137" s="12"/>
      <c r="AH137" s="12"/>
      <c r="AI137" s="29"/>
      <c r="AJ137" s="29"/>
      <c r="AK137" s="29"/>
      <c r="AL137" s="29"/>
      <c r="AM137" s="12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</row>
    <row r="138" spans="1:53" s="185" customFormat="1" ht="12.75" customHeight="1">
      <c r="A138" s="29" t="s">
        <v>878</v>
      </c>
      <c r="B138" s="29"/>
      <c r="C138" s="29"/>
      <c r="D138" s="29"/>
      <c r="E138" s="29"/>
      <c r="F138" s="29"/>
      <c r="G138" s="29">
        <v>28</v>
      </c>
      <c r="H138" s="29">
        <v>24</v>
      </c>
      <c r="I138" s="29">
        <v>23</v>
      </c>
      <c r="J138" s="29">
        <v>18</v>
      </c>
      <c r="K138" s="29">
        <v>14</v>
      </c>
      <c r="L138" s="29">
        <v>14</v>
      </c>
      <c r="M138" s="29">
        <v>14</v>
      </c>
      <c r="N138" s="29">
        <v>43</v>
      </c>
      <c r="O138" s="29"/>
      <c r="P138" s="29"/>
      <c r="Q138" s="29"/>
      <c r="R138" s="29"/>
      <c r="S138" s="29"/>
      <c r="T138" s="29"/>
      <c r="U138" s="29"/>
      <c r="V138" s="12"/>
      <c r="W138" s="12"/>
      <c r="X138" s="12"/>
      <c r="Y138" s="12"/>
      <c r="Z138" s="12"/>
      <c r="AA138" s="12"/>
      <c r="AB138" s="29">
        <v>71</v>
      </c>
      <c r="AC138" s="12">
        <v>0.02</v>
      </c>
      <c r="AD138" s="12"/>
      <c r="AE138" s="29"/>
      <c r="AF138" s="42">
        <v>3</v>
      </c>
      <c r="AG138" s="12"/>
      <c r="AH138" s="12">
        <v>0.05</v>
      </c>
      <c r="AI138" s="29"/>
      <c r="AJ138" s="29"/>
      <c r="AK138" s="29"/>
      <c r="AL138" s="29"/>
      <c r="AM138" s="12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</row>
    <row r="139" spans="1:53">
      <c r="A139" s="29" t="s">
        <v>825</v>
      </c>
      <c r="G139">
        <f>28</f>
        <v>28</v>
      </c>
      <c r="H139">
        <f>24</f>
        <v>24</v>
      </c>
      <c r="I139">
        <v>23</v>
      </c>
      <c r="J139">
        <v>18</v>
      </c>
      <c r="K139">
        <v>14</v>
      </c>
      <c r="L139">
        <v>14</v>
      </c>
      <c r="M139">
        <v>14</v>
      </c>
      <c r="N139">
        <f>13+8</f>
        <v>21</v>
      </c>
      <c r="O139">
        <v>8</v>
      </c>
      <c r="S139">
        <v>10</v>
      </c>
      <c r="T139">
        <v>32</v>
      </c>
      <c r="V139" s="2"/>
      <c r="W139" s="2"/>
      <c r="X139" s="2"/>
      <c r="Y139" s="2"/>
      <c r="Z139" s="2"/>
      <c r="AA139" s="2"/>
      <c r="AB139" s="32">
        <v>71</v>
      </c>
      <c r="AC139" s="2">
        <v>0.02</v>
      </c>
      <c r="AD139" s="2"/>
      <c r="AE139" s="32"/>
      <c r="AF139" s="32">
        <v>3</v>
      </c>
      <c r="AG139" s="2"/>
      <c r="AH139" s="2"/>
      <c r="AL139" s="2"/>
    </row>
    <row r="140" spans="1:53">
      <c r="A140" s="29" t="s">
        <v>870</v>
      </c>
      <c r="G140">
        <v>28</v>
      </c>
      <c r="H140">
        <f>24+8</f>
        <v>32</v>
      </c>
      <c r="I140">
        <f>23+6</f>
        <v>29</v>
      </c>
      <c r="J140">
        <v>18</v>
      </c>
      <c r="K140">
        <v>14</v>
      </c>
      <c r="L140">
        <v>14</v>
      </c>
      <c r="M140">
        <v>14</v>
      </c>
      <c r="N140">
        <f>13+29</f>
        <v>42</v>
      </c>
      <c r="O140">
        <v>10</v>
      </c>
      <c r="V140" s="2">
        <v>0.05</v>
      </c>
      <c r="W140" s="2"/>
      <c r="X140" s="2"/>
      <c r="Y140" s="2"/>
      <c r="Z140" s="2"/>
      <c r="AA140" s="2"/>
      <c r="AB140" s="32">
        <v>71</v>
      </c>
      <c r="AC140" s="2">
        <v>0.02</v>
      </c>
      <c r="AD140" s="2"/>
      <c r="AE140" s="32"/>
      <c r="AF140" s="32">
        <v>3</v>
      </c>
      <c r="AG140" s="2"/>
      <c r="AH140" s="2"/>
      <c r="AL140" s="2"/>
    </row>
    <row r="141" spans="1:53">
      <c r="A141" s="29" t="s">
        <v>864</v>
      </c>
      <c r="G141">
        <f>28+10</f>
        <v>38</v>
      </c>
      <c r="H141">
        <v>34</v>
      </c>
      <c r="I141">
        <v>23</v>
      </c>
      <c r="J141">
        <v>18</v>
      </c>
      <c r="K141">
        <v>14</v>
      </c>
      <c r="L141">
        <v>14</v>
      </c>
      <c r="M141">
        <v>14</v>
      </c>
      <c r="N141">
        <f>13+24</f>
        <v>37</v>
      </c>
      <c r="V141" s="2"/>
      <c r="W141" s="2"/>
      <c r="X141" s="2"/>
      <c r="Y141" s="2"/>
      <c r="Z141" s="2"/>
      <c r="AA141" s="2"/>
      <c r="AB141" s="32">
        <v>71</v>
      </c>
      <c r="AC141" s="2">
        <v>0.02</v>
      </c>
      <c r="AD141" s="2"/>
      <c r="AE141" s="32"/>
      <c r="AF141" s="32">
        <v>3</v>
      </c>
      <c r="AG141" s="2"/>
      <c r="AH141" s="2">
        <v>0.04</v>
      </c>
      <c r="AL141" s="2"/>
    </row>
    <row r="142" spans="1:53">
      <c r="A142" s="29" t="s">
        <v>890</v>
      </c>
      <c r="G142">
        <f>28+14</f>
        <v>42</v>
      </c>
      <c r="H142">
        <v>24</v>
      </c>
      <c r="I142">
        <v>23</v>
      </c>
      <c r="J142">
        <v>18</v>
      </c>
      <c r="K142">
        <v>14</v>
      </c>
      <c r="L142">
        <v>14</v>
      </c>
      <c r="M142">
        <v>14</v>
      </c>
      <c r="N142">
        <f>13+20</f>
        <v>33</v>
      </c>
      <c r="O142">
        <v>20</v>
      </c>
      <c r="V142" s="2">
        <v>0.03</v>
      </c>
      <c r="W142" s="2"/>
      <c r="X142" s="2"/>
      <c r="Y142" s="2"/>
      <c r="Z142" s="2"/>
      <c r="AA142" s="2"/>
      <c r="AB142" s="32">
        <v>71</v>
      </c>
      <c r="AC142" s="2">
        <v>0.02</v>
      </c>
      <c r="AD142" s="2"/>
      <c r="AE142" s="32"/>
      <c r="AF142" s="32">
        <v>3</v>
      </c>
      <c r="AG142" s="2"/>
      <c r="AH142" s="2"/>
      <c r="AL142" s="2"/>
    </row>
    <row r="143" spans="1:53">
      <c r="A143" s="29" t="s">
        <v>937</v>
      </c>
      <c r="G143">
        <v>28</v>
      </c>
      <c r="H143">
        <v>39</v>
      </c>
      <c r="I143">
        <v>23</v>
      </c>
      <c r="J143">
        <v>18</v>
      </c>
      <c r="K143">
        <v>14</v>
      </c>
      <c r="L143">
        <v>14</v>
      </c>
      <c r="M143">
        <v>14</v>
      </c>
      <c r="N143">
        <v>53</v>
      </c>
      <c r="O143">
        <v>40</v>
      </c>
      <c r="V143" s="2"/>
      <c r="W143" s="2">
        <v>0.03</v>
      </c>
      <c r="X143" s="2">
        <v>0.03</v>
      </c>
      <c r="Y143" s="2"/>
      <c r="Z143" s="2"/>
      <c r="AA143" s="2"/>
      <c r="AB143" s="32">
        <v>71</v>
      </c>
      <c r="AC143" s="2">
        <v>0.02</v>
      </c>
      <c r="AD143" s="2"/>
      <c r="AE143" s="32"/>
      <c r="AF143" s="32">
        <v>3</v>
      </c>
      <c r="AG143" s="2"/>
      <c r="AH143" s="2"/>
      <c r="AL143" s="2"/>
    </row>
    <row r="144" spans="1:53">
      <c r="A144" t="s">
        <v>590</v>
      </c>
      <c r="G144">
        <v>25</v>
      </c>
      <c r="H144">
        <v>19</v>
      </c>
      <c r="I144">
        <v>25</v>
      </c>
      <c r="J144">
        <v>19</v>
      </c>
      <c r="K144">
        <v>17</v>
      </c>
      <c r="L144">
        <v>17</v>
      </c>
      <c r="M144">
        <v>17</v>
      </c>
      <c r="N144">
        <v>25</v>
      </c>
      <c r="O144">
        <v>25</v>
      </c>
      <c r="V144" s="2"/>
      <c r="W144" s="2"/>
      <c r="X144" s="2"/>
      <c r="Y144" s="2"/>
      <c r="Z144" s="2"/>
      <c r="AA144" s="2"/>
      <c r="AB144" s="32">
        <v>71</v>
      </c>
      <c r="AC144" s="2"/>
      <c r="AD144" s="2"/>
      <c r="AE144" s="32">
        <v>4</v>
      </c>
      <c r="AF144" s="2"/>
      <c r="AG144" s="2"/>
      <c r="AH144" s="2"/>
      <c r="AL144" s="2"/>
    </row>
    <row r="145" spans="1:41">
      <c r="A145" t="s">
        <v>783</v>
      </c>
      <c r="G145">
        <v>24</v>
      </c>
      <c r="H145">
        <v>16</v>
      </c>
      <c r="I145">
        <v>24</v>
      </c>
      <c r="J145">
        <v>16</v>
      </c>
      <c r="K145">
        <v>14</v>
      </c>
      <c r="L145">
        <v>14</v>
      </c>
      <c r="M145">
        <v>14</v>
      </c>
      <c r="N145">
        <v>10</v>
      </c>
      <c r="V145" s="2"/>
      <c r="W145" s="2"/>
      <c r="X145" s="2"/>
      <c r="Y145" s="2"/>
      <c r="Z145" s="2"/>
      <c r="AA145" s="2"/>
      <c r="AB145" s="32">
        <v>71</v>
      </c>
      <c r="AC145" s="2"/>
      <c r="AD145" s="2"/>
      <c r="AE145" s="32">
        <v>4</v>
      </c>
      <c r="AF145" s="2"/>
      <c r="AG145" s="2"/>
      <c r="AH145" s="2"/>
      <c r="AL145" s="2"/>
      <c r="AO145" s="32"/>
    </row>
    <row r="146" spans="1:41">
      <c r="AE146" s="32"/>
    </row>
    <row r="147" spans="1:41">
      <c r="AE147" s="32"/>
    </row>
    <row r="148" spans="1:41">
      <c r="A148" t="s">
        <v>17</v>
      </c>
      <c r="B148" t="s">
        <v>491</v>
      </c>
      <c r="C148" t="s">
        <v>488</v>
      </c>
      <c r="D148" t="s">
        <v>489</v>
      </c>
      <c r="E148" t="s">
        <v>490</v>
      </c>
      <c r="F148" s="29" t="s">
        <v>635</v>
      </c>
      <c r="G148" t="s">
        <v>3</v>
      </c>
      <c r="H148" t="s">
        <v>4</v>
      </c>
      <c r="I148" t="s">
        <v>5</v>
      </c>
      <c r="J148" t="s">
        <v>42</v>
      </c>
      <c r="K148" t="s">
        <v>181</v>
      </c>
      <c r="L148" t="s">
        <v>182</v>
      </c>
      <c r="M148" t="s">
        <v>244</v>
      </c>
      <c r="N148" t="s">
        <v>10</v>
      </c>
      <c r="O148" t="s">
        <v>9</v>
      </c>
      <c r="P148" t="s">
        <v>436</v>
      </c>
      <c r="Q148" t="s">
        <v>756</v>
      </c>
      <c r="R148" t="s">
        <v>757</v>
      </c>
      <c r="S148" t="s">
        <v>758</v>
      </c>
      <c r="T148" s="32" t="s">
        <v>759</v>
      </c>
      <c r="U148" s="173" t="s">
        <v>760</v>
      </c>
      <c r="V148" t="s">
        <v>12</v>
      </c>
      <c r="W148" t="s">
        <v>149</v>
      </c>
      <c r="X148" t="s">
        <v>415</v>
      </c>
      <c r="Y148" t="s">
        <v>595</v>
      </c>
      <c r="Z148" t="s">
        <v>453</v>
      </c>
      <c r="AA148" t="s">
        <v>265</v>
      </c>
      <c r="AB148" t="s">
        <v>11</v>
      </c>
      <c r="AC148" t="s">
        <v>125</v>
      </c>
      <c r="AD148" t="s">
        <v>124</v>
      </c>
      <c r="AE148" s="32" t="s">
        <v>454</v>
      </c>
      <c r="AF148" t="s">
        <v>122</v>
      </c>
      <c r="AG148" t="s">
        <v>183</v>
      </c>
      <c r="AH148" t="s">
        <v>163</v>
      </c>
      <c r="AI148" s="32" t="s">
        <v>563</v>
      </c>
      <c r="AJ148" s="32" t="s">
        <v>564</v>
      </c>
      <c r="AK148" s="29" t="s">
        <v>537</v>
      </c>
      <c r="AL148" t="s">
        <v>416</v>
      </c>
      <c r="AM148" t="s">
        <v>690</v>
      </c>
      <c r="AN148" s="32" t="s">
        <v>217</v>
      </c>
      <c r="AO148" t="s">
        <v>218</v>
      </c>
    </row>
    <row r="149" spans="1:41">
      <c r="A149" s="29" t="s">
        <v>692</v>
      </c>
      <c r="N149">
        <v>8</v>
      </c>
      <c r="O149">
        <v>5</v>
      </c>
      <c r="AE149" s="32"/>
    </row>
    <row r="150" spans="1:41">
      <c r="A150" s="29" t="s">
        <v>917</v>
      </c>
      <c r="N150">
        <v>-10</v>
      </c>
      <c r="AE150" s="32">
        <v>8</v>
      </c>
    </row>
    <row r="151" spans="1:41">
      <c r="A151" t="s">
        <v>330</v>
      </c>
      <c r="I151">
        <v>9</v>
      </c>
      <c r="AE151" s="32"/>
    </row>
    <row r="152" spans="1:41">
      <c r="A152" t="s">
        <v>596</v>
      </c>
      <c r="O152">
        <v>8</v>
      </c>
      <c r="V152" s="2">
        <v>0.02</v>
      </c>
      <c r="AE152" s="32">
        <v>3</v>
      </c>
    </row>
    <row r="153" spans="1:41">
      <c r="A153" t="s">
        <v>190</v>
      </c>
      <c r="G153">
        <v>5</v>
      </c>
      <c r="N153">
        <v>8</v>
      </c>
      <c r="O153">
        <v>8</v>
      </c>
      <c r="V153" s="2"/>
      <c r="W153" s="2"/>
      <c r="X153" s="2"/>
      <c r="Y153" s="2"/>
      <c r="Z153" s="2"/>
      <c r="AA153" s="2"/>
      <c r="AB153" s="32"/>
      <c r="AC153" s="2"/>
      <c r="AD153" s="2"/>
      <c r="AE153" s="32"/>
      <c r="AF153" s="2"/>
      <c r="AG153" s="2"/>
      <c r="AH153" s="2"/>
      <c r="AL153" s="2"/>
    </row>
    <row r="154" spans="1:41">
      <c r="A154" t="s">
        <v>827</v>
      </c>
      <c r="G154">
        <v>6</v>
      </c>
      <c r="H154">
        <v>6</v>
      </c>
      <c r="O154">
        <v>10</v>
      </c>
      <c r="V154" s="2"/>
      <c r="W154" s="2"/>
      <c r="X154" s="2"/>
      <c r="Y154" s="2"/>
      <c r="Z154" s="2"/>
      <c r="AA154" s="2"/>
      <c r="AB154" s="32"/>
      <c r="AC154" s="2"/>
      <c r="AD154" s="2"/>
      <c r="AE154" s="32"/>
      <c r="AF154" s="2"/>
      <c r="AG154" s="2"/>
      <c r="AH154" s="2"/>
      <c r="AL154" s="2"/>
    </row>
    <row r="155" spans="1:41">
      <c r="A155" t="s">
        <v>811</v>
      </c>
      <c r="B155">
        <v>15</v>
      </c>
      <c r="C155">
        <v>15</v>
      </c>
      <c r="D155">
        <v>15</v>
      </c>
      <c r="E155">
        <v>15</v>
      </c>
      <c r="V155" s="2"/>
      <c r="W155" s="2"/>
      <c r="X155" s="2"/>
      <c r="Y155" s="2"/>
      <c r="Z155" s="2"/>
      <c r="AA155" s="2"/>
      <c r="AB155" s="32"/>
      <c r="AC155" s="2"/>
      <c r="AD155" s="2"/>
      <c r="AE155" s="32">
        <v>4</v>
      </c>
      <c r="AF155" s="2"/>
      <c r="AG155" s="2"/>
      <c r="AH155" s="2"/>
      <c r="AL155" s="2"/>
    </row>
    <row r="156" spans="1:41">
      <c r="A156" t="s">
        <v>828</v>
      </c>
      <c r="N156">
        <v>6</v>
      </c>
      <c r="V156" s="2"/>
      <c r="W156" s="2">
        <v>0.01</v>
      </c>
      <c r="X156" s="2"/>
      <c r="Y156" s="2"/>
      <c r="Z156" s="2"/>
      <c r="AA156" s="2"/>
      <c r="AB156" s="32"/>
      <c r="AC156" s="2"/>
      <c r="AD156" s="2"/>
      <c r="AE156" s="32"/>
      <c r="AF156" s="2"/>
      <c r="AG156" s="2"/>
      <c r="AH156" s="2"/>
      <c r="AL156" s="2"/>
    </row>
    <row r="157" spans="1:41">
      <c r="A157" t="s">
        <v>331</v>
      </c>
      <c r="I157">
        <v>4</v>
      </c>
      <c r="V157" s="2"/>
      <c r="W157" s="2"/>
      <c r="X157" s="2">
        <v>0.02</v>
      </c>
      <c r="Y157" s="2"/>
      <c r="Z157" s="2"/>
      <c r="AA157" s="2"/>
      <c r="AB157" s="32"/>
      <c r="AC157" s="2"/>
      <c r="AD157" s="2"/>
      <c r="AE157" s="32"/>
      <c r="AF157" s="2"/>
      <c r="AG157" s="2"/>
      <c r="AH157" s="2"/>
      <c r="AL157" s="2"/>
    </row>
    <row r="158" spans="1:41">
      <c r="A158" t="s">
        <v>27</v>
      </c>
      <c r="N158">
        <v>10</v>
      </c>
      <c r="V158" s="2"/>
      <c r="W158" s="2"/>
      <c r="X158" s="2"/>
      <c r="Y158" s="2"/>
      <c r="Z158" s="2"/>
      <c r="AA158" s="2"/>
      <c r="AB158" s="32"/>
      <c r="AC158" s="2"/>
      <c r="AD158" s="2"/>
      <c r="AE158" s="32"/>
      <c r="AF158" s="2"/>
      <c r="AG158" s="2"/>
      <c r="AH158" s="2"/>
      <c r="AI158" s="32">
        <v>100</v>
      </c>
      <c r="AL158" s="2"/>
    </row>
    <row r="159" spans="1:41">
      <c r="A159" t="s">
        <v>446</v>
      </c>
      <c r="J159">
        <v>6</v>
      </c>
      <c r="N159">
        <v>6</v>
      </c>
      <c r="V159" s="2"/>
      <c r="W159" s="2"/>
      <c r="X159" s="2"/>
      <c r="Y159" s="2"/>
      <c r="Z159" s="2"/>
      <c r="AA159" s="2"/>
      <c r="AB159" s="32"/>
      <c r="AC159" s="2"/>
      <c r="AD159" s="2"/>
      <c r="AE159" s="32">
        <v>3</v>
      </c>
      <c r="AF159" s="2"/>
      <c r="AG159" s="2"/>
      <c r="AH159" s="2"/>
      <c r="AL159" s="2"/>
    </row>
    <row r="160" spans="1:41">
      <c r="A160" s="29" t="s">
        <v>705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>
        <v>13</v>
      </c>
      <c r="O160" s="29"/>
      <c r="V160" s="12"/>
      <c r="W160" s="12"/>
      <c r="X160" s="12"/>
      <c r="Y160" s="12"/>
      <c r="Z160" s="12"/>
      <c r="AA160" s="12"/>
      <c r="AB160" s="42"/>
      <c r="AC160" s="12"/>
      <c r="AD160" s="12"/>
      <c r="AE160" s="32"/>
      <c r="AF160" s="12"/>
      <c r="AG160" s="42"/>
      <c r="AH160" s="12"/>
      <c r="AI160" s="42"/>
      <c r="AJ160" s="42"/>
      <c r="AK160" s="12"/>
      <c r="AM160" s="12"/>
      <c r="AN160"/>
    </row>
    <row r="161" spans="1:41">
      <c r="A161" t="s">
        <v>209</v>
      </c>
      <c r="G161">
        <v>7</v>
      </c>
      <c r="N161">
        <v>-3</v>
      </c>
      <c r="V161" s="2"/>
      <c r="W161" s="2"/>
      <c r="X161" s="2"/>
      <c r="Y161" s="2"/>
      <c r="Z161" s="2"/>
      <c r="AA161" s="2"/>
      <c r="AB161" s="32"/>
      <c r="AC161" s="2"/>
      <c r="AD161" s="2"/>
      <c r="AE161" s="32"/>
      <c r="AF161" s="2"/>
      <c r="AG161" s="2"/>
      <c r="AH161" s="2"/>
      <c r="AL161" s="2"/>
    </row>
    <row r="162" spans="1:41">
      <c r="A162" s="29" t="s">
        <v>762</v>
      </c>
      <c r="G162">
        <v>7</v>
      </c>
      <c r="I162">
        <v>-5</v>
      </c>
      <c r="O162">
        <v>8</v>
      </c>
      <c r="V162" s="2"/>
      <c r="W162" s="2"/>
      <c r="X162" s="2"/>
      <c r="Y162" s="2"/>
      <c r="Z162" s="2"/>
      <c r="AA162" s="2"/>
      <c r="AB162" s="32"/>
      <c r="AC162" s="2"/>
      <c r="AD162" s="2"/>
      <c r="AE162" s="32"/>
      <c r="AF162" s="32"/>
      <c r="AG162" s="32"/>
      <c r="AH162" s="2"/>
      <c r="AI162" s="2"/>
      <c r="AJ162" s="2"/>
      <c r="AK162" s="2"/>
      <c r="AM162" s="2"/>
      <c r="AN162"/>
    </row>
    <row r="163" spans="1:41">
      <c r="A163" s="29" t="s">
        <v>810</v>
      </c>
      <c r="N163">
        <v>8</v>
      </c>
      <c r="V163" s="2">
        <v>0.01</v>
      </c>
      <c r="W163" s="2"/>
      <c r="X163" s="2"/>
      <c r="Y163" s="2"/>
      <c r="Z163" s="2"/>
      <c r="AA163" s="2"/>
      <c r="AB163" s="32"/>
      <c r="AC163" s="2"/>
      <c r="AD163" s="2"/>
      <c r="AE163" s="32">
        <v>4</v>
      </c>
      <c r="AF163" s="32"/>
      <c r="AG163" s="32"/>
      <c r="AH163" s="2"/>
      <c r="AI163" s="2"/>
      <c r="AJ163" s="2"/>
      <c r="AK163" s="2"/>
      <c r="AM163" s="2"/>
      <c r="AN163"/>
    </row>
    <row r="164" spans="1:41">
      <c r="A164" s="29" t="s">
        <v>763</v>
      </c>
      <c r="N164">
        <v>3</v>
      </c>
      <c r="S164">
        <v>3</v>
      </c>
      <c r="V164" s="2"/>
      <c r="W164" s="2"/>
      <c r="X164" s="2"/>
      <c r="Y164" s="2"/>
      <c r="Z164" s="2"/>
      <c r="AA164" s="2"/>
      <c r="AB164" s="32"/>
      <c r="AC164" s="2">
        <v>0.03</v>
      </c>
      <c r="AD164" s="2"/>
      <c r="AE164" s="32"/>
      <c r="AF164" s="32"/>
      <c r="AG164" s="32"/>
      <c r="AH164" s="2"/>
      <c r="AI164" s="2"/>
      <c r="AJ164" s="2"/>
      <c r="AK164" s="2"/>
      <c r="AM164" s="2"/>
      <c r="AN164"/>
    </row>
    <row r="165" spans="1:41">
      <c r="A165" s="29" t="s">
        <v>637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V165" s="12"/>
      <c r="W165" s="12"/>
      <c r="X165" s="12"/>
      <c r="Y165" s="12"/>
      <c r="Z165" s="12"/>
      <c r="AA165" s="12"/>
      <c r="AB165" s="42"/>
      <c r="AC165" s="12"/>
      <c r="AD165" s="12"/>
      <c r="AE165" s="32">
        <v>5</v>
      </c>
      <c r="AF165" s="12"/>
      <c r="AG165" s="42"/>
      <c r="AH165" s="12"/>
      <c r="AI165" s="42"/>
      <c r="AJ165" s="42"/>
      <c r="AK165" s="42"/>
      <c r="AL165" s="12"/>
      <c r="AM165" s="42"/>
    </row>
    <row r="166" spans="1:41">
      <c r="A166" t="s">
        <v>70</v>
      </c>
      <c r="N166">
        <v>10</v>
      </c>
      <c r="V166" s="2"/>
      <c r="W166" s="2"/>
      <c r="X166" s="2"/>
      <c r="Y166" s="2"/>
      <c r="Z166" s="2"/>
      <c r="AA166" s="2"/>
      <c r="AB166" s="32"/>
      <c r="AC166" s="2"/>
      <c r="AD166" s="2"/>
      <c r="AE166" s="32"/>
      <c r="AF166" s="2"/>
      <c r="AG166" s="2"/>
      <c r="AH166" s="2"/>
      <c r="AL166" s="2"/>
    </row>
    <row r="167" spans="1:41">
      <c r="A167" t="s">
        <v>575</v>
      </c>
      <c r="N167">
        <v>5</v>
      </c>
      <c r="O167">
        <v>5</v>
      </c>
      <c r="V167" s="2">
        <v>0.02</v>
      </c>
      <c r="W167" s="2"/>
      <c r="X167" s="2"/>
      <c r="Y167" s="2"/>
      <c r="Z167" s="2"/>
      <c r="AA167" s="2"/>
      <c r="AB167" s="32"/>
      <c r="AC167" s="2"/>
      <c r="AD167" s="2"/>
      <c r="AE167" s="32"/>
      <c r="AF167" s="2"/>
      <c r="AG167" s="2"/>
      <c r="AH167" s="2"/>
      <c r="AL167" s="2"/>
    </row>
    <row r="168" spans="1:41">
      <c r="A168" s="29" t="s">
        <v>761</v>
      </c>
      <c r="H168">
        <v>7</v>
      </c>
      <c r="J168">
        <v>-5</v>
      </c>
      <c r="N168">
        <v>8</v>
      </c>
      <c r="S168" s="29"/>
      <c r="V168" s="2"/>
      <c r="W168" s="2"/>
      <c r="X168" s="2"/>
      <c r="Y168" s="2"/>
      <c r="Z168" s="2"/>
      <c r="AA168" s="2"/>
      <c r="AB168" s="32"/>
      <c r="AC168" s="2"/>
      <c r="AD168" s="2"/>
      <c r="AE168" s="32"/>
      <c r="AF168" s="32"/>
      <c r="AG168" s="32"/>
      <c r="AH168" s="2"/>
      <c r="AI168" s="2"/>
      <c r="AJ168" s="2"/>
      <c r="AK168" s="2"/>
      <c r="AM168" s="2"/>
      <c r="AN168"/>
    </row>
    <row r="169" spans="1:41">
      <c r="A169" s="29" t="s">
        <v>818</v>
      </c>
      <c r="N169">
        <v>15</v>
      </c>
      <c r="S169" s="29"/>
      <c r="V169" s="2"/>
      <c r="W169" s="2"/>
      <c r="X169" s="2"/>
      <c r="Y169" s="2"/>
      <c r="Z169" s="2"/>
      <c r="AA169" s="2"/>
      <c r="AB169" s="32"/>
      <c r="AC169" s="2"/>
      <c r="AD169" s="2"/>
      <c r="AE169" s="32"/>
      <c r="AF169" s="32"/>
      <c r="AG169" s="32"/>
      <c r="AH169" s="2"/>
      <c r="AI169" s="2"/>
      <c r="AJ169" s="2"/>
      <c r="AK169" s="2"/>
      <c r="AM169" s="2"/>
      <c r="AN169"/>
    </row>
    <row r="170" spans="1:41">
      <c r="A170" s="29" t="s">
        <v>893</v>
      </c>
      <c r="I170">
        <v>9</v>
      </c>
      <c r="M170">
        <v>9</v>
      </c>
      <c r="N170">
        <v>5</v>
      </c>
      <c r="S170" s="29"/>
      <c r="V170" s="2"/>
      <c r="W170" s="2"/>
      <c r="X170" s="2"/>
      <c r="Y170" s="2"/>
      <c r="Z170" s="2"/>
      <c r="AA170" s="2"/>
      <c r="AB170" s="32"/>
      <c r="AC170" s="2"/>
      <c r="AD170" s="2"/>
      <c r="AE170" s="32"/>
      <c r="AF170" s="32"/>
      <c r="AG170" s="32"/>
      <c r="AH170" s="2"/>
      <c r="AI170" s="2"/>
      <c r="AJ170" s="2"/>
      <c r="AK170" s="2"/>
      <c r="AM170" s="2"/>
      <c r="AN170"/>
    </row>
    <row r="171" spans="1:41" s="29" customFormat="1">
      <c r="A171" s="29" t="s">
        <v>746</v>
      </c>
      <c r="V171" s="12"/>
      <c r="W171" s="12"/>
      <c r="X171" s="12"/>
      <c r="Y171" s="12"/>
      <c r="Z171" s="12"/>
      <c r="AA171" s="12"/>
      <c r="AB171" s="42"/>
      <c r="AC171" s="12"/>
      <c r="AD171" s="12"/>
      <c r="AE171" s="32"/>
      <c r="AF171" s="42">
        <v>30</v>
      </c>
      <c r="AG171" s="12"/>
      <c r="AH171" s="12"/>
      <c r="AI171" s="42"/>
      <c r="AJ171" s="42"/>
      <c r="AK171" s="42"/>
      <c r="AM171" s="42"/>
    </row>
    <row r="172" spans="1:41" s="29" customFormat="1">
      <c r="A172" s="29" t="s">
        <v>745</v>
      </c>
      <c r="V172" s="12"/>
      <c r="W172" s="12"/>
      <c r="X172" s="12"/>
      <c r="Y172" s="12"/>
      <c r="Z172" s="12"/>
      <c r="AA172" s="12"/>
      <c r="AB172" s="42"/>
      <c r="AC172" s="12"/>
      <c r="AD172" s="12"/>
      <c r="AE172" s="32"/>
      <c r="AF172" s="42">
        <v>30</v>
      </c>
      <c r="AG172" s="12"/>
      <c r="AH172" s="12">
        <v>0.25</v>
      </c>
      <c r="AI172" s="42"/>
      <c r="AJ172" s="42"/>
      <c r="AK172" s="42"/>
      <c r="AM172" s="42"/>
    </row>
    <row r="173" spans="1:41">
      <c r="A173" t="s">
        <v>74</v>
      </c>
      <c r="N173">
        <v>12</v>
      </c>
      <c r="V173" s="2"/>
      <c r="W173" s="2"/>
      <c r="X173" s="2"/>
      <c r="Y173" s="2"/>
      <c r="Z173" s="2"/>
      <c r="AA173" s="2"/>
      <c r="AB173" s="32"/>
      <c r="AC173" s="2"/>
      <c r="AD173" s="2"/>
      <c r="AE173" s="32"/>
      <c r="AF173" s="2"/>
      <c r="AG173" s="2"/>
      <c r="AH173" s="2"/>
      <c r="AL173" s="2"/>
    </row>
    <row r="174" spans="1:41">
      <c r="AE174" s="32"/>
    </row>
    <row r="175" spans="1:41">
      <c r="AE175" s="32"/>
    </row>
    <row r="176" spans="1:41">
      <c r="A176" t="s">
        <v>63</v>
      </c>
      <c r="B176" t="s">
        <v>491</v>
      </c>
      <c r="C176" t="s">
        <v>488</v>
      </c>
      <c r="D176" t="s">
        <v>489</v>
      </c>
      <c r="E176" t="s">
        <v>490</v>
      </c>
      <c r="F176" s="29" t="s">
        <v>635</v>
      </c>
      <c r="G176" t="s">
        <v>3</v>
      </c>
      <c r="H176" t="s">
        <v>4</v>
      </c>
      <c r="I176" t="s">
        <v>5</v>
      </c>
      <c r="J176" t="s">
        <v>42</v>
      </c>
      <c r="K176" t="s">
        <v>181</v>
      </c>
      <c r="L176" t="s">
        <v>182</v>
      </c>
      <c r="M176" t="s">
        <v>244</v>
      </c>
      <c r="N176" t="s">
        <v>10</v>
      </c>
      <c r="O176" t="s">
        <v>9</v>
      </c>
      <c r="P176" t="s">
        <v>436</v>
      </c>
      <c r="Q176" t="s">
        <v>756</v>
      </c>
      <c r="R176" t="s">
        <v>757</v>
      </c>
      <c r="S176" t="s">
        <v>758</v>
      </c>
      <c r="T176" s="32" t="s">
        <v>759</v>
      </c>
      <c r="U176" s="173" t="s">
        <v>760</v>
      </c>
      <c r="V176" t="s">
        <v>12</v>
      </c>
      <c r="W176" t="s">
        <v>149</v>
      </c>
      <c r="X176" t="s">
        <v>415</v>
      </c>
      <c r="Y176" t="s">
        <v>595</v>
      </c>
      <c r="Z176" t="s">
        <v>453</v>
      </c>
      <c r="AA176" t="s">
        <v>265</v>
      </c>
      <c r="AB176" t="s">
        <v>11</v>
      </c>
      <c r="AC176" t="s">
        <v>125</v>
      </c>
      <c r="AD176" t="s">
        <v>124</v>
      </c>
      <c r="AE176" s="32" t="s">
        <v>454</v>
      </c>
      <c r="AF176" t="s">
        <v>122</v>
      </c>
      <c r="AG176" t="s">
        <v>183</v>
      </c>
      <c r="AH176" t="s">
        <v>163</v>
      </c>
      <c r="AI176" s="32" t="s">
        <v>563</v>
      </c>
      <c r="AJ176" s="32" t="s">
        <v>564</v>
      </c>
      <c r="AK176" s="29" t="s">
        <v>537</v>
      </c>
      <c r="AL176" t="s">
        <v>416</v>
      </c>
      <c r="AM176" t="s">
        <v>690</v>
      </c>
      <c r="AN176" s="32" t="s">
        <v>217</v>
      </c>
      <c r="AO176" t="s">
        <v>218</v>
      </c>
    </row>
    <row r="177" spans="1:40">
      <c r="A177" t="s">
        <v>190</v>
      </c>
      <c r="G177">
        <v>4</v>
      </c>
      <c r="O177">
        <v>8</v>
      </c>
      <c r="V177" s="2"/>
      <c r="W177" s="2"/>
      <c r="X177" s="2"/>
      <c r="Y177" s="2"/>
      <c r="Z177" s="2"/>
      <c r="AA177" s="2"/>
      <c r="AB177" s="32"/>
      <c r="AC177" s="2"/>
      <c r="AD177" s="2"/>
      <c r="AE177" s="32"/>
      <c r="AF177" s="2"/>
      <c r="AH177" s="2"/>
      <c r="AL177" s="2"/>
    </row>
    <row r="178" spans="1:40">
      <c r="A178" t="s">
        <v>603</v>
      </c>
      <c r="O178">
        <v>8</v>
      </c>
      <c r="V178" s="2"/>
      <c r="W178" s="2"/>
      <c r="X178" s="2"/>
      <c r="Y178" s="2"/>
      <c r="Z178" s="2"/>
      <c r="AA178" s="2"/>
      <c r="AB178" s="32"/>
      <c r="AC178" s="2"/>
      <c r="AD178" s="2"/>
      <c r="AE178" s="32">
        <v>1</v>
      </c>
      <c r="AF178" s="32"/>
      <c r="AG178" s="32"/>
      <c r="AH178" s="2"/>
      <c r="AI178" s="2"/>
      <c r="AJ178" s="2"/>
      <c r="AK178" s="2"/>
      <c r="AL178" s="2"/>
      <c r="AM178" s="2"/>
    </row>
    <row r="179" spans="1:40">
      <c r="A179" t="s">
        <v>312</v>
      </c>
      <c r="V179" s="2"/>
      <c r="W179" s="2"/>
      <c r="X179" s="2"/>
      <c r="Y179" s="2"/>
      <c r="Z179" s="2"/>
      <c r="AA179" s="2"/>
      <c r="AB179" s="32"/>
      <c r="AC179" s="2"/>
      <c r="AD179" s="2"/>
      <c r="AE179" s="32"/>
      <c r="AF179" s="2"/>
      <c r="AH179" s="2"/>
      <c r="AL179" s="2"/>
      <c r="AN179" s="32">
        <v>35</v>
      </c>
    </row>
    <row r="180" spans="1:40">
      <c r="A180" t="s">
        <v>25</v>
      </c>
      <c r="V180" s="2">
        <v>0.05</v>
      </c>
      <c r="W180" s="2"/>
      <c r="X180" s="2"/>
      <c r="Y180" s="2"/>
      <c r="Z180" s="2"/>
      <c r="AA180" s="2"/>
      <c r="AB180" s="32"/>
      <c r="AC180" s="2"/>
      <c r="AD180" s="2"/>
      <c r="AE180" s="32">
        <v>1</v>
      </c>
      <c r="AF180" s="2"/>
      <c r="AH180" s="2"/>
      <c r="AL180" s="2"/>
    </row>
    <row r="181" spans="1:40">
      <c r="A181" t="s">
        <v>210</v>
      </c>
      <c r="O181">
        <v>10</v>
      </c>
      <c r="V181" s="2"/>
      <c r="W181" s="2"/>
      <c r="X181" s="2"/>
      <c r="Y181" s="2"/>
      <c r="Z181" s="2"/>
      <c r="AA181" s="2"/>
      <c r="AB181" s="32"/>
      <c r="AC181" s="2"/>
      <c r="AD181" s="2"/>
      <c r="AE181" s="32"/>
      <c r="AF181" s="2"/>
      <c r="AH181" s="2"/>
      <c r="AL181" s="2"/>
    </row>
    <row r="182" spans="1:40">
      <c r="A182" s="29" t="s">
        <v>853</v>
      </c>
      <c r="N182">
        <v>6</v>
      </c>
      <c r="V182" s="2">
        <v>0.03</v>
      </c>
      <c r="W182" s="2"/>
      <c r="X182" s="2"/>
      <c r="Y182" s="2"/>
      <c r="Z182" s="2"/>
      <c r="AA182" s="2"/>
      <c r="AB182" s="32"/>
      <c r="AC182" s="2"/>
      <c r="AD182" s="2"/>
      <c r="AE182" s="32">
        <v>3</v>
      </c>
      <c r="AF182" s="2"/>
      <c r="AH182" s="2"/>
      <c r="AL182" s="2"/>
    </row>
    <row r="183" spans="1:40">
      <c r="A183" s="29" t="s">
        <v>896</v>
      </c>
      <c r="N183">
        <v>-10</v>
      </c>
      <c r="O183">
        <v>-10</v>
      </c>
      <c r="V183" s="2"/>
      <c r="W183" s="2"/>
      <c r="X183" s="2"/>
      <c r="Y183" s="2"/>
      <c r="Z183" s="2"/>
      <c r="AA183" s="2"/>
      <c r="AB183" s="32"/>
      <c r="AC183" s="2"/>
      <c r="AD183" s="2"/>
      <c r="AE183" s="32">
        <v>8</v>
      </c>
      <c r="AF183" s="2"/>
      <c r="AH183" s="2"/>
      <c r="AL183" s="2"/>
    </row>
    <row r="184" spans="1:40">
      <c r="A184" s="29" t="s">
        <v>854</v>
      </c>
      <c r="N184">
        <v>10</v>
      </c>
      <c r="S184">
        <v>10</v>
      </c>
      <c r="V184" s="2"/>
      <c r="W184" s="2"/>
      <c r="X184" s="2"/>
      <c r="Y184" s="2"/>
      <c r="Z184" s="2"/>
      <c r="AA184" s="2"/>
      <c r="AB184" s="32"/>
      <c r="AC184" s="2"/>
      <c r="AD184" s="2"/>
      <c r="AE184" s="32">
        <v>3</v>
      </c>
      <c r="AF184" s="2"/>
      <c r="AH184" s="2"/>
      <c r="AL184" s="2"/>
    </row>
    <row r="185" spans="1:40">
      <c r="A185" t="s">
        <v>829</v>
      </c>
      <c r="H185">
        <v>4</v>
      </c>
      <c r="N185">
        <v>5</v>
      </c>
      <c r="V185" s="2"/>
      <c r="W185" s="2"/>
      <c r="X185" s="2"/>
      <c r="Y185" s="2"/>
      <c r="Z185" s="2"/>
      <c r="AA185" s="2"/>
      <c r="AB185" s="32"/>
      <c r="AC185" s="2"/>
      <c r="AD185" s="2"/>
      <c r="AE185" s="32"/>
      <c r="AF185" s="2"/>
      <c r="AH185" s="2"/>
      <c r="AL185" s="2"/>
    </row>
    <row r="186" spans="1:40">
      <c r="A186" t="s">
        <v>601</v>
      </c>
      <c r="O186">
        <v>8</v>
      </c>
      <c r="V186" s="2"/>
      <c r="W186" s="2"/>
      <c r="X186" s="2"/>
      <c r="Y186" s="2"/>
      <c r="Z186" s="2"/>
      <c r="AA186" s="2"/>
      <c r="AB186" s="32"/>
      <c r="AC186" s="2"/>
      <c r="AD186" s="2"/>
      <c r="AE186" s="32"/>
      <c r="AF186" s="32"/>
      <c r="AG186" s="32"/>
      <c r="AH186" s="2"/>
      <c r="AI186" s="2"/>
      <c r="AJ186" s="2"/>
      <c r="AK186" s="2"/>
      <c r="AL186" s="2"/>
      <c r="AM186" s="2"/>
    </row>
    <row r="187" spans="1:40">
      <c r="A187" t="s">
        <v>313</v>
      </c>
      <c r="O187">
        <v>5</v>
      </c>
      <c r="V187" s="2"/>
      <c r="W187" s="2"/>
      <c r="X187" s="2"/>
      <c r="Y187" s="2"/>
      <c r="Z187" s="2"/>
      <c r="AA187" s="2"/>
      <c r="AB187" s="32"/>
      <c r="AC187" s="2"/>
      <c r="AD187" s="2"/>
      <c r="AE187" s="32"/>
      <c r="AF187" s="2"/>
      <c r="AH187" s="2"/>
      <c r="AL187" s="2"/>
      <c r="AN187" s="32">
        <v>15</v>
      </c>
    </row>
    <row r="188" spans="1:40">
      <c r="A188" t="s">
        <v>602</v>
      </c>
      <c r="N188">
        <v>8</v>
      </c>
      <c r="V188" s="2"/>
      <c r="W188" s="2"/>
      <c r="X188" s="2"/>
      <c r="Y188" s="2"/>
      <c r="Z188" s="2"/>
      <c r="AA188" s="2"/>
      <c r="AB188" s="32"/>
      <c r="AC188" s="2"/>
      <c r="AD188" s="2"/>
      <c r="AE188" s="32"/>
      <c r="AF188" s="32"/>
      <c r="AG188" s="32"/>
      <c r="AH188" s="2"/>
      <c r="AI188" s="2"/>
      <c r="AJ188" s="2"/>
      <c r="AK188" s="2"/>
      <c r="AL188" s="2"/>
      <c r="AM188" s="2"/>
    </row>
    <row r="189" spans="1:40">
      <c r="A189" t="s">
        <v>75</v>
      </c>
      <c r="H189">
        <v>2</v>
      </c>
      <c r="N189">
        <v>3</v>
      </c>
      <c r="V189" s="2"/>
      <c r="W189" s="2"/>
      <c r="X189" s="2"/>
      <c r="Y189" s="2"/>
      <c r="Z189" s="2"/>
      <c r="AA189" s="2"/>
      <c r="AB189" s="32"/>
      <c r="AC189" s="2"/>
      <c r="AD189" s="2"/>
      <c r="AE189" s="32"/>
      <c r="AF189" s="2"/>
      <c r="AH189" s="2"/>
      <c r="AL189" s="2"/>
    </row>
    <row r="190" spans="1:40">
      <c r="A190" t="s">
        <v>781</v>
      </c>
      <c r="V190" s="2"/>
      <c r="W190" s="2"/>
      <c r="X190" s="2"/>
      <c r="Y190" s="2"/>
      <c r="Z190" s="2"/>
      <c r="AA190" s="2"/>
      <c r="AB190" s="32"/>
      <c r="AC190" s="2"/>
      <c r="AD190" s="2"/>
      <c r="AE190" s="32"/>
      <c r="AF190" s="2"/>
      <c r="AH190" s="2">
        <v>0.02</v>
      </c>
      <c r="AL190" s="2"/>
    </row>
    <row r="191" spans="1:40">
      <c r="A191" t="s">
        <v>566</v>
      </c>
      <c r="G191">
        <v>4</v>
      </c>
      <c r="N191">
        <v>4</v>
      </c>
      <c r="V191" s="2"/>
      <c r="W191" s="2"/>
      <c r="X191" s="2"/>
      <c r="Y191" s="2"/>
      <c r="Z191" s="2"/>
      <c r="AA191" s="2"/>
      <c r="AB191" s="32"/>
      <c r="AC191" s="2"/>
      <c r="AD191" s="2"/>
      <c r="AE191" s="32">
        <v>1</v>
      </c>
      <c r="AF191" s="2"/>
      <c r="AH191" s="2"/>
      <c r="AL191" s="2"/>
    </row>
    <row r="192" spans="1:40">
      <c r="A192" t="s">
        <v>790</v>
      </c>
      <c r="G192">
        <v>7</v>
      </c>
      <c r="H192">
        <v>7</v>
      </c>
      <c r="I192">
        <v>7</v>
      </c>
      <c r="K192">
        <v>7</v>
      </c>
      <c r="V192" s="2">
        <v>0.03</v>
      </c>
      <c r="W192" s="2"/>
      <c r="X192" s="2"/>
      <c r="Y192" s="2"/>
      <c r="Z192" s="2"/>
      <c r="AA192" s="2"/>
      <c r="AB192" s="32"/>
      <c r="AC192" s="2"/>
      <c r="AD192" s="2"/>
      <c r="AE192" s="32"/>
      <c r="AF192" s="2"/>
      <c r="AH192" s="2"/>
      <c r="AL192" s="2"/>
    </row>
    <row r="193" spans="1:41">
      <c r="A193" t="s">
        <v>791</v>
      </c>
      <c r="G193">
        <v>8</v>
      </c>
      <c r="H193">
        <v>8</v>
      </c>
      <c r="I193">
        <v>8</v>
      </c>
      <c r="K193">
        <v>8</v>
      </c>
      <c r="V193" s="2">
        <v>0.03</v>
      </c>
      <c r="W193" s="2"/>
      <c r="X193" s="2"/>
      <c r="Y193" s="2"/>
      <c r="Z193" s="2"/>
      <c r="AA193" s="2"/>
      <c r="AB193" s="32"/>
      <c r="AC193" s="2"/>
      <c r="AD193" s="2"/>
      <c r="AE193" s="32"/>
      <c r="AF193" s="2"/>
      <c r="AH193" s="2"/>
      <c r="AL193" s="2"/>
    </row>
    <row r="194" spans="1:41">
      <c r="A194" t="s">
        <v>211</v>
      </c>
      <c r="O194">
        <v>4</v>
      </c>
      <c r="V194" s="2"/>
      <c r="W194" s="2"/>
      <c r="X194" s="2"/>
      <c r="Y194" s="2"/>
      <c r="Z194" s="2"/>
      <c r="AA194" s="2"/>
      <c r="AB194" s="32"/>
      <c r="AC194" s="2"/>
      <c r="AD194" s="2"/>
      <c r="AE194" s="32"/>
      <c r="AF194" s="2"/>
      <c r="AG194">
        <v>250</v>
      </c>
      <c r="AH194" s="2"/>
      <c r="AL194" s="2"/>
    </row>
    <row r="195" spans="1:41">
      <c r="A195" t="s">
        <v>882</v>
      </c>
      <c r="J195">
        <v>2</v>
      </c>
      <c r="V195" s="2"/>
      <c r="W195" s="2"/>
      <c r="X195" s="2"/>
      <c r="Y195" s="2"/>
      <c r="Z195" s="2"/>
      <c r="AA195" s="2"/>
      <c r="AB195" s="32"/>
      <c r="AC195" s="2"/>
      <c r="AD195" s="2"/>
      <c r="AE195" s="32">
        <v>4</v>
      </c>
      <c r="AF195" s="2"/>
      <c r="AH195" s="2"/>
      <c r="AL195" s="2"/>
    </row>
    <row r="196" spans="1:41">
      <c r="A196" t="s">
        <v>604</v>
      </c>
      <c r="N196">
        <v>8</v>
      </c>
      <c r="V196" s="2"/>
      <c r="W196" s="2"/>
      <c r="X196" s="2"/>
      <c r="Y196" s="2"/>
      <c r="Z196" s="2"/>
      <c r="AA196" s="2"/>
      <c r="AB196" s="32"/>
      <c r="AC196" s="2"/>
      <c r="AD196" s="2"/>
      <c r="AE196" s="32">
        <v>1</v>
      </c>
      <c r="AF196" s="32"/>
      <c r="AG196" s="32"/>
      <c r="AH196" s="2"/>
      <c r="AI196" s="2"/>
      <c r="AJ196" s="2"/>
      <c r="AK196" s="2"/>
      <c r="AL196" s="2"/>
      <c r="AM196" s="2"/>
    </row>
    <row r="197" spans="1:41">
      <c r="A197" t="s">
        <v>599</v>
      </c>
      <c r="N197">
        <v>5</v>
      </c>
      <c r="O197">
        <v>15</v>
      </c>
      <c r="V197" s="2"/>
      <c r="W197" s="2"/>
      <c r="X197" s="2"/>
      <c r="Y197" s="2"/>
      <c r="Z197" s="32"/>
      <c r="AA197" s="2"/>
      <c r="AB197" s="32"/>
      <c r="AC197" s="2"/>
      <c r="AD197" s="2"/>
      <c r="AE197" s="32"/>
      <c r="AF197" s="32"/>
      <c r="AG197" s="32"/>
      <c r="AH197" s="2"/>
      <c r="AL197" s="32"/>
    </row>
    <row r="198" spans="1:41">
      <c r="A198" t="s">
        <v>600</v>
      </c>
      <c r="N198">
        <v>6</v>
      </c>
      <c r="O198">
        <v>16</v>
      </c>
      <c r="V198" s="2"/>
      <c r="W198" s="2"/>
      <c r="X198" s="2"/>
      <c r="Y198" s="2"/>
      <c r="Z198" s="32"/>
      <c r="AA198" s="2"/>
      <c r="AB198" s="32"/>
      <c r="AC198" s="2"/>
      <c r="AD198" s="2"/>
      <c r="AE198" s="32"/>
      <c r="AF198" s="32"/>
      <c r="AG198" s="32"/>
      <c r="AH198" s="2"/>
      <c r="AL198" s="32"/>
    </row>
    <row r="199" spans="1:41">
      <c r="A199" t="s">
        <v>919</v>
      </c>
      <c r="N199">
        <v>10</v>
      </c>
      <c r="O199">
        <v>10</v>
      </c>
      <c r="V199" s="2">
        <v>0.01</v>
      </c>
      <c r="W199" s="2"/>
      <c r="X199" s="2"/>
      <c r="Y199" s="2"/>
      <c r="Z199" s="32"/>
      <c r="AA199" s="2"/>
      <c r="AB199" s="32"/>
      <c r="AC199" s="2"/>
      <c r="AD199" s="2"/>
      <c r="AE199" s="32">
        <v>5</v>
      </c>
      <c r="AF199" s="32"/>
      <c r="AG199" s="32"/>
      <c r="AH199" s="2"/>
      <c r="AL199" s="32"/>
    </row>
    <row r="200" spans="1:41">
      <c r="A200" t="s">
        <v>694</v>
      </c>
      <c r="O200">
        <v>6</v>
      </c>
      <c r="V200" s="2"/>
      <c r="W200" s="2"/>
      <c r="X200" s="2"/>
      <c r="Y200" s="2"/>
      <c r="Z200" s="32"/>
      <c r="AA200" s="2"/>
      <c r="AB200" s="32"/>
      <c r="AC200" s="2"/>
      <c r="AD200" s="2"/>
      <c r="AE200" s="32">
        <v>5</v>
      </c>
      <c r="AF200" s="32"/>
      <c r="AG200" s="32"/>
      <c r="AH200" s="2"/>
      <c r="AL200" s="32"/>
    </row>
    <row r="201" spans="1:41">
      <c r="A201" s="29" t="s">
        <v>695</v>
      </c>
      <c r="V201" s="2">
        <v>0.03</v>
      </c>
      <c r="W201" s="2"/>
      <c r="X201" s="2"/>
      <c r="Y201" s="2"/>
      <c r="Z201" s="2"/>
      <c r="AA201" s="2"/>
      <c r="AB201" s="32"/>
      <c r="AC201" s="2"/>
      <c r="AD201" s="2"/>
      <c r="AE201" s="32"/>
      <c r="AF201" s="32"/>
      <c r="AG201" s="32"/>
      <c r="AH201" s="2"/>
      <c r="AN201"/>
    </row>
    <row r="202" spans="1:41">
      <c r="A202" t="s">
        <v>140</v>
      </c>
      <c r="G202">
        <v>3</v>
      </c>
      <c r="V202" s="2"/>
      <c r="W202" s="2"/>
      <c r="X202" s="2"/>
      <c r="Y202" s="2"/>
      <c r="Z202" s="2"/>
      <c r="AA202" s="2"/>
      <c r="AB202" s="32"/>
      <c r="AC202" s="2"/>
      <c r="AD202" s="2"/>
      <c r="AE202" s="32"/>
      <c r="AF202" s="2"/>
      <c r="AH202" s="2"/>
      <c r="AL202" s="2"/>
    </row>
    <row r="203" spans="1:41">
      <c r="A203" t="s">
        <v>559</v>
      </c>
      <c r="G203">
        <v>4</v>
      </c>
      <c r="V203" s="2"/>
      <c r="W203" s="2"/>
      <c r="X203" s="2"/>
      <c r="Y203" s="2"/>
      <c r="Z203" s="2"/>
      <c r="AA203" s="2"/>
      <c r="AB203" s="32"/>
      <c r="AC203" s="2"/>
      <c r="AD203" s="2"/>
      <c r="AE203" s="32"/>
      <c r="AF203" s="2"/>
      <c r="AH203" s="2"/>
      <c r="AL203" s="2"/>
    </row>
    <row r="204" spans="1:41">
      <c r="A204" s="29" t="s">
        <v>819</v>
      </c>
      <c r="G204">
        <v>5</v>
      </c>
      <c r="N204">
        <v>10</v>
      </c>
      <c r="V204" s="2"/>
      <c r="W204" s="2"/>
      <c r="X204" s="2"/>
      <c r="Y204" s="2"/>
      <c r="Z204" s="2"/>
      <c r="AA204" s="2"/>
      <c r="AB204" s="32"/>
      <c r="AC204" s="2"/>
      <c r="AD204" s="2"/>
      <c r="AE204" s="32"/>
      <c r="AF204" s="32"/>
      <c r="AG204" s="32"/>
      <c r="AH204" s="2"/>
      <c r="AI204" s="2"/>
      <c r="AJ204" s="2"/>
      <c r="AK204" s="2"/>
      <c r="AM204" s="2"/>
      <c r="AN204"/>
    </row>
    <row r="205" spans="1:41">
      <c r="A205" s="29" t="s">
        <v>765</v>
      </c>
      <c r="N205">
        <v>12</v>
      </c>
      <c r="V205" s="2"/>
      <c r="W205" s="2"/>
      <c r="X205" s="2"/>
      <c r="Y205" s="2"/>
      <c r="Z205" s="2"/>
      <c r="AA205" s="2"/>
      <c r="AB205" s="32"/>
      <c r="AC205" s="2"/>
      <c r="AD205" s="2"/>
      <c r="AE205" s="32"/>
      <c r="AF205" s="32"/>
      <c r="AG205" s="32"/>
      <c r="AH205" s="2"/>
      <c r="AI205" s="2"/>
      <c r="AJ205" s="2"/>
      <c r="AK205" s="2"/>
      <c r="AM205" s="2"/>
      <c r="AN205"/>
    </row>
    <row r="206" spans="1:41">
      <c r="AE206" s="32"/>
    </row>
    <row r="207" spans="1:41">
      <c r="AE207" s="32"/>
    </row>
    <row r="208" spans="1:41">
      <c r="A208" t="s">
        <v>18</v>
      </c>
      <c r="B208" t="s">
        <v>491</v>
      </c>
      <c r="C208" t="s">
        <v>488</v>
      </c>
      <c r="D208" t="s">
        <v>489</v>
      </c>
      <c r="E208" t="s">
        <v>490</v>
      </c>
      <c r="F208" s="29" t="s">
        <v>635</v>
      </c>
      <c r="G208" t="s">
        <v>3</v>
      </c>
      <c r="H208" t="s">
        <v>4</v>
      </c>
      <c r="I208" t="s">
        <v>5</v>
      </c>
      <c r="J208" t="s">
        <v>42</v>
      </c>
      <c r="K208" t="s">
        <v>181</v>
      </c>
      <c r="L208" t="s">
        <v>182</v>
      </c>
      <c r="M208" t="s">
        <v>244</v>
      </c>
      <c r="N208" t="s">
        <v>10</v>
      </c>
      <c r="O208" t="s">
        <v>9</v>
      </c>
      <c r="P208" t="s">
        <v>436</v>
      </c>
      <c r="Q208" t="s">
        <v>756</v>
      </c>
      <c r="R208" t="s">
        <v>757</v>
      </c>
      <c r="S208" t="s">
        <v>758</v>
      </c>
      <c r="T208" s="32" t="s">
        <v>759</v>
      </c>
      <c r="U208" s="173" t="s">
        <v>760</v>
      </c>
      <c r="V208" t="s">
        <v>12</v>
      </c>
      <c r="W208" t="s">
        <v>149</v>
      </c>
      <c r="X208" t="s">
        <v>415</v>
      </c>
      <c r="Y208" t="s">
        <v>595</v>
      </c>
      <c r="Z208" t="s">
        <v>453</v>
      </c>
      <c r="AA208" t="s">
        <v>265</v>
      </c>
      <c r="AB208" t="s">
        <v>11</v>
      </c>
      <c r="AC208" t="s">
        <v>125</v>
      </c>
      <c r="AD208" t="s">
        <v>124</v>
      </c>
      <c r="AE208" s="32" t="s">
        <v>454</v>
      </c>
      <c r="AF208" t="s">
        <v>122</v>
      </c>
      <c r="AG208" t="s">
        <v>183</v>
      </c>
      <c r="AH208" t="s">
        <v>163</v>
      </c>
      <c r="AI208" s="32" t="s">
        <v>563</v>
      </c>
      <c r="AJ208" s="32" t="s">
        <v>564</v>
      </c>
      <c r="AK208" s="29" t="s">
        <v>537</v>
      </c>
      <c r="AL208" t="s">
        <v>416</v>
      </c>
      <c r="AM208" t="s">
        <v>690</v>
      </c>
      <c r="AN208" s="32" t="s">
        <v>217</v>
      </c>
      <c r="AO208" t="s">
        <v>218</v>
      </c>
    </row>
    <row r="209" spans="1:53">
      <c r="A209" s="29" t="s">
        <v>787</v>
      </c>
      <c r="G209">
        <f>25+7</f>
        <v>32</v>
      </c>
      <c r="H209">
        <f>20+7</f>
        <v>27</v>
      </c>
      <c r="I209">
        <v>24</v>
      </c>
      <c r="J209">
        <v>19</v>
      </c>
      <c r="K209">
        <v>19</v>
      </c>
      <c r="L209">
        <v>19</v>
      </c>
      <c r="M209">
        <v>19</v>
      </c>
      <c r="N209">
        <f>10+23</f>
        <v>33</v>
      </c>
      <c r="O209">
        <v>10</v>
      </c>
      <c r="V209" s="2">
        <v>0.04</v>
      </c>
      <c r="W209" s="2"/>
      <c r="X209" s="2"/>
      <c r="Y209" s="2"/>
      <c r="Z209" s="2"/>
      <c r="AA209" s="2"/>
      <c r="AB209" s="32">
        <v>31</v>
      </c>
      <c r="AC209" s="2"/>
      <c r="AD209" s="2"/>
      <c r="AE209" s="32"/>
      <c r="AF209" s="2"/>
      <c r="AG209" s="2"/>
      <c r="AH209" s="2"/>
      <c r="AL209" s="2"/>
      <c r="AN209" s="32">
        <v>61</v>
      </c>
      <c r="AO209" s="32"/>
      <c r="AP209" s="32"/>
    </row>
    <row r="210" spans="1:53">
      <c r="A210" s="29" t="s">
        <v>774</v>
      </c>
      <c r="G210">
        <f>25+7</f>
        <v>32</v>
      </c>
      <c r="H210">
        <f>20+7</f>
        <v>27</v>
      </c>
      <c r="I210">
        <v>24</v>
      </c>
      <c r="J210">
        <v>19</v>
      </c>
      <c r="K210">
        <v>19</v>
      </c>
      <c r="L210">
        <v>19</v>
      </c>
      <c r="M210">
        <v>19</v>
      </c>
      <c r="N210">
        <f t="shared" ref="N210:O212" si="0">10+20</f>
        <v>30</v>
      </c>
      <c r="O210">
        <f t="shared" si="0"/>
        <v>30</v>
      </c>
      <c r="V210" s="2">
        <v>0.05</v>
      </c>
      <c r="W210" s="2"/>
      <c r="X210" s="2"/>
      <c r="Y210" s="2"/>
      <c r="Z210" s="2"/>
      <c r="AA210" s="2"/>
      <c r="AB210" s="32">
        <v>31</v>
      </c>
      <c r="AC210" s="2"/>
      <c r="AD210" s="2"/>
      <c r="AE210" s="32"/>
      <c r="AF210" s="2"/>
      <c r="AG210" s="2"/>
      <c r="AH210" s="2"/>
      <c r="AL210" s="2"/>
      <c r="AN210" s="32">
        <v>61</v>
      </c>
      <c r="AO210" s="32"/>
      <c r="AP210" s="32"/>
    </row>
    <row r="211" spans="1:53">
      <c r="A211" s="29" t="s">
        <v>792</v>
      </c>
      <c r="G211">
        <f>25+7</f>
        <v>32</v>
      </c>
      <c r="H211">
        <f>20+7</f>
        <v>27</v>
      </c>
      <c r="I211">
        <v>24</v>
      </c>
      <c r="J211">
        <v>19</v>
      </c>
      <c r="K211">
        <v>19</v>
      </c>
      <c r="L211">
        <v>19</v>
      </c>
      <c r="M211">
        <v>19</v>
      </c>
      <c r="N211">
        <f t="shared" si="0"/>
        <v>30</v>
      </c>
      <c r="O211">
        <f t="shared" si="0"/>
        <v>30</v>
      </c>
      <c r="V211" s="2">
        <v>0.02</v>
      </c>
      <c r="W211" s="2"/>
      <c r="X211" s="2"/>
      <c r="Y211" s="2"/>
      <c r="Z211" s="2"/>
      <c r="AA211" s="2"/>
      <c r="AB211" s="32">
        <v>31</v>
      </c>
      <c r="AC211" s="2"/>
      <c r="AD211" s="2"/>
      <c r="AE211" s="32">
        <v>6</v>
      </c>
      <c r="AF211" s="2"/>
      <c r="AG211" s="2"/>
      <c r="AH211" s="2"/>
      <c r="AL211" s="2"/>
      <c r="AN211" s="32">
        <v>61</v>
      </c>
      <c r="AO211" s="32"/>
      <c r="AP211" s="32"/>
    </row>
    <row r="212" spans="1:53">
      <c r="A212" s="29" t="s">
        <v>793</v>
      </c>
      <c r="G212">
        <f>25</f>
        <v>25</v>
      </c>
      <c r="H212">
        <f>20</f>
        <v>20</v>
      </c>
      <c r="I212">
        <v>24</v>
      </c>
      <c r="J212">
        <v>19</v>
      </c>
      <c r="K212">
        <v>19</v>
      </c>
      <c r="L212">
        <v>19</v>
      </c>
      <c r="M212">
        <v>19</v>
      </c>
      <c r="N212">
        <f t="shared" si="0"/>
        <v>30</v>
      </c>
      <c r="O212">
        <f t="shared" si="0"/>
        <v>30</v>
      </c>
      <c r="V212" s="2">
        <v>0.02</v>
      </c>
      <c r="W212" s="2"/>
      <c r="X212" s="2"/>
      <c r="Y212" s="2"/>
      <c r="Z212" s="2"/>
      <c r="AA212" s="2"/>
      <c r="AB212" s="32">
        <v>31</v>
      </c>
      <c r="AC212" s="2"/>
      <c r="AD212" s="2"/>
      <c r="AE212" s="32"/>
      <c r="AF212" s="2"/>
      <c r="AG212" s="2"/>
      <c r="AH212" s="2">
        <v>0.03</v>
      </c>
      <c r="AL212" s="2"/>
      <c r="AN212" s="32">
        <v>61</v>
      </c>
      <c r="AO212" s="32"/>
      <c r="AP212" s="32"/>
    </row>
    <row r="213" spans="1:53">
      <c r="A213" t="s">
        <v>808</v>
      </c>
      <c r="G213">
        <v>44</v>
      </c>
      <c r="H213">
        <v>44</v>
      </c>
      <c r="N213">
        <v>30</v>
      </c>
      <c r="O213">
        <v>45</v>
      </c>
      <c r="P213" s="2"/>
      <c r="Q213" s="2"/>
      <c r="R213" s="2"/>
      <c r="U213" s="2"/>
      <c r="V213" s="2">
        <v>0.04</v>
      </c>
      <c r="W213" s="2"/>
      <c r="X213" s="2"/>
      <c r="Y213" s="2"/>
      <c r="Z213" s="2"/>
      <c r="AA213" s="2"/>
      <c r="AB213" s="32">
        <v>31</v>
      </c>
      <c r="AC213" s="2"/>
      <c r="AD213" s="2"/>
      <c r="AE213" s="32"/>
      <c r="AF213" s="2"/>
      <c r="AG213" s="2"/>
      <c r="AH213" s="2"/>
      <c r="AL213" s="2"/>
      <c r="AO213" s="2"/>
    </row>
    <row r="214" spans="1:53" s="185" customFormat="1" ht="12.75" customHeight="1">
      <c r="A214" s="29" t="s">
        <v>809</v>
      </c>
      <c r="B214" s="29"/>
      <c r="C214" s="29"/>
      <c r="D214" s="29"/>
      <c r="E214" s="29"/>
      <c r="F214" s="29"/>
      <c r="G214" s="29">
        <v>44</v>
      </c>
      <c r="H214" s="29">
        <v>34</v>
      </c>
      <c r="I214" s="29"/>
      <c r="J214" s="29"/>
      <c r="K214" s="29"/>
      <c r="L214" s="29"/>
      <c r="M214" s="29"/>
      <c r="N214" s="29">
        <v>30</v>
      </c>
      <c r="O214" s="29">
        <v>45</v>
      </c>
      <c r="P214" s="29"/>
      <c r="Q214" s="29"/>
      <c r="R214" s="29"/>
      <c r="S214" s="29"/>
      <c r="T214" s="29"/>
      <c r="U214" s="29"/>
      <c r="V214" s="12">
        <v>0.04</v>
      </c>
      <c r="W214" s="12"/>
      <c r="X214" s="12"/>
      <c r="Y214" s="12"/>
      <c r="Z214" s="12"/>
      <c r="AA214" s="12"/>
      <c r="AB214" s="29">
        <v>30</v>
      </c>
      <c r="AC214" s="12"/>
      <c r="AD214" s="12"/>
      <c r="AE214" s="29">
        <v>5</v>
      </c>
      <c r="AF214" s="12"/>
      <c r="AG214" s="12"/>
      <c r="AH214" s="12"/>
      <c r="AI214" s="29"/>
      <c r="AJ214" s="29"/>
      <c r="AK214" s="29"/>
      <c r="AL214" s="29"/>
      <c r="AM214" s="12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</row>
    <row r="215" spans="1:53">
      <c r="A215" t="s">
        <v>951</v>
      </c>
      <c r="G215">
        <v>46</v>
      </c>
      <c r="H215">
        <v>46</v>
      </c>
      <c r="N215">
        <v>40</v>
      </c>
      <c r="O215">
        <v>60</v>
      </c>
      <c r="P215" s="2"/>
      <c r="Q215" s="2"/>
      <c r="R215" s="2"/>
      <c r="U215" s="2"/>
      <c r="V215" s="2">
        <v>0.05</v>
      </c>
      <c r="W215" s="2"/>
      <c r="X215" s="2"/>
      <c r="Y215" s="2"/>
      <c r="Z215" s="2"/>
      <c r="AA215" s="2"/>
      <c r="AB215" s="32">
        <v>31</v>
      </c>
      <c r="AC215" s="2"/>
      <c r="AD215" s="2"/>
      <c r="AE215" s="32"/>
      <c r="AF215" s="2"/>
      <c r="AG215" s="2"/>
      <c r="AH215" s="2"/>
      <c r="AL215" s="2"/>
      <c r="AO215" s="2"/>
    </row>
    <row r="216" spans="1:53" s="185" customFormat="1" ht="12.75" customHeight="1">
      <c r="A216" s="29" t="s">
        <v>873</v>
      </c>
      <c r="B216" s="29"/>
      <c r="C216" s="29"/>
      <c r="D216" s="29"/>
      <c r="E216" s="29"/>
      <c r="F216" s="29"/>
      <c r="G216" s="29">
        <v>46</v>
      </c>
      <c r="H216" s="29">
        <v>34</v>
      </c>
      <c r="I216" s="29"/>
      <c r="J216" s="29"/>
      <c r="K216" s="29"/>
      <c r="L216" s="29"/>
      <c r="M216" s="29"/>
      <c r="N216" s="29">
        <v>40</v>
      </c>
      <c r="O216" s="29">
        <v>60</v>
      </c>
      <c r="P216" s="29"/>
      <c r="Q216" s="29"/>
      <c r="R216" s="29"/>
      <c r="S216" s="29"/>
      <c r="T216" s="29"/>
      <c r="U216" s="29"/>
      <c r="V216" s="12">
        <v>0.04</v>
      </c>
      <c r="W216" s="12"/>
      <c r="X216" s="12"/>
      <c r="Y216" s="12"/>
      <c r="Z216" s="12"/>
      <c r="AA216" s="12"/>
      <c r="AB216" s="29">
        <v>30</v>
      </c>
      <c r="AC216" s="12"/>
      <c r="AD216" s="12"/>
      <c r="AE216" s="29">
        <v>6</v>
      </c>
      <c r="AF216" s="12"/>
      <c r="AG216" s="12"/>
      <c r="AH216" s="12"/>
      <c r="AI216" s="29"/>
      <c r="AJ216" s="29"/>
      <c r="AK216" s="29"/>
      <c r="AL216" s="29"/>
      <c r="AM216" s="12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</row>
    <row r="217" spans="1:53" s="185" customFormat="1" ht="12.75" customHeight="1">
      <c r="A217" s="29" t="s">
        <v>927</v>
      </c>
      <c r="B217" s="29"/>
      <c r="C217" s="29"/>
      <c r="D217" s="29"/>
      <c r="E217" s="29"/>
      <c r="F217" s="29"/>
      <c r="G217" s="29">
        <v>40</v>
      </c>
      <c r="H217" s="29">
        <v>30</v>
      </c>
      <c r="I217" s="29">
        <v>40</v>
      </c>
      <c r="J217" s="29">
        <v>30</v>
      </c>
      <c r="K217" s="29">
        <v>30</v>
      </c>
      <c r="L217" s="29">
        <v>30</v>
      </c>
      <c r="M217" s="29">
        <v>30</v>
      </c>
      <c r="N217" s="29">
        <v>45</v>
      </c>
      <c r="O217" s="29">
        <v>45</v>
      </c>
      <c r="P217" s="29"/>
      <c r="Q217" s="29"/>
      <c r="R217" s="29"/>
      <c r="S217" s="29"/>
      <c r="T217" s="29"/>
      <c r="U217" s="29"/>
      <c r="V217" s="12"/>
      <c r="W217" s="12">
        <v>0.05</v>
      </c>
      <c r="X217" s="12"/>
      <c r="Y217" s="12"/>
      <c r="Z217" s="12"/>
      <c r="AA217" s="12"/>
      <c r="AB217" s="29">
        <v>11</v>
      </c>
      <c r="AC217" s="12">
        <v>0.04</v>
      </c>
      <c r="AD217" s="12"/>
      <c r="AE217" s="29"/>
      <c r="AF217" s="12"/>
      <c r="AG217" s="12"/>
      <c r="AH217" s="12"/>
      <c r="AI217" s="29"/>
      <c r="AJ217" s="29"/>
      <c r="AK217" s="29"/>
      <c r="AL217" s="29"/>
      <c r="AM217" s="12"/>
      <c r="AN217" s="29">
        <v>136</v>
      </c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</row>
    <row r="218" spans="1:53">
      <c r="A218" s="29" t="s">
        <v>850</v>
      </c>
      <c r="G218">
        <v>28</v>
      </c>
      <c r="H218">
        <v>39</v>
      </c>
      <c r="I218">
        <v>24</v>
      </c>
      <c r="J218">
        <v>29</v>
      </c>
      <c r="K218">
        <v>25</v>
      </c>
      <c r="L218">
        <v>24</v>
      </c>
      <c r="M218">
        <v>24</v>
      </c>
      <c r="N218">
        <f>27+15</f>
        <v>42</v>
      </c>
      <c r="O218">
        <v>27</v>
      </c>
      <c r="P218" s="2"/>
      <c r="Q218" s="2"/>
      <c r="R218" s="2"/>
      <c r="U218" s="2"/>
      <c r="V218" s="2">
        <v>0.04</v>
      </c>
      <c r="W218" s="2"/>
      <c r="X218" s="2"/>
      <c r="Y218" s="2"/>
      <c r="Z218" s="2"/>
      <c r="AA218" s="2"/>
      <c r="AB218" s="32">
        <v>31</v>
      </c>
      <c r="AC218" s="2"/>
      <c r="AD218" s="2"/>
      <c r="AE218" s="32"/>
      <c r="AF218" s="2"/>
      <c r="AG218" s="2"/>
      <c r="AH218" s="2"/>
      <c r="AL218" s="2"/>
      <c r="AO218" s="2"/>
    </row>
    <row r="219" spans="1:53">
      <c r="A219" s="29" t="s">
        <v>708</v>
      </c>
      <c r="G219">
        <v>21</v>
      </c>
      <c r="H219">
        <v>15</v>
      </c>
      <c r="I219">
        <v>18</v>
      </c>
      <c r="J219">
        <v>12</v>
      </c>
      <c r="K219">
        <v>15</v>
      </c>
      <c r="L219">
        <v>15</v>
      </c>
      <c r="M219">
        <v>12</v>
      </c>
      <c r="N219">
        <v>15</v>
      </c>
      <c r="O219">
        <v>15</v>
      </c>
      <c r="V219" s="2"/>
      <c r="W219" s="2"/>
      <c r="X219" s="2"/>
      <c r="Y219" s="2"/>
      <c r="Z219" s="2"/>
      <c r="AA219" s="2"/>
      <c r="AB219" s="32">
        <v>31</v>
      </c>
      <c r="AC219" s="2"/>
      <c r="AD219" s="2"/>
      <c r="AE219" s="32"/>
      <c r="AF219" s="2"/>
      <c r="AG219" s="2"/>
      <c r="AH219" s="2"/>
      <c r="AL219" s="2"/>
    </row>
    <row r="220" spans="1:53">
      <c r="A220" s="29" t="s">
        <v>709</v>
      </c>
      <c r="G220">
        <v>32</v>
      </c>
      <c r="H220">
        <v>22</v>
      </c>
      <c r="I220">
        <v>29</v>
      </c>
      <c r="J220">
        <v>19</v>
      </c>
      <c r="K220">
        <v>22</v>
      </c>
      <c r="L220">
        <v>22</v>
      </c>
      <c r="M220">
        <v>19</v>
      </c>
      <c r="N220">
        <v>17</v>
      </c>
      <c r="O220">
        <v>17</v>
      </c>
      <c r="V220" s="2"/>
      <c r="W220" s="2"/>
      <c r="X220" s="2"/>
      <c r="Y220" s="2"/>
      <c r="Z220" s="2"/>
      <c r="AA220" s="2"/>
      <c r="AB220" s="32">
        <v>31</v>
      </c>
      <c r="AC220" s="2"/>
      <c r="AD220" s="2"/>
      <c r="AE220" s="32"/>
      <c r="AF220" s="2"/>
      <c r="AG220" s="2"/>
      <c r="AH220" s="2"/>
      <c r="AL220" s="2"/>
    </row>
    <row r="221" spans="1:53">
      <c r="A221" s="29" t="s">
        <v>918</v>
      </c>
      <c r="G221">
        <v>39</v>
      </c>
      <c r="H221">
        <v>35</v>
      </c>
      <c r="I221">
        <v>32</v>
      </c>
      <c r="J221">
        <v>20</v>
      </c>
      <c r="K221">
        <v>20</v>
      </c>
      <c r="L221">
        <v>20</v>
      </c>
      <c r="M221">
        <v>20</v>
      </c>
      <c r="N221">
        <v>40</v>
      </c>
      <c r="S221">
        <v>40</v>
      </c>
      <c r="V221" s="2"/>
      <c r="W221" s="2"/>
      <c r="X221" s="2"/>
      <c r="Y221" s="2"/>
      <c r="Z221" s="2"/>
      <c r="AA221" s="2"/>
      <c r="AB221" s="32">
        <v>21</v>
      </c>
      <c r="AC221" s="2"/>
      <c r="AD221" s="2"/>
      <c r="AE221" s="32">
        <v>8</v>
      </c>
      <c r="AF221" s="2"/>
      <c r="AG221" s="2"/>
      <c r="AH221" s="2"/>
      <c r="AL221" s="2"/>
    </row>
    <row r="222" spans="1:53">
      <c r="A222" s="29" t="s">
        <v>950</v>
      </c>
      <c r="G222">
        <v>43</v>
      </c>
      <c r="H222">
        <v>39</v>
      </c>
      <c r="I222">
        <v>32</v>
      </c>
      <c r="J222">
        <v>20</v>
      </c>
      <c r="K222">
        <v>20</v>
      </c>
      <c r="L222">
        <v>20</v>
      </c>
      <c r="M222">
        <v>20</v>
      </c>
      <c r="N222">
        <v>46</v>
      </c>
      <c r="S222">
        <v>46</v>
      </c>
      <c r="V222" s="2"/>
      <c r="W222" s="2"/>
      <c r="X222" s="2"/>
      <c r="Y222" s="2"/>
      <c r="Z222" s="2"/>
      <c r="AA222" s="2"/>
      <c r="AB222" s="32">
        <v>21</v>
      </c>
      <c r="AC222" s="2"/>
      <c r="AD222" s="2"/>
      <c r="AE222" s="32">
        <v>9</v>
      </c>
      <c r="AF222" s="2"/>
      <c r="AG222" s="2"/>
      <c r="AH222" s="2"/>
      <c r="AL222" s="2"/>
      <c r="AN222" s="32">
        <v>140</v>
      </c>
    </row>
    <row r="223" spans="1:53">
      <c r="A223" s="29" t="s">
        <v>797</v>
      </c>
      <c r="G223">
        <v>30</v>
      </c>
      <c r="H223">
        <v>26</v>
      </c>
      <c r="I223">
        <v>30</v>
      </c>
      <c r="J223">
        <v>21</v>
      </c>
      <c r="K223">
        <v>21</v>
      </c>
      <c r="L223">
        <v>21</v>
      </c>
      <c r="M223">
        <v>21</v>
      </c>
      <c r="N223">
        <v>28</v>
      </c>
      <c r="O223">
        <v>20</v>
      </c>
      <c r="S223">
        <v>27</v>
      </c>
      <c r="T223">
        <v>27</v>
      </c>
      <c r="V223" s="2">
        <v>0.03</v>
      </c>
      <c r="W223" s="2"/>
      <c r="X223" s="2"/>
      <c r="Y223" s="2"/>
      <c r="Z223" s="2"/>
      <c r="AA223" s="2"/>
      <c r="AB223" s="32">
        <v>31</v>
      </c>
      <c r="AC223" s="2"/>
      <c r="AD223" s="2"/>
      <c r="AE223" s="32"/>
      <c r="AF223" s="2"/>
      <c r="AG223" s="2"/>
      <c r="AH223" s="2"/>
      <c r="AL223" s="2"/>
      <c r="AN223" s="32">
        <v>70</v>
      </c>
    </row>
    <row r="224" spans="1:53">
      <c r="A224" s="29" t="s">
        <v>715</v>
      </c>
      <c r="G224">
        <v>32</v>
      </c>
      <c r="H224">
        <v>23</v>
      </c>
      <c r="I224">
        <v>32</v>
      </c>
      <c r="J224">
        <v>23</v>
      </c>
      <c r="K224">
        <v>23</v>
      </c>
      <c r="L224">
        <v>23</v>
      </c>
      <c r="M224">
        <v>23</v>
      </c>
      <c r="N224">
        <v>17</v>
      </c>
      <c r="V224" s="2">
        <v>0.02</v>
      </c>
      <c r="W224" s="2"/>
      <c r="X224" s="2"/>
      <c r="Y224" s="2"/>
      <c r="Z224" s="2"/>
      <c r="AA224" s="2"/>
      <c r="AB224" s="32">
        <v>31</v>
      </c>
      <c r="AC224" s="2"/>
      <c r="AD224" s="2"/>
      <c r="AE224" s="32"/>
      <c r="AF224" s="2"/>
      <c r="AG224" s="2"/>
      <c r="AH224" s="2"/>
      <c r="AL224" s="2"/>
      <c r="AN224" s="32">
        <f>57+120</f>
        <v>177</v>
      </c>
    </row>
    <row r="225" spans="1:53">
      <c r="A225" t="s">
        <v>767</v>
      </c>
      <c r="G225">
        <v>20</v>
      </c>
      <c r="H225">
        <v>10</v>
      </c>
      <c r="I225">
        <v>18</v>
      </c>
      <c r="J225">
        <v>12</v>
      </c>
      <c r="K225">
        <v>12</v>
      </c>
      <c r="L225">
        <v>12</v>
      </c>
      <c r="M225">
        <v>12</v>
      </c>
      <c r="O225">
        <v>38</v>
      </c>
      <c r="V225" s="2"/>
      <c r="W225" s="2"/>
      <c r="X225" s="2"/>
      <c r="Y225" s="2"/>
      <c r="Z225" s="2"/>
      <c r="AA225" s="2"/>
      <c r="AB225" s="32">
        <v>31</v>
      </c>
      <c r="AC225" s="2">
        <v>0.04</v>
      </c>
      <c r="AD225" s="2"/>
      <c r="AE225" s="32"/>
      <c r="AF225" s="2"/>
      <c r="AG225" s="2"/>
      <c r="AH225" s="2"/>
      <c r="AL225" s="2"/>
      <c r="AN225" s="32">
        <v>30</v>
      </c>
    </row>
    <row r="226" spans="1:53">
      <c r="A226" t="s">
        <v>768</v>
      </c>
      <c r="G226">
        <v>32</v>
      </c>
      <c r="H226">
        <v>16</v>
      </c>
      <c r="I226">
        <v>29</v>
      </c>
      <c r="J226">
        <v>19</v>
      </c>
      <c r="K226">
        <v>20</v>
      </c>
      <c r="L226">
        <v>20</v>
      </c>
      <c r="M226">
        <v>20</v>
      </c>
      <c r="O226">
        <v>44</v>
      </c>
      <c r="V226" s="2"/>
      <c r="W226" s="2"/>
      <c r="X226" s="2"/>
      <c r="Y226" s="2"/>
      <c r="Z226" s="2"/>
      <c r="AA226" s="2"/>
      <c r="AB226" s="32">
        <v>41</v>
      </c>
      <c r="AC226" s="2">
        <v>0.05</v>
      </c>
      <c r="AD226" s="2"/>
      <c r="AE226" s="32"/>
      <c r="AF226" s="2"/>
      <c r="AG226" s="2"/>
      <c r="AH226" s="2"/>
      <c r="AL226" s="2"/>
      <c r="AN226" s="32">
        <v>63</v>
      </c>
    </row>
    <row r="227" spans="1:53">
      <c r="A227" s="29" t="s">
        <v>644</v>
      </c>
      <c r="G227">
        <v>25</v>
      </c>
      <c r="H227">
        <v>12</v>
      </c>
      <c r="I227">
        <v>18</v>
      </c>
      <c r="J227">
        <v>12</v>
      </c>
      <c r="K227">
        <v>12</v>
      </c>
      <c r="L227">
        <v>12</v>
      </c>
      <c r="M227">
        <v>12</v>
      </c>
      <c r="O227">
        <v>23</v>
      </c>
      <c r="P227" s="2"/>
      <c r="Q227" s="2"/>
      <c r="R227" s="2"/>
      <c r="U227" s="2"/>
      <c r="V227" s="2"/>
      <c r="W227" s="2"/>
      <c r="X227" s="2"/>
      <c r="Y227" s="2"/>
      <c r="Z227" s="2"/>
      <c r="AA227" s="2"/>
      <c r="AB227" s="32">
        <v>31</v>
      </c>
      <c r="AC227" s="2"/>
      <c r="AD227" s="2"/>
      <c r="AE227" s="32"/>
      <c r="AF227" s="2"/>
      <c r="AG227" s="2"/>
      <c r="AH227" s="2"/>
      <c r="AL227" s="2"/>
      <c r="AN227" s="32">
        <v>70</v>
      </c>
      <c r="AO227" s="2"/>
    </row>
    <row r="228" spans="1:53">
      <c r="A228" s="29" t="s">
        <v>691</v>
      </c>
      <c r="G228">
        <v>36</v>
      </c>
      <c r="H228">
        <v>19</v>
      </c>
      <c r="I228">
        <v>29</v>
      </c>
      <c r="J228">
        <v>19</v>
      </c>
      <c r="K228">
        <v>19</v>
      </c>
      <c r="L228">
        <v>19</v>
      </c>
      <c r="M228">
        <v>19</v>
      </c>
      <c r="O228">
        <v>28</v>
      </c>
      <c r="P228" s="2"/>
      <c r="Q228" s="2"/>
      <c r="R228" s="2"/>
      <c r="U228" s="2"/>
      <c r="V228" s="2"/>
      <c r="W228" s="2"/>
      <c r="X228" s="2"/>
      <c r="Y228" s="2"/>
      <c r="Z228" s="2"/>
      <c r="AA228" s="2"/>
      <c r="AB228" s="32">
        <v>31</v>
      </c>
      <c r="AC228" s="2"/>
      <c r="AD228" s="2"/>
      <c r="AE228" s="32"/>
      <c r="AF228" s="2"/>
      <c r="AG228" s="2"/>
      <c r="AH228" s="2"/>
      <c r="AL228" s="2"/>
      <c r="AN228" s="32">
        <v>103</v>
      </c>
      <c r="AO228" s="2"/>
    </row>
    <row r="229" spans="1:53">
      <c r="A229" s="29" t="s">
        <v>928</v>
      </c>
      <c r="G229">
        <v>41</v>
      </c>
      <c r="H229">
        <v>24</v>
      </c>
      <c r="I229">
        <v>34</v>
      </c>
      <c r="J229">
        <v>24</v>
      </c>
      <c r="K229">
        <v>24</v>
      </c>
      <c r="L229">
        <v>24</v>
      </c>
      <c r="M229">
        <v>24</v>
      </c>
      <c r="N229">
        <v>40</v>
      </c>
      <c r="O229">
        <v>38</v>
      </c>
      <c r="P229" s="2"/>
      <c r="Q229" s="2"/>
      <c r="R229" s="2"/>
      <c r="U229" s="2"/>
      <c r="V229" s="2"/>
      <c r="W229" s="2"/>
      <c r="X229" s="2"/>
      <c r="Y229" s="2"/>
      <c r="Z229" s="2"/>
      <c r="AA229" s="2"/>
      <c r="AB229" s="32">
        <v>31</v>
      </c>
      <c r="AC229" s="2"/>
      <c r="AD229" s="2"/>
      <c r="AE229" s="32"/>
      <c r="AF229" s="2"/>
      <c r="AG229" s="2"/>
      <c r="AH229" s="2">
        <v>0.05</v>
      </c>
      <c r="AL229" s="2"/>
      <c r="AN229" s="32">
        <v>154</v>
      </c>
      <c r="AO229" s="2"/>
    </row>
    <row r="230" spans="1:53">
      <c r="A230" s="29" t="s">
        <v>929</v>
      </c>
      <c r="G230">
        <v>46</v>
      </c>
      <c r="H230">
        <v>29</v>
      </c>
      <c r="I230">
        <v>39</v>
      </c>
      <c r="J230">
        <v>29</v>
      </c>
      <c r="K230">
        <v>29</v>
      </c>
      <c r="L230">
        <v>29</v>
      </c>
      <c r="M230">
        <v>29</v>
      </c>
      <c r="N230">
        <v>50</v>
      </c>
      <c r="O230">
        <v>48</v>
      </c>
      <c r="P230" s="2"/>
      <c r="Q230" s="2"/>
      <c r="R230" s="2"/>
      <c r="U230" s="2"/>
      <c r="V230" s="2"/>
      <c r="W230" s="2"/>
      <c r="X230" s="2"/>
      <c r="Y230" s="2"/>
      <c r="Z230" s="2"/>
      <c r="AA230" s="2"/>
      <c r="AB230" s="32">
        <v>31</v>
      </c>
      <c r="AC230" s="2"/>
      <c r="AD230" s="2"/>
      <c r="AE230" s="32"/>
      <c r="AF230" s="2"/>
      <c r="AG230" s="2"/>
      <c r="AH230" s="2">
        <v>0.1</v>
      </c>
      <c r="AL230" s="2"/>
      <c r="AN230" s="32">
        <v>164</v>
      </c>
      <c r="AO230" s="2"/>
    </row>
    <row r="231" spans="1:53">
      <c r="A231" s="29" t="s">
        <v>796</v>
      </c>
      <c r="G231">
        <v>29</v>
      </c>
      <c r="H231">
        <v>17</v>
      </c>
      <c r="I231">
        <v>32</v>
      </c>
      <c r="J231">
        <v>17</v>
      </c>
      <c r="K231">
        <v>18</v>
      </c>
      <c r="L231">
        <v>16</v>
      </c>
      <c r="M231">
        <v>16</v>
      </c>
      <c r="O231">
        <v>35</v>
      </c>
      <c r="P231" s="2"/>
      <c r="Q231" s="2"/>
      <c r="R231" s="2"/>
      <c r="T231">
        <v>20</v>
      </c>
      <c r="U231" s="2"/>
      <c r="V231" s="2"/>
      <c r="W231" s="2"/>
      <c r="X231" s="2"/>
      <c r="Y231" s="2"/>
      <c r="Z231" s="2"/>
      <c r="AA231" s="2"/>
      <c r="AB231" s="32">
        <v>31</v>
      </c>
      <c r="AC231" s="2"/>
      <c r="AD231" s="2"/>
      <c r="AE231" s="32"/>
      <c r="AF231" s="2"/>
      <c r="AG231" s="2"/>
      <c r="AH231" s="2"/>
      <c r="AL231" s="2"/>
      <c r="AO231" s="2"/>
    </row>
    <row r="232" spans="1:53">
      <c r="A232" t="s">
        <v>744</v>
      </c>
      <c r="G232">
        <v>29</v>
      </c>
      <c r="H232">
        <v>29</v>
      </c>
      <c r="I232">
        <v>29</v>
      </c>
      <c r="J232">
        <v>6</v>
      </c>
      <c r="K232">
        <v>6</v>
      </c>
      <c r="L232">
        <v>6</v>
      </c>
      <c r="M232">
        <v>6</v>
      </c>
      <c r="N232">
        <v>30</v>
      </c>
      <c r="O232">
        <v>30</v>
      </c>
      <c r="V232" s="2">
        <v>0.02</v>
      </c>
      <c r="W232" s="2"/>
      <c r="X232" s="2"/>
      <c r="Y232" s="2"/>
      <c r="Z232" s="2"/>
      <c r="AA232" s="2"/>
      <c r="AB232" s="32">
        <v>31</v>
      </c>
      <c r="AC232" s="2"/>
      <c r="AD232" s="2"/>
      <c r="AE232" s="32"/>
      <c r="AF232" s="2"/>
      <c r="AG232" s="2"/>
      <c r="AH232" s="2"/>
      <c r="AL232" s="2"/>
    </row>
    <row r="233" spans="1:53">
      <c r="A233" s="29" t="s">
        <v>815</v>
      </c>
      <c r="G233">
        <v>30</v>
      </c>
      <c r="H233">
        <v>17</v>
      </c>
      <c r="I233">
        <v>30</v>
      </c>
      <c r="J233">
        <v>19</v>
      </c>
      <c r="K233">
        <v>19</v>
      </c>
      <c r="L233">
        <v>19</v>
      </c>
      <c r="M233">
        <v>19</v>
      </c>
      <c r="O233">
        <v>14</v>
      </c>
      <c r="V233" s="2"/>
      <c r="W233" s="2"/>
      <c r="X233" s="2"/>
      <c r="Y233" s="2"/>
      <c r="Z233" s="2"/>
      <c r="AA233" s="2"/>
      <c r="AB233" s="32">
        <v>31</v>
      </c>
      <c r="AC233" s="2"/>
      <c r="AD233" s="2"/>
      <c r="AE233" s="32">
        <v>5</v>
      </c>
      <c r="AF233" s="2"/>
      <c r="AG233" s="2"/>
      <c r="AH233" s="2"/>
      <c r="AL233" s="2"/>
    </row>
    <row r="234" spans="1:53" s="185" customFormat="1" ht="12.75" customHeight="1">
      <c r="A234" s="29" t="s">
        <v>879</v>
      </c>
      <c r="B234" s="29"/>
      <c r="C234" s="29"/>
      <c r="D234" s="29"/>
      <c r="E234" s="29"/>
      <c r="F234" s="29"/>
      <c r="G234" s="29">
        <v>30</v>
      </c>
      <c r="H234" s="29">
        <v>17</v>
      </c>
      <c r="I234" s="29">
        <v>30</v>
      </c>
      <c r="J234" s="29">
        <v>19</v>
      </c>
      <c r="K234" s="29">
        <v>19</v>
      </c>
      <c r="L234" s="29">
        <v>19</v>
      </c>
      <c r="M234" s="29">
        <v>19</v>
      </c>
      <c r="N234" s="29">
        <v>30</v>
      </c>
      <c r="O234" s="29">
        <v>14</v>
      </c>
      <c r="P234" s="29"/>
      <c r="Q234" s="29"/>
      <c r="R234" s="29"/>
      <c r="S234" s="29"/>
      <c r="T234" s="29"/>
      <c r="U234" s="29"/>
      <c r="V234" s="12">
        <v>0.05</v>
      </c>
      <c r="W234" s="12"/>
      <c r="X234" s="12"/>
      <c r="Y234" s="12"/>
      <c r="Z234" s="12"/>
      <c r="AA234" s="12"/>
      <c r="AB234" s="29">
        <v>30</v>
      </c>
      <c r="AC234" s="12"/>
      <c r="AD234" s="12"/>
      <c r="AE234" s="29">
        <v>5</v>
      </c>
      <c r="AF234" s="12"/>
      <c r="AG234" s="12"/>
      <c r="AH234" s="12"/>
      <c r="AI234" s="29"/>
      <c r="AJ234" s="29"/>
      <c r="AK234" s="29"/>
      <c r="AL234" s="29"/>
      <c r="AM234" s="12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</row>
    <row r="235" spans="1:53" s="185" customFormat="1" ht="12.75" customHeight="1">
      <c r="A235" s="29" t="s">
        <v>880</v>
      </c>
      <c r="B235" s="29"/>
      <c r="C235" s="29"/>
      <c r="D235" s="29"/>
      <c r="E235" s="29"/>
      <c r="F235" s="29"/>
      <c r="G235" s="29">
        <v>30</v>
      </c>
      <c r="H235" s="29">
        <v>17</v>
      </c>
      <c r="I235" s="29">
        <v>30</v>
      </c>
      <c r="J235" s="29">
        <v>19</v>
      </c>
      <c r="K235" s="29">
        <v>19</v>
      </c>
      <c r="L235" s="29">
        <v>19</v>
      </c>
      <c r="M235" s="29">
        <v>19</v>
      </c>
      <c r="N235" s="29">
        <v>30</v>
      </c>
      <c r="O235" s="29">
        <v>14</v>
      </c>
      <c r="P235" s="29"/>
      <c r="Q235" s="29"/>
      <c r="R235" s="29"/>
      <c r="S235" s="29"/>
      <c r="T235" s="29"/>
      <c r="U235" s="29"/>
      <c r="V235" s="12"/>
      <c r="W235" s="12"/>
      <c r="X235" s="12"/>
      <c r="Y235" s="12"/>
      <c r="Z235" s="12"/>
      <c r="AA235" s="12"/>
      <c r="AB235" s="29">
        <v>30</v>
      </c>
      <c r="AC235" s="12"/>
      <c r="AD235" s="12"/>
      <c r="AE235" s="29">
        <v>13</v>
      </c>
      <c r="AF235" s="12"/>
      <c r="AG235" s="12"/>
      <c r="AH235" s="12"/>
      <c r="AI235" s="29"/>
      <c r="AJ235" s="29"/>
      <c r="AK235" s="29"/>
      <c r="AL235" s="29"/>
      <c r="AM235" s="12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</row>
    <row r="236" spans="1:53" s="185" customFormat="1" ht="12.75" customHeight="1">
      <c r="A236" s="29" t="s">
        <v>881</v>
      </c>
      <c r="B236" s="29"/>
      <c r="C236" s="29"/>
      <c r="D236" s="29"/>
      <c r="E236" s="29"/>
      <c r="F236" s="29"/>
      <c r="G236" s="29">
        <v>30</v>
      </c>
      <c r="H236" s="29">
        <v>17</v>
      </c>
      <c r="I236" s="29">
        <v>30</v>
      </c>
      <c r="J236" s="29">
        <v>19</v>
      </c>
      <c r="K236" s="29">
        <v>19</v>
      </c>
      <c r="L236" s="29">
        <v>19</v>
      </c>
      <c r="M236" s="29">
        <v>19</v>
      </c>
      <c r="N236" s="29">
        <v>30</v>
      </c>
      <c r="O236" s="29">
        <v>14</v>
      </c>
      <c r="P236" s="29"/>
      <c r="Q236" s="29"/>
      <c r="R236" s="29"/>
      <c r="S236" s="29"/>
      <c r="T236" s="29"/>
      <c r="U236" s="29"/>
      <c r="V236" s="12"/>
      <c r="W236" s="12"/>
      <c r="X236" s="12"/>
      <c r="Y236" s="12"/>
      <c r="Z236" s="12"/>
      <c r="AA236" s="12"/>
      <c r="AB236" s="29">
        <v>30</v>
      </c>
      <c r="AC236" s="12"/>
      <c r="AD236" s="12"/>
      <c r="AE236" s="29">
        <v>5</v>
      </c>
      <c r="AF236" s="12"/>
      <c r="AG236" s="12"/>
      <c r="AH236" s="12">
        <v>0.05</v>
      </c>
      <c r="AI236" s="29"/>
      <c r="AJ236" s="29"/>
      <c r="AK236" s="29"/>
      <c r="AL236" s="29"/>
      <c r="AM236" s="12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</row>
    <row r="237" spans="1:53">
      <c r="A237" s="29" t="s">
        <v>897</v>
      </c>
      <c r="G237">
        <v>30</v>
      </c>
      <c r="H237">
        <v>17</v>
      </c>
      <c r="I237">
        <f>30+10</f>
        <v>40</v>
      </c>
      <c r="J237">
        <v>19</v>
      </c>
      <c r="K237">
        <v>19</v>
      </c>
      <c r="L237">
        <v>19</v>
      </c>
      <c r="M237">
        <v>19</v>
      </c>
      <c r="N237" s="29">
        <v>14</v>
      </c>
      <c r="O237">
        <f>14+14</f>
        <v>28</v>
      </c>
      <c r="V237" s="2"/>
      <c r="W237" s="2"/>
      <c r="X237" s="2"/>
      <c r="Y237" s="2"/>
      <c r="Z237" s="2"/>
      <c r="AA237" s="2"/>
      <c r="AB237" s="32">
        <v>31</v>
      </c>
      <c r="AC237" s="2"/>
      <c r="AD237" s="2"/>
      <c r="AE237" s="32">
        <f>5+6</f>
        <v>11</v>
      </c>
      <c r="AF237" s="2"/>
      <c r="AG237" s="2"/>
      <c r="AH237" s="2"/>
      <c r="AL237" s="2"/>
    </row>
    <row r="238" spans="1:53">
      <c r="A238" s="29" t="s">
        <v>892</v>
      </c>
      <c r="G238">
        <v>30</v>
      </c>
      <c r="H238">
        <v>17</v>
      </c>
      <c r="I238">
        <v>44</v>
      </c>
      <c r="J238">
        <v>19</v>
      </c>
      <c r="K238">
        <v>19</v>
      </c>
      <c r="L238">
        <v>19</v>
      </c>
      <c r="M238">
        <v>19</v>
      </c>
      <c r="N238" s="29">
        <v>12</v>
      </c>
      <c r="O238">
        <v>24</v>
      </c>
      <c r="V238" s="2"/>
      <c r="W238" s="2"/>
      <c r="X238" s="2"/>
      <c r="Y238" s="2"/>
      <c r="Z238" s="2"/>
      <c r="AA238" s="2"/>
      <c r="AB238" s="32">
        <v>31</v>
      </c>
      <c r="AC238" s="2"/>
      <c r="AD238" s="2"/>
      <c r="AE238" s="32">
        <v>5</v>
      </c>
      <c r="AF238" s="2"/>
      <c r="AG238" s="2"/>
      <c r="AH238" s="2">
        <v>0.03</v>
      </c>
      <c r="AL238" s="2"/>
    </row>
    <row r="239" spans="1:53">
      <c r="A239" s="29" t="s">
        <v>922</v>
      </c>
      <c r="G239">
        <v>30</v>
      </c>
      <c r="H239">
        <v>17</v>
      </c>
      <c r="I239">
        <v>30</v>
      </c>
      <c r="J239">
        <v>19</v>
      </c>
      <c r="K239">
        <v>19</v>
      </c>
      <c r="L239">
        <v>19</v>
      </c>
      <c r="M239">
        <v>19</v>
      </c>
      <c r="N239" s="29">
        <v>27</v>
      </c>
      <c r="O239">
        <f>14+12</f>
        <v>26</v>
      </c>
      <c r="V239" s="2">
        <v>0.04</v>
      </c>
      <c r="W239" s="2"/>
      <c r="X239" s="2"/>
      <c r="Y239" s="2"/>
      <c r="Z239" s="2"/>
      <c r="AA239" s="2"/>
      <c r="AB239" s="32">
        <v>31</v>
      </c>
      <c r="AC239" s="2"/>
      <c r="AD239" s="2"/>
      <c r="AE239" s="32">
        <v>5</v>
      </c>
      <c r="AF239" s="2"/>
      <c r="AG239" s="2"/>
      <c r="AH239" s="2"/>
      <c r="AL239" s="2"/>
    </row>
    <row r="240" spans="1:53">
      <c r="A240" s="29" t="s">
        <v>435</v>
      </c>
      <c r="G240">
        <v>16</v>
      </c>
      <c r="P240" s="2">
        <v>0.05</v>
      </c>
      <c r="T240">
        <v>7</v>
      </c>
      <c r="V240" s="2"/>
      <c r="W240" s="2"/>
      <c r="X240" s="2"/>
      <c r="Y240" s="2"/>
      <c r="Z240" s="2"/>
      <c r="AA240" s="2"/>
      <c r="AB240" s="32"/>
      <c r="AC240" s="2"/>
      <c r="AD240" s="2"/>
      <c r="AE240" s="32"/>
      <c r="AF240" s="2"/>
      <c r="AG240" s="2"/>
      <c r="AH240" s="2">
        <v>7.0000000000000007E-2</v>
      </c>
      <c r="AL240" s="2"/>
    </row>
    <row r="241" spans="1:53">
      <c r="A241" s="29" t="s">
        <v>946</v>
      </c>
      <c r="B241">
        <v>46</v>
      </c>
      <c r="G241">
        <v>43</v>
      </c>
      <c r="H241">
        <v>29</v>
      </c>
      <c r="I241">
        <v>30</v>
      </c>
      <c r="J241">
        <v>21</v>
      </c>
      <c r="K241">
        <v>25</v>
      </c>
      <c r="L241">
        <v>25</v>
      </c>
      <c r="M241">
        <v>24</v>
      </c>
      <c r="P241" s="2"/>
      <c r="V241" s="2"/>
      <c r="W241" s="2"/>
      <c r="X241" s="2"/>
      <c r="Y241" s="2"/>
      <c r="Z241" s="2"/>
      <c r="AA241" s="2"/>
      <c r="AB241" s="32">
        <v>31</v>
      </c>
      <c r="AC241" s="2"/>
      <c r="AD241" s="2"/>
      <c r="AE241" s="32"/>
      <c r="AF241" s="2"/>
      <c r="AG241" s="2"/>
      <c r="AH241" s="2">
        <v>0.08</v>
      </c>
      <c r="AL241" s="2"/>
      <c r="AN241" s="32">
        <v>433</v>
      </c>
    </row>
    <row r="242" spans="1:53">
      <c r="A242" s="29" t="s">
        <v>947</v>
      </c>
      <c r="B242">
        <v>56</v>
      </c>
      <c r="G242">
        <v>48</v>
      </c>
      <c r="H242">
        <v>34</v>
      </c>
      <c r="I242">
        <v>30</v>
      </c>
      <c r="J242">
        <v>21</v>
      </c>
      <c r="K242">
        <v>25</v>
      </c>
      <c r="L242">
        <v>25</v>
      </c>
      <c r="M242">
        <v>24</v>
      </c>
      <c r="P242" s="2"/>
      <c r="V242" s="2"/>
      <c r="W242" s="2"/>
      <c r="X242" s="2"/>
      <c r="Y242" s="2"/>
      <c r="Z242" s="2"/>
      <c r="AA242" s="2"/>
      <c r="AB242" s="32">
        <v>31</v>
      </c>
      <c r="AC242" s="2"/>
      <c r="AD242" s="2"/>
      <c r="AE242" s="32"/>
      <c r="AF242" s="2"/>
      <c r="AG242" s="2"/>
      <c r="AH242" s="2">
        <v>0.1</v>
      </c>
      <c r="AL242" s="2"/>
      <c r="AN242" s="32">
        <v>533</v>
      </c>
    </row>
    <row r="243" spans="1:53">
      <c r="A243" s="29" t="s">
        <v>861</v>
      </c>
      <c r="G243">
        <v>38</v>
      </c>
      <c r="H243">
        <v>21</v>
      </c>
      <c r="I243">
        <v>38</v>
      </c>
      <c r="J243">
        <v>16</v>
      </c>
      <c r="K243">
        <v>16</v>
      </c>
      <c r="L243">
        <v>24</v>
      </c>
      <c r="M243">
        <v>24</v>
      </c>
      <c r="N243">
        <v>40</v>
      </c>
      <c r="O243">
        <v>44</v>
      </c>
      <c r="V243" s="2"/>
      <c r="W243" s="2"/>
      <c r="X243" s="2"/>
      <c r="Y243" s="2"/>
      <c r="Z243" s="2"/>
      <c r="AA243" s="2"/>
      <c r="AB243" s="32">
        <v>11</v>
      </c>
      <c r="AC243" s="2"/>
      <c r="AD243" s="2"/>
      <c r="AE243" s="32"/>
      <c r="AF243" s="2"/>
      <c r="AG243" s="2"/>
      <c r="AH243" s="2"/>
      <c r="AL243" s="2"/>
    </row>
    <row r="244" spans="1:53">
      <c r="A244" s="29" t="s">
        <v>945</v>
      </c>
      <c r="G244">
        <v>41</v>
      </c>
      <c r="H244">
        <v>24</v>
      </c>
      <c r="I244">
        <v>41</v>
      </c>
      <c r="J244">
        <v>16</v>
      </c>
      <c r="K244">
        <v>16</v>
      </c>
      <c r="L244">
        <v>27</v>
      </c>
      <c r="M244">
        <v>27</v>
      </c>
      <c r="N244">
        <v>46</v>
      </c>
      <c r="O244">
        <v>50</v>
      </c>
      <c r="V244" s="2"/>
      <c r="W244" s="2"/>
      <c r="X244" s="2"/>
      <c r="Y244" s="2"/>
      <c r="Z244" s="2"/>
      <c r="AA244" s="2"/>
      <c r="AB244" s="32">
        <v>11</v>
      </c>
      <c r="AC244" s="2"/>
      <c r="AD244" s="2"/>
      <c r="AE244" s="32"/>
      <c r="AF244" s="2"/>
      <c r="AG244" s="2"/>
      <c r="AH244" s="2"/>
      <c r="AL244" s="2"/>
    </row>
    <row r="245" spans="1:53">
      <c r="A245" s="29" t="s">
        <v>871</v>
      </c>
      <c r="G245">
        <v>29</v>
      </c>
      <c r="H245">
        <v>19</v>
      </c>
      <c r="I245">
        <v>29</v>
      </c>
      <c r="J245">
        <v>19</v>
      </c>
      <c r="K245">
        <v>19</v>
      </c>
      <c r="L245">
        <v>19</v>
      </c>
      <c r="M245">
        <v>19</v>
      </c>
      <c r="O245">
        <v>20</v>
      </c>
      <c r="V245" s="2">
        <v>0.03</v>
      </c>
      <c r="W245" s="2"/>
      <c r="X245" s="2"/>
      <c r="Y245" s="2"/>
      <c r="Z245" s="2"/>
      <c r="AA245" s="2"/>
      <c r="AB245" s="32">
        <v>31</v>
      </c>
      <c r="AC245" s="2">
        <v>0.03</v>
      </c>
      <c r="AD245" s="2"/>
      <c r="AE245" s="32"/>
      <c r="AF245" s="2"/>
      <c r="AG245" s="2"/>
      <c r="AH245" s="2"/>
      <c r="AL245" s="2"/>
    </row>
    <row r="246" spans="1:53" s="185" customFormat="1" ht="12.75" customHeight="1">
      <c r="A246" s="29" t="s">
        <v>814</v>
      </c>
      <c r="B246" s="29"/>
      <c r="C246" s="29"/>
      <c r="D246" s="29"/>
      <c r="E246" s="29"/>
      <c r="F246" s="29"/>
      <c r="G246" s="29">
        <v>29</v>
      </c>
      <c r="H246" s="29">
        <v>25</v>
      </c>
      <c r="I246" s="29">
        <v>29</v>
      </c>
      <c r="J246" s="29">
        <v>20</v>
      </c>
      <c r="K246" s="29">
        <v>20</v>
      </c>
      <c r="L246" s="29">
        <v>20</v>
      </c>
      <c r="M246" s="29">
        <v>20</v>
      </c>
      <c r="N246" s="29">
        <v>20</v>
      </c>
      <c r="O246" s="29"/>
      <c r="P246" s="29"/>
      <c r="Q246" s="29"/>
      <c r="R246" s="29"/>
      <c r="S246" s="29"/>
      <c r="T246" s="29"/>
      <c r="U246" s="29"/>
      <c r="V246" s="12">
        <v>0.02</v>
      </c>
      <c r="W246" s="12"/>
      <c r="X246" s="12"/>
      <c r="Y246" s="12"/>
      <c r="Z246" s="12"/>
      <c r="AA246" s="12"/>
      <c r="AB246" s="29">
        <v>31</v>
      </c>
      <c r="AC246" s="12"/>
      <c r="AD246" s="12"/>
      <c r="AE246" s="29">
        <v>3</v>
      </c>
      <c r="AF246" s="12"/>
      <c r="AG246" s="12"/>
      <c r="AH246" s="12"/>
      <c r="AI246" s="29"/>
      <c r="AJ246" s="29"/>
      <c r="AK246" s="29"/>
      <c r="AL246" s="29"/>
      <c r="AM246" s="12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</row>
    <row r="247" spans="1:53" s="185" customFormat="1" ht="12.75" customHeight="1">
      <c r="A247" s="29" t="s">
        <v>876</v>
      </c>
      <c r="B247" s="29"/>
      <c r="C247" s="29"/>
      <c r="D247" s="29"/>
      <c r="E247" s="29"/>
      <c r="F247" s="29"/>
      <c r="G247" s="29">
        <v>29</v>
      </c>
      <c r="H247" s="29">
        <v>25</v>
      </c>
      <c r="I247" s="29">
        <v>29</v>
      </c>
      <c r="J247" s="29">
        <v>20</v>
      </c>
      <c r="K247" s="29">
        <v>20</v>
      </c>
      <c r="L247" s="29">
        <v>20</v>
      </c>
      <c r="M247" s="29">
        <v>20</v>
      </c>
      <c r="N247" s="29">
        <v>50</v>
      </c>
      <c r="O247" s="29"/>
      <c r="P247" s="29"/>
      <c r="Q247" s="29"/>
      <c r="R247" s="29"/>
      <c r="S247" s="29"/>
      <c r="T247" s="29"/>
      <c r="U247" s="29"/>
      <c r="V247" s="12">
        <v>7.0000000000000007E-2</v>
      </c>
      <c r="W247" s="12"/>
      <c r="X247" s="12"/>
      <c r="Y247" s="12"/>
      <c r="Z247" s="12"/>
      <c r="AA247" s="12"/>
      <c r="AB247" s="29">
        <v>31</v>
      </c>
      <c r="AC247" s="12"/>
      <c r="AD247" s="12"/>
      <c r="AE247" s="29">
        <v>3</v>
      </c>
      <c r="AF247" s="12"/>
      <c r="AG247" s="12"/>
      <c r="AH247" s="12"/>
      <c r="AI247" s="29"/>
      <c r="AJ247" s="29"/>
      <c r="AK247" s="29"/>
      <c r="AL247" s="29"/>
      <c r="AM247" s="12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</row>
    <row r="248" spans="1:53" s="185" customFormat="1" ht="12.75" customHeight="1">
      <c r="A248" s="29" t="s">
        <v>877</v>
      </c>
      <c r="B248" s="29"/>
      <c r="C248" s="29"/>
      <c r="D248" s="29"/>
      <c r="E248" s="29"/>
      <c r="F248" s="29"/>
      <c r="G248" s="29">
        <v>29</v>
      </c>
      <c r="H248" s="29">
        <v>25</v>
      </c>
      <c r="I248" s="29">
        <v>29</v>
      </c>
      <c r="J248" s="29">
        <v>20</v>
      </c>
      <c r="K248" s="29">
        <v>20</v>
      </c>
      <c r="L248" s="29">
        <v>20</v>
      </c>
      <c r="M248" s="29">
        <v>20</v>
      </c>
      <c r="N248" s="29">
        <v>50</v>
      </c>
      <c r="O248" s="29"/>
      <c r="P248" s="29"/>
      <c r="Q248" s="29"/>
      <c r="R248" s="29"/>
      <c r="S248" s="29"/>
      <c r="T248" s="29"/>
      <c r="U248" s="29"/>
      <c r="V248" s="12">
        <v>0.02</v>
      </c>
      <c r="W248" s="12"/>
      <c r="X248" s="12"/>
      <c r="Y248" s="12"/>
      <c r="Z248" s="12"/>
      <c r="AA248" s="12"/>
      <c r="AB248" s="29">
        <v>31</v>
      </c>
      <c r="AC248" s="12"/>
      <c r="AD248" s="12"/>
      <c r="AE248" s="29">
        <v>11</v>
      </c>
      <c r="AF248" s="12"/>
      <c r="AG248" s="12"/>
      <c r="AH248" s="12"/>
      <c r="AI248" s="29"/>
      <c r="AJ248" s="29"/>
      <c r="AK248" s="29"/>
      <c r="AL248" s="29"/>
      <c r="AM248" s="12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</row>
    <row r="249" spans="1:53" s="185" customFormat="1" ht="12.75" customHeight="1">
      <c r="A249" s="29" t="s">
        <v>878</v>
      </c>
      <c r="B249" s="29"/>
      <c r="C249" s="29"/>
      <c r="D249" s="29"/>
      <c r="E249" s="29"/>
      <c r="F249" s="29"/>
      <c r="G249" s="29">
        <v>29</v>
      </c>
      <c r="H249" s="29">
        <v>25</v>
      </c>
      <c r="I249" s="29">
        <v>29</v>
      </c>
      <c r="J249" s="29">
        <v>20</v>
      </c>
      <c r="K249" s="29">
        <v>20</v>
      </c>
      <c r="L249" s="29">
        <v>20</v>
      </c>
      <c r="M249" s="29">
        <v>20</v>
      </c>
      <c r="N249" s="29">
        <v>50</v>
      </c>
      <c r="O249" s="29"/>
      <c r="P249" s="29"/>
      <c r="Q249" s="29"/>
      <c r="R249" s="29"/>
      <c r="S249" s="29"/>
      <c r="T249" s="29"/>
      <c r="U249" s="29"/>
      <c r="V249" s="12">
        <v>0.02</v>
      </c>
      <c r="W249" s="12"/>
      <c r="X249" s="12"/>
      <c r="Y249" s="12"/>
      <c r="Z249" s="12"/>
      <c r="AA249" s="12"/>
      <c r="AB249" s="29">
        <v>31</v>
      </c>
      <c r="AC249" s="12"/>
      <c r="AD249" s="12"/>
      <c r="AE249" s="29">
        <v>3</v>
      </c>
      <c r="AF249" s="12"/>
      <c r="AG249" s="12"/>
      <c r="AH249" s="12">
        <v>0.05</v>
      </c>
      <c r="AI249" s="29"/>
      <c r="AJ249" s="29"/>
      <c r="AK249" s="29"/>
      <c r="AL249" s="29"/>
      <c r="AM249" s="12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</row>
    <row r="250" spans="1:53" s="185" customFormat="1" ht="12.75" customHeight="1">
      <c r="A250" s="29" t="s">
        <v>937</v>
      </c>
      <c r="B250" s="29"/>
      <c r="C250" s="29"/>
      <c r="D250" s="29"/>
      <c r="E250" s="29"/>
      <c r="F250" s="29"/>
      <c r="G250" s="29">
        <v>29</v>
      </c>
      <c r="H250" s="29">
        <v>40</v>
      </c>
      <c r="I250" s="29">
        <v>29</v>
      </c>
      <c r="J250" s="29">
        <v>20</v>
      </c>
      <c r="K250" s="29">
        <v>20</v>
      </c>
      <c r="L250" s="29">
        <v>20</v>
      </c>
      <c r="M250" s="29">
        <v>20</v>
      </c>
      <c r="N250" s="29">
        <v>60</v>
      </c>
      <c r="O250" s="29">
        <v>40</v>
      </c>
      <c r="P250" s="29"/>
      <c r="Q250" s="29"/>
      <c r="R250" s="29"/>
      <c r="S250" s="29"/>
      <c r="T250" s="29"/>
      <c r="U250" s="29"/>
      <c r="V250" s="12">
        <v>0.02</v>
      </c>
      <c r="W250" s="12">
        <v>0.03</v>
      </c>
      <c r="X250" s="12">
        <v>0.03</v>
      </c>
      <c r="Y250" s="12"/>
      <c r="Z250" s="12"/>
      <c r="AA250" s="12"/>
      <c r="AB250" s="29">
        <v>31</v>
      </c>
      <c r="AC250" s="12"/>
      <c r="AD250" s="12"/>
      <c r="AE250" s="29">
        <v>3</v>
      </c>
      <c r="AF250" s="12"/>
      <c r="AG250" s="12"/>
      <c r="AH250" s="12"/>
      <c r="AI250" s="29"/>
      <c r="AJ250" s="29"/>
      <c r="AK250" s="29"/>
      <c r="AL250" s="29"/>
      <c r="AM250" s="12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</row>
    <row r="251" spans="1:53" s="185" customFormat="1" ht="12.75" customHeight="1">
      <c r="A251" s="29" t="s">
        <v>949</v>
      </c>
      <c r="B251" s="29"/>
      <c r="C251" s="29"/>
      <c r="D251" s="29"/>
      <c r="E251" s="29"/>
      <c r="F251" s="29"/>
      <c r="G251" s="29">
        <v>29</v>
      </c>
      <c r="H251" s="29">
        <v>25</v>
      </c>
      <c r="I251" s="29">
        <v>29</v>
      </c>
      <c r="J251" s="29">
        <v>20</v>
      </c>
      <c r="K251" s="29">
        <v>20</v>
      </c>
      <c r="L251" s="29">
        <v>20</v>
      </c>
      <c r="M251" s="29">
        <v>20</v>
      </c>
      <c r="N251" s="29">
        <v>20</v>
      </c>
      <c r="O251" s="29"/>
      <c r="P251" s="29"/>
      <c r="Q251" s="29"/>
      <c r="R251" s="29"/>
      <c r="S251" s="29"/>
      <c r="T251" s="29"/>
      <c r="U251" s="29"/>
      <c r="V251" s="12">
        <v>0.05</v>
      </c>
      <c r="W251" s="12"/>
      <c r="X251" s="12">
        <v>0.01</v>
      </c>
      <c r="Y251" s="12"/>
      <c r="Z251" s="12"/>
      <c r="AA251" s="12"/>
      <c r="AB251" s="29">
        <v>31</v>
      </c>
      <c r="AC251" s="12"/>
      <c r="AD251" s="12"/>
      <c r="AE251" s="29">
        <v>3</v>
      </c>
      <c r="AF251" s="12"/>
      <c r="AG251" s="12"/>
      <c r="AH251" s="12"/>
      <c r="AI251" s="29"/>
      <c r="AJ251" s="29"/>
      <c r="AK251" s="29"/>
      <c r="AL251" s="29"/>
      <c r="AM251" s="12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</row>
    <row r="252" spans="1:53">
      <c r="A252" s="29" t="s">
        <v>870</v>
      </c>
      <c r="G252">
        <v>29</v>
      </c>
      <c r="H252">
        <f>25+7</f>
        <v>32</v>
      </c>
      <c r="I252">
        <v>29</v>
      </c>
      <c r="J252">
        <v>20</v>
      </c>
      <c r="K252">
        <v>20</v>
      </c>
      <c r="L252">
        <v>20</v>
      </c>
      <c r="M252">
        <v>20</v>
      </c>
      <c r="N252">
        <f>20+18</f>
        <v>38</v>
      </c>
      <c r="V252" s="2">
        <v>7.0000000000000007E-2</v>
      </c>
      <c r="W252" s="2"/>
      <c r="X252" s="2"/>
      <c r="Y252" s="2"/>
      <c r="Z252" s="2"/>
      <c r="AA252" s="2"/>
      <c r="AB252" s="32">
        <v>31</v>
      </c>
      <c r="AC252" s="2"/>
      <c r="AD252" s="2"/>
      <c r="AE252" s="32">
        <v>3</v>
      </c>
      <c r="AF252" s="2"/>
      <c r="AG252" s="2"/>
      <c r="AH252" s="2"/>
      <c r="AL252" s="2"/>
    </row>
    <row r="253" spans="1:53">
      <c r="AE253" s="32"/>
    </row>
    <row r="254" spans="1:53">
      <c r="AE254" s="32"/>
    </row>
    <row r="255" spans="1:53">
      <c r="A255" t="s">
        <v>19</v>
      </c>
      <c r="B255" t="s">
        <v>491</v>
      </c>
      <c r="C255" t="s">
        <v>488</v>
      </c>
      <c r="D255" t="s">
        <v>489</v>
      </c>
      <c r="E255" t="s">
        <v>490</v>
      </c>
      <c r="F255" s="29" t="s">
        <v>635</v>
      </c>
      <c r="G255" t="s">
        <v>3</v>
      </c>
      <c r="H255" t="s">
        <v>4</v>
      </c>
      <c r="I255" t="s">
        <v>5</v>
      </c>
      <c r="J255" t="s">
        <v>42</v>
      </c>
      <c r="K255" t="s">
        <v>181</v>
      </c>
      <c r="L255" t="s">
        <v>182</v>
      </c>
      <c r="M255" t="s">
        <v>244</v>
      </c>
      <c r="N255" t="s">
        <v>10</v>
      </c>
      <c r="O255" t="s">
        <v>9</v>
      </c>
      <c r="P255" t="s">
        <v>436</v>
      </c>
      <c r="Q255" t="s">
        <v>756</v>
      </c>
      <c r="R255" t="s">
        <v>757</v>
      </c>
      <c r="S255" t="s">
        <v>758</v>
      </c>
      <c r="T255" t="s">
        <v>759</v>
      </c>
      <c r="U255" s="173" t="s">
        <v>760</v>
      </c>
      <c r="V255" t="s">
        <v>12</v>
      </c>
      <c r="W255" t="s">
        <v>149</v>
      </c>
      <c r="X255" t="s">
        <v>415</v>
      </c>
      <c r="Y255" t="s">
        <v>595</v>
      </c>
      <c r="Z255" t="s">
        <v>453</v>
      </c>
      <c r="AA255" t="s">
        <v>265</v>
      </c>
      <c r="AB255" t="s">
        <v>11</v>
      </c>
      <c r="AC255" t="s">
        <v>125</v>
      </c>
      <c r="AD255" t="s">
        <v>124</v>
      </c>
      <c r="AE255" s="32" t="s">
        <v>454</v>
      </c>
      <c r="AF255" t="s">
        <v>122</v>
      </c>
      <c r="AG255" t="s">
        <v>183</v>
      </c>
      <c r="AH255" t="s">
        <v>163</v>
      </c>
      <c r="AI255" s="32" t="s">
        <v>563</v>
      </c>
      <c r="AJ255" s="32" t="s">
        <v>564</v>
      </c>
      <c r="AK255" s="29" t="s">
        <v>537</v>
      </c>
      <c r="AL255" t="s">
        <v>416</v>
      </c>
      <c r="AM255" t="s">
        <v>690</v>
      </c>
      <c r="AN255" s="32" t="s">
        <v>217</v>
      </c>
      <c r="AO255" t="s">
        <v>218</v>
      </c>
    </row>
    <row r="256" spans="1:53">
      <c r="A256" s="29" t="s">
        <v>830</v>
      </c>
      <c r="G256">
        <f>4+7</f>
        <v>11</v>
      </c>
      <c r="H256">
        <f>31+7</f>
        <v>38</v>
      </c>
      <c r="I256">
        <v>28</v>
      </c>
      <c r="J256">
        <v>5</v>
      </c>
      <c r="K256">
        <v>8</v>
      </c>
      <c r="L256">
        <v>24</v>
      </c>
      <c r="M256">
        <v>18</v>
      </c>
      <c r="N256">
        <v>20</v>
      </c>
      <c r="O256">
        <v>27</v>
      </c>
      <c r="V256" s="2">
        <v>0.03</v>
      </c>
      <c r="W256" s="2"/>
      <c r="X256" s="2"/>
      <c r="Y256" s="2"/>
      <c r="Z256" s="2"/>
      <c r="AA256" s="2"/>
      <c r="AB256" s="32">
        <v>41</v>
      </c>
      <c r="AC256" s="2"/>
      <c r="AD256" s="2"/>
      <c r="AE256" s="32">
        <v>4</v>
      </c>
      <c r="AF256" s="2"/>
      <c r="AG256" s="2"/>
      <c r="AH256" s="2"/>
      <c r="AL256" s="2"/>
      <c r="AN256" s="32">
        <v>57</v>
      </c>
      <c r="AO256" s="32"/>
      <c r="AP256" s="32"/>
    </row>
    <row r="257" spans="1:54">
      <c r="A257" s="29" t="s">
        <v>792</v>
      </c>
      <c r="G257">
        <f>4+7</f>
        <v>11</v>
      </c>
      <c r="H257">
        <f>31+7</f>
        <v>38</v>
      </c>
      <c r="I257">
        <v>28</v>
      </c>
      <c r="J257">
        <v>5</v>
      </c>
      <c r="K257">
        <v>8</v>
      </c>
      <c r="L257">
        <v>24</v>
      </c>
      <c r="M257">
        <v>18</v>
      </c>
      <c r="N257">
        <v>20</v>
      </c>
      <c r="O257">
        <v>27</v>
      </c>
      <c r="V257" s="2"/>
      <c r="W257" s="2"/>
      <c r="X257" s="2"/>
      <c r="Y257" s="2"/>
      <c r="Z257" s="2"/>
      <c r="AA257" s="2"/>
      <c r="AB257" s="32">
        <v>41</v>
      </c>
      <c r="AC257" s="2"/>
      <c r="AD257" s="2"/>
      <c r="AE257" s="32">
        <v>10</v>
      </c>
      <c r="AF257" s="2"/>
      <c r="AG257" s="2"/>
      <c r="AH257" s="2"/>
      <c r="AL257" s="2"/>
      <c r="AN257" s="32">
        <v>57</v>
      </c>
      <c r="AO257" s="32"/>
      <c r="AP257" s="32"/>
    </row>
    <row r="258" spans="1:54">
      <c r="A258" s="29" t="s">
        <v>808</v>
      </c>
      <c r="G258">
        <v>29</v>
      </c>
      <c r="H258">
        <v>45</v>
      </c>
      <c r="N258">
        <v>15</v>
      </c>
      <c r="O258">
        <v>45</v>
      </c>
      <c r="V258" s="2"/>
      <c r="W258" s="2"/>
      <c r="X258" s="2"/>
      <c r="Y258" s="2"/>
      <c r="Z258" s="2"/>
      <c r="AA258" s="2"/>
      <c r="AB258" s="32">
        <v>41</v>
      </c>
      <c r="AC258" s="2"/>
      <c r="AD258" s="2"/>
      <c r="AE258" s="32">
        <v>5</v>
      </c>
      <c r="AF258" s="2"/>
      <c r="AG258" s="2"/>
      <c r="AH258" s="2"/>
      <c r="AL258" s="2"/>
      <c r="AO258" s="32"/>
      <c r="AP258" s="32"/>
    </row>
    <row r="259" spans="1:54" s="185" customFormat="1" ht="12.75" customHeight="1">
      <c r="A259" s="29" t="s">
        <v>809</v>
      </c>
      <c r="B259" s="29"/>
      <c r="C259" s="29"/>
      <c r="D259" s="29"/>
      <c r="E259" s="29"/>
      <c r="F259" s="29"/>
      <c r="G259" s="29">
        <v>34</v>
      </c>
      <c r="H259" s="29">
        <v>35</v>
      </c>
      <c r="I259" s="29"/>
      <c r="J259" s="29"/>
      <c r="K259" s="29"/>
      <c r="L259" s="29"/>
      <c r="M259" s="29"/>
      <c r="N259" s="29">
        <v>15</v>
      </c>
      <c r="O259" s="29">
        <v>30</v>
      </c>
      <c r="P259" s="29"/>
      <c r="Q259" s="29"/>
      <c r="R259" s="29"/>
      <c r="S259" s="29"/>
      <c r="T259" s="29"/>
      <c r="U259" s="29"/>
      <c r="V259" s="12">
        <v>0.02</v>
      </c>
      <c r="W259" s="12"/>
      <c r="X259" s="12"/>
      <c r="Y259" s="12"/>
      <c r="Z259" s="12"/>
      <c r="AA259" s="12"/>
      <c r="AB259" s="29">
        <v>60</v>
      </c>
      <c r="AC259" s="12"/>
      <c r="AD259" s="12"/>
      <c r="AE259" s="29">
        <v>5</v>
      </c>
      <c r="AF259" s="12"/>
      <c r="AG259" s="12"/>
      <c r="AH259" s="12"/>
      <c r="AI259" s="29"/>
      <c r="AJ259" s="29"/>
      <c r="AK259" s="29"/>
      <c r="AL259" s="29"/>
      <c r="AM259" s="12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</row>
    <row r="260" spans="1:54">
      <c r="A260" s="29" t="s">
        <v>823</v>
      </c>
      <c r="G260">
        <v>31</v>
      </c>
      <c r="H260">
        <v>47</v>
      </c>
      <c r="N260">
        <v>25</v>
      </c>
      <c r="O260">
        <v>60</v>
      </c>
      <c r="V260" s="2"/>
      <c r="W260" s="2"/>
      <c r="X260" s="2"/>
      <c r="Y260" s="2"/>
      <c r="Z260" s="2"/>
      <c r="AA260" s="2"/>
      <c r="AB260" s="32">
        <v>41</v>
      </c>
      <c r="AC260" s="2"/>
      <c r="AD260" s="2"/>
      <c r="AE260" s="32">
        <v>6</v>
      </c>
      <c r="AF260" s="2"/>
      <c r="AG260" s="2"/>
      <c r="AH260" s="2"/>
      <c r="AL260" s="2"/>
      <c r="AO260" s="32"/>
      <c r="AP260" s="32"/>
    </row>
    <row r="261" spans="1:54" s="188" customFormat="1" ht="12.75" customHeight="1">
      <c r="A261" s="186" t="s">
        <v>951</v>
      </c>
      <c r="B261" s="186"/>
      <c r="C261" s="186"/>
      <c r="D261" s="186"/>
      <c r="E261" s="186"/>
      <c r="F261" s="186"/>
      <c r="G261" s="186">
        <v>39</v>
      </c>
      <c r="H261" s="186">
        <v>35</v>
      </c>
      <c r="I261" s="186"/>
      <c r="J261" s="186"/>
      <c r="K261" s="186"/>
      <c r="L261" s="186"/>
      <c r="M261" s="186"/>
      <c r="N261" s="186">
        <v>25</v>
      </c>
      <c r="O261" s="186">
        <v>40</v>
      </c>
      <c r="P261" s="186"/>
      <c r="Q261" s="186"/>
      <c r="R261" s="186"/>
      <c r="S261" s="186"/>
      <c r="T261" s="186"/>
      <c r="U261" s="186"/>
      <c r="V261" s="187">
        <v>0.03</v>
      </c>
      <c r="W261" s="187"/>
      <c r="X261" s="187"/>
      <c r="Y261" s="187"/>
      <c r="Z261" s="187"/>
      <c r="AA261" s="187"/>
      <c r="AB261" s="186">
        <v>70</v>
      </c>
      <c r="AC261" s="187"/>
      <c r="AD261" s="187"/>
      <c r="AE261" s="186">
        <v>6</v>
      </c>
      <c r="AF261" s="187"/>
      <c r="AG261" s="187"/>
      <c r="AH261" s="187"/>
      <c r="AI261" s="186"/>
      <c r="AJ261" s="186"/>
      <c r="AK261" s="186"/>
      <c r="AL261" s="186"/>
      <c r="AM261" s="187"/>
      <c r="AN261" s="186"/>
      <c r="AO261" s="186"/>
      <c r="AP261" s="186"/>
      <c r="AQ261" s="186"/>
      <c r="AR261" s="186"/>
      <c r="AS261" s="186"/>
      <c r="AT261" s="186"/>
      <c r="AU261" s="186"/>
      <c r="AV261" s="186"/>
      <c r="AW261" s="186"/>
      <c r="AX261" s="186"/>
      <c r="AY261" s="186"/>
      <c r="AZ261" s="186"/>
      <c r="BA261" s="186"/>
      <c r="BB261" s="186"/>
    </row>
    <row r="262" spans="1:54">
      <c r="A262" s="29" t="s">
        <v>636</v>
      </c>
      <c r="G262">
        <v>9</v>
      </c>
      <c r="H262">
        <v>31</v>
      </c>
      <c r="I262">
        <v>27</v>
      </c>
      <c r="J262">
        <v>4</v>
      </c>
      <c r="K262">
        <v>11</v>
      </c>
      <c r="L262">
        <v>26</v>
      </c>
      <c r="M262">
        <v>15</v>
      </c>
      <c r="N262">
        <v>20</v>
      </c>
      <c r="V262" s="2"/>
      <c r="W262" s="2"/>
      <c r="X262" s="2"/>
      <c r="Y262" s="2"/>
      <c r="Z262" s="2"/>
      <c r="AA262" s="2"/>
      <c r="AB262" s="32">
        <v>30</v>
      </c>
      <c r="AD262" s="2"/>
      <c r="AE262" s="32"/>
      <c r="AG262" s="2"/>
      <c r="AH262" s="32"/>
      <c r="AI262" s="2"/>
      <c r="AL262" s="32"/>
    </row>
    <row r="263" spans="1:54">
      <c r="A263" s="29" t="s">
        <v>850</v>
      </c>
      <c r="G263">
        <v>11</v>
      </c>
      <c r="H263">
        <v>44</v>
      </c>
      <c r="I263">
        <v>32</v>
      </c>
      <c r="J263">
        <v>7</v>
      </c>
      <c r="K263">
        <v>16</v>
      </c>
      <c r="L263">
        <v>30</v>
      </c>
      <c r="M263">
        <v>19</v>
      </c>
      <c r="N263">
        <f>27+15</f>
        <v>42</v>
      </c>
      <c r="V263" s="2"/>
      <c r="W263" s="2"/>
      <c r="X263" s="2"/>
      <c r="Y263" s="2"/>
      <c r="Z263" s="2"/>
      <c r="AA263" s="2"/>
      <c r="AB263" s="32">
        <v>41</v>
      </c>
      <c r="AD263" s="2"/>
      <c r="AE263" s="32">
        <v>6</v>
      </c>
      <c r="AG263" s="2"/>
      <c r="AH263" s="32"/>
      <c r="AI263" s="2"/>
      <c r="AL263" s="32"/>
    </row>
    <row r="264" spans="1:54">
      <c r="A264" s="29" t="s">
        <v>708</v>
      </c>
      <c r="G264">
        <v>12</v>
      </c>
      <c r="H264">
        <v>18</v>
      </c>
      <c r="I264">
        <v>21</v>
      </c>
      <c r="K264">
        <v>11</v>
      </c>
      <c r="L264">
        <v>22</v>
      </c>
      <c r="M264">
        <v>12</v>
      </c>
      <c r="O264">
        <v>12</v>
      </c>
      <c r="V264" s="2"/>
      <c r="W264" s="2"/>
      <c r="X264" s="2"/>
      <c r="Y264" s="2"/>
      <c r="Z264" s="2"/>
      <c r="AA264" s="2"/>
      <c r="AB264" s="32">
        <v>30</v>
      </c>
      <c r="AC264" s="2"/>
      <c r="AD264" s="2"/>
      <c r="AE264" s="32"/>
      <c r="AF264" s="2"/>
      <c r="AG264" s="2"/>
      <c r="AH264" s="2"/>
      <c r="AL264" s="2"/>
    </row>
    <row r="265" spans="1:54">
      <c r="A265" s="29" t="s">
        <v>709</v>
      </c>
      <c r="G265">
        <v>16</v>
      </c>
      <c r="H265">
        <v>29</v>
      </c>
      <c r="I265">
        <v>33</v>
      </c>
      <c r="K265">
        <v>14</v>
      </c>
      <c r="L265">
        <v>31</v>
      </c>
      <c r="M265">
        <v>19</v>
      </c>
      <c r="O265">
        <v>14</v>
      </c>
      <c r="V265" s="2"/>
      <c r="W265" s="2"/>
      <c r="X265" s="2"/>
      <c r="Y265" s="2"/>
      <c r="Z265" s="2"/>
      <c r="AA265" s="2"/>
      <c r="AB265" s="32">
        <v>40</v>
      </c>
      <c r="AC265" s="2"/>
      <c r="AD265" s="2"/>
      <c r="AE265" s="32"/>
      <c r="AF265" s="2"/>
      <c r="AG265" s="2"/>
      <c r="AH265" s="2"/>
      <c r="AL265" s="2"/>
    </row>
    <row r="266" spans="1:54">
      <c r="A266" s="29" t="s">
        <v>918</v>
      </c>
      <c r="G266">
        <v>19</v>
      </c>
      <c r="H266">
        <v>42</v>
      </c>
      <c r="I266">
        <v>35</v>
      </c>
      <c r="J266">
        <v>8</v>
      </c>
      <c r="K266">
        <v>7</v>
      </c>
      <c r="L266">
        <v>24</v>
      </c>
      <c r="M266">
        <v>17</v>
      </c>
      <c r="N266">
        <v>37</v>
      </c>
      <c r="S266">
        <v>37</v>
      </c>
      <c r="V266" s="2"/>
      <c r="W266" s="2"/>
      <c r="X266" s="2"/>
      <c r="Y266" s="2"/>
      <c r="Z266" s="2"/>
      <c r="AA266" s="2"/>
      <c r="AB266" s="32">
        <v>41</v>
      </c>
      <c r="AC266" s="2">
        <v>7.0000000000000007E-2</v>
      </c>
      <c r="AD266" s="2"/>
      <c r="AE266" s="32">
        <v>5</v>
      </c>
      <c r="AF266" s="2"/>
      <c r="AG266" s="2"/>
      <c r="AH266" s="2"/>
      <c r="AL266" s="2"/>
    </row>
    <row r="267" spans="1:54">
      <c r="A267" s="29" t="s">
        <v>950</v>
      </c>
      <c r="G267">
        <v>23</v>
      </c>
      <c r="H267">
        <v>46</v>
      </c>
      <c r="I267">
        <v>35</v>
      </c>
      <c r="J267">
        <v>8</v>
      </c>
      <c r="K267">
        <v>7</v>
      </c>
      <c r="L267">
        <v>24</v>
      </c>
      <c r="M267">
        <v>17</v>
      </c>
      <c r="N267">
        <v>43</v>
      </c>
      <c r="S267">
        <v>43</v>
      </c>
      <c r="V267" s="2"/>
      <c r="W267" s="2"/>
      <c r="X267" s="2"/>
      <c r="Y267" s="2"/>
      <c r="Z267" s="2"/>
      <c r="AA267" s="2"/>
      <c r="AB267" s="32">
        <v>41</v>
      </c>
      <c r="AC267" s="2">
        <v>0.08</v>
      </c>
      <c r="AD267" s="2"/>
      <c r="AE267" s="32">
        <v>6</v>
      </c>
      <c r="AF267" s="2"/>
      <c r="AG267" s="2"/>
      <c r="AH267" s="2"/>
      <c r="AL267" s="2"/>
      <c r="AN267" s="32">
        <v>60</v>
      </c>
    </row>
    <row r="268" spans="1:54">
      <c r="A268" s="29" t="s">
        <v>799</v>
      </c>
      <c r="G268">
        <f>11+10</f>
        <v>21</v>
      </c>
      <c r="H268">
        <v>34</v>
      </c>
      <c r="I268">
        <v>34</v>
      </c>
      <c r="J268">
        <v>10</v>
      </c>
      <c r="K268">
        <v>8</v>
      </c>
      <c r="L268">
        <v>25</v>
      </c>
      <c r="M268">
        <v>19</v>
      </c>
      <c r="O268">
        <f>20+15</f>
        <v>35</v>
      </c>
      <c r="T268">
        <v>35</v>
      </c>
      <c r="V268" s="2">
        <v>0.02</v>
      </c>
      <c r="W268" s="2"/>
      <c r="X268" s="2"/>
      <c r="Y268" s="2"/>
      <c r="Z268" s="2"/>
      <c r="AA268" s="2"/>
      <c r="AB268" s="32">
        <v>41</v>
      </c>
      <c r="AC268" s="2"/>
      <c r="AD268" s="2"/>
      <c r="AE268" s="32"/>
      <c r="AF268" s="2"/>
      <c r="AG268" s="2"/>
      <c r="AH268" s="2"/>
      <c r="AL268" s="2"/>
      <c r="AN268" s="32">
        <v>31</v>
      </c>
    </row>
    <row r="269" spans="1:54">
      <c r="A269" s="29" t="s">
        <v>715</v>
      </c>
      <c r="G269">
        <v>9</v>
      </c>
      <c r="H269">
        <v>27</v>
      </c>
      <c r="I269">
        <v>31</v>
      </c>
      <c r="K269">
        <v>8</v>
      </c>
      <c r="L269">
        <v>24</v>
      </c>
      <c r="M269">
        <v>18</v>
      </c>
      <c r="O269">
        <v>12</v>
      </c>
      <c r="V269" s="2"/>
      <c r="W269" s="2"/>
      <c r="X269" s="2"/>
      <c r="Y269" s="2"/>
      <c r="Z269" s="2"/>
      <c r="AA269" s="2"/>
      <c r="AB269" s="32">
        <v>51</v>
      </c>
      <c r="AC269" s="2"/>
      <c r="AD269" s="2"/>
      <c r="AE269" s="32"/>
      <c r="AF269" s="2"/>
      <c r="AG269" s="2"/>
      <c r="AH269" s="2"/>
      <c r="AL269" s="2"/>
      <c r="AN269" s="32">
        <f>42+40</f>
        <v>82</v>
      </c>
    </row>
    <row r="270" spans="1:54">
      <c r="A270" t="s">
        <v>767</v>
      </c>
      <c r="C270">
        <v>15</v>
      </c>
      <c r="G270">
        <v>8</v>
      </c>
      <c r="H270">
        <v>17</v>
      </c>
      <c r="I270">
        <v>21</v>
      </c>
      <c r="K270">
        <v>6</v>
      </c>
      <c r="L270">
        <v>17</v>
      </c>
      <c r="M270">
        <v>12</v>
      </c>
      <c r="N270">
        <v>10</v>
      </c>
      <c r="O270">
        <v>10</v>
      </c>
      <c r="V270" s="2"/>
      <c r="W270" s="2"/>
      <c r="X270" s="2"/>
      <c r="Y270" s="2"/>
      <c r="Z270" s="2"/>
      <c r="AA270" s="2"/>
      <c r="AB270" s="32">
        <v>51</v>
      </c>
      <c r="AC270" s="2"/>
      <c r="AD270" s="2"/>
      <c r="AE270" s="32"/>
      <c r="AF270" s="2"/>
      <c r="AG270" s="2"/>
      <c r="AH270" s="2"/>
      <c r="AL270" s="2"/>
      <c r="AN270" s="32">
        <v>14</v>
      </c>
    </row>
    <row r="271" spans="1:54">
      <c r="A271" t="s">
        <v>768</v>
      </c>
      <c r="C271">
        <v>18</v>
      </c>
      <c r="G271">
        <v>12</v>
      </c>
      <c r="H271">
        <v>28</v>
      </c>
      <c r="I271">
        <v>33</v>
      </c>
      <c r="K271">
        <v>10</v>
      </c>
      <c r="L271">
        <v>26</v>
      </c>
      <c r="M271">
        <v>20</v>
      </c>
      <c r="N271">
        <v>18</v>
      </c>
      <c r="O271">
        <v>18</v>
      </c>
      <c r="V271" s="2"/>
      <c r="W271" s="2"/>
      <c r="X271" s="2"/>
      <c r="Y271" s="2"/>
      <c r="Z271" s="2"/>
      <c r="AA271" s="2"/>
      <c r="AB271" s="32">
        <v>61</v>
      </c>
      <c r="AC271" s="2"/>
      <c r="AD271" s="2"/>
      <c r="AE271" s="32"/>
      <c r="AF271" s="2"/>
      <c r="AG271" s="2"/>
      <c r="AH271" s="2"/>
      <c r="AL271" s="2"/>
      <c r="AN271" s="32">
        <v>29</v>
      </c>
    </row>
    <row r="272" spans="1:54">
      <c r="A272" s="29" t="s">
        <v>644</v>
      </c>
      <c r="G272">
        <v>11</v>
      </c>
      <c r="H272">
        <v>23</v>
      </c>
      <c r="I272">
        <v>21</v>
      </c>
      <c r="K272">
        <v>5</v>
      </c>
      <c r="L272">
        <v>16</v>
      </c>
      <c r="M272">
        <v>12</v>
      </c>
      <c r="N272">
        <v>10</v>
      </c>
      <c r="O272">
        <v>10</v>
      </c>
      <c r="P272" s="2"/>
      <c r="Q272" s="2"/>
      <c r="R272" s="2"/>
      <c r="U272" s="2"/>
      <c r="V272" s="2"/>
      <c r="W272" s="2"/>
      <c r="X272" s="2"/>
      <c r="Y272" s="2"/>
      <c r="Z272" s="2"/>
      <c r="AA272" s="2"/>
      <c r="AB272" s="32">
        <v>31</v>
      </c>
      <c r="AC272" s="2"/>
      <c r="AD272" s="2"/>
      <c r="AE272" s="32"/>
      <c r="AF272" s="2"/>
      <c r="AG272" s="2"/>
      <c r="AH272" s="2"/>
      <c r="AL272" s="2"/>
      <c r="AN272" s="32">
        <v>29</v>
      </c>
      <c r="AO272" s="2"/>
    </row>
    <row r="273" spans="1:54">
      <c r="A273" s="29" t="s">
        <v>691</v>
      </c>
      <c r="G273">
        <v>15</v>
      </c>
      <c r="H273">
        <v>34</v>
      </c>
      <c r="I273">
        <v>33</v>
      </c>
      <c r="K273">
        <v>8</v>
      </c>
      <c r="L273">
        <v>25</v>
      </c>
      <c r="M273">
        <v>19</v>
      </c>
      <c r="N273">
        <v>13</v>
      </c>
      <c r="O273">
        <v>13</v>
      </c>
      <c r="P273" s="2"/>
      <c r="Q273" s="2"/>
      <c r="R273" s="2"/>
      <c r="U273" s="2"/>
      <c r="V273" s="2"/>
      <c r="W273" s="2"/>
      <c r="X273" s="2"/>
      <c r="Y273" s="2"/>
      <c r="Z273" s="2"/>
      <c r="AA273" s="2"/>
      <c r="AB273" s="32">
        <v>41</v>
      </c>
      <c r="AC273" s="2"/>
      <c r="AD273" s="2"/>
      <c r="AE273" s="32"/>
      <c r="AF273" s="2"/>
      <c r="AG273" s="2"/>
      <c r="AH273" s="2"/>
      <c r="AL273" s="2"/>
      <c r="AN273" s="32">
        <v>44</v>
      </c>
      <c r="AO273" s="2"/>
    </row>
    <row r="274" spans="1:54">
      <c r="A274" s="29" t="s">
        <v>928</v>
      </c>
      <c r="G274">
        <v>20</v>
      </c>
      <c r="H274">
        <v>38</v>
      </c>
      <c r="I274">
        <v>38</v>
      </c>
      <c r="K274">
        <v>13</v>
      </c>
      <c r="L274">
        <v>30</v>
      </c>
      <c r="M274">
        <v>24</v>
      </c>
      <c r="N274">
        <v>44</v>
      </c>
      <c r="O274">
        <v>23</v>
      </c>
      <c r="P274" s="2"/>
      <c r="Q274" s="2"/>
      <c r="R274" s="2"/>
      <c r="U274" s="2"/>
      <c r="V274" s="2"/>
      <c r="W274" s="2"/>
      <c r="X274" s="2"/>
      <c r="Y274" s="2"/>
      <c r="Z274" s="2"/>
      <c r="AA274" s="2"/>
      <c r="AB274" s="32">
        <v>41</v>
      </c>
      <c r="AC274" s="2"/>
      <c r="AD274" s="2"/>
      <c r="AE274" s="32"/>
      <c r="AF274" s="2"/>
      <c r="AG274" s="2"/>
      <c r="AH274" s="2"/>
      <c r="AL274" s="2"/>
      <c r="AN274" s="32">
        <v>66</v>
      </c>
      <c r="AO274" s="2"/>
    </row>
    <row r="275" spans="1:54">
      <c r="A275" s="29" t="s">
        <v>929</v>
      </c>
      <c r="G275">
        <v>25</v>
      </c>
      <c r="H275">
        <v>44</v>
      </c>
      <c r="I275">
        <v>43</v>
      </c>
      <c r="K275">
        <v>18</v>
      </c>
      <c r="L275">
        <v>35</v>
      </c>
      <c r="M275">
        <v>29</v>
      </c>
      <c r="N275">
        <v>54</v>
      </c>
      <c r="O275">
        <v>33</v>
      </c>
      <c r="P275" s="2"/>
      <c r="Q275" s="2"/>
      <c r="R275" s="2"/>
      <c r="U275" s="2"/>
      <c r="V275" s="2"/>
      <c r="W275" s="2"/>
      <c r="X275" s="2"/>
      <c r="Y275" s="2"/>
      <c r="Z275" s="2"/>
      <c r="AA275" s="2"/>
      <c r="AB275" s="32">
        <v>41</v>
      </c>
      <c r="AC275" s="2"/>
      <c r="AD275" s="2"/>
      <c r="AE275" s="32"/>
      <c r="AF275" s="2"/>
      <c r="AG275" s="2"/>
      <c r="AH275" s="2"/>
      <c r="AL275" s="2"/>
      <c r="AN275" s="32">
        <v>76</v>
      </c>
      <c r="AO275" s="2"/>
    </row>
    <row r="276" spans="1:54">
      <c r="A276" s="29" t="s">
        <v>803</v>
      </c>
      <c r="G276">
        <v>11</v>
      </c>
      <c r="H276">
        <v>35</v>
      </c>
      <c r="I276">
        <v>32</v>
      </c>
      <c r="J276">
        <v>5</v>
      </c>
      <c r="K276">
        <v>12</v>
      </c>
      <c r="L276">
        <v>30</v>
      </c>
      <c r="M276">
        <v>17</v>
      </c>
      <c r="N276">
        <f>18+15</f>
        <v>33</v>
      </c>
      <c r="S276">
        <v>33</v>
      </c>
      <c r="T276">
        <v>30</v>
      </c>
      <c r="V276" s="2"/>
      <c r="W276" s="2"/>
      <c r="X276" s="2"/>
      <c r="Y276" s="2"/>
      <c r="Z276" s="2"/>
      <c r="AA276" s="2"/>
      <c r="AB276" s="32">
        <v>51</v>
      </c>
      <c r="AC276" s="2"/>
      <c r="AD276" s="2"/>
      <c r="AE276" s="32"/>
      <c r="AF276" s="2"/>
      <c r="AG276" s="2"/>
      <c r="AH276" s="2"/>
      <c r="AL276" s="2"/>
      <c r="AN276" s="32">
        <v>25</v>
      </c>
    </row>
    <row r="277" spans="1:54">
      <c r="A277" s="29" t="s">
        <v>824</v>
      </c>
      <c r="G277">
        <v>24</v>
      </c>
      <c r="H277">
        <v>41</v>
      </c>
      <c r="O277">
        <v>15</v>
      </c>
      <c r="V277" s="2">
        <v>0.02</v>
      </c>
      <c r="W277" s="2"/>
      <c r="X277" s="2"/>
      <c r="Y277" s="2"/>
      <c r="Z277" s="2"/>
      <c r="AA277" s="2"/>
      <c r="AB277" s="32"/>
      <c r="AC277" s="2"/>
      <c r="AD277" s="2"/>
      <c r="AE277" s="32"/>
      <c r="AF277" s="2"/>
      <c r="AG277" s="2"/>
      <c r="AH277" s="2"/>
      <c r="AL277" s="2"/>
    </row>
    <row r="278" spans="1:54">
      <c r="A278" s="29" t="s">
        <v>815</v>
      </c>
      <c r="G278">
        <v>12</v>
      </c>
      <c r="H278">
        <v>28</v>
      </c>
      <c r="I278">
        <v>34</v>
      </c>
      <c r="K278">
        <v>8</v>
      </c>
      <c r="L278">
        <v>24</v>
      </c>
      <c r="M278">
        <v>19</v>
      </c>
      <c r="N278">
        <v>10</v>
      </c>
      <c r="V278" s="2"/>
      <c r="W278" s="2"/>
      <c r="X278" s="2"/>
      <c r="Y278" s="2"/>
      <c r="Z278" s="2"/>
      <c r="AA278" s="2"/>
      <c r="AB278" s="32">
        <v>41</v>
      </c>
      <c r="AC278" s="2"/>
      <c r="AD278" s="2"/>
      <c r="AE278" s="32"/>
      <c r="AF278" s="2"/>
      <c r="AG278" s="2"/>
      <c r="AH278" s="2">
        <v>0.02</v>
      </c>
      <c r="AL278" s="2"/>
    </row>
    <row r="279" spans="1:54">
      <c r="A279" s="29" t="s">
        <v>820</v>
      </c>
      <c r="G279">
        <f>12+13</f>
        <v>25</v>
      </c>
      <c r="H279">
        <v>28</v>
      </c>
      <c r="I279">
        <v>34</v>
      </c>
      <c r="K279">
        <v>8</v>
      </c>
      <c r="L279">
        <v>24</v>
      </c>
      <c r="M279">
        <v>19</v>
      </c>
      <c r="N279">
        <f>10+14</f>
        <v>24</v>
      </c>
      <c r="O279">
        <v>21</v>
      </c>
      <c r="V279" s="2">
        <v>0.02</v>
      </c>
      <c r="W279" s="2"/>
      <c r="X279" s="2"/>
      <c r="Y279" s="2"/>
      <c r="Z279" s="2"/>
      <c r="AA279" s="2"/>
      <c r="AB279" s="32">
        <v>41</v>
      </c>
      <c r="AC279" s="2"/>
      <c r="AD279" s="2"/>
      <c r="AE279" s="32"/>
      <c r="AF279" s="2"/>
      <c r="AG279" s="2"/>
      <c r="AH279" s="2">
        <v>0.02</v>
      </c>
      <c r="AL279" s="2"/>
    </row>
    <row r="280" spans="1:54">
      <c r="A280" s="29" t="s">
        <v>858</v>
      </c>
      <c r="G280">
        <v>12</v>
      </c>
      <c r="H280">
        <v>38</v>
      </c>
      <c r="I280">
        <v>34</v>
      </c>
      <c r="K280">
        <v>8</v>
      </c>
      <c r="L280">
        <v>24</v>
      </c>
      <c r="M280">
        <v>19</v>
      </c>
      <c r="N280">
        <v>50</v>
      </c>
      <c r="O280">
        <v>40</v>
      </c>
      <c r="V280" s="2"/>
      <c r="W280" s="2"/>
      <c r="X280" s="2"/>
      <c r="Y280" s="2"/>
      <c r="Z280" s="2"/>
      <c r="AA280" s="2"/>
      <c r="AB280" s="32">
        <v>41</v>
      </c>
      <c r="AC280" s="2"/>
      <c r="AD280" s="2"/>
      <c r="AE280" s="32">
        <v>10</v>
      </c>
      <c r="AF280" s="2"/>
      <c r="AG280" s="2"/>
      <c r="AH280" s="2">
        <v>0.02</v>
      </c>
      <c r="AL280" s="2"/>
    </row>
    <row r="281" spans="1:54">
      <c r="A281" s="29" t="s">
        <v>865</v>
      </c>
      <c r="G281">
        <v>12</v>
      </c>
      <c r="H281">
        <v>28</v>
      </c>
      <c r="I281">
        <v>34</v>
      </c>
      <c r="J281">
        <v>7</v>
      </c>
      <c r="K281">
        <v>8</v>
      </c>
      <c r="L281">
        <v>24</v>
      </c>
      <c r="M281">
        <v>19</v>
      </c>
      <c r="N281">
        <v>14</v>
      </c>
      <c r="O281">
        <v>27</v>
      </c>
      <c r="V281" s="2"/>
      <c r="W281" s="2"/>
      <c r="X281" s="2"/>
      <c r="Y281" s="2"/>
      <c r="Z281" s="2"/>
      <c r="AA281" s="2"/>
      <c r="AB281" s="32">
        <v>41</v>
      </c>
      <c r="AC281" s="2"/>
      <c r="AD281" s="2"/>
      <c r="AE281" s="32"/>
      <c r="AF281" s="2"/>
      <c r="AG281" s="2"/>
      <c r="AH281" s="2">
        <v>0.06</v>
      </c>
      <c r="AL281" s="2"/>
    </row>
    <row r="282" spans="1:54">
      <c r="A282" s="29" t="s">
        <v>946</v>
      </c>
      <c r="B282">
        <v>43</v>
      </c>
      <c r="G282">
        <v>23</v>
      </c>
      <c r="H282">
        <v>43</v>
      </c>
      <c r="I282">
        <v>34</v>
      </c>
      <c r="K282">
        <v>14</v>
      </c>
      <c r="L282">
        <v>32</v>
      </c>
      <c r="M282">
        <v>24</v>
      </c>
      <c r="V282" s="2"/>
      <c r="W282" s="2"/>
      <c r="X282" s="2"/>
      <c r="Y282" s="2"/>
      <c r="Z282" s="2"/>
      <c r="AA282" s="2"/>
      <c r="AB282" s="32">
        <v>41</v>
      </c>
      <c r="AC282" s="2"/>
      <c r="AD282" s="2"/>
      <c r="AE282" s="32"/>
      <c r="AF282" s="2"/>
      <c r="AG282" s="2"/>
      <c r="AH282" s="2">
        <v>0.06</v>
      </c>
      <c r="AL282" s="2"/>
      <c r="AN282" s="32">
        <v>399</v>
      </c>
    </row>
    <row r="283" spans="1:54">
      <c r="A283" s="29" t="s">
        <v>947</v>
      </c>
      <c r="B283">
        <v>53</v>
      </c>
      <c r="G283">
        <v>28</v>
      </c>
      <c r="H283">
        <v>48</v>
      </c>
      <c r="I283">
        <v>34</v>
      </c>
      <c r="K283">
        <v>14</v>
      </c>
      <c r="L283">
        <v>32</v>
      </c>
      <c r="M283">
        <v>24</v>
      </c>
      <c r="V283" s="2"/>
      <c r="W283" s="2"/>
      <c r="X283" s="2"/>
      <c r="Y283" s="2"/>
      <c r="Z283" s="2"/>
      <c r="AA283" s="2"/>
      <c r="AB283" s="32">
        <v>41</v>
      </c>
      <c r="AC283" s="2"/>
      <c r="AD283" s="2"/>
      <c r="AE283" s="32"/>
      <c r="AF283" s="2"/>
      <c r="AG283" s="2"/>
      <c r="AH283" s="2">
        <v>0.08</v>
      </c>
      <c r="AL283" s="2"/>
      <c r="AN283" s="32">
        <v>499</v>
      </c>
    </row>
    <row r="284" spans="1:54">
      <c r="A284" s="29" t="s">
        <v>861</v>
      </c>
      <c r="G284">
        <v>20</v>
      </c>
      <c r="H284">
        <v>31</v>
      </c>
      <c r="I284">
        <v>42</v>
      </c>
      <c r="K284">
        <v>6</v>
      </c>
      <c r="L284">
        <v>29</v>
      </c>
      <c r="M284">
        <v>24</v>
      </c>
      <c r="N284">
        <v>37</v>
      </c>
      <c r="O284">
        <v>41</v>
      </c>
      <c r="V284" s="2">
        <v>0.05</v>
      </c>
      <c r="W284" s="2"/>
      <c r="X284" s="2"/>
      <c r="Y284" s="2"/>
      <c r="Z284" s="2"/>
      <c r="AA284" s="2"/>
      <c r="AB284" s="32">
        <v>31</v>
      </c>
      <c r="AC284" s="2"/>
      <c r="AD284" s="2"/>
      <c r="AE284" s="32"/>
      <c r="AF284" s="2"/>
      <c r="AG284" s="2"/>
      <c r="AH284" s="2"/>
      <c r="AL284" s="2"/>
    </row>
    <row r="285" spans="1:54">
      <c r="A285" s="29" t="s">
        <v>945</v>
      </c>
      <c r="G285">
        <v>23</v>
      </c>
      <c r="H285">
        <v>34</v>
      </c>
      <c r="I285">
        <v>45</v>
      </c>
      <c r="K285">
        <v>6</v>
      </c>
      <c r="L285">
        <v>32</v>
      </c>
      <c r="M285">
        <v>27</v>
      </c>
      <c r="N285">
        <v>43</v>
      </c>
      <c r="O285">
        <v>47</v>
      </c>
      <c r="V285" s="2">
        <v>0.06</v>
      </c>
      <c r="W285" s="2"/>
      <c r="X285" s="2"/>
      <c r="Y285" s="2"/>
      <c r="Z285" s="2"/>
      <c r="AA285" s="2"/>
      <c r="AB285" s="32">
        <v>31</v>
      </c>
      <c r="AC285" s="2"/>
      <c r="AD285" s="2"/>
      <c r="AE285" s="32"/>
      <c r="AF285" s="2"/>
      <c r="AG285" s="2"/>
      <c r="AH285" s="2"/>
      <c r="AL285" s="2"/>
    </row>
    <row r="286" spans="1:54" s="29" customFormat="1">
      <c r="A286" s="29" t="s">
        <v>704</v>
      </c>
      <c r="G286" s="29">
        <v>11</v>
      </c>
      <c r="H286" s="29">
        <v>35</v>
      </c>
      <c r="I286" s="29">
        <v>36</v>
      </c>
      <c r="J286" s="29">
        <v>5</v>
      </c>
      <c r="K286" s="29">
        <v>12</v>
      </c>
      <c r="L286" s="29">
        <v>30</v>
      </c>
      <c r="M286" s="29">
        <v>17</v>
      </c>
      <c r="N286" s="29">
        <v>13</v>
      </c>
      <c r="S286"/>
      <c r="T286"/>
      <c r="V286" s="12"/>
      <c r="W286" s="12"/>
      <c r="X286" s="12"/>
      <c r="Y286" s="12"/>
      <c r="Z286" s="12"/>
      <c r="AA286" s="12"/>
      <c r="AB286" s="42">
        <v>51</v>
      </c>
      <c r="AC286" s="12"/>
      <c r="AD286" s="12"/>
      <c r="AE286" s="32"/>
      <c r="AF286" s="42"/>
      <c r="AG286" s="12"/>
      <c r="AH286" s="12"/>
      <c r="AI286" s="42"/>
      <c r="AJ286" s="42"/>
      <c r="AK286" s="42"/>
      <c r="AM286" s="42"/>
    </row>
    <row r="287" spans="1:54" s="29" customFormat="1">
      <c r="A287" s="29" t="s">
        <v>814</v>
      </c>
      <c r="G287" s="29">
        <v>13</v>
      </c>
      <c r="H287" s="29">
        <v>33</v>
      </c>
      <c r="I287" s="29">
        <v>33</v>
      </c>
      <c r="J287" s="29">
        <v>8</v>
      </c>
      <c r="K287" s="29">
        <v>7</v>
      </c>
      <c r="L287" s="29">
        <v>24</v>
      </c>
      <c r="M287" s="29">
        <v>17</v>
      </c>
      <c r="N287" s="29">
        <v>10</v>
      </c>
      <c r="O287" s="29">
        <v>10</v>
      </c>
      <c r="S287"/>
      <c r="T287"/>
      <c r="V287" s="12"/>
      <c r="W287" s="12"/>
      <c r="X287" s="12"/>
      <c r="Y287" s="12"/>
      <c r="Z287" s="12"/>
      <c r="AA287" s="12"/>
      <c r="AB287" s="42">
        <v>41</v>
      </c>
      <c r="AC287" s="12"/>
      <c r="AD287" s="12"/>
      <c r="AE287" s="32"/>
      <c r="AF287" s="42"/>
      <c r="AG287" s="12"/>
      <c r="AH287" s="12"/>
      <c r="AI287" s="42"/>
      <c r="AJ287" s="42"/>
      <c r="AK287" s="42"/>
      <c r="AM287" s="42"/>
    </row>
    <row r="288" spans="1:54" s="185" customFormat="1" ht="12.75" customHeight="1">
      <c r="A288" s="29" t="s">
        <v>876</v>
      </c>
      <c r="B288" s="29"/>
      <c r="C288" s="29"/>
      <c r="D288" s="29"/>
      <c r="E288" s="29"/>
      <c r="F288" s="29"/>
      <c r="G288" s="29">
        <v>13</v>
      </c>
      <c r="H288" s="29">
        <v>33</v>
      </c>
      <c r="I288" s="29">
        <v>33</v>
      </c>
      <c r="J288" s="29">
        <v>8</v>
      </c>
      <c r="K288" s="29">
        <v>7</v>
      </c>
      <c r="L288" s="29">
        <v>24</v>
      </c>
      <c r="M288" s="29">
        <v>17</v>
      </c>
      <c r="N288" s="29">
        <v>40</v>
      </c>
      <c r="O288" s="29">
        <v>10</v>
      </c>
      <c r="P288" s="29"/>
      <c r="Q288" s="29"/>
      <c r="R288" s="29"/>
      <c r="S288" s="29"/>
      <c r="T288" s="29"/>
      <c r="U288" s="29"/>
      <c r="V288" s="12">
        <v>0.05</v>
      </c>
      <c r="W288" s="12"/>
      <c r="X288" s="12"/>
      <c r="Y288" s="12"/>
      <c r="Z288" s="12"/>
      <c r="AA288" s="12"/>
      <c r="AB288" s="29">
        <v>40</v>
      </c>
      <c r="AC288" s="12"/>
      <c r="AD288" s="12"/>
      <c r="AE288" s="29"/>
      <c r="AF288" s="29"/>
      <c r="AG288" s="12"/>
      <c r="AH288" s="12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</row>
    <row r="289" spans="1:64" s="185" customFormat="1" ht="12.75" customHeight="1">
      <c r="A289" s="29" t="s">
        <v>877</v>
      </c>
      <c r="B289" s="29"/>
      <c r="C289" s="29"/>
      <c r="D289" s="29"/>
      <c r="E289" s="29"/>
      <c r="F289" s="29"/>
      <c r="G289" s="29">
        <v>13</v>
      </c>
      <c r="H289" s="29">
        <v>33</v>
      </c>
      <c r="I289" s="29">
        <v>33</v>
      </c>
      <c r="J289" s="29">
        <v>8</v>
      </c>
      <c r="K289" s="29">
        <v>7</v>
      </c>
      <c r="L289" s="29">
        <v>24</v>
      </c>
      <c r="M289" s="29">
        <v>17</v>
      </c>
      <c r="N289" s="29">
        <v>40</v>
      </c>
      <c r="O289" s="29">
        <v>10</v>
      </c>
      <c r="P289" s="29"/>
      <c r="Q289" s="29"/>
      <c r="R289" s="29"/>
      <c r="S289" s="29"/>
      <c r="T289" s="29"/>
      <c r="U289" s="29"/>
      <c r="V289" s="12"/>
      <c r="W289" s="12"/>
      <c r="X289" s="12"/>
      <c r="Y289" s="12"/>
      <c r="Z289" s="12"/>
      <c r="AA289" s="12"/>
      <c r="AB289" s="29">
        <v>40</v>
      </c>
      <c r="AC289" s="12"/>
      <c r="AD289" s="12"/>
      <c r="AE289" s="29">
        <v>8</v>
      </c>
      <c r="AF289" s="29"/>
      <c r="AG289" s="12"/>
      <c r="AH289" s="12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</row>
    <row r="290" spans="1:64" s="185" customFormat="1" ht="12.75" customHeight="1">
      <c r="A290" s="29" t="s">
        <v>878</v>
      </c>
      <c r="B290" s="29"/>
      <c r="C290" s="29"/>
      <c r="D290" s="29"/>
      <c r="E290" s="29"/>
      <c r="F290" s="29"/>
      <c r="G290" s="29">
        <v>13</v>
      </c>
      <c r="H290" s="29">
        <v>33</v>
      </c>
      <c r="I290" s="29">
        <v>33</v>
      </c>
      <c r="J290" s="29">
        <v>8</v>
      </c>
      <c r="K290" s="29">
        <v>7</v>
      </c>
      <c r="L290" s="29">
        <v>24</v>
      </c>
      <c r="M290" s="29">
        <v>17</v>
      </c>
      <c r="N290" s="29">
        <v>40</v>
      </c>
      <c r="O290" s="29">
        <v>10</v>
      </c>
      <c r="P290" s="29"/>
      <c r="Q290" s="29"/>
      <c r="R290" s="29"/>
      <c r="S290" s="29"/>
      <c r="T290" s="29"/>
      <c r="U290" s="29"/>
      <c r="V290" s="12"/>
      <c r="W290" s="12"/>
      <c r="X290" s="12"/>
      <c r="Y290" s="12"/>
      <c r="Z290" s="12"/>
      <c r="AA290" s="12"/>
      <c r="AB290" s="29">
        <v>40</v>
      </c>
      <c r="AC290" s="12"/>
      <c r="AD290" s="12"/>
      <c r="AE290" s="29"/>
      <c r="AF290" s="29"/>
      <c r="AG290" s="12"/>
      <c r="AH290" s="12">
        <v>0.05</v>
      </c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</row>
    <row r="291" spans="1:64" s="29" customFormat="1">
      <c r="A291" s="29" t="s">
        <v>864</v>
      </c>
      <c r="G291" s="29">
        <v>13</v>
      </c>
      <c r="H291" s="29">
        <v>34</v>
      </c>
      <c r="I291" s="29">
        <v>33</v>
      </c>
      <c r="J291" s="29">
        <v>8</v>
      </c>
      <c r="K291" s="29">
        <v>7</v>
      </c>
      <c r="L291" s="29">
        <v>24</v>
      </c>
      <c r="M291" s="29">
        <v>17</v>
      </c>
      <c r="N291" s="29">
        <v>13</v>
      </c>
      <c r="O291" s="29">
        <v>37</v>
      </c>
      <c r="S291"/>
      <c r="T291"/>
      <c r="V291" s="12"/>
      <c r="W291" s="12"/>
      <c r="X291" s="12"/>
      <c r="Y291" s="12"/>
      <c r="Z291" s="12"/>
      <c r="AA291" s="12"/>
      <c r="AB291" s="42">
        <v>41</v>
      </c>
      <c r="AC291" s="12"/>
      <c r="AD291" s="12"/>
      <c r="AE291" s="32"/>
      <c r="AF291" s="42"/>
      <c r="AG291" s="12"/>
      <c r="AH291" s="12">
        <v>0.05</v>
      </c>
      <c r="AI291" s="42"/>
      <c r="AJ291" s="42"/>
      <c r="AK291" s="42"/>
      <c r="AM291" s="42"/>
    </row>
    <row r="292" spans="1:64" s="29" customFormat="1">
      <c r="A292" s="29" t="s">
        <v>937</v>
      </c>
      <c r="G292" s="29">
        <v>13</v>
      </c>
      <c r="H292" s="29">
        <v>48</v>
      </c>
      <c r="I292" s="29">
        <v>33</v>
      </c>
      <c r="J292" s="29">
        <v>8</v>
      </c>
      <c r="K292" s="29">
        <v>7</v>
      </c>
      <c r="L292" s="29">
        <v>24</v>
      </c>
      <c r="M292" s="29">
        <v>17</v>
      </c>
      <c r="N292" s="29">
        <v>60</v>
      </c>
      <c r="O292" s="29">
        <v>60</v>
      </c>
      <c r="S292"/>
      <c r="T292"/>
      <c r="V292" s="12"/>
      <c r="W292" s="12">
        <v>0.03</v>
      </c>
      <c r="X292" s="12">
        <v>0.03</v>
      </c>
      <c r="Y292" s="12"/>
      <c r="Z292" s="12"/>
      <c r="AA292" s="12"/>
      <c r="AB292" s="42">
        <v>41</v>
      </c>
      <c r="AC292" s="12"/>
      <c r="AD292" s="12"/>
      <c r="AE292" s="32"/>
      <c r="AF292" s="42"/>
      <c r="AG292" s="12"/>
      <c r="AH292" s="12"/>
      <c r="AI292" s="42"/>
      <c r="AJ292" s="42"/>
      <c r="AK292" s="42"/>
      <c r="AM292" s="42"/>
    </row>
    <row r="293" spans="1:64" s="29" customFormat="1">
      <c r="A293" s="29" t="s">
        <v>870</v>
      </c>
      <c r="G293" s="29">
        <v>18</v>
      </c>
      <c r="H293" s="29">
        <v>33</v>
      </c>
      <c r="I293" s="29">
        <v>33</v>
      </c>
      <c r="J293" s="29">
        <v>8</v>
      </c>
      <c r="K293" s="29">
        <v>7</v>
      </c>
      <c r="L293" s="29">
        <v>24</v>
      </c>
      <c r="M293" s="29">
        <v>17</v>
      </c>
      <c r="N293" s="29">
        <v>35</v>
      </c>
      <c r="O293" s="29">
        <v>35</v>
      </c>
      <c r="S293"/>
      <c r="T293"/>
      <c r="V293" s="12">
        <v>0.04</v>
      </c>
      <c r="W293" s="12"/>
      <c r="X293" s="12"/>
      <c r="Y293" s="12"/>
      <c r="Z293" s="12"/>
      <c r="AA293" s="12"/>
      <c r="AB293" s="42">
        <v>41</v>
      </c>
      <c r="AC293" s="12"/>
      <c r="AD293" s="12"/>
      <c r="AE293" s="32"/>
      <c r="AF293" s="42"/>
      <c r="AG293" s="12"/>
      <c r="AH293" s="12"/>
      <c r="AI293" s="42"/>
      <c r="AJ293" s="42"/>
      <c r="AK293" s="42"/>
      <c r="AM293" s="42"/>
    </row>
    <row r="294" spans="1:64">
      <c r="AE294" s="32"/>
    </row>
    <row r="295" spans="1:64">
      <c r="AE295" s="32"/>
    </row>
    <row r="296" spans="1:64">
      <c r="A296" t="s">
        <v>64</v>
      </c>
      <c r="B296" t="s">
        <v>491</v>
      </c>
      <c r="C296" t="s">
        <v>488</v>
      </c>
      <c r="D296" t="s">
        <v>489</v>
      </c>
      <c r="E296" t="s">
        <v>490</v>
      </c>
      <c r="F296" s="29" t="s">
        <v>635</v>
      </c>
      <c r="G296" t="s">
        <v>3</v>
      </c>
      <c r="H296" t="s">
        <v>4</v>
      </c>
      <c r="I296" t="s">
        <v>5</v>
      </c>
      <c r="J296" t="s">
        <v>42</v>
      </c>
      <c r="K296" t="s">
        <v>181</v>
      </c>
      <c r="L296" t="s">
        <v>182</v>
      </c>
      <c r="M296" t="s">
        <v>244</v>
      </c>
      <c r="N296" t="s">
        <v>10</v>
      </c>
      <c r="O296" t="s">
        <v>9</v>
      </c>
      <c r="P296" t="s">
        <v>436</v>
      </c>
      <c r="Q296" t="s">
        <v>756</v>
      </c>
      <c r="R296" t="s">
        <v>757</v>
      </c>
      <c r="S296" t="s">
        <v>758</v>
      </c>
      <c r="T296" t="s">
        <v>759</v>
      </c>
      <c r="U296" s="173" t="s">
        <v>760</v>
      </c>
      <c r="V296" t="s">
        <v>12</v>
      </c>
      <c r="W296" t="s">
        <v>149</v>
      </c>
      <c r="X296" t="s">
        <v>415</v>
      </c>
      <c r="Y296" t="s">
        <v>595</v>
      </c>
      <c r="Z296" t="s">
        <v>453</v>
      </c>
      <c r="AA296" t="s">
        <v>265</v>
      </c>
      <c r="AB296" t="s">
        <v>11</v>
      </c>
      <c r="AC296" t="s">
        <v>125</v>
      </c>
      <c r="AD296" t="s">
        <v>124</v>
      </c>
      <c r="AE296" s="32" t="s">
        <v>454</v>
      </c>
      <c r="AF296" t="s">
        <v>122</v>
      </c>
      <c r="AG296" t="s">
        <v>183</v>
      </c>
      <c r="AH296" t="s">
        <v>163</v>
      </c>
      <c r="AI296" s="32" t="s">
        <v>563</v>
      </c>
      <c r="AJ296" s="32" t="s">
        <v>564</v>
      </c>
      <c r="AK296" s="29" t="s">
        <v>537</v>
      </c>
      <c r="AL296" t="s">
        <v>416</v>
      </c>
      <c r="AM296" t="s">
        <v>690</v>
      </c>
      <c r="AN296" s="32" t="s">
        <v>217</v>
      </c>
      <c r="AO296" t="s">
        <v>218</v>
      </c>
    </row>
    <row r="297" spans="1:64">
      <c r="A297" s="29" t="s">
        <v>886</v>
      </c>
      <c r="B297" s="29"/>
      <c r="C297" s="29"/>
      <c r="D297" s="29"/>
      <c r="E297" s="29"/>
      <c r="F297" s="29"/>
      <c r="G297" s="29">
        <v>6</v>
      </c>
      <c r="H297" s="29">
        <v>6</v>
      </c>
      <c r="I297" s="29"/>
      <c r="J297" s="29">
        <v>6</v>
      </c>
      <c r="K297" s="29"/>
      <c r="L297" s="29"/>
      <c r="M297" s="29"/>
      <c r="N297" s="29"/>
      <c r="O297" s="29"/>
      <c r="P297" s="29"/>
      <c r="Q297" s="29"/>
      <c r="R297" s="29"/>
      <c r="U297" s="29"/>
      <c r="V297" s="12"/>
      <c r="W297" s="12"/>
      <c r="X297" s="12"/>
      <c r="Y297" s="12"/>
      <c r="Z297" s="12"/>
      <c r="AA297" s="12"/>
      <c r="AB297" s="42"/>
      <c r="AC297" s="12"/>
      <c r="AD297" s="12"/>
      <c r="AE297" s="32">
        <v>3</v>
      </c>
      <c r="AF297" s="42"/>
      <c r="AG297" s="12"/>
      <c r="AH297" s="12"/>
      <c r="AI297" s="42"/>
      <c r="AJ297" s="42"/>
      <c r="AK297" s="42"/>
      <c r="AL297" s="29"/>
      <c r="AM297" s="42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</row>
    <row r="298" spans="1:64">
      <c r="A298" s="29" t="s">
        <v>887</v>
      </c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>
        <v>11</v>
      </c>
      <c r="O298" s="29"/>
      <c r="P298" s="29"/>
      <c r="Q298" s="29"/>
      <c r="R298" s="29"/>
      <c r="U298" s="29"/>
      <c r="V298" s="12"/>
      <c r="W298" s="12"/>
      <c r="X298" s="12"/>
      <c r="Y298" s="12"/>
      <c r="Z298" s="12"/>
      <c r="AA298" s="12"/>
      <c r="AB298" s="42"/>
      <c r="AC298" s="12"/>
      <c r="AD298" s="12"/>
      <c r="AE298" s="32"/>
      <c r="AF298" s="42"/>
      <c r="AG298" s="12"/>
      <c r="AH298" s="12"/>
      <c r="AI298" s="42"/>
      <c r="AJ298" s="42"/>
      <c r="AK298" s="42"/>
      <c r="AL298" s="29"/>
      <c r="AM298" s="42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</row>
    <row r="299" spans="1:64">
      <c r="A299" s="29" t="s">
        <v>924</v>
      </c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>
        <v>7</v>
      </c>
      <c r="O299" s="29"/>
      <c r="P299" s="29"/>
      <c r="Q299" s="29"/>
      <c r="R299" s="29"/>
      <c r="U299" s="29"/>
      <c r="V299" s="12"/>
      <c r="W299" s="12"/>
      <c r="X299" s="12"/>
      <c r="Y299" s="12"/>
      <c r="Z299" s="12"/>
      <c r="AA299" s="12"/>
      <c r="AB299" s="42"/>
      <c r="AC299" s="12"/>
      <c r="AD299" s="12"/>
      <c r="AE299" s="32">
        <v>5</v>
      </c>
      <c r="AF299" s="42"/>
      <c r="AG299" s="12"/>
      <c r="AH299" s="12"/>
      <c r="AI299" s="42"/>
      <c r="AJ299" s="42"/>
      <c r="AK299" s="42"/>
      <c r="AL299" s="29"/>
      <c r="AM299" s="42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</row>
    <row r="300" spans="1:64">
      <c r="A300" s="29" t="s">
        <v>925</v>
      </c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>
        <v>10</v>
      </c>
      <c r="O300" s="29"/>
      <c r="P300" s="29"/>
      <c r="Q300" s="29"/>
      <c r="R300" s="29"/>
      <c r="U300" s="29"/>
      <c r="V300" s="12"/>
      <c r="W300" s="12"/>
      <c r="X300" s="12"/>
      <c r="Y300" s="12"/>
      <c r="Z300" s="12"/>
      <c r="AA300" s="12"/>
      <c r="AB300" s="42"/>
      <c r="AC300" s="12"/>
      <c r="AD300" s="12"/>
      <c r="AE300" s="32">
        <v>6</v>
      </c>
      <c r="AF300" s="42"/>
      <c r="AG300" s="12"/>
      <c r="AH300" s="12"/>
      <c r="AI300" s="42"/>
      <c r="AJ300" s="42"/>
      <c r="AK300" s="42"/>
      <c r="AL300" s="29"/>
      <c r="AM300" s="42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</row>
    <row r="301" spans="1:64">
      <c r="A301" s="29" t="s">
        <v>716</v>
      </c>
      <c r="B301" s="29"/>
      <c r="C301" s="29"/>
      <c r="D301" s="29"/>
      <c r="E301" s="29"/>
      <c r="F301" s="29"/>
      <c r="G301" s="29"/>
      <c r="H301" s="29">
        <v>2</v>
      </c>
      <c r="I301" s="29"/>
      <c r="J301" s="29"/>
      <c r="K301" s="29"/>
      <c r="L301" s="29"/>
      <c r="M301" s="29"/>
      <c r="N301" s="29">
        <v>7</v>
      </c>
      <c r="O301" s="29"/>
      <c r="P301" s="29"/>
      <c r="Q301" s="29"/>
      <c r="R301" s="29"/>
      <c r="U301" s="29"/>
      <c r="V301" s="12"/>
      <c r="W301" s="12"/>
      <c r="X301" s="12"/>
      <c r="Y301" s="12"/>
      <c r="Z301" s="12"/>
      <c r="AA301" s="12"/>
      <c r="AB301" s="42"/>
      <c r="AC301" s="12"/>
      <c r="AD301" s="12"/>
      <c r="AE301" s="32"/>
      <c r="AF301" s="42"/>
      <c r="AG301" s="12"/>
      <c r="AH301" s="12"/>
      <c r="AI301" s="42"/>
      <c r="AJ301" s="42"/>
      <c r="AK301" s="42"/>
      <c r="AL301" s="29"/>
      <c r="AM301" s="42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</row>
    <row r="302" spans="1:64">
      <c r="A302" t="s">
        <v>73</v>
      </c>
      <c r="O302">
        <v>8</v>
      </c>
      <c r="V302" s="2"/>
      <c r="W302" s="2"/>
      <c r="X302" s="2"/>
      <c r="Y302" s="2"/>
      <c r="Z302" s="2"/>
      <c r="AA302" s="2"/>
      <c r="AB302" s="32"/>
      <c r="AC302" s="2"/>
      <c r="AD302" s="2"/>
      <c r="AE302" s="32"/>
      <c r="AF302" s="2"/>
      <c r="AG302" s="2"/>
      <c r="AH302" s="2"/>
      <c r="AL302" s="2"/>
    </row>
    <row r="303" spans="1:64">
      <c r="A303" s="29" t="s">
        <v>742</v>
      </c>
      <c r="S303">
        <v>2</v>
      </c>
      <c r="T303">
        <v>2</v>
      </c>
      <c r="V303" s="2"/>
      <c r="W303" s="2"/>
      <c r="X303" s="2"/>
      <c r="Y303" s="2"/>
      <c r="Z303" s="2"/>
      <c r="AA303" s="2"/>
      <c r="AB303" s="32"/>
      <c r="AC303" s="2"/>
      <c r="AD303" s="2"/>
      <c r="AE303" s="32"/>
      <c r="AF303" s="32"/>
      <c r="AG303" s="32"/>
      <c r="AH303" s="2"/>
      <c r="AK303" s="2"/>
      <c r="AN303"/>
      <c r="AP303" s="2"/>
    </row>
    <row r="304" spans="1:64">
      <c r="A304" s="29" t="s">
        <v>743</v>
      </c>
      <c r="S304">
        <v>3</v>
      </c>
      <c r="T304">
        <v>3</v>
      </c>
      <c r="U304">
        <v>5</v>
      </c>
      <c r="V304" s="2"/>
      <c r="W304" s="2"/>
      <c r="X304" s="2"/>
      <c r="Y304" s="2"/>
      <c r="Z304" s="2"/>
      <c r="AA304" s="2"/>
      <c r="AB304" s="32"/>
      <c r="AC304" s="2"/>
      <c r="AD304" s="2"/>
      <c r="AE304" s="32"/>
      <c r="AF304" s="32"/>
      <c r="AG304" s="32"/>
      <c r="AH304" s="2"/>
      <c r="AK304" s="2"/>
      <c r="AN304"/>
      <c r="AP304" s="2"/>
    </row>
    <row r="305" spans="1:42">
      <c r="A305" t="s">
        <v>65</v>
      </c>
      <c r="G305">
        <v>5</v>
      </c>
      <c r="V305" s="2"/>
      <c r="W305" s="2"/>
      <c r="X305" s="2"/>
      <c r="Y305" s="2"/>
      <c r="Z305" s="2"/>
      <c r="AA305" s="2"/>
      <c r="AB305" s="32"/>
      <c r="AC305" s="2"/>
      <c r="AD305" s="2"/>
      <c r="AE305" s="32"/>
      <c r="AF305" s="2"/>
      <c r="AG305" s="2"/>
      <c r="AH305" s="2"/>
      <c r="AL305" s="2"/>
    </row>
    <row r="306" spans="1:42">
      <c r="A306" t="s">
        <v>950</v>
      </c>
      <c r="N306">
        <v>6</v>
      </c>
      <c r="S306">
        <v>6</v>
      </c>
      <c r="V306" s="2"/>
      <c r="W306" s="2"/>
      <c r="X306" s="2"/>
      <c r="Y306" s="2"/>
      <c r="Z306" s="2"/>
      <c r="AA306" s="2"/>
      <c r="AB306" s="32"/>
      <c r="AC306" s="2"/>
      <c r="AD306" s="2"/>
      <c r="AE306" s="32">
        <v>5</v>
      </c>
      <c r="AF306" s="2"/>
      <c r="AG306" s="2"/>
      <c r="AH306" s="2"/>
      <c r="AL306" s="2"/>
    </row>
    <row r="307" spans="1:42">
      <c r="A307" t="s">
        <v>895</v>
      </c>
      <c r="V307" s="2"/>
      <c r="W307" s="2">
        <v>0.02</v>
      </c>
      <c r="X307" s="2"/>
      <c r="Y307" s="2"/>
      <c r="Z307" s="2"/>
      <c r="AA307" s="2"/>
      <c r="AB307" s="32"/>
      <c r="AC307" s="2">
        <v>0.01</v>
      </c>
      <c r="AD307" s="2"/>
      <c r="AE307" s="32"/>
      <c r="AF307" s="2"/>
      <c r="AG307" s="2"/>
      <c r="AH307" s="2"/>
      <c r="AL307" s="2"/>
    </row>
    <row r="308" spans="1:42">
      <c r="A308" t="s">
        <v>128</v>
      </c>
      <c r="G308">
        <v>-4</v>
      </c>
      <c r="H308">
        <v>-4</v>
      </c>
      <c r="V308" s="2"/>
      <c r="W308" s="2"/>
      <c r="X308" s="2"/>
      <c r="Y308" s="2"/>
      <c r="Z308" s="2"/>
      <c r="AA308" s="2"/>
      <c r="AB308" s="32"/>
      <c r="AC308" s="2"/>
      <c r="AD308" s="2"/>
      <c r="AE308" s="32">
        <v>4</v>
      </c>
      <c r="AF308" s="2"/>
      <c r="AG308" s="2"/>
      <c r="AH308" s="2"/>
      <c r="AL308" s="2"/>
    </row>
    <row r="309" spans="1:42">
      <c r="A309" t="s">
        <v>430</v>
      </c>
      <c r="G309">
        <v>-3</v>
      </c>
      <c r="K309">
        <v>7</v>
      </c>
      <c r="V309" s="2"/>
      <c r="W309" s="2"/>
      <c r="X309" s="2"/>
      <c r="Y309" s="2"/>
      <c r="Z309" s="2"/>
      <c r="AA309" s="2"/>
      <c r="AB309" s="32"/>
      <c r="AC309" s="2"/>
      <c r="AD309" s="2"/>
      <c r="AE309" s="32"/>
      <c r="AF309" s="2"/>
      <c r="AG309" s="2"/>
      <c r="AH309" s="2"/>
      <c r="AL309" s="2"/>
    </row>
    <row r="310" spans="1:42">
      <c r="A310" s="29" t="s">
        <v>734</v>
      </c>
      <c r="G310">
        <v>8</v>
      </c>
      <c r="V310" s="2"/>
      <c r="W310" s="2"/>
      <c r="X310" s="2"/>
      <c r="Y310" s="2"/>
      <c r="Z310" s="2"/>
      <c r="AA310" s="2"/>
      <c r="AB310" s="32"/>
      <c r="AC310" s="2"/>
      <c r="AD310" s="2"/>
      <c r="AE310" s="32"/>
      <c r="AF310" s="32"/>
      <c r="AG310" s="32"/>
      <c r="AH310" s="2"/>
      <c r="AK310" s="2"/>
      <c r="AN310"/>
      <c r="AP310" s="2"/>
    </row>
    <row r="311" spans="1:42">
      <c r="A311" s="29" t="s">
        <v>735</v>
      </c>
      <c r="G311">
        <v>9</v>
      </c>
      <c r="O311">
        <v>5</v>
      </c>
      <c r="V311" s="2"/>
      <c r="W311" s="2"/>
      <c r="X311" s="2"/>
      <c r="Y311" s="2"/>
      <c r="Z311" s="2"/>
      <c r="AA311" s="2"/>
      <c r="AB311" s="32"/>
      <c r="AC311" s="2"/>
      <c r="AD311" s="2"/>
      <c r="AE311" s="32"/>
      <c r="AF311" s="32"/>
      <c r="AG311" s="32"/>
      <c r="AH311" s="2"/>
      <c r="AK311" s="2"/>
      <c r="AN311"/>
      <c r="AP311" s="2"/>
    </row>
    <row r="312" spans="1:42">
      <c r="A312" t="s">
        <v>598</v>
      </c>
      <c r="O312">
        <v>5</v>
      </c>
      <c r="V312" s="2"/>
      <c r="W312" s="2"/>
      <c r="X312" s="2"/>
      <c r="Y312" s="2"/>
      <c r="Z312" s="2"/>
      <c r="AA312" s="2"/>
      <c r="AB312" s="32"/>
      <c r="AC312" s="2"/>
      <c r="AD312" s="2"/>
      <c r="AE312" s="32">
        <v>5</v>
      </c>
      <c r="AF312" s="32"/>
      <c r="AG312" s="32"/>
      <c r="AH312" s="2"/>
      <c r="AI312" s="2"/>
      <c r="AJ312" s="2"/>
      <c r="AK312" s="2"/>
      <c r="AL312" s="2"/>
      <c r="AM312" s="2"/>
      <c r="AN312" s="32">
        <v>70</v>
      </c>
    </row>
    <row r="313" spans="1:42">
      <c r="A313" t="s">
        <v>934</v>
      </c>
      <c r="V313" s="2"/>
      <c r="W313" s="2"/>
      <c r="X313" s="2"/>
      <c r="Y313" s="2"/>
      <c r="Z313" s="2"/>
      <c r="AA313" s="2"/>
      <c r="AB313" s="32"/>
      <c r="AC313" s="2"/>
      <c r="AD313" s="2"/>
      <c r="AE313" s="32"/>
      <c r="AF313" s="32">
        <v>5</v>
      </c>
      <c r="AG313" s="32"/>
      <c r="AH313" s="2">
        <v>0.03</v>
      </c>
      <c r="AI313" s="2"/>
      <c r="AJ313" s="2"/>
      <c r="AK313" s="2"/>
      <c r="AL313" s="2"/>
      <c r="AM313" s="2"/>
    </row>
    <row r="314" spans="1:42">
      <c r="A314" s="29" t="s">
        <v>729</v>
      </c>
      <c r="N314">
        <v>8</v>
      </c>
      <c r="O314">
        <v>8</v>
      </c>
      <c r="V314" s="2"/>
      <c r="W314" s="2"/>
      <c r="X314" s="2"/>
      <c r="Y314" s="2"/>
      <c r="Z314" s="2"/>
      <c r="AA314" s="2"/>
      <c r="AB314" s="32"/>
      <c r="AC314" s="2"/>
      <c r="AD314" s="2"/>
      <c r="AE314" s="32"/>
      <c r="AF314" s="2"/>
      <c r="AG314" s="2"/>
      <c r="AH314" s="2"/>
      <c r="AL314" s="2"/>
    </row>
    <row r="315" spans="1:42">
      <c r="A315" t="s">
        <v>314</v>
      </c>
      <c r="V315" s="2"/>
      <c r="W315" s="2"/>
      <c r="X315" s="2"/>
      <c r="Y315" s="2"/>
      <c r="Z315" s="2"/>
      <c r="AA315" s="2"/>
      <c r="AB315" s="32"/>
      <c r="AC315" s="2"/>
      <c r="AD315" s="2"/>
      <c r="AE315" s="32"/>
      <c r="AF315" s="2"/>
      <c r="AG315" s="2"/>
      <c r="AH315" s="2"/>
      <c r="AL315" s="2"/>
      <c r="AN315" s="32">
        <v>90</v>
      </c>
    </row>
    <row r="316" spans="1:42">
      <c r="A316" t="s">
        <v>930</v>
      </c>
      <c r="G316">
        <v>10</v>
      </c>
      <c r="H316">
        <v>10</v>
      </c>
      <c r="I316">
        <v>10</v>
      </c>
      <c r="V316" s="2"/>
      <c r="W316" s="2"/>
      <c r="X316" s="2">
        <v>0.03</v>
      </c>
      <c r="Y316" s="2"/>
      <c r="Z316" s="2"/>
      <c r="AA316" s="2"/>
      <c r="AB316" s="32"/>
      <c r="AC316" s="2"/>
      <c r="AD316" s="2"/>
      <c r="AE316" s="32"/>
      <c r="AF316" s="2"/>
      <c r="AG316" s="2"/>
      <c r="AH316" s="2"/>
      <c r="AL316" s="2"/>
    </row>
    <row r="317" spans="1:42">
      <c r="A317" t="s">
        <v>311</v>
      </c>
      <c r="J317">
        <v>-5</v>
      </c>
      <c r="N317">
        <v>9</v>
      </c>
      <c r="V317" s="2"/>
      <c r="W317" s="2"/>
      <c r="X317" s="2"/>
      <c r="Y317" s="2"/>
      <c r="Z317" s="2"/>
      <c r="AA317" s="2"/>
      <c r="AB317" s="32"/>
      <c r="AC317" s="2"/>
      <c r="AD317" s="2"/>
      <c r="AE317" s="32"/>
      <c r="AF317" s="2"/>
      <c r="AG317" s="2"/>
      <c r="AH317" s="2"/>
      <c r="AL317" s="2"/>
    </row>
    <row r="318" spans="1:42">
      <c r="A318" s="29" t="s">
        <v>693</v>
      </c>
      <c r="N318">
        <v>7</v>
      </c>
      <c r="V318" s="2"/>
      <c r="W318" s="2"/>
      <c r="X318" s="2"/>
      <c r="Y318" s="2"/>
      <c r="Z318" s="2"/>
      <c r="AA318" s="2"/>
      <c r="AB318" s="32"/>
      <c r="AC318" s="2"/>
      <c r="AD318" s="2"/>
      <c r="AE318" s="32"/>
      <c r="AF318" s="32"/>
      <c r="AG318" s="32"/>
      <c r="AH318" s="2"/>
      <c r="AK318" s="2"/>
      <c r="AM318" s="2"/>
      <c r="AN318"/>
      <c r="AP318" s="2"/>
    </row>
    <row r="319" spans="1:42">
      <c r="A319" s="29" t="s">
        <v>778</v>
      </c>
      <c r="V319" s="2">
        <v>0.01</v>
      </c>
      <c r="W319" s="2"/>
      <c r="X319" s="2"/>
      <c r="Y319" s="2"/>
      <c r="Z319" s="2"/>
      <c r="AA319" s="2"/>
      <c r="AB319" s="32"/>
      <c r="AC319" s="2"/>
      <c r="AD319" s="2"/>
      <c r="AE319" s="32">
        <v>4</v>
      </c>
      <c r="AF319" s="32"/>
      <c r="AG319" s="32"/>
      <c r="AH319" s="2"/>
      <c r="AK319" s="2"/>
      <c r="AM319" s="2"/>
      <c r="AN319">
        <v>30</v>
      </c>
      <c r="AP319" s="2"/>
    </row>
    <row r="320" spans="1:42">
      <c r="A320" s="29" t="s">
        <v>817</v>
      </c>
      <c r="G320">
        <v>3</v>
      </c>
      <c r="H320">
        <v>3</v>
      </c>
      <c r="I320">
        <v>3</v>
      </c>
      <c r="J320">
        <v>3</v>
      </c>
      <c r="V320" s="2">
        <v>0.01</v>
      </c>
      <c r="W320" s="2"/>
      <c r="X320" s="2"/>
      <c r="Y320" s="2"/>
      <c r="Z320" s="2"/>
      <c r="AA320" s="2"/>
      <c r="AB320" s="32"/>
      <c r="AC320" s="2"/>
      <c r="AD320" s="2"/>
      <c r="AE320" s="32">
        <v>5</v>
      </c>
      <c r="AF320" s="32"/>
      <c r="AG320" s="32"/>
      <c r="AH320" s="2"/>
      <c r="AL320" s="2"/>
      <c r="AM320"/>
      <c r="AN320" s="2"/>
    </row>
    <row r="321" spans="1:63">
      <c r="A321" t="s">
        <v>429</v>
      </c>
      <c r="G321">
        <v>7</v>
      </c>
      <c r="L321">
        <v>-3</v>
      </c>
      <c r="V321" s="2"/>
      <c r="W321" s="2"/>
      <c r="X321" s="2"/>
      <c r="Y321" s="2"/>
      <c r="Z321" s="2"/>
      <c r="AA321" s="2"/>
      <c r="AB321" s="32"/>
      <c r="AC321" s="2"/>
      <c r="AD321" s="2"/>
      <c r="AE321" s="32"/>
      <c r="AF321" s="2"/>
      <c r="AG321" s="2"/>
      <c r="AH321" s="2"/>
      <c r="AL321" s="2"/>
    </row>
    <row r="322" spans="1:63">
      <c r="A322" t="s">
        <v>26</v>
      </c>
      <c r="G322">
        <v>5</v>
      </c>
      <c r="H322">
        <v>5</v>
      </c>
      <c r="V322" s="2"/>
      <c r="W322" s="2"/>
      <c r="X322" s="2"/>
      <c r="Y322" s="2"/>
      <c r="Z322" s="2"/>
      <c r="AA322" s="2"/>
      <c r="AB322" s="32"/>
      <c r="AC322" s="2"/>
      <c r="AD322" s="2"/>
      <c r="AE322" s="32">
        <v>5</v>
      </c>
      <c r="AF322" s="2"/>
      <c r="AG322" s="2"/>
      <c r="AH322" s="2"/>
      <c r="AL322" s="2"/>
    </row>
    <row r="323" spans="1:63">
      <c r="A323" s="29" t="s">
        <v>736</v>
      </c>
      <c r="H323">
        <v>8</v>
      </c>
      <c r="V323" s="2"/>
      <c r="W323" s="2"/>
      <c r="X323" s="2"/>
      <c r="Y323" s="2"/>
      <c r="Z323" s="2"/>
      <c r="AA323" s="2"/>
      <c r="AB323" s="32"/>
      <c r="AC323" s="2"/>
      <c r="AD323" s="2"/>
      <c r="AE323" s="32"/>
      <c r="AF323" s="32"/>
      <c r="AG323" s="32"/>
      <c r="AH323" s="2"/>
      <c r="AK323" s="2"/>
      <c r="AN323"/>
      <c r="AP323" s="2"/>
    </row>
    <row r="324" spans="1:63">
      <c r="A324" s="29" t="s">
        <v>737</v>
      </c>
      <c r="H324">
        <v>9</v>
      </c>
      <c r="N324">
        <v>5</v>
      </c>
      <c r="V324" s="2"/>
      <c r="W324" s="2"/>
      <c r="X324" s="2"/>
      <c r="Y324" s="2"/>
      <c r="Z324" s="2"/>
      <c r="AA324" s="2"/>
      <c r="AB324" s="32"/>
      <c r="AC324" s="2"/>
      <c r="AD324" s="2"/>
      <c r="AE324" s="32"/>
      <c r="AF324" s="32"/>
      <c r="AG324" s="32"/>
      <c r="AH324" s="2"/>
      <c r="AK324" s="2"/>
      <c r="AN324"/>
      <c r="AP324" s="2"/>
    </row>
    <row r="325" spans="1:63">
      <c r="A325" s="29" t="s">
        <v>948</v>
      </c>
      <c r="G325">
        <v>10</v>
      </c>
      <c r="H325">
        <v>10</v>
      </c>
      <c r="I325">
        <v>10</v>
      </c>
      <c r="J325">
        <v>10</v>
      </c>
      <c r="O325">
        <v>20</v>
      </c>
      <c r="V325" s="2"/>
      <c r="W325" s="2"/>
      <c r="X325" s="2"/>
      <c r="Y325" s="2"/>
      <c r="Z325" s="2"/>
      <c r="AA325" s="2"/>
      <c r="AB325" s="32"/>
      <c r="AC325" s="2"/>
      <c r="AD325" s="2"/>
      <c r="AE325" s="32"/>
      <c r="AF325" s="32"/>
      <c r="AG325" s="32"/>
      <c r="AH325" s="2"/>
      <c r="AK325" s="2"/>
      <c r="AN325"/>
      <c r="AP325" s="2"/>
    </row>
    <row r="326" spans="1:63">
      <c r="A326" s="29" t="s">
        <v>740</v>
      </c>
      <c r="K326">
        <v>8</v>
      </c>
      <c r="V326" s="2"/>
      <c r="W326" s="2"/>
      <c r="X326" s="2"/>
      <c r="Y326" s="2"/>
      <c r="Z326" s="2"/>
      <c r="AA326" s="2"/>
      <c r="AB326" s="32"/>
      <c r="AC326" s="2"/>
      <c r="AD326" s="2"/>
      <c r="AE326" s="32"/>
      <c r="AF326" s="32"/>
      <c r="AG326" s="32"/>
      <c r="AH326" s="2"/>
      <c r="AK326" s="2"/>
      <c r="AN326"/>
      <c r="AP326" s="2"/>
    </row>
    <row r="327" spans="1:63">
      <c r="A327" s="29" t="s">
        <v>741</v>
      </c>
      <c r="K327">
        <v>9</v>
      </c>
      <c r="V327" s="2"/>
      <c r="W327" s="2"/>
      <c r="X327" s="2"/>
      <c r="Y327" s="2"/>
      <c r="Z327" s="2"/>
      <c r="AA327" s="2"/>
      <c r="AB327" s="32"/>
      <c r="AC327" s="2"/>
      <c r="AD327" s="2"/>
      <c r="AE327" s="32"/>
      <c r="AF327" s="32"/>
      <c r="AG327" s="32"/>
      <c r="AH327" s="2"/>
      <c r="AK327" s="2"/>
      <c r="AN327"/>
      <c r="AP327" s="2"/>
    </row>
    <row r="328" spans="1:63">
      <c r="A328" s="29" t="s">
        <v>894</v>
      </c>
      <c r="G328">
        <v>7</v>
      </c>
      <c r="O328">
        <v>15</v>
      </c>
      <c r="V328" s="2"/>
      <c r="W328" s="2"/>
      <c r="X328" s="2"/>
      <c r="Y328" s="2"/>
      <c r="Z328" s="2"/>
      <c r="AA328" s="2"/>
      <c r="AB328" s="32"/>
      <c r="AC328" s="2"/>
      <c r="AD328" s="2"/>
      <c r="AE328" s="32"/>
      <c r="AF328" s="32"/>
      <c r="AG328" s="32"/>
      <c r="AH328" s="2"/>
      <c r="AK328" s="2"/>
      <c r="AN328"/>
      <c r="AP328" s="2"/>
    </row>
    <row r="329" spans="1:63">
      <c r="A329" t="s">
        <v>565</v>
      </c>
      <c r="G329">
        <v>3</v>
      </c>
      <c r="V329" s="2">
        <v>0.01</v>
      </c>
      <c r="W329" s="2"/>
      <c r="X329" s="2"/>
      <c r="Y329" s="2"/>
      <c r="Z329" s="2"/>
      <c r="AA329" s="2"/>
      <c r="AB329" s="32">
        <v>-20</v>
      </c>
      <c r="AC329" s="2"/>
      <c r="AD329" s="2"/>
      <c r="AE329" s="32"/>
      <c r="AF329" s="2"/>
      <c r="AG329" s="2"/>
      <c r="AH329" s="2"/>
      <c r="AL329" s="2"/>
    </row>
    <row r="330" spans="1:63">
      <c r="A330" t="s">
        <v>79</v>
      </c>
      <c r="G330">
        <v>5</v>
      </c>
      <c r="I330">
        <v>5</v>
      </c>
      <c r="K330">
        <v>5</v>
      </c>
      <c r="V330" s="2"/>
      <c r="W330" s="2"/>
      <c r="X330" s="2"/>
      <c r="Y330" s="2"/>
      <c r="Z330" s="2"/>
      <c r="AA330" s="2"/>
      <c r="AB330" s="32"/>
      <c r="AC330" s="2"/>
      <c r="AD330" s="2"/>
      <c r="AE330" s="32"/>
      <c r="AF330" s="2"/>
      <c r="AG330" s="2"/>
      <c r="AH330" s="2"/>
      <c r="AL330" s="2"/>
    </row>
    <row r="331" spans="1:63">
      <c r="A331" s="29" t="s">
        <v>738</v>
      </c>
      <c r="I331">
        <v>8</v>
      </c>
      <c r="V331" s="2"/>
      <c r="W331" s="2"/>
      <c r="X331" s="2"/>
      <c r="Y331" s="2"/>
      <c r="Z331" s="2"/>
      <c r="AA331" s="2"/>
      <c r="AB331" s="32"/>
      <c r="AC331" s="2"/>
      <c r="AD331" s="2"/>
      <c r="AE331" s="32"/>
      <c r="AF331" s="32"/>
      <c r="AG331" s="32"/>
      <c r="AH331" s="2"/>
      <c r="AK331" s="2"/>
      <c r="AN331"/>
      <c r="AP331" s="2"/>
    </row>
    <row r="332" spans="1:63">
      <c r="A332" s="29" t="s">
        <v>739</v>
      </c>
      <c r="I332">
        <v>9</v>
      </c>
      <c r="V332" s="2"/>
      <c r="W332" s="2"/>
      <c r="X332" s="2"/>
      <c r="Y332" s="2"/>
      <c r="Z332" s="2"/>
      <c r="AA332" s="2"/>
      <c r="AB332" s="32"/>
      <c r="AC332" s="2"/>
      <c r="AD332" s="2"/>
      <c r="AE332" s="32"/>
      <c r="AF332" s="32"/>
      <c r="AG332" s="32"/>
      <c r="AH332" s="2"/>
      <c r="AK332" s="2"/>
      <c r="AN332"/>
      <c r="AP332" s="2"/>
    </row>
    <row r="333" spans="1:63">
      <c r="A333" t="s">
        <v>428</v>
      </c>
      <c r="J333">
        <v>-4</v>
      </c>
      <c r="O333">
        <v>8</v>
      </c>
      <c r="V333" s="2"/>
      <c r="W333" s="2"/>
      <c r="X333" s="2"/>
      <c r="Y333" s="2"/>
      <c r="Z333" s="2"/>
      <c r="AA333" s="2"/>
      <c r="AB333" s="32"/>
      <c r="AC333" s="2"/>
      <c r="AD333" s="2"/>
      <c r="AE333" s="32">
        <v>4</v>
      </c>
      <c r="AF333" s="2"/>
      <c r="AG333" s="2"/>
      <c r="AH333" s="2"/>
      <c r="AL333" s="2"/>
    </row>
    <row r="334" spans="1:63">
      <c r="A334" s="29" t="s">
        <v>717</v>
      </c>
      <c r="B334" s="29"/>
      <c r="C334" s="29"/>
      <c r="D334" s="29"/>
      <c r="E334" s="29"/>
      <c r="F334" s="29"/>
      <c r="G334" s="29">
        <v>2</v>
      </c>
      <c r="H334" s="29"/>
      <c r="I334" s="29"/>
      <c r="J334" s="29"/>
      <c r="K334" s="29"/>
      <c r="L334" s="29"/>
      <c r="M334" s="29"/>
      <c r="N334" s="29"/>
      <c r="O334" s="29">
        <v>10</v>
      </c>
      <c r="P334" s="29"/>
      <c r="Q334" s="29"/>
      <c r="R334" s="29"/>
      <c r="U334" s="29"/>
      <c r="V334" s="12"/>
      <c r="W334" s="12"/>
      <c r="X334" s="12"/>
      <c r="Y334" s="12"/>
      <c r="Z334" s="12"/>
      <c r="AA334" s="12"/>
      <c r="AB334" s="42"/>
      <c r="AC334" s="12"/>
      <c r="AD334" s="12"/>
      <c r="AE334" s="32"/>
      <c r="AF334" s="42"/>
      <c r="AG334" s="12"/>
      <c r="AH334" s="12"/>
      <c r="AI334" s="42"/>
      <c r="AJ334" s="42"/>
      <c r="AK334" s="42"/>
      <c r="AL334" s="29"/>
      <c r="AM334" s="42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</row>
    <row r="335" spans="1:63">
      <c r="AE335" s="32"/>
    </row>
    <row r="336" spans="1:63">
      <c r="AE336" s="32"/>
    </row>
    <row r="337" spans="1:43">
      <c r="A337" t="s">
        <v>20</v>
      </c>
      <c r="B337" t="s">
        <v>491</v>
      </c>
      <c r="C337" t="s">
        <v>488</v>
      </c>
      <c r="D337" t="s">
        <v>489</v>
      </c>
      <c r="E337" t="s">
        <v>490</v>
      </c>
      <c r="F337" s="29" t="s">
        <v>635</v>
      </c>
      <c r="G337" t="s">
        <v>3</v>
      </c>
      <c r="H337" t="s">
        <v>4</v>
      </c>
      <c r="I337" t="s">
        <v>5</v>
      </c>
      <c r="J337" t="s">
        <v>42</v>
      </c>
      <c r="K337" t="s">
        <v>181</v>
      </c>
      <c r="L337" t="s">
        <v>182</v>
      </c>
      <c r="M337" t="s">
        <v>244</v>
      </c>
      <c r="N337" t="s">
        <v>10</v>
      </c>
      <c r="O337" t="s">
        <v>9</v>
      </c>
      <c r="P337" t="s">
        <v>436</v>
      </c>
      <c r="Q337" t="s">
        <v>756</v>
      </c>
      <c r="R337" t="s">
        <v>757</v>
      </c>
      <c r="S337" t="s">
        <v>758</v>
      </c>
      <c r="T337" t="s">
        <v>759</v>
      </c>
      <c r="U337" s="173" t="s">
        <v>760</v>
      </c>
      <c r="V337" t="s">
        <v>12</v>
      </c>
      <c r="W337" t="s">
        <v>149</v>
      </c>
      <c r="X337" t="s">
        <v>415</v>
      </c>
      <c r="Y337" t="s">
        <v>595</v>
      </c>
      <c r="Z337" t="s">
        <v>453</v>
      </c>
      <c r="AA337" t="s">
        <v>265</v>
      </c>
      <c r="AB337" t="s">
        <v>11</v>
      </c>
      <c r="AC337" t="s">
        <v>125</v>
      </c>
      <c r="AD337" t="s">
        <v>124</v>
      </c>
      <c r="AE337" s="32" t="s">
        <v>454</v>
      </c>
      <c r="AF337" t="s">
        <v>122</v>
      </c>
      <c r="AG337" t="s">
        <v>183</v>
      </c>
      <c r="AH337" t="s">
        <v>163</v>
      </c>
      <c r="AI337" s="32" t="s">
        <v>563</v>
      </c>
      <c r="AJ337" s="32" t="s">
        <v>564</v>
      </c>
      <c r="AK337" s="29" t="s">
        <v>537</v>
      </c>
      <c r="AL337" t="s">
        <v>416</v>
      </c>
      <c r="AM337" t="s">
        <v>690</v>
      </c>
      <c r="AN337" s="32" t="s">
        <v>217</v>
      </c>
      <c r="AO337" t="s">
        <v>218</v>
      </c>
    </row>
    <row r="338" spans="1:43">
      <c r="A338" t="s">
        <v>54</v>
      </c>
      <c r="O338">
        <v>8</v>
      </c>
      <c r="V338" s="2">
        <v>0.01</v>
      </c>
      <c r="W338" s="2"/>
      <c r="X338" s="2"/>
      <c r="Y338" s="2"/>
      <c r="Z338" s="2"/>
      <c r="AA338" s="2"/>
      <c r="AB338" s="32"/>
      <c r="AC338" s="2"/>
      <c r="AD338" s="2"/>
      <c r="AE338" s="32"/>
      <c r="AF338" s="2"/>
      <c r="AG338" s="2"/>
      <c r="AH338" s="2"/>
      <c r="AL338" s="2"/>
    </row>
    <row r="339" spans="1:43">
      <c r="A339" s="29" t="s">
        <v>884</v>
      </c>
      <c r="H339">
        <v>30</v>
      </c>
      <c r="N339">
        <v>20</v>
      </c>
      <c r="O339">
        <v>20</v>
      </c>
      <c r="V339" s="2"/>
      <c r="W339" s="2"/>
      <c r="X339" s="2"/>
      <c r="Y339" s="2"/>
      <c r="Z339" s="2"/>
      <c r="AA339" s="2"/>
      <c r="AB339" s="32"/>
      <c r="AC339" s="2"/>
      <c r="AD339" s="2"/>
      <c r="AE339" s="32">
        <v>10</v>
      </c>
      <c r="AF339" s="2"/>
      <c r="AG339" s="2"/>
      <c r="AH339" s="2"/>
      <c r="AL339" s="2"/>
    </row>
    <row r="340" spans="1:43">
      <c r="A340" s="29" t="s">
        <v>939</v>
      </c>
      <c r="H340">
        <v>30</v>
      </c>
      <c r="N340">
        <v>20</v>
      </c>
      <c r="O340">
        <v>20</v>
      </c>
      <c r="V340" s="2">
        <v>0.1</v>
      </c>
      <c r="W340" s="2"/>
      <c r="X340" s="2"/>
      <c r="Y340" s="2"/>
      <c r="Z340" s="2"/>
      <c r="AA340" s="2"/>
      <c r="AB340" s="32"/>
      <c r="AC340" s="2"/>
      <c r="AD340" s="2"/>
      <c r="AE340" s="32"/>
      <c r="AF340" s="2"/>
      <c r="AG340" s="2"/>
      <c r="AH340" s="2"/>
      <c r="AL340" s="2"/>
    </row>
    <row r="341" spans="1:43">
      <c r="A341" s="29" t="s">
        <v>944</v>
      </c>
      <c r="H341">
        <v>30</v>
      </c>
      <c r="N341">
        <v>20</v>
      </c>
      <c r="O341">
        <v>20</v>
      </c>
      <c r="V341" s="2"/>
      <c r="W341" s="2"/>
      <c r="X341" s="2"/>
      <c r="Y341" s="2"/>
      <c r="Z341" s="2"/>
      <c r="AA341" s="2"/>
      <c r="AB341" s="32"/>
      <c r="AC341" s="2">
        <v>0.1</v>
      </c>
      <c r="AD341" s="2"/>
      <c r="AE341" s="32"/>
      <c r="AF341" s="2"/>
      <c r="AG341" s="2"/>
      <c r="AH341" s="2"/>
      <c r="AL341" s="2"/>
    </row>
    <row r="342" spans="1:43">
      <c r="A342" s="29" t="s">
        <v>883</v>
      </c>
      <c r="G342">
        <v>30</v>
      </c>
      <c r="N342">
        <v>20</v>
      </c>
      <c r="O342">
        <v>20</v>
      </c>
      <c r="V342" s="2"/>
      <c r="W342" s="2"/>
      <c r="X342" s="2"/>
      <c r="Y342" s="2"/>
      <c r="Z342" s="2"/>
      <c r="AA342" s="2"/>
      <c r="AB342" s="32"/>
      <c r="AC342" s="2"/>
      <c r="AD342" s="2"/>
      <c r="AE342" s="32">
        <v>10</v>
      </c>
      <c r="AF342" s="2"/>
      <c r="AG342" s="2"/>
      <c r="AH342" s="2"/>
      <c r="AL342" s="2"/>
    </row>
    <row r="343" spans="1:43">
      <c r="A343" s="29" t="s">
        <v>914</v>
      </c>
      <c r="I343">
        <v>30</v>
      </c>
      <c r="N343">
        <v>20</v>
      </c>
      <c r="O343">
        <v>20</v>
      </c>
      <c r="V343" s="2"/>
      <c r="W343" s="2"/>
      <c r="X343" s="2"/>
      <c r="Y343" s="2"/>
      <c r="Z343" s="2"/>
      <c r="AA343" s="2"/>
      <c r="AB343" s="32"/>
      <c r="AC343" s="2"/>
      <c r="AD343" s="2"/>
      <c r="AE343" s="32"/>
      <c r="AF343" s="2"/>
      <c r="AG343" s="2"/>
      <c r="AH343" s="2">
        <v>0.1</v>
      </c>
      <c r="AL343" s="2"/>
    </row>
    <row r="344" spans="1:43">
      <c r="A344" s="29" t="s">
        <v>915</v>
      </c>
      <c r="G344">
        <v>30</v>
      </c>
      <c r="N344">
        <v>20</v>
      </c>
      <c r="O344">
        <v>20</v>
      </c>
      <c r="V344" s="2">
        <v>0.1</v>
      </c>
      <c r="W344" s="2"/>
      <c r="X344" s="2"/>
      <c r="Y344" s="2"/>
      <c r="Z344" s="2"/>
      <c r="AA344" s="2"/>
      <c r="AB344" s="32"/>
      <c r="AC344" s="2"/>
      <c r="AD344" s="2"/>
      <c r="AE344" s="32"/>
      <c r="AF344" s="2"/>
      <c r="AG344" s="2"/>
      <c r="AH344" s="2"/>
      <c r="AL344" s="2"/>
    </row>
    <row r="345" spans="1:43">
      <c r="A345" s="29" t="s">
        <v>916</v>
      </c>
      <c r="G345">
        <v>30</v>
      </c>
      <c r="N345">
        <v>20</v>
      </c>
      <c r="O345">
        <v>20</v>
      </c>
      <c r="V345" s="2"/>
      <c r="W345" s="2"/>
      <c r="X345" s="2"/>
      <c r="Y345" s="2"/>
      <c r="Z345" s="2"/>
      <c r="AA345" s="2"/>
      <c r="AB345" s="32"/>
      <c r="AC345" s="2"/>
      <c r="AD345" s="2"/>
      <c r="AE345" s="32"/>
      <c r="AF345" s="2"/>
      <c r="AG345" s="2"/>
      <c r="AH345" s="2">
        <v>0.1</v>
      </c>
      <c r="AL345" s="2"/>
    </row>
    <row r="346" spans="1:43">
      <c r="A346" t="s">
        <v>165</v>
      </c>
      <c r="O346">
        <v>20</v>
      </c>
      <c r="V346" s="2">
        <v>0.03</v>
      </c>
      <c r="W346" s="2"/>
      <c r="X346" s="2"/>
      <c r="Y346" s="2"/>
      <c r="Z346" s="2"/>
      <c r="AA346" s="2"/>
      <c r="AB346" s="32"/>
      <c r="AC346" s="2"/>
      <c r="AD346" s="2"/>
      <c r="AE346" s="32"/>
      <c r="AF346" s="2"/>
      <c r="AG346" s="2"/>
      <c r="AH346" s="2"/>
      <c r="AL346" s="2"/>
      <c r="AQ346" s="2"/>
    </row>
    <row r="347" spans="1:43">
      <c r="A347" t="s">
        <v>771</v>
      </c>
      <c r="O347">
        <v>20</v>
      </c>
      <c r="V347" s="2"/>
      <c r="W347" s="2">
        <v>0.02</v>
      </c>
      <c r="X347" s="2"/>
      <c r="Y347" s="2"/>
      <c r="Z347" s="2"/>
      <c r="AA347" s="2"/>
      <c r="AB347" s="32"/>
      <c r="AC347" s="2"/>
      <c r="AD347" s="2"/>
      <c r="AE347" s="32"/>
      <c r="AF347" s="2"/>
      <c r="AG347" s="2"/>
      <c r="AH347" s="2"/>
      <c r="AL347" s="2"/>
      <c r="AQ347" s="2"/>
    </row>
    <row r="348" spans="1:43">
      <c r="A348" t="s">
        <v>642</v>
      </c>
      <c r="G348">
        <v>8</v>
      </c>
      <c r="O348">
        <v>10</v>
      </c>
      <c r="V348" s="2"/>
      <c r="W348" s="2"/>
      <c r="X348" s="2"/>
      <c r="Y348" s="2"/>
      <c r="Z348" s="2"/>
      <c r="AA348" s="2"/>
      <c r="AB348" s="32"/>
      <c r="AC348" s="2"/>
      <c r="AD348" s="2"/>
      <c r="AE348" s="32"/>
      <c r="AF348" s="32"/>
      <c r="AG348" s="32"/>
      <c r="AH348" s="2"/>
      <c r="AL348" s="2"/>
      <c r="AQ348" s="2"/>
    </row>
    <row r="349" spans="1:43">
      <c r="A349" t="s">
        <v>831</v>
      </c>
      <c r="H349">
        <v>7</v>
      </c>
      <c r="N349">
        <v>20</v>
      </c>
      <c r="V349" s="2"/>
      <c r="W349" s="2"/>
      <c r="X349" s="2"/>
      <c r="Y349" s="2"/>
      <c r="Z349" s="2"/>
      <c r="AA349" s="2"/>
      <c r="AB349" s="32">
        <v>11</v>
      </c>
      <c r="AC349" s="2"/>
      <c r="AD349" s="2"/>
      <c r="AE349" s="32"/>
      <c r="AF349" s="32"/>
      <c r="AG349" s="32"/>
      <c r="AH349" s="2"/>
      <c r="AL349" s="2"/>
      <c r="AQ349" s="2"/>
    </row>
    <row r="350" spans="1:43">
      <c r="A350" t="s">
        <v>643</v>
      </c>
      <c r="H350">
        <v>8</v>
      </c>
      <c r="N350">
        <v>10</v>
      </c>
      <c r="V350" s="2"/>
      <c r="W350" s="2"/>
      <c r="X350" s="2"/>
      <c r="Y350" s="2"/>
      <c r="Z350" s="2"/>
      <c r="AA350" s="2"/>
      <c r="AB350" s="32"/>
      <c r="AC350" s="2"/>
      <c r="AD350" s="2"/>
      <c r="AE350" s="32"/>
      <c r="AF350" s="32"/>
      <c r="AG350" s="32"/>
      <c r="AH350" s="2"/>
      <c r="AL350" s="2"/>
    </row>
    <row r="351" spans="1:43">
      <c r="A351" t="s">
        <v>605</v>
      </c>
      <c r="N351">
        <v>15</v>
      </c>
      <c r="O351">
        <v>5</v>
      </c>
      <c r="V351" s="2">
        <v>0.03</v>
      </c>
      <c r="W351" s="2"/>
      <c r="X351" s="2"/>
      <c r="Y351" s="2"/>
      <c r="Z351" s="2"/>
      <c r="AA351" s="2"/>
      <c r="AB351" s="32"/>
      <c r="AC351" s="2"/>
      <c r="AD351" s="2"/>
      <c r="AE351" s="32"/>
      <c r="AF351" s="2"/>
      <c r="AG351" s="2"/>
      <c r="AH351" s="2"/>
      <c r="AL351" s="2"/>
    </row>
    <row r="352" spans="1:43">
      <c r="A352" t="s">
        <v>775</v>
      </c>
      <c r="G352">
        <v>5</v>
      </c>
      <c r="J352">
        <v>5</v>
      </c>
      <c r="N352">
        <v>15</v>
      </c>
      <c r="V352" s="2"/>
      <c r="W352" s="2"/>
      <c r="X352" s="2"/>
      <c r="Y352" s="2"/>
      <c r="Z352" s="2"/>
      <c r="AA352" s="2"/>
      <c r="AB352" s="32"/>
      <c r="AC352" s="2"/>
      <c r="AD352" s="2"/>
      <c r="AE352" s="32">
        <v>4</v>
      </c>
      <c r="AF352" s="32"/>
      <c r="AG352" s="32"/>
      <c r="AH352" s="2"/>
      <c r="AL352" s="2"/>
      <c r="AO352" s="32"/>
    </row>
    <row r="353" spans="1:42">
      <c r="A353" s="29" t="s">
        <v>782</v>
      </c>
      <c r="G353">
        <v>5</v>
      </c>
      <c r="O353">
        <f>35+15</f>
        <v>50</v>
      </c>
      <c r="V353" s="2"/>
      <c r="W353" s="2"/>
      <c r="X353" s="2"/>
      <c r="Y353" s="2"/>
      <c r="Z353" s="2"/>
      <c r="AA353" s="2"/>
      <c r="AB353" s="32"/>
      <c r="AC353" s="2"/>
      <c r="AD353" s="2"/>
      <c r="AE353" s="32"/>
      <c r="AF353" s="2"/>
      <c r="AG353" s="2"/>
      <c r="AH353" s="2">
        <v>0.05</v>
      </c>
      <c r="AL353" s="2"/>
    </row>
    <row r="354" spans="1:42">
      <c r="A354" s="29" t="s">
        <v>733</v>
      </c>
      <c r="G354">
        <v>10</v>
      </c>
      <c r="H354">
        <v>10</v>
      </c>
      <c r="I354">
        <v>10</v>
      </c>
      <c r="J354">
        <v>10</v>
      </c>
      <c r="K354">
        <v>10</v>
      </c>
      <c r="L354">
        <v>10</v>
      </c>
      <c r="M354">
        <v>10</v>
      </c>
      <c r="V354" s="2"/>
      <c r="W354" s="2"/>
      <c r="X354" s="2"/>
      <c r="Y354" s="2"/>
      <c r="Z354" s="2"/>
      <c r="AA354" s="2"/>
      <c r="AB354" s="32"/>
      <c r="AC354" s="2"/>
      <c r="AD354" s="2"/>
      <c r="AE354" s="32"/>
      <c r="AF354" s="32"/>
      <c r="AG354" s="32"/>
      <c r="AH354" s="2"/>
      <c r="AK354" s="2"/>
      <c r="AN354"/>
      <c r="AP354" s="2"/>
    </row>
    <row r="355" spans="1:42">
      <c r="AB355" s="32"/>
      <c r="AC355" s="2"/>
      <c r="AD355" s="2"/>
      <c r="AE355" s="32"/>
      <c r="AF355" s="2"/>
      <c r="AG355" s="2"/>
      <c r="AH355" s="2"/>
      <c r="AL355" s="2"/>
    </row>
    <row r="356" spans="1:42">
      <c r="AE356" s="32"/>
    </row>
    <row r="357" spans="1:42">
      <c r="A357" t="s">
        <v>21</v>
      </c>
      <c r="B357" t="s">
        <v>491</v>
      </c>
      <c r="C357" t="s">
        <v>488</v>
      </c>
      <c r="D357" t="s">
        <v>489</v>
      </c>
      <c r="E357" t="s">
        <v>490</v>
      </c>
      <c r="F357" s="29" t="s">
        <v>635</v>
      </c>
      <c r="G357" t="s">
        <v>3</v>
      </c>
      <c r="H357" t="s">
        <v>4</v>
      </c>
      <c r="I357" t="s">
        <v>5</v>
      </c>
      <c r="J357" t="s">
        <v>42</v>
      </c>
      <c r="K357" t="s">
        <v>181</v>
      </c>
      <c r="L357" t="s">
        <v>182</v>
      </c>
      <c r="M357" t="s">
        <v>244</v>
      </c>
      <c r="N357" t="s">
        <v>10</v>
      </c>
      <c r="O357" t="s">
        <v>9</v>
      </c>
      <c r="P357" t="s">
        <v>436</v>
      </c>
      <c r="Q357" t="s">
        <v>756</v>
      </c>
      <c r="R357" t="s">
        <v>757</v>
      </c>
      <c r="S357" t="s">
        <v>758</v>
      </c>
      <c r="T357" t="s">
        <v>759</v>
      </c>
      <c r="U357" s="173" t="s">
        <v>760</v>
      </c>
      <c r="V357" t="s">
        <v>12</v>
      </c>
      <c r="W357" t="s">
        <v>149</v>
      </c>
      <c r="X357" t="s">
        <v>415</v>
      </c>
      <c r="Y357" t="s">
        <v>595</v>
      </c>
      <c r="Z357" t="s">
        <v>453</v>
      </c>
      <c r="AA357" t="s">
        <v>265</v>
      </c>
      <c r="AB357" t="s">
        <v>11</v>
      </c>
      <c r="AC357" t="s">
        <v>125</v>
      </c>
      <c r="AD357" t="s">
        <v>124</v>
      </c>
      <c r="AE357" s="32" t="s">
        <v>454</v>
      </c>
      <c r="AF357" t="s">
        <v>122</v>
      </c>
      <c r="AG357" t="s">
        <v>183</v>
      </c>
      <c r="AH357" t="s">
        <v>163</v>
      </c>
      <c r="AI357" s="32" t="s">
        <v>563</v>
      </c>
      <c r="AJ357" s="32" t="s">
        <v>564</v>
      </c>
      <c r="AK357" s="29" t="s">
        <v>537</v>
      </c>
      <c r="AL357" t="s">
        <v>416</v>
      </c>
      <c r="AM357" t="s">
        <v>690</v>
      </c>
      <c r="AN357" s="32" t="s">
        <v>217</v>
      </c>
      <c r="AO357" t="s">
        <v>218</v>
      </c>
    </row>
    <row r="358" spans="1:42">
      <c r="A358" t="s">
        <v>77</v>
      </c>
      <c r="N358">
        <v>15</v>
      </c>
      <c r="O358">
        <v>15</v>
      </c>
      <c r="V358" s="2">
        <v>0.01</v>
      </c>
      <c r="W358" s="2"/>
      <c r="X358" s="2"/>
      <c r="Y358" s="2"/>
      <c r="Z358" s="2"/>
      <c r="AA358" s="2"/>
      <c r="AB358" s="32"/>
      <c r="AC358" s="2"/>
      <c r="AD358" s="2"/>
      <c r="AE358" s="32"/>
      <c r="AF358" s="2"/>
      <c r="AG358" s="2"/>
      <c r="AH358" s="2"/>
      <c r="AL358" s="2"/>
    </row>
    <row r="359" spans="1:42">
      <c r="A359" t="s">
        <v>190</v>
      </c>
      <c r="G359">
        <v>6</v>
      </c>
      <c r="K359">
        <v>6</v>
      </c>
      <c r="N359">
        <v>6</v>
      </c>
      <c r="V359" s="2"/>
      <c r="W359" s="2"/>
      <c r="X359" s="2"/>
      <c r="Y359" s="2"/>
      <c r="Z359" s="2"/>
      <c r="AA359" s="2"/>
      <c r="AB359" s="32"/>
      <c r="AC359" s="2"/>
      <c r="AD359" s="2"/>
      <c r="AE359" s="32"/>
      <c r="AF359" s="2"/>
      <c r="AG359" s="2"/>
      <c r="AH359" s="2"/>
      <c r="AL359" s="2"/>
    </row>
    <row r="360" spans="1:42">
      <c r="A360" t="s">
        <v>160</v>
      </c>
      <c r="G360">
        <v>8</v>
      </c>
      <c r="H360">
        <v>-8</v>
      </c>
      <c r="V360" s="2"/>
      <c r="W360" s="2"/>
      <c r="X360" s="2"/>
      <c r="Y360" s="2"/>
      <c r="Z360" s="2"/>
      <c r="AA360" s="2"/>
      <c r="AB360" s="32"/>
      <c r="AC360" s="2"/>
      <c r="AD360" s="2"/>
      <c r="AE360" s="32"/>
      <c r="AF360" s="2"/>
      <c r="AG360" s="2"/>
      <c r="AH360" s="2"/>
      <c r="AL360" s="2"/>
    </row>
    <row r="361" spans="1:42">
      <c r="A361" t="s">
        <v>161</v>
      </c>
      <c r="G361">
        <v>9</v>
      </c>
      <c r="H361">
        <v>-7</v>
      </c>
      <c r="V361" s="2"/>
      <c r="W361" s="2"/>
      <c r="X361" s="2"/>
      <c r="Y361" s="2"/>
      <c r="Z361" s="2"/>
      <c r="AA361" s="2"/>
      <c r="AB361" s="32"/>
      <c r="AC361" s="2"/>
      <c r="AD361" s="2"/>
      <c r="AE361" s="32"/>
      <c r="AF361" s="2"/>
      <c r="AG361" s="2"/>
      <c r="AH361" s="2"/>
      <c r="AL361" s="2"/>
    </row>
    <row r="362" spans="1:42">
      <c r="A362" t="s">
        <v>576</v>
      </c>
      <c r="G362">
        <v>6</v>
      </c>
      <c r="I362">
        <v>6</v>
      </c>
      <c r="K362">
        <v>6</v>
      </c>
      <c r="N362">
        <v>10</v>
      </c>
      <c r="O362">
        <v>15</v>
      </c>
      <c r="V362" s="2"/>
      <c r="W362" s="2"/>
      <c r="X362" s="2"/>
      <c r="Y362" s="2"/>
      <c r="Z362" s="2"/>
      <c r="AA362" s="2"/>
      <c r="AB362" s="32"/>
      <c r="AC362" s="2"/>
      <c r="AD362" s="2"/>
      <c r="AE362" s="32"/>
      <c r="AF362" s="2"/>
      <c r="AG362" s="2"/>
      <c r="AH362" s="2"/>
      <c r="AL362" s="2"/>
    </row>
    <row r="363" spans="1:42">
      <c r="A363" t="s">
        <v>641</v>
      </c>
      <c r="V363" s="2">
        <v>0.04</v>
      </c>
      <c r="W363" s="2"/>
      <c r="X363" s="2"/>
      <c r="Y363" s="2"/>
      <c r="Z363" s="2"/>
      <c r="AA363" s="2"/>
      <c r="AB363" s="32">
        <v>51</v>
      </c>
      <c r="AC363" s="2"/>
      <c r="AD363" s="2"/>
      <c r="AE363" s="32"/>
      <c r="AF363" s="2"/>
      <c r="AG363" s="32"/>
      <c r="AH363" s="2"/>
      <c r="AL363" s="2"/>
    </row>
    <row r="364" spans="1:42">
      <c r="A364" t="s">
        <v>157</v>
      </c>
      <c r="N364">
        <v>10</v>
      </c>
      <c r="V364" s="2"/>
      <c r="W364" s="2"/>
      <c r="X364" s="2"/>
      <c r="Y364" s="2"/>
      <c r="Z364" s="2"/>
      <c r="AA364" s="2"/>
      <c r="AB364" s="32"/>
      <c r="AC364" s="2"/>
      <c r="AD364" s="2"/>
      <c r="AE364" s="32"/>
      <c r="AF364" s="2"/>
      <c r="AG364" s="2"/>
      <c r="AH364" s="2"/>
      <c r="AI364" s="32">
        <v>100</v>
      </c>
      <c r="AL364" s="2">
        <v>7.0000000000000007E-2</v>
      </c>
    </row>
    <row r="365" spans="1:42">
      <c r="A365" s="29" t="s">
        <v>703</v>
      </c>
      <c r="N365">
        <v>10</v>
      </c>
      <c r="O365">
        <v>10</v>
      </c>
      <c r="V365" s="2">
        <v>0.05</v>
      </c>
      <c r="W365" s="2"/>
      <c r="X365" s="2"/>
      <c r="Y365" s="2"/>
      <c r="Z365" s="2"/>
      <c r="AA365" s="2"/>
      <c r="AB365" s="32"/>
      <c r="AC365" s="2"/>
      <c r="AD365" s="2"/>
      <c r="AE365" s="32"/>
      <c r="AF365" s="2"/>
      <c r="AG365" s="2"/>
      <c r="AH365" s="2"/>
      <c r="AL365" s="2"/>
    </row>
    <row r="366" spans="1:42">
      <c r="A366" t="s">
        <v>136</v>
      </c>
      <c r="V366" s="2"/>
      <c r="W366" s="2"/>
      <c r="X366" s="2"/>
      <c r="Y366" s="2"/>
      <c r="Z366" s="2"/>
      <c r="AA366" s="2"/>
      <c r="AB366" s="32">
        <v>50</v>
      </c>
      <c r="AC366" s="2"/>
      <c r="AD366" s="2"/>
      <c r="AE366" s="32">
        <v>5</v>
      </c>
      <c r="AF366" s="2"/>
      <c r="AG366" s="2"/>
      <c r="AH366" s="2"/>
      <c r="AL366" s="2"/>
    </row>
    <row r="367" spans="1:42">
      <c r="A367" t="s">
        <v>780</v>
      </c>
      <c r="G367">
        <v>5</v>
      </c>
      <c r="H367">
        <v>5</v>
      </c>
      <c r="N367">
        <v>10</v>
      </c>
      <c r="O367">
        <v>20</v>
      </c>
      <c r="V367" s="2">
        <v>0.02</v>
      </c>
      <c r="W367" s="2"/>
      <c r="X367" s="2"/>
      <c r="Y367" s="2"/>
      <c r="Z367" s="2"/>
      <c r="AA367" s="2"/>
      <c r="AB367" s="32"/>
      <c r="AC367" s="2"/>
      <c r="AD367" s="2"/>
      <c r="AE367" s="32"/>
      <c r="AF367" s="2"/>
      <c r="AG367" s="2"/>
      <c r="AH367" s="2"/>
      <c r="AL367" s="2"/>
    </row>
    <row r="368" spans="1:42">
      <c r="A368" t="s">
        <v>920</v>
      </c>
      <c r="N368">
        <v>12</v>
      </c>
      <c r="V368" s="2">
        <v>0.08</v>
      </c>
      <c r="W368" s="2"/>
      <c r="X368" s="2"/>
      <c r="Y368" s="2"/>
      <c r="Z368" s="2"/>
      <c r="AA368" s="2"/>
      <c r="AB368" s="32">
        <v>71</v>
      </c>
      <c r="AC368" s="2"/>
      <c r="AD368" s="2"/>
      <c r="AE368" s="32"/>
      <c r="AF368" s="2"/>
      <c r="AG368" s="2"/>
      <c r="AH368" s="2"/>
      <c r="AL368" s="2"/>
    </row>
    <row r="369" spans="1:53">
      <c r="A369" t="s">
        <v>794</v>
      </c>
      <c r="N369">
        <v>14</v>
      </c>
      <c r="V369" s="2">
        <v>0.02</v>
      </c>
      <c r="W369" s="2"/>
      <c r="X369" s="2"/>
      <c r="Y369" s="2"/>
      <c r="Z369" s="2"/>
      <c r="AA369" s="2"/>
      <c r="AB369" s="32"/>
      <c r="AC369" s="2"/>
      <c r="AD369" s="2"/>
      <c r="AE369" s="32">
        <v>5</v>
      </c>
      <c r="AF369" s="2"/>
      <c r="AG369" s="2"/>
      <c r="AH369" s="2"/>
      <c r="AL369" s="2"/>
    </row>
    <row r="370" spans="1:53">
      <c r="A370" s="29" t="s">
        <v>702</v>
      </c>
      <c r="G370">
        <v>13</v>
      </c>
      <c r="N370">
        <v>5</v>
      </c>
      <c r="V370" s="2">
        <v>0.01</v>
      </c>
      <c r="W370" s="2"/>
      <c r="X370" s="2"/>
      <c r="Y370" s="2"/>
      <c r="Z370" s="2"/>
      <c r="AA370" s="2"/>
      <c r="AB370" s="32"/>
      <c r="AC370" s="2"/>
      <c r="AD370" s="2"/>
      <c r="AE370" s="32"/>
      <c r="AF370" s="2"/>
      <c r="AG370" s="2"/>
      <c r="AH370" s="2"/>
      <c r="AL370" s="2"/>
    </row>
    <row r="371" spans="1:53">
      <c r="A371" s="29" t="s">
        <v>863</v>
      </c>
      <c r="O371">
        <v>15</v>
      </c>
      <c r="V371" s="2"/>
      <c r="W371" s="2">
        <v>0.02</v>
      </c>
      <c r="X371" s="2"/>
      <c r="Y371" s="2"/>
      <c r="Z371" s="2"/>
      <c r="AA371" s="2"/>
      <c r="AB371" s="32">
        <v>91</v>
      </c>
      <c r="AC371" s="2"/>
      <c r="AD371" s="2"/>
      <c r="AE371" s="32"/>
      <c r="AF371" s="2"/>
      <c r="AG371" s="2"/>
      <c r="AH371" s="2"/>
      <c r="AL371" s="2"/>
    </row>
    <row r="372" spans="1:53">
      <c r="A372" s="29" t="s">
        <v>856</v>
      </c>
      <c r="V372" s="2">
        <v>0.02</v>
      </c>
      <c r="W372" s="2">
        <v>0.02</v>
      </c>
      <c r="X372" s="2"/>
      <c r="Y372" s="2"/>
      <c r="Z372" s="2"/>
      <c r="AA372" s="2"/>
      <c r="AB372" s="32">
        <v>31</v>
      </c>
      <c r="AC372" s="2"/>
      <c r="AD372" s="2"/>
      <c r="AE372" s="32"/>
      <c r="AF372" s="2"/>
      <c r="AG372" s="2"/>
      <c r="AH372" s="2"/>
      <c r="AL372" s="2"/>
    </row>
    <row r="373" spans="1:53">
      <c r="A373" s="29" t="s">
        <v>862</v>
      </c>
      <c r="V373" s="2"/>
      <c r="W373" s="2"/>
      <c r="X373" s="2"/>
      <c r="Y373" s="2"/>
      <c r="Z373" s="2"/>
      <c r="AA373" s="2"/>
      <c r="AB373" s="32">
        <v>141</v>
      </c>
      <c r="AC373" s="2"/>
      <c r="AD373" s="2"/>
      <c r="AE373" s="32"/>
      <c r="AF373" s="2"/>
      <c r="AG373" s="2"/>
      <c r="AH373" s="2"/>
      <c r="AL373" s="2"/>
    </row>
    <row r="374" spans="1:53">
      <c r="A374" t="s">
        <v>433</v>
      </c>
      <c r="V374" s="2"/>
      <c r="W374" s="2">
        <v>0.02</v>
      </c>
      <c r="X374" s="2">
        <v>0.01</v>
      </c>
      <c r="Y374" s="2"/>
      <c r="Z374" s="2"/>
      <c r="AA374" s="2"/>
      <c r="AB374" s="32"/>
      <c r="AC374" s="2"/>
      <c r="AD374" s="2"/>
      <c r="AE374" s="32"/>
      <c r="AF374" s="2"/>
      <c r="AG374" s="2"/>
      <c r="AH374" s="2"/>
      <c r="AL374" s="2"/>
    </row>
    <row r="375" spans="1:53">
      <c r="A375" s="29" t="s">
        <v>764</v>
      </c>
      <c r="N375">
        <v>2</v>
      </c>
      <c r="V375" s="2"/>
      <c r="W375" s="2">
        <v>0.02</v>
      </c>
      <c r="X375" s="2">
        <v>0.02</v>
      </c>
      <c r="Y375" s="2"/>
      <c r="Z375" s="2"/>
      <c r="AA375" s="2"/>
      <c r="AB375" s="32"/>
      <c r="AC375" s="2"/>
      <c r="AD375" s="2"/>
      <c r="AE375" s="32"/>
      <c r="AF375" s="32"/>
      <c r="AG375" s="32"/>
      <c r="AH375" s="2"/>
      <c r="AI375" s="2"/>
      <c r="AJ375" s="2"/>
      <c r="AK375" s="2"/>
      <c r="AM375" s="2"/>
      <c r="AN375"/>
    </row>
    <row r="376" spans="1:53">
      <c r="AE376" s="32"/>
    </row>
    <row r="377" spans="1:53">
      <c r="AE377" s="32"/>
    </row>
    <row r="378" spans="1:53">
      <c r="A378" t="s">
        <v>22</v>
      </c>
      <c r="B378" t="s">
        <v>491</v>
      </c>
      <c r="C378" t="s">
        <v>488</v>
      </c>
      <c r="D378" t="s">
        <v>489</v>
      </c>
      <c r="E378" t="s">
        <v>490</v>
      </c>
      <c r="F378" s="29" t="s">
        <v>635</v>
      </c>
      <c r="G378" t="s">
        <v>3</v>
      </c>
      <c r="H378" t="s">
        <v>4</v>
      </c>
      <c r="I378" t="s">
        <v>5</v>
      </c>
      <c r="J378" t="s">
        <v>42</v>
      </c>
      <c r="K378" t="s">
        <v>181</v>
      </c>
      <c r="L378" t="s">
        <v>182</v>
      </c>
      <c r="M378" t="s">
        <v>244</v>
      </c>
      <c r="N378" t="s">
        <v>10</v>
      </c>
      <c r="O378" t="s">
        <v>9</v>
      </c>
      <c r="P378" t="s">
        <v>436</v>
      </c>
      <c r="Q378" t="s">
        <v>756</v>
      </c>
      <c r="R378" t="s">
        <v>757</v>
      </c>
      <c r="S378" t="s">
        <v>758</v>
      </c>
      <c r="T378" t="s">
        <v>759</v>
      </c>
      <c r="U378" s="173" t="s">
        <v>760</v>
      </c>
      <c r="V378" t="s">
        <v>12</v>
      </c>
      <c r="W378" t="s">
        <v>149</v>
      </c>
      <c r="X378" t="s">
        <v>415</v>
      </c>
      <c r="Y378" t="s">
        <v>595</v>
      </c>
      <c r="Z378" t="s">
        <v>453</v>
      </c>
      <c r="AA378" t="s">
        <v>265</v>
      </c>
      <c r="AB378" t="s">
        <v>11</v>
      </c>
      <c r="AC378" t="s">
        <v>125</v>
      </c>
      <c r="AD378" t="s">
        <v>124</v>
      </c>
      <c r="AE378" s="32" t="s">
        <v>454</v>
      </c>
      <c r="AF378" t="s">
        <v>122</v>
      </c>
      <c r="AG378" t="s">
        <v>183</v>
      </c>
      <c r="AH378" t="s">
        <v>163</v>
      </c>
      <c r="AI378" s="32" t="s">
        <v>563</v>
      </c>
      <c r="AJ378" s="32" t="s">
        <v>564</v>
      </c>
      <c r="AK378" s="29" t="s">
        <v>537</v>
      </c>
      <c r="AL378" t="s">
        <v>416</v>
      </c>
      <c r="AM378" t="s">
        <v>690</v>
      </c>
      <c r="AN378" s="32" t="s">
        <v>217</v>
      </c>
      <c r="AO378" t="s">
        <v>218</v>
      </c>
    </row>
    <row r="379" spans="1:53">
      <c r="A379" s="29" t="s">
        <v>787</v>
      </c>
      <c r="G379">
        <f>33+5</f>
        <v>38</v>
      </c>
      <c r="H379">
        <v>5</v>
      </c>
      <c r="I379">
        <v>19</v>
      </c>
      <c r="J379">
        <v>13</v>
      </c>
      <c r="K379">
        <v>24</v>
      </c>
      <c r="L379">
        <v>14</v>
      </c>
      <c r="M379">
        <v>10</v>
      </c>
      <c r="N379">
        <v>27</v>
      </c>
      <c r="V379" s="2"/>
      <c r="W379" s="2"/>
      <c r="X379" s="2"/>
      <c r="Y379" s="2"/>
      <c r="Z379" s="2"/>
      <c r="AA379" s="2"/>
      <c r="AB379" s="32">
        <v>51</v>
      </c>
      <c r="AC379" s="2"/>
      <c r="AD379" s="2"/>
      <c r="AE379" s="32">
        <v>9</v>
      </c>
      <c r="AF379" s="2"/>
      <c r="AG379" s="2"/>
      <c r="AH379" s="2"/>
      <c r="AL379" s="2"/>
      <c r="AN379" s="32">
        <v>50</v>
      </c>
      <c r="AO379" s="32"/>
      <c r="AP379" s="32"/>
    </row>
    <row r="380" spans="1:53">
      <c r="A380" s="29" t="s">
        <v>774</v>
      </c>
      <c r="G380">
        <f>33+7</f>
        <v>40</v>
      </c>
      <c r="H380">
        <v>7</v>
      </c>
      <c r="I380">
        <v>19</v>
      </c>
      <c r="J380">
        <v>13</v>
      </c>
      <c r="K380">
        <v>24</v>
      </c>
      <c r="L380">
        <v>14</v>
      </c>
      <c r="M380">
        <v>10</v>
      </c>
      <c r="N380">
        <f>10+20</f>
        <v>30</v>
      </c>
      <c r="O380">
        <v>20</v>
      </c>
      <c r="V380" s="2">
        <v>0.03</v>
      </c>
      <c r="W380" s="2"/>
      <c r="X380" s="2"/>
      <c r="Y380" s="2"/>
      <c r="Z380" s="2"/>
      <c r="AA380" s="2"/>
      <c r="AB380" s="32">
        <v>51</v>
      </c>
      <c r="AC380" s="2"/>
      <c r="AD380" s="2"/>
      <c r="AE380" s="32">
        <v>4</v>
      </c>
      <c r="AF380" s="2"/>
      <c r="AG380" s="2"/>
      <c r="AH380" s="2"/>
      <c r="AL380" s="2"/>
      <c r="AN380" s="32">
        <v>50</v>
      </c>
      <c r="AO380" s="32"/>
      <c r="AP380" s="32"/>
    </row>
    <row r="381" spans="1:53">
      <c r="A381" s="29" t="s">
        <v>792</v>
      </c>
      <c r="G381">
        <f>33+7</f>
        <v>40</v>
      </c>
      <c r="H381">
        <v>7</v>
      </c>
      <c r="I381">
        <v>19</v>
      </c>
      <c r="J381">
        <v>13</v>
      </c>
      <c r="K381">
        <v>24</v>
      </c>
      <c r="L381">
        <v>14</v>
      </c>
      <c r="M381">
        <v>10</v>
      </c>
      <c r="N381">
        <f>10+20</f>
        <v>30</v>
      </c>
      <c r="O381">
        <v>20</v>
      </c>
      <c r="V381" s="2"/>
      <c r="W381" s="2"/>
      <c r="X381" s="2"/>
      <c r="Y381" s="2"/>
      <c r="Z381" s="2"/>
      <c r="AA381" s="2"/>
      <c r="AB381" s="32">
        <v>51</v>
      </c>
      <c r="AC381" s="2"/>
      <c r="AD381" s="2"/>
      <c r="AE381" s="32">
        <v>10</v>
      </c>
      <c r="AF381" s="2"/>
      <c r="AG381" s="2"/>
      <c r="AH381" s="2"/>
      <c r="AL381" s="2"/>
      <c r="AN381" s="32">
        <v>50</v>
      </c>
      <c r="AO381" s="32"/>
      <c r="AP381" s="32"/>
    </row>
    <row r="382" spans="1:53">
      <c r="A382" s="29" t="s">
        <v>793</v>
      </c>
      <c r="G382">
        <f>33</f>
        <v>33</v>
      </c>
      <c r="I382">
        <v>19</v>
      </c>
      <c r="J382">
        <v>13</v>
      </c>
      <c r="K382">
        <v>24</v>
      </c>
      <c r="L382">
        <v>14</v>
      </c>
      <c r="M382">
        <v>10</v>
      </c>
      <c r="N382">
        <f>10+20</f>
        <v>30</v>
      </c>
      <c r="O382">
        <v>20</v>
      </c>
      <c r="V382" s="2"/>
      <c r="W382" s="2"/>
      <c r="X382" s="2"/>
      <c r="Y382" s="2"/>
      <c r="Z382" s="2"/>
      <c r="AA382" s="2"/>
      <c r="AB382" s="32">
        <v>51</v>
      </c>
      <c r="AC382" s="2"/>
      <c r="AD382" s="2"/>
      <c r="AE382" s="32">
        <v>4</v>
      </c>
      <c r="AF382" s="2"/>
      <c r="AG382" s="2"/>
      <c r="AH382" s="2">
        <v>0.03</v>
      </c>
      <c r="AL382" s="2"/>
      <c r="AN382" s="32">
        <v>50</v>
      </c>
      <c r="AO382" s="32"/>
      <c r="AP382" s="32"/>
    </row>
    <row r="383" spans="1:53">
      <c r="A383" t="s">
        <v>808</v>
      </c>
      <c r="G383">
        <v>53</v>
      </c>
      <c r="H383">
        <v>21</v>
      </c>
      <c r="N383">
        <v>22</v>
      </c>
      <c r="O383">
        <v>37</v>
      </c>
      <c r="V383" s="2">
        <v>0.03</v>
      </c>
      <c r="W383" s="2"/>
      <c r="X383" s="2"/>
      <c r="Y383" s="2"/>
      <c r="Z383" s="2"/>
      <c r="AA383" s="2"/>
      <c r="AB383" s="32">
        <v>51</v>
      </c>
      <c r="AC383" s="2"/>
      <c r="AD383" s="2"/>
      <c r="AE383" s="32"/>
      <c r="AF383" s="2"/>
      <c r="AG383" s="2"/>
      <c r="AH383" s="2"/>
      <c r="AL383" s="2"/>
      <c r="AO383" s="2"/>
    </row>
    <row r="384" spans="1:53" s="185" customFormat="1" ht="12.75" customHeight="1">
      <c r="A384" s="29" t="s">
        <v>809</v>
      </c>
      <c r="B384" s="29"/>
      <c r="C384" s="29"/>
      <c r="D384" s="29"/>
      <c r="E384" s="29"/>
      <c r="F384" s="29"/>
      <c r="G384" s="29">
        <v>53</v>
      </c>
      <c r="H384" s="29">
        <v>11</v>
      </c>
      <c r="I384" s="29"/>
      <c r="J384" s="29"/>
      <c r="K384" s="29"/>
      <c r="L384" s="29"/>
      <c r="M384" s="29"/>
      <c r="N384" s="29">
        <v>22</v>
      </c>
      <c r="O384" s="29">
        <v>42</v>
      </c>
      <c r="P384" s="29"/>
      <c r="Q384" s="29"/>
      <c r="R384" s="29"/>
      <c r="S384" s="29"/>
      <c r="T384" s="29"/>
      <c r="U384" s="29"/>
      <c r="V384" s="12">
        <v>0.03</v>
      </c>
      <c r="W384" s="12"/>
      <c r="X384" s="12"/>
      <c r="Y384" s="12"/>
      <c r="Z384" s="12"/>
      <c r="AA384" s="12"/>
      <c r="AB384" s="29">
        <v>51</v>
      </c>
      <c r="AC384" s="12"/>
      <c r="AD384" s="12"/>
      <c r="AE384" s="29">
        <v>5</v>
      </c>
      <c r="AF384" s="12"/>
      <c r="AG384" s="12"/>
      <c r="AH384" s="12"/>
      <c r="AI384" s="29"/>
      <c r="AJ384" s="29"/>
      <c r="AK384" s="29"/>
      <c r="AL384" s="29"/>
      <c r="AM384" s="12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</row>
    <row r="385" spans="1:54">
      <c r="A385" t="s">
        <v>951</v>
      </c>
      <c r="G385">
        <v>55</v>
      </c>
      <c r="H385">
        <v>23</v>
      </c>
      <c r="N385">
        <v>32</v>
      </c>
      <c r="O385">
        <v>52</v>
      </c>
      <c r="V385" s="2">
        <v>0.04</v>
      </c>
      <c r="W385" s="2"/>
      <c r="X385" s="2"/>
      <c r="Y385" s="2"/>
      <c r="Z385" s="2"/>
      <c r="AA385" s="2"/>
      <c r="AB385" s="32">
        <v>51</v>
      </c>
      <c r="AC385" s="2"/>
      <c r="AD385" s="2"/>
      <c r="AE385" s="32"/>
      <c r="AF385" s="2"/>
      <c r="AG385" s="2"/>
      <c r="AH385" s="2"/>
      <c r="AL385" s="2"/>
      <c r="AO385" s="2"/>
    </row>
    <row r="386" spans="1:54" s="188" customFormat="1" ht="12.75" customHeight="1">
      <c r="A386" s="186" t="s">
        <v>873</v>
      </c>
      <c r="B386" s="186"/>
      <c r="C386" s="186"/>
      <c r="D386" s="186"/>
      <c r="E386" s="186"/>
      <c r="F386" s="186"/>
      <c r="G386" s="186">
        <v>55</v>
      </c>
      <c r="H386" s="186">
        <v>11</v>
      </c>
      <c r="I386" s="186"/>
      <c r="J386" s="186"/>
      <c r="K386" s="186"/>
      <c r="L386" s="186"/>
      <c r="M386" s="186"/>
      <c r="N386" s="186">
        <v>32</v>
      </c>
      <c r="O386" s="186">
        <v>57</v>
      </c>
      <c r="P386" s="186"/>
      <c r="Q386" s="186"/>
      <c r="R386" s="186"/>
      <c r="S386" s="186"/>
      <c r="T386" s="186"/>
      <c r="U386" s="186"/>
      <c r="V386" s="187">
        <v>0.04</v>
      </c>
      <c r="W386" s="187"/>
      <c r="X386" s="187"/>
      <c r="Y386" s="187"/>
      <c r="Z386" s="187"/>
      <c r="AA386" s="187"/>
      <c r="AB386" s="186">
        <v>51</v>
      </c>
      <c r="AC386" s="187"/>
      <c r="AD386" s="187"/>
      <c r="AE386" s="186">
        <v>6</v>
      </c>
      <c r="AF386" s="187"/>
      <c r="AG386" s="187"/>
      <c r="AH386" s="187"/>
      <c r="AI386" s="186"/>
      <c r="AJ386" s="186"/>
      <c r="AK386" s="186"/>
      <c r="AL386" s="186"/>
      <c r="AM386" s="187"/>
      <c r="AN386" s="186"/>
      <c r="AO386" s="186"/>
      <c r="AP386" s="186"/>
      <c r="AQ386" s="186"/>
      <c r="AR386" s="186"/>
      <c r="AS386" s="186"/>
      <c r="AT386" s="186"/>
      <c r="AU386" s="186"/>
      <c r="AV386" s="186"/>
      <c r="AW386" s="186"/>
      <c r="AX386" s="186"/>
      <c r="AY386" s="186"/>
      <c r="AZ386" s="186"/>
      <c r="BA386" s="186"/>
      <c r="BB386" s="186"/>
    </row>
    <row r="387" spans="1:54">
      <c r="A387" t="s">
        <v>826</v>
      </c>
      <c r="G387">
        <v>40</v>
      </c>
      <c r="I387">
        <v>17</v>
      </c>
      <c r="J387">
        <v>17</v>
      </c>
      <c r="K387">
        <v>39</v>
      </c>
      <c r="L387">
        <v>16</v>
      </c>
      <c r="M387">
        <v>16</v>
      </c>
      <c r="N387">
        <v>25</v>
      </c>
      <c r="O387">
        <v>25</v>
      </c>
      <c r="V387" s="2"/>
      <c r="W387" s="2"/>
      <c r="X387" s="2"/>
      <c r="Y387" s="2"/>
      <c r="Z387" s="2"/>
      <c r="AA387" s="2"/>
      <c r="AB387" s="32">
        <v>61</v>
      </c>
      <c r="AC387" s="2"/>
      <c r="AD387" s="2"/>
      <c r="AE387" s="32"/>
      <c r="AF387" s="2"/>
      <c r="AG387" s="2"/>
      <c r="AH387" s="2"/>
      <c r="AL387" s="2"/>
      <c r="AO387" s="2"/>
    </row>
    <row r="388" spans="1:54">
      <c r="A388" s="29" t="s">
        <v>850</v>
      </c>
      <c r="G388">
        <v>33</v>
      </c>
      <c r="H388">
        <v>10</v>
      </c>
      <c r="I388">
        <v>16</v>
      </c>
      <c r="J388">
        <v>21</v>
      </c>
      <c r="K388">
        <v>33</v>
      </c>
      <c r="L388">
        <v>17</v>
      </c>
      <c r="M388">
        <v>12</v>
      </c>
      <c r="O388">
        <v>30</v>
      </c>
      <c r="V388" s="2"/>
      <c r="W388" s="2"/>
      <c r="X388" s="2"/>
      <c r="Y388" s="2"/>
      <c r="Z388" s="2"/>
      <c r="AA388" s="2"/>
      <c r="AB388" s="32">
        <v>51</v>
      </c>
      <c r="AC388" s="2"/>
      <c r="AD388" s="2"/>
      <c r="AE388" s="32"/>
      <c r="AF388" s="2"/>
      <c r="AG388" s="2"/>
      <c r="AH388" s="2"/>
      <c r="AL388" s="2"/>
      <c r="AO388" s="2"/>
    </row>
    <row r="389" spans="1:54">
      <c r="A389" s="29" t="s">
        <v>708</v>
      </c>
      <c r="G389">
        <v>22</v>
      </c>
      <c r="I389">
        <v>13</v>
      </c>
      <c r="J389">
        <v>10</v>
      </c>
      <c r="K389">
        <v>21</v>
      </c>
      <c r="L389">
        <v>13</v>
      </c>
      <c r="M389">
        <v>6</v>
      </c>
      <c r="V389" s="2"/>
      <c r="W389" s="2"/>
      <c r="X389" s="2"/>
      <c r="Y389" s="2"/>
      <c r="Z389" s="2"/>
      <c r="AA389" s="2"/>
      <c r="AB389" s="32">
        <v>51</v>
      </c>
      <c r="AC389" s="2"/>
      <c r="AD389" s="2"/>
      <c r="AE389" s="32"/>
      <c r="AF389" s="2"/>
      <c r="AG389" s="2"/>
      <c r="AH389" s="2"/>
      <c r="AL389" s="2"/>
    </row>
    <row r="390" spans="1:54">
      <c r="A390" s="29" t="s">
        <v>709</v>
      </c>
      <c r="G390">
        <v>35</v>
      </c>
      <c r="I390">
        <v>21</v>
      </c>
      <c r="J390">
        <v>16</v>
      </c>
      <c r="K390">
        <v>30</v>
      </c>
      <c r="L390">
        <v>17</v>
      </c>
      <c r="M390">
        <v>10</v>
      </c>
      <c r="V390" s="2"/>
      <c r="W390" s="2"/>
      <c r="X390" s="2"/>
      <c r="Y390" s="2"/>
      <c r="Z390" s="2"/>
      <c r="AA390" s="2"/>
      <c r="AB390" s="32">
        <v>51</v>
      </c>
      <c r="AC390" s="2"/>
      <c r="AD390" s="2"/>
      <c r="AE390" s="32"/>
      <c r="AF390" s="2"/>
      <c r="AG390" s="2"/>
      <c r="AH390" s="2"/>
      <c r="AL390" s="2"/>
    </row>
    <row r="391" spans="1:54">
      <c r="A391" s="29" t="s">
        <v>918</v>
      </c>
      <c r="G391">
        <v>49</v>
      </c>
      <c r="H391">
        <v>7</v>
      </c>
      <c r="I391">
        <v>29</v>
      </c>
      <c r="J391">
        <v>16</v>
      </c>
      <c r="K391">
        <v>24</v>
      </c>
      <c r="L391">
        <v>14</v>
      </c>
      <c r="M391">
        <v>11</v>
      </c>
      <c r="N391">
        <v>39</v>
      </c>
      <c r="S391">
        <v>39</v>
      </c>
      <c r="V391" s="2"/>
      <c r="W391" s="2"/>
      <c r="X391" s="2"/>
      <c r="Y391" s="2"/>
      <c r="Z391" s="2"/>
      <c r="AA391" s="2"/>
      <c r="AB391" s="32">
        <v>41</v>
      </c>
      <c r="AC391" s="2"/>
      <c r="AD391" s="2"/>
      <c r="AE391" s="32">
        <v>7</v>
      </c>
      <c r="AF391" s="2"/>
      <c r="AG391" s="2"/>
      <c r="AH391" s="2"/>
      <c r="AL391" s="2"/>
    </row>
    <row r="392" spans="1:54">
      <c r="A392" s="29" t="s">
        <v>950</v>
      </c>
      <c r="G392">
        <v>53</v>
      </c>
      <c r="H392">
        <v>11</v>
      </c>
      <c r="I392">
        <v>29</v>
      </c>
      <c r="J392">
        <v>16</v>
      </c>
      <c r="K392">
        <v>24</v>
      </c>
      <c r="L392">
        <v>14</v>
      </c>
      <c r="M392">
        <v>11</v>
      </c>
      <c r="N392">
        <v>45</v>
      </c>
      <c r="S392">
        <v>45</v>
      </c>
      <c r="V392" s="2"/>
      <c r="W392" s="2"/>
      <c r="X392" s="2"/>
      <c r="Y392" s="2"/>
      <c r="Z392" s="2"/>
      <c r="AA392" s="2"/>
      <c r="AB392" s="32">
        <v>41</v>
      </c>
      <c r="AC392" s="2"/>
      <c r="AD392" s="2"/>
      <c r="AE392" s="32">
        <v>8</v>
      </c>
      <c r="AF392" s="2"/>
      <c r="AG392" s="2"/>
      <c r="AH392" s="2"/>
      <c r="AL392" s="2"/>
      <c r="AN392" s="32">
        <v>100</v>
      </c>
    </row>
    <row r="393" spans="1:54">
      <c r="A393" s="29" t="s">
        <v>799</v>
      </c>
      <c r="G393">
        <v>40</v>
      </c>
      <c r="I393">
        <v>28</v>
      </c>
      <c r="J393">
        <v>17</v>
      </c>
      <c r="K393">
        <v>25</v>
      </c>
      <c r="L393">
        <f>15+10</f>
        <v>25</v>
      </c>
      <c r="M393">
        <v>12</v>
      </c>
      <c r="O393">
        <f>20+15</f>
        <v>35</v>
      </c>
      <c r="V393" s="2">
        <v>0.02</v>
      </c>
      <c r="W393" s="2"/>
      <c r="X393" s="2"/>
      <c r="Y393" s="2"/>
      <c r="Z393" s="2"/>
      <c r="AA393" s="2"/>
      <c r="AB393" s="32">
        <v>51</v>
      </c>
      <c r="AC393" s="2"/>
      <c r="AD393" s="2"/>
      <c r="AE393" s="32"/>
      <c r="AF393" s="2"/>
      <c r="AG393" s="2"/>
      <c r="AH393" s="2"/>
      <c r="AL393" s="2"/>
      <c r="AN393" s="32">
        <v>54</v>
      </c>
    </row>
    <row r="394" spans="1:54">
      <c r="A394" s="29" t="s">
        <v>715</v>
      </c>
      <c r="G394">
        <v>33</v>
      </c>
      <c r="I394">
        <v>20</v>
      </c>
      <c r="J394">
        <v>15</v>
      </c>
      <c r="K394">
        <v>24</v>
      </c>
      <c r="L394">
        <v>12</v>
      </c>
      <c r="M394">
        <v>9</v>
      </c>
      <c r="V394" s="2"/>
      <c r="W394" s="2"/>
      <c r="X394" s="2"/>
      <c r="Y394" s="2"/>
      <c r="Z394" s="2"/>
      <c r="AA394" s="2"/>
      <c r="AB394" s="32">
        <v>51</v>
      </c>
      <c r="AC394" s="2"/>
      <c r="AD394" s="2"/>
      <c r="AE394" s="32"/>
      <c r="AF394" s="2"/>
      <c r="AG394" s="2"/>
      <c r="AH394" s="2"/>
      <c r="AL394" s="2"/>
      <c r="AN394" s="32">
        <f>60+65</f>
        <v>125</v>
      </c>
    </row>
    <row r="395" spans="1:54">
      <c r="A395" s="29" t="s">
        <v>767</v>
      </c>
      <c r="G395">
        <v>29</v>
      </c>
      <c r="I395">
        <v>13</v>
      </c>
      <c r="J395">
        <v>10</v>
      </c>
      <c r="K395">
        <v>17</v>
      </c>
      <c r="L395">
        <v>8</v>
      </c>
      <c r="M395">
        <v>7</v>
      </c>
      <c r="N395">
        <v>17</v>
      </c>
      <c r="O395">
        <v>17</v>
      </c>
      <c r="V395" s="2"/>
      <c r="W395" s="2"/>
      <c r="X395" s="2"/>
      <c r="Y395" s="2"/>
      <c r="Z395" s="2"/>
      <c r="AA395" s="2"/>
      <c r="AB395" s="32">
        <v>51</v>
      </c>
      <c r="AC395" s="2"/>
      <c r="AD395" s="2"/>
      <c r="AE395" s="32"/>
      <c r="AF395" s="2"/>
      <c r="AG395" s="2"/>
      <c r="AH395" s="2"/>
      <c r="AL395" s="2"/>
      <c r="AN395" s="32">
        <v>24</v>
      </c>
    </row>
    <row r="396" spans="1:54">
      <c r="A396" s="29" t="s">
        <v>768</v>
      </c>
      <c r="G396">
        <v>43</v>
      </c>
      <c r="I396">
        <v>21</v>
      </c>
      <c r="J396">
        <v>16</v>
      </c>
      <c r="K396">
        <v>26</v>
      </c>
      <c r="L396">
        <v>14</v>
      </c>
      <c r="M396">
        <v>11</v>
      </c>
      <c r="N396">
        <v>27</v>
      </c>
      <c r="O396">
        <v>27</v>
      </c>
      <c r="V396" s="2"/>
      <c r="W396" s="2"/>
      <c r="X396" s="2"/>
      <c r="Y396" s="2"/>
      <c r="Z396" s="2"/>
      <c r="AA396" s="2"/>
      <c r="AB396" s="32">
        <v>51</v>
      </c>
      <c r="AC396" s="2"/>
      <c r="AD396" s="2"/>
      <c r="AE396" s="32"/>
      <c r="AF396" s="2"/>
      <c r="AG396" s="2"/>
      <c r="AH396" s="2"/>
      <c r="AL396" s="2"/>
      <c r="AN396" s="32">
        <v>52</v>
      </c>
    </row>
    <row r="397" spans="1:54">
      <c r="A397" s="29" t="s">
        <v>644</v>
      </c>
      <c r="G397">
        <v>27</v>
      </c>
      <c r="H397">
        <v>5</v>
      </c>
      <c r="I397">
        <v>13</v>
      </c>
      <c r="J397">
        <v>10</v>
      </c>
      <c r="K397">
        <v>21</v>
      </c>
      <c r="L397">
        <v>8</v>
      </c>
      <c r="M397">
        <v>6</v>
      </c>
      <c r="O397">
        <v>20</v>
      </c>
      <c r="P397" s="2"/>
      <c r="Q397" s="2"/>
      <c r="R397" s="2"/>
      <c r="U397" s="2"/>
      <c r="V397" s="2"/>
      <c r="W397" s="2"/>
      <c r="X397" s="2"/>
      <c r="Y397" s="2"/>
      <c r="Z397" s="2"/>
      <c r="AA397" s="2"/>
      <c r="AB397" s="32">
        <v>51</v>
      </c>
      <c r="AC397" s="2"/>
      <c r="AD397" s="2"/>
      <c r="AE397" s="32"/>
      <c r="AF397" s="2"/>
      <c r="AG397" s="2"/>
      <c r="AH397" s="2"/>
      <c r="AL397" s="2"/>
      <c r="AN397" s="32">
        <v>24</v>
      </c>
      <c r="AO397" s="2"/>
    </row>
    <row r="398" spans="1:54">
      <c r="A398" s="29" t="s">
        <v>691</v>
      </c>
      <c r="G398">
        <v>40</v>
      </c>
      <c r="H398">
        <v>5</v>
      </c>
      <c r="I398">
        <v>21</v>
      </c>
      <c r="J398">
        <v>16</v>
      </c>
      <c r="K398">
        <v>30</v>
      </c>
      <c r="L398">
        <v>12</v>
      </c>
      <c r="M398">
        <v>10</v>
      </c>
      <c r="O398">
        <v>25</v>
      </c>
      <c r="P398" s="2"/>
      <c r="Q398" s="2"/>
      <c r="R398" s="2"/>
      <c r="U398" s="2"/>
      <c r="V398" s="2"/>
      <c r="W398" s="2"/>
      <c r="X398" s="2"/>
      <c r="Y398" s="2"/>
      <c r="Z398" s="2"/>
      <c r="AA398" s="2"/>
      <c r="AB398" s="32">
        <v>51</v>
      </c>
      <c r="AC398" s="2"/>
      <c r="AD398" s="2"/>
      <c r="AE398" s="32"/>
      <c r="AF398" s="2"/>
      <c r="AG398" s="2"/>
      <c r="AH398" s="2"/>
      <c r="AL398" s="2"/>
      <c r="AN398" s="32">
        <v>52</v>
      </c>
      <c r="AO398" s="2"/>
    </row>
    <row r="399" spans="1:54">
      <c r="A399" s="29" t="s">
        <v>928</v>
      </c>
      <c r="G399">
        <v>45</v>
      </c>
      <c r="H399">
        <v>10</v>
      </c>
      <c r="I399">
        <v>26</v>
      </c>
      <c r="J399">
        <v>21</v>
      </c>
      <c r="K399">
        <v>35</v>
      </c>
      <c r="L399">
        <v>17</v>
      </c>
      <c r="M399">
        <v>15</v>
      </c>
      <c r="N399">
        <v>39</v>
      </c>
      <c r="O399">
        <v>35</v>
      </c>
      <c r="P399" s="2"/>
      <c r="Q399" s="2"/>
      <c r="R399" s="2"/>
      <c r="U399" s="2"/>
      <c r="V399" s="2">
        <v>0.05</v>
      </c>
      <c r="W399" s="2"/>
      <c r="X399" s="2"/>
      <c r="Y399" s="2"/>
      <c r="Z399" s="2"/>
      <c r="AA399" s="2"/>
      <c r="AB399" s="32">
        <v>51</v>
      </c>
      <c r="AC399" s="2"/>
      <c r="AD399" s="2"/>
      <c r="AE399" s="32"/>
      <c r="AF399" s="2"/>
      <c r="AG399" s="2"/>
      <c r="AH399" s="2"/>
      <c r="AL399" s="2"/>
      <c r="AN399" s="32">
        <v>78</v>
      </c>
      <c r="AO399" s="2"/>
    </row>
    <row r="400" spans="1:54">
      <c r="A400" s="29" t="s">
        <v>929</v>
      </c>
      <c r="G400">
        <v>50</v>
      </c>
      <c r="H400">
        <v>15</v>
      </c>
      <c r="I400">
        <v>31</v>
      </c>
      <c r="J400">
        <v>26</v>
      </c>
      <c r="K400">
        <v>40</v>
      </c>
      <c r="L400">
        <v>22</v>
      </c>
      <c r="M400">
        <v>20</v>
      </c>
      <c r="N400">
        <v>49</v>
      </c>
      <c r="O400">
        <v>45</v>
      </c>
      <c r="P400" s="2"/>
      <c r="Q400" s="2"/>
      <c r="R400" s="2"/>
      <c r="U400" s="2"/>
      <c r="V400" s="2">
        <v>0.1</v>
      </c>
      <c r="W400" s="2"/>
      <c r="X400" s="2"/>
      <c r="Y400" s="2"/>
      <c r="Z400" s="2"/>
      <c r="AA400" s="2"/>
      <c r="AB400" s="32">
        <v>51</v>
      </c>
      <c r="AC400" s="2"/>
      <c r="AD400" s="2"/>
      <c r="AE400" s="32"/>
      <c r="AF400" s="2"/>
      <c r="AG400" s="2"/>
      <c r="AH400" s="2"/>
      <c r="AL400" s="2"/>
      <c r="AN400" s="32">
        <v>88</v>
      </c>
      <c r="AO400" s="2"/>
    </row>
    <row r="401" spans="1:53">
      <c r="A401" s="29" t="s">
        <v>815</v>
      </c>
      <c r="G401">
        <v>37</v>
      </c>
      <c r="I401">
        <v>23</v>
      </c>
      <c r="J401">
        <v>16</v>
      </c>
      <c r="K401">
        <v>26</v>
      </c>
      <c r="L401">
        <v>12</v>
      </c>
      <c r="M401">
        <v>10</v>
      </c>
      <c r="N401">
        <v>15</v>
      </c>
      <c r="V401" s="2">
        <v>0.02</v>
      </c>
      <c r="W401" s="2"/>
      <c r="X401" s="2"/>
      <c r="Y401" s="2"/>
      <c r="Z401" s="2"/>
      <c r="AA401" s="2"/>
      <c r="AB401" s="32">
        <v>51</v>
      </c>
      <c r="AC401" s="2"/>
      <c r="AD401" s="2"/>
      <c r="AE401" s="32">
        <v>5</v>
      </c>
      <c r="AF401" s="2"/>
      <c r="AG401" s="2"/>
      <c r="AH401" s="2"/>
      <c r="AL401" s="2"/>
    </row>
    <row r="402" spans="1:53" s="185" customFormat="1" ht="12.75" customHeight="1">
      <c r="A402" s="29" t="s">
        <v>879</v>
      </c>
      <c r="B402" s="29"/>
      <c r="C402" s="29"/>
      <c r="D402" s="29"/>
      <c r="E402" s="29"/>
      <c r="F402" s="29"/>
      <c r="G402" s="29">
        <v>37</v>
      </c>
      <c r="H402" s="29"/>
      <c r="I402" s="29">
        <v>23</v>
      </c>
      <c r="J402" s="29">
        <v>16</v>
      </c>
      <c r="K402" s="29">
        <v>26</v>
      </c>
      <c r="L402" s="29">
        <v>12</v>
      </c>
      <c r="M402" s="29">
        <v>10</v>
      </c>
      <c r="N402" s="29">
        <v>45</v>
      </c>
      <c r="O402" s="29"/>
      <c r="P402" s="29"/>
      <c r="Q402" s="29"/>
      <c r="R402" s="29"/>
      <c r="S402" s="29"/>
      <c r="T402" s="29"/>
      <c r="U402" s="29"/>
      <c r="V402" s="12">
        <v>7.0000000000000007E-2</v>
      </c>
      <c r="W402" s="12"/>
      <c r="X402" s="12"/>
      <c r="Y402" s="12"/>
      <c r="Z402" s="12"/>
      <c r="AA402" s="12"/>
      <c r="AB402" s="29">
        <v>51</v>
      </c>
      <c r="AC402" s="12"/>
      <c r="AD402" s="12"/>
      <c r="AE402" s="29">
        <v>5</v>
      </c>
      <c r="AF402" s="12"/>
      <c r="AG402" s="12"/>
      <c r="AH402" s="12"/>
      <c r="AI402" s="29"/>
      <c r="AJ402" s="29"/>
      <c r="AK402" s="29"/>
      <c r="AL402" s="29"/>
      <c r="AM402" s="12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</row>
    <row r="403" spans="1:53" s="185" customFormat="1" ht="12.75" customHeight="1">
      <c r="A403" s="29" t="s">
        <v>880</v>
      </c>
      <c r="B403" s="29"/>
      <c r="C403" s="29"/>
      <c r="D403" s="29"/>
      <c r="E403" s="29"/>
      <c r="F403" s="29"/>
      <c r="G403" s="29">
        <v>37</v>
      </c>
      <c r="H403" s="29"/>
      <c r="I403" s="29">
        <v>23</v>
      </c>
      <c r="J403" s="29">
        <v>16</v>
      </c>
      <c r="K403" s="29">
        <v>26</v>
      </c>
      <c r="L403" s="29">
        <v>12</v>
      </c>
      <c r="M403" s="29">
        <v>10</v>
      </c>
      <c r="N403" s="29">
        <v>45</v>
      </c>
      <c r="O403" s="29"/>
      <c r="P403" s="29"/>
      <c r="Q403" s="29"/>
      <c r="R403" s="29"/>
      <c r="S403" s="29"/>
      <c r="T403" s="29"/>
      <c r="U403" s="29"/>
      <c r="V403" s="12">
        <v>0.02</v>
      </c>
      <c r="W403" s="12"/>
      <c r="X403" s="12"/>
      <c r="Y403" s="12"/>
      <c r="Z403" s="12"/>
      <c r="AA403" s="12"/>
      <c r="AB403" s="29">
        <v>51</v>
      </c>
      <c r="AC403" s="12"/>
      <c r="AD403" s="12"/>
      <c r="AE403" s="29">
        <v>13</v>
      </c>
      <c r="AF403" s="12"/>
      <c r="AG403" s="12"/>
      <c r="AH403" s="12"/>
      <c r="AI403" s="29"/>
      <c r="AJ403" s="29"/>
      <c r="AK403" s="29"/>
      <c r="AL403" s="29"/>
      <c r="AM403" s="12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</row>
    <row r="404" spans="1:53" s="185" customFormat="1" ht="12.75" customHeight="1">
      <c r="A404" s="29" t="s">
        <v>881</v>
      </c>
      <c r="B404" s="29"/>
      <c r="C404" s="29"/>
      <c r="D404" s="29"/>
      <c r="E404" s="29"/>
      <c r="F404" s="29"/>
      <c r="G404" s="29">
        <v>37</v>
      </c>
      <c r="H404" s="29"/>
      <c r="I404" s="29">
        <v>23</v>
      </c>
      <c r="J404" s="29">
        <v>16</v>
      </c>
      <c r="K404" s="29">
        <v>26</v>
      </c>
      <c r="L404" s="29">
        <v>12</v>
      </c>
      <c r="M404" s="29">
        <v>10</v>
      </c>
      <c r="N404" s="29">
        <v>45</v>
      </c>
      <c r="O404" s="29"/>
      <c r="P404" s="29"/>
      <c r="Q404" s="29"/>
      <c r="R404" s="29"/>
      <c r="S404" s="29"/>
      <c r="T404" s="29"/>
      <c r="U404" s="29"/>
      <c r="V404" s="12">
        <v>0.02</v>
      </c>
      <c r="W404" s="12"/>
      <c r="X404" s="12"/>
      <c r="Y404" s="12"/>
      <c r="Z404" s="12"/>
      <c r="AA404" s="12"/>
      <c r="AB404" s="29">
        <v>51</v>
      </c>
      <c r="AC404" s="12"/>
      <c r="AD404" s="12"/>
      <c r="AE404" s="29">
        <v>5</v>
      </c>
      <c r="AF404" s="12"/>
      <c r="AG404" s="12"/>
      <c r="AH404" s="12">
        <v>0.05</v>
      </c>
      <c r="AI404" s="29"/>
      <c r="AJ404" s="29"/>
      <c r="AK404" s="29"/>
      <c r="AL404" s="29"/>
      <c r="AM404" s="12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</row>
    <row r="405" spans="1:53">
      <c r="A405" s="29" t="s">
        <v>858</v>
      </c>
      <c r="G405">
        <v>37</v>
      </c>
      <c r="I405">
        <v>23</v>
      </c>
      <c r="J405">
        <v>16</v>
      </c>
      <c r="K405">
        <v>26</v>
      </c>
      <c r="L405">
        <v>12</v>
      </c>
      <c r="M405">
        <v>10</v>
      </c>
      <c r="N405">
        <f>15+14</f>
        <v>29</v>
      </c>
      <c r="O405">
        <f>6+14</f>
        <v>20</v>
      </c>
      <c r="V405" s="2">
        <v>0.02</v>
      </c>
      <c r="W405" s="2"/>
      <c r="X405" s="2"/>
      <c r="Y405" s="2"/>
      <c r="Z405" s="2"/>
      <c r="AA405" s="2"/>
      <c r="AB405" s="32">
        <v>51</v>
      </c>
      <c r="AC405" s="2"/>
      <c r="AD405" s="2"/>
      <c r="AE405" s="32">
        <v>15</v>
      </c>
      <c r="AF405" s="2"/>
      <c r="AG405" s="2"/>
      <c r="AH405" s="2"/>
      <c r="AL405" s="2"/>
    </row>
    <row r="406" spans="1:53">
      <c r="A406" s="29" t="s">
        <v>832</v>
      </c>
      <c r="G406">
        <v>37</v>
      </c>
      <c r="I406">
        <v>24</v>
      </c>
      <c r="J406">
        <v>16</v>
      </c>
      <c r="K406">
        <v>26</v>
      </c>
      <c r="L406">
        <v>12</v>
      </c>
      <c r="M406">
        <v>10</v>
      </c>
      <c r="N406">
        <f>15+36</f>
        <v>51</v>
      </c>
      <c r="O406">
        <v>24</v>
      </c>
      <c r="V406" s="2">
        <v>0.02</v>
      </c>
      <c r="W406" s="2"/>
      <c r="X406" s="2"/>
      <c r="Y406" s="2"/>
      <c r="Z406" s="2"/>
      <c r="AA406" s="2"/>
      <c r="AB406" s="32">
        <v>51</v>
      </c>
      <c r="AC406" s="2"/>
      <c r="AD406" s="2"/>
      <c r="AE406" s="32">
        <v>5</v>
      </c>
      <c r="AF406" s="2"/>
      <c r="AG406" s="2"/>
      <c r="AH406" s="2"/>
      <c r="AL406" s="2"/>
    </row>
    <row r="407" spans="1:53">
      <c r="A407" s="29" t="s">
        <v>865</v>
      </c>
      <c r="G407">
        <f>37+15</f>
        <v>52</v>
      </c>
      <c r="I407">
        <v>23</v>
      </c>
      <c r="J407">
        <v>16</v>
      </c>
      <c r="K407">
        <v>26</v>
      </c>
      <c r="L407">
        <v>12</v>
      </c>
      <c r="M407">
        <v>10</v>
      </c>
      <c r="N407">
        <f>15+20</f>
        <v>35</v>
      </c>
      <c r="O407">
        <v>20</v>
      </c>
      <c r="V407" s="2">
        <v>0.02</v>
      </c>
      <c r="W407" s="2"/>
      <c r="X407" s="2"/>
      <c r="Y407" s="2"/>
      <c r="Z407" s="2"/>
      <c r="AA407" s="2"/>
      <c r="AB407" s="32">
        <v>51</v>
      </c>
      <c r="AC407" s="2"/>
      <c r="AD407" s="2"/>
      <c r="AE407" s="32">
        <v>5</v>
      </c>
      <c r="AF407" s="2"/>
      <c r="AG407" s="2"/>
      <c r="AH407" s="2">
        <v>0.05</v>
      </c>
      <c r="AL407" s="2"/>
    </row>
    <row r="408" spans="1:53">
      <c r="A408" s="29" t="s">
        <v>938</v>
      </c>
      <c r="G408">
        <v>37</v>
      </c>
      <c r="H408">
        <v>15</v>
      </c>
      <c r="I408">
        <v>23</v>
      </c>
      <c r="J408">
        <v>16</v>
      </c>
      <c r="K408">
        <v>26</v>
      </c>
      <c r="L408">
        <v>12</v>
      </c>
      <c r="M408">
        <v>10</v>
      </c>
      <c r="N408">
        <v>65</v>
      </c>
      <c r="O408">
        <v>40</v>
      </c>
      <c r="V408" s="2">
        <v>0.02</v>
      </c>
      <c r="W408" s="2">
        <v>0.03</v>
      </c>
      <c r="X408" s="2">
        <v>0.03</v>
      </c>
      <c r="Y408" s="2"/>
      <c r="Z408" s="2"/>
      <c r="AA408" s="2"/>
      <c r="AB408" s="32">
        <v>51</v>
      </c>
      <c r="AC408" s="2"/>
      <c r="AD408" s="2"/>
      <c r="AE408" s="32">
        <v>5</v>
      </c>
      <c r="AF408" s="2"/>
      <c r="AG408" s="2"/>
      <c r="AH408" s="2"/>
      <c r="AL408" s="2"/>
    </row>
    <row r="409" spans="1:53">
      <c r="A409" s="29" t="s">
        <v>892</v>
      </c>
      <c r="G409">
        <v>37</v>
      </c>
      <c r="I409">
        <f>23+12</f>
        <v>35</v>
      </c>
      <c r="J409">
        <v>16</v>
      </c>
      <c r="K409">
        <v>26</v>
      </c>
      <c r="L409">
        <v>12</v>
      </c>
      <c r="M409">
        <v>10</v>
      </c>
      <c r="N409">
        <v>15</v>
      </c>
      <c r="O409">
        <v>4</v>
      </c>
      <c r="V409" s="2">
        <v>0.02</v>
      </c>
      <c r="W409" s="2"/>
      <c r="X409" s="2"/>
      <c r="Y409" s="2"/>
      <c r="Z409" s="2"/>
      <c r="AA409" s="2"/>
      <c r="AB409" s="32">
        <v>51</v>
      </c>
      <c r="AC409" s="2"/>
      <c r="AD409" s="2"/>
      <c r="AE409" s="32">
        <v>5</v>
      </c>
      <c r="AF409" s="2"/>
      <c r="AG409" s="2"/>
      <c r="AH409" s="2">
        <v>0.03</v>
      </c>
      <c r="AL409" s="2"/>
    </row>
    <row r="410" spans="1:53">
      <c r="A410" s="29" t="s">
        <v>946</v>
      </c>
      <c r="B410">
        <v>45</v>
      </c>
      <c r="G410">
        <v>47</v>
      </c>
      <c r="I410">
        <v>21</v>
      </c>
      <c r="J410">
        <v>19</v>
      </c>
      <c r="K410">
        <v>37</v>
      </c>
      <c r="L410">
        <v>19</v>
      </c>
      <c r="M410">
        <v>15</v>
      </c>
      <c r="V410" s="2"/>
      <c r="W410" s="2"/>
      <c r="X410" s="2"/>
      <c r="Y410" s="2"/>
      <c r="Z410" s="2"/>
      <c r="AA410" s="2"/>
      <c r="AB410" s="32">
        <v>51</v>
      </c>
      <c r="AC410" s="2"/>
      <c r="AD410" s="2"/>
      <c r="AE410" s="32">
        <v>7</v>
      </c>
      <c r="AF410" s="2"/>
      <c r="AG410" s="2"/>
      <c r="AH410" s="2">
        <v>7.0000000000000007E-2</v>
      </c>
      <c r="AL410" s="2"/>
      <c r="AN410" s="32">
        <v>421</v>
      </c>
    </row>
    <row r="411" spans="1:53">
      <c r="A411" s="29" t="s">
        <v>947</v>
      </c>
      <c r="B411">
        <v>55</v>
      </c>
      <c r="G411">
        <v>52</v>
      </c>
      <c r="I411">
        <v>21</v>
      </c>
      <c r="J411">
        <v>19</v>
      </c>
      <c r="K411">
        <v>37</v>
      </c>
      <c r="L411">
        <v>19</v>
      </c>
      <c r="M411">
        <v>15</v>
      </c>
      <c r="V411" s="2"/>
      <c r="W411" s="2"/>
      <c r="X411" s="2"/>
      <c r="Y411" s="2"/>
      <c r="Z411" s="2"/>
      <c r="AA411" s="2"/>
      <c r="AB411" s="32">
        <v>51</v>
      </c>
      <c r="AC411" s="2"/>
      <c r="AD411" s="2"/>
      <c r="AE411" s="32">
        <v>10</v>
      </c>
      <c r="AF411" s="2"/>
      <c r="AG411" s="2"/>
      <c r="AH411" s="2">
        <v>0.09</v>
      </c>
      <c r="AL411" s="2"/>
      <c r="AN411" s="32">
        <v>521</v>
      </c>
    </row>
    <row r="412" spans="1:53">
      <c r="A412" s="29" t="s">
        <v>861</v>
      </c>
      <c r="G412">
        <v>44</v>
      </c>
      <c r="I412">
        <v>30</v>
      </c>
      <c r="J412">
        <v>14</v>
      </c>
      <c r="K412">
        <v>24</v>
      </c>
      <c r="L412">
        <v>17</v>
      </c>
      <c r="M412">
        <v>15</v>
      </c>
      <c r="N412">
        <v>39</v>
      </c>
      <c r="O412">
        <v>43</v>
      </c>
      <c r="V412" s="2"/>
      <c r="W412" s="2">
        <v>0.03</v>
      </c>
      <c r="X412" s="2"/>
      <c r="Y412" s="2"/>
      <c r="Z412" s="2"/>
      <c r="AA412" s="2"/>
      <c r="AB412" s="32">
        <v>21</v>
      </c>
      <c r="AC412" s="2"/>
      <c r="AD412" s="2"/>
      <c r="AE412" s="32"/>
      <c r="AF412" s="2"/>
      <c r="AG412" s="2"/>
      <c r="AH412" s="2"/>
      <c r="AL412" s="2"/>
    </row>
    <row r="413" spans="1:53">
      <c r="A413" s="29" t="s">
        <v>945</v>
      </c>
      <c r="G413">
        <v>47</v>
      </c>
      <c r="I413">
        <v>33</v>
      </c>
      <c r="J413">
        <v>14</v>
      </c>
      <c r="K413">
        <v>24</v>
      </c>
      <c r="L413">
        <v>20</v>
      </c>
      <c r="M413">
        <v>18</v>
      </c>
      <c r="N413">
        <v>45</v>
      </c>
      <c r="O413">
        <v>49</v>
      </c>
      <c r="V413" s="2"/>
      <c r="W413" s="2">
        <v>0.04</v>
      </c>
      <c r="X413" s="2"/>
      <c r="Y413" s="2"/>
      <c r="Z413" s="2"/>
      <c r="AA413" s="2"/>
      <c r="AB413" s="32">
        <v>21</v>
      </c>
      <c r="AC413" s="2"/>
      <c r="AD413" s="2"/>
      <c r="AE413" s="32"/>
      <c r="AF413" s="2"/>
      <c r="AG413" s="2"/>
      <c r="AH413" s="2"/>
      <c r="AL413" s="2"/>
    </row>
    <row r="414" spans="1:53">
      <c r="A414" s="29" t="s">
        <v>814</v>
      </c>
      <c r="G414">
        <v>39</v>
      </c>
      <c r="I414">
        <v>26</v>
      </c>
      <c r="J414">
        <v>16</v>
      </c>
      <c r="K414">
        <v>24</v>
      </c>
      <c r="L414">
        <v>14</v>
      </c>
      <c r="M414">
        <v>11</v>
      </c>
      <c r="O414">
        <v>15</v>
      </c>
      <c r="V414" s="2">
        <v>0.03</v>
      </c>
      <c r="W414" s="2"/>
      <c r="X414" s="2"/>
      <c r="Y414" s="2"/>
      <c r="Z414" s="2"/>
      <c r="AA414" s="2"/>
      <c r="AB414" s="32">
        <v>51</v>
      </c>
      <c r="AC414" s="2"/>
      <c r="AD414" s="2"/>
      <c r="AE414" s="32"/>
      <c r="AF414" s="2"/>
      <c r="AG414" s="2"/>
      <c r="AH414" s="2"/>
      <c r="AL414" s="2"/>
      <c r="AN414" s="32">
        <v>95</v>
      </c>
    </row>
    <row r="415" spans="1:53">
      <c r="A415" s="29" t="s">
        <v>864</v>
      </c>
      <c r="G415">
        <v>39</v>
      </c>
      <c r="I415">
        <v>26</v>
      </c>
      <c r="J415">
        <v>16</v>
      </c>
      <c r="K415">
        <v>25</v>
      </c>
      <c r="L415">
        <v>14</v>
      </c>
      <c r="M415">
        <v>11</v>
      </c>
      <c r="N415">
        <v>14</v>
      </c>
      <c r="O415">
        <v>15</v>
      </c>
      <c r="S415">
        <v>20</v>
      </c>
      <c r="T415">
        <v>20</v>
      </c>
      <c r="V415" s="2">
        <v>0.03</v>
      </c>
      <c r="W415" s="2"/>
      <c r="X415" s="2"/>
      <c r="Y415" s="2"/>
      <c r="Z415" s="2"/>
      <c r="AA415" s="2"/>
      <c r="AB415" s="32">
        <v>51</v>
      </c>
      <c r="AC415" s="2"/>
      <c r="AD415" s="2"/>
      <c r="AE415" s="32"/>
      <c r="AF415" s="2"/>
      <c r="AG415" s="2"/>
      <c r="AH415" s="2">
        <v>0.06</v>
      </c>
      <c r="AL415" s="2"/>
      <c r="AN415" s="32">
        <v>95</v>
      </c>
    </row>
    <row r="416" spans="1:53">
      <c r="A416" s="29" t="s">
        <v>866</v>
      </c>
      <c r="G416">
        <v>39</v>
      </c>
      <c r="H416">
        <v>15</v>
      </c>
      <c r="I416">
        <v>26</v>
      </c>
      <c r="J416">
        <v>16</v>
      </c>
      <c r="K416">
        <v>24</v>
      </c>
      <c r="L416">
        <v>14</v>
      </c>
      <c r="M416">
        <v>11</v>
      </c>
      <c r="N416">
        <v>20</v>
      </c>
      <c r="O416">
        <f>15+17</f>
        <v>32</v>
      </c>
      <c r="V416" s="2">
        <v>0.03</v>
      </c>
      <c r="W416" s="2"/>
      <c r="X416" s="2"/>
      <c r="Y416" s="2"/>
      <c r="Z416" s="2"/>
      <c r="AA416" s="2"/>
      <c r="AB416" s="32">
        <v>51</v>
      </c>
      <c r="AC416" s="2"/>
      <c r="AD416" s="2"/>
      <c r="AE416" s="32"/>
      <c r="AF416" s="2"/>
      <c r="AG416" s="2"/>
      <c r="AH416" s="2"/>
      <c r="AL416" s="2"/>
      <c r="AN416" s="32">
        <v>95</v>
      </c>
    </row>
    <row r="417" spans="1:42">
      <c r="A417" s="29" t="s">
        <v>867</v>
      </c>
      <c r="G417">
        <v>39</v>
      </c>
      <c r="I417">
        <v>26</v>
      </c>
      <c r="J417">
        <v>22</v>
      </c>
      <c r="K417">
        <v>24</v>
      </c>
      <c r="L417">
        <v>14</v>
      </c>
      <c r="M417">
        <v>11</v>
      </c>
      <c r="N417">
        <v>8</v>
      </c>
      <c r="O417">
        <v>20</v>
      </c>
      <c r="V417" s="2">
        <v>0.08</v>
      </c>
      <c r="W417" s="2"/>
      <c r="X417" s="2"/>
      <c r="Y417" s="2"/>
      <c r="Z417" s="2"/>
      <c r="AA417" s="2"/>
      <c r="AB417" s="32">
        <v>51</v>
      </c>
      <c r="AC417" s="2"/>
      <c r="AD417" s="2"/>
      <c r="AE417" s="32"/>
      <c r="AF417" s="2"/>
      <c r="AG417" s="2"/>
      <c r="AH417" s="2"/>
      <c r="AL417" s="2"/>
      <c r="AN417" s="32">
        <v>95</v>
      </c>
    </row>
    <row r="418" spans="1:42">
      <c r="AC418" s="2"/>
      <c r="AD418" s="2"/>
      <c r="AE418" s="32"/>
      <c r="AF418" s="2"/>
      <c r="AG418" s="2"/>
      <c r="AH418" s="2"/>
      <c r="AL418" s="2"/>
    </row>
    <row r="419" spans="1:42">
      <c r="AE419" s="32"/>
    </row>
    <row r="420" spans="1:42">
      <c r="A420" t="s">
        <v>23</v>
      </c>
      <c r="B420" t="s">
        <v>491</v>
      </c>
      <c r="C420" t="s">
        <v>488</v>
      </c>
      <c r="D420" t="s">
        <v>489</v>
      </c>
      <c r="E420" t="s">
        <v>490</v>
      </c>
      <c r="F420" s="29" t="s">
        <v>635</v>
      </c>
      <c r="G420" t="s">
        <v>3</v>
      </c>
      <c r="H420" t="s">
        <v>4</v>
      </c>
      <c r="I420" t="s">
        <v>5</v>
      </c>
      <c r="J420" t="s">
        <v>42</v>
      </c>
      <c r="K420" t="s">
        <v>181</v>
      </c>
      <c r="L420" t="s">
        <v>182</v>
      </c>
      <c r="M420" t="s">
        <v>244</v>
      </c>
      <c r="N420" t="s">
        <v>10</v>
      </c>
      <c r="O420" t="s">
        <v>9</v>
      </c>
      <c r="P420" t="s">
        <v>436</v>
      </c>
      <c r="Q420" t="s">
        <v>756</v>
      </c>
      <c r="R420" t="s">
        <v>757</v>
      </c>
      <c r="S420" t="s">
        <v>758</v>
      </c>
      <c r="T420" t="s">
        <v>759</v>
      </c>
      <c r="U420" s="173" t="s">
        <v>760</v>
      </c>
      <c r="V420" t="s">
        <v>12</v>
      </c>
      <c r="W420" t="s">
        <v>149</v>
      </c>
      <c r="X420" t="s">
        <v>415</v>
      </c>
      <c r="Y420" t="s">
        <v>595</v>
      </c>
      <c r="Z420" t="s">
        <v>453</v>
      </c>
      <c r="AA420" t="s">
        <v>265</v>
      </c>
      <c r="AB420" t="s">
        <v>11</v>
      </c>
      <c r="AC420" t="s">
        <v>125</v>
      </c>
      <c r="AD420" t="s">
        <v>124</v>
      </c>
      <c r="AE420" s="32" t="s">
        <v>454</v>
      </c>
      <c r="AF420" t="s">
        <v>122</v>
      </c>
      <c r="AG420" t="s">
        <v>183</v>
      </c>
      <c r="AH420" t="s">
        <v>163</v>
      </c>
      <c r="AI420" s="32" t="s">
        <v>563</v>
      </c>
      <c r="AJ420" s="32" t="s">
        <v>564</v>
      </c>
      <c r="AK420" s="29" t="s">
        <v>537</v>
      </c>
      <c r="AL420" t="s">
        <v>416</v>
      </c>
      <c r="AM420" t="s">
        <v>690</v>
      </c>
      <c r="AN420" s="32" t="s">
        <v>217</v>
      </c>
      <c r="AO420" t="s">
        <v>218</v>
      </c>
    </row>
    <row r="421" spans="1:42">
      <c r="A421" s="29" t="s">
        <v>787</v>
      </c>
      <c r="G421">
        <f t="shared" ref="G421:H423" si="1">15+7</f>
        <v>22</v>
      </c>
      <c r="H421">
        <f t="shared" si="1"/>
        <v>22</v>
      </c>
      <c r="I421">
        <v>13</v>
      </c>
      <c r="J421">
        <v>30</v>
      </c>
      <c r="L421">
        <v>8</v>
      </c>
      <c r="M421">
        <v>24</v>
      </c>
      <c r="N421">
        <f>7+23</f>
        <v>30</v>
      </c>
      <c r="V421" s="2">
        <v>0.05</v>
      </c>
      <c r="W421" s="2"/>
      <c r="X421" s="2"/>
      <c r="Y421" s="2"/>
      <c r="Z421" s="2"/>
      <c r="AA421" s="2"/>
      <c r="AB421" s="32">
        <v>31</v>
      </c>
      <c r="AC421" s="2"/>
      <c r="AD421" s="2"/>
      <c r="AE421" s="32"/>
      <c r="AF421" s="2"/>
      <c r="AG421" s="2"/>
      <c r="AH421" s="2"/>
      <c r="AL421" s="2"/>
      <c r="AN421" s="32">
        <v>18</v>
      </c>
      <c r="AO421" s="32"/>
      <c r="AP421" s="32"/>
    </row>
    <row r="422" spans="1:42">
      <c r="A422" s="29" t="s">
        <v>774</v>
      </c>
      <c r="G422">
        <f t="shared" si="1"/>
        <v>22</v>
      </c>
      <c r="H422">
        <f t="shared" si="1"/>
        <v>22</v>
      </c>
      <c r="I422">
        <v>13</v>
      </c>
      <c r="J422">
        <v>30</v>
      </c>
      <c r="L422">
        <v>8</v>
      </c>
      <c r="M422">
        <v>24</v>
      </c>
      <c r="N422">
        <f>7+20</f>
        <v>27</v>
      </c>
      <c r="O422">
        <v>20</v>
      </c>
      <c r="V422" s="2">
        <v>0.05</v>
      </c>
      <c r="W422" s="2"/>
      <c r="X422" s="2"/>
      <c r="Y422" s="2"/>
      <c r="Z422" s="2"/>
      <c r="AA422" s="2"/>
      <c r="AB422" s="32">
        <v>31</v>
      </c>
      <c r="AC422" s="2"/>
      <c r="AD422" s="2"/>
      <c r="AE422" s="32"/>
      <c r="AF422" s="2"/>
      <c r="AG422" s="2"/>
      <c r="AH422" s="2"/>
      <c r="AL422" s="2"/>
      <c r="AN422" s="32">
        <v>18</v>
      </c>
      <c r="AO422" s="32"/>
      <c r="AP422" s="32"/>
    </row>
    <row r="423" spans="1:42">
      <c r="A423" s="29" t="s">
        <v>792</v>
      </c>
      <c r="G423">
        <f t="shared" si="1"/>
        <v>22</v>
      </c>
      <c r="H423">
        <f t="shared" si="1"/>
        <v>22</v>
      </c>
      <c r="I423">
        <v>13</v>
      </c>
      <c r="J423">
        <v>30</v>
      </c>
      <c r="L423">
        <v>8</v>
      </c>
      <c r="M423">
        <v>24</v>
      </c>
      <c r="N423">
        <f>7+20</f>
        <v>27</v>
      </c>
      <c r="O423">
        <v>20</v>
      </c>
      <c r="V423" s="2">
        <v>0.02</v>
      </c>
      <c r="W423" s="2"/>
      <c r="X423" s="2"/>
      <c r="Y423" s="2"/>
      <c r="Z423" s="2"/>
      <c r="AA423" s="2"/>
      <c r="AB423" s="32">
        <v>31</v>
      </c>
      <c r="AC423" s="2"/>
      <c r="AD423" s="2"/>
      <c r="AE423" s="32">
        <v>6</v>
      </c>
      <c r="AF423" s="2"/>
      <c r="AG423" s="2"/>
      <c r="AH423" s="2"/>
      <c r="AL423" s="2"/>
      <c r="AN423" s="32">
        <v>18</v>
      </c>
      <c r="AO423" s="32"/>
      <c r="AP423" s="32"/>
    </row>
    <row r="424" spans="1:42">
      <c r="A424" s="29" t="s">
        <v>793</v>
      </c>
      <c r="G424">
        <f>15</f>
        <v>15</v>
      </c>
      <c r="H424">
        <f>15</f>
        <v>15</v>
      </c>
      <c r="I424">
        <v>13</v>
      </c>
      <c r="J424">
        <v>30</v>
      </c>
      <c r="L424">
        <v>8</v>
      </c>
      <c r="M424">
        <v>24</v>
      </c>
      <c r="N424">
        <f>7+20</f>
        <v>27</v>
      </c>
      <c r="O424">
        <v>20</v>
      </c>
      <c r="V424" s="2">
        <v>0.02</v>
      </c>
      <c r="W424" s="2"/>
      <c r="X424" s="2"/>
      <c r="Y424" s="2"/>
      <c r="Z424" s="2"/>
      <c r="AA424" s="2"/>
      <c r="AB424" s="32">
        <v>31</v>
      </c>
      <c r="AC424" s="2"/>
      <c r="AD424" s="2"/>
      <c r="AE424" s="32"/>
      <c r="AF424" s="2"/>
      <c r="AG424" s="2"/>
      <c r="AH424" s="2">
        <v>0.03</v>
      </c>
      <c r="AL424" s="2"/>
      <c r="AN424" s="32">
        <v>18</v>
      </c>
      <c r="AO424" s="32"/>
      <c r="AP424" s="32"/>
    </row>
    <row r="425" spans="1:42">
      <c r="A425" s="29" t="s">
        <v>802</v>
      </c>
      <c r="G425">
        <v>15</v>
      </c>
      <c r="H425">
        <v>17</v>
      </c>
      <c r="I425">
        <f>21+10</f>
        <v>31</v>
      </c>
      <c r="J425">
        <v>32</v>
      </c>
      <c r="L425">
        <v>10</v>
      </c>
      <c r="M425">
        <v>26</v>
      </c>
      <c r="N425">
        <v>15</v>
      </c>
      <c r="V425" s="2">
        <v>0.03</v>
      </c>
      <c r="W425" s="2"/>
      <c r="X425" s="2"/>
      <c r="Y425" s="2"/>
      <c r="Z425" s="2"/>
      <c r="AA425" s="2"/>
      <c r="AB425" s="32">
        <v>31</v>
      </c>
      <c r="AC425" s="2"/>
      <c r="AD425" s="2"/>
      <c r="AE425" s="32"/>
      <c r="AF425" s="2"/>
      <c r="AG425" s="2"/>
      <c r="AH425" s="2"/>
      <c r="AL425" s="2"/>
      <c r="AN425" s="32">
        <f>75+50</f>
        <v>125</v>
      </c>
    </row>
    <row r="426" spans="1:42">
      <c r="A426" t="s">
        <v>577</v>
      </c>
      <c r="I426">
        <v>8</v>
      </c>
      <c r="J426">
        <v>8</v>
      </c>
      <c r="N426">
        <v>11</v>
      </c>
      <c r="O426">
        <v>17</v>
      </c>
      <c r="V426" s="2"/>
      <c r="W426" s="2"/>
      <c r="X426" s="2"/>
      <c r="Y426" s="2"/>
      <c r="Z426" s="2"/>
      <c r="AA426" s="2"/>
      <c r="AB426" s="32"/>
      <c r="AC426" s="2"/>
      <c r="AD426" s="2"/>
      <c r="AE426" s="32"/>
      <c r="AF426" s="2"/>
      <c r="AG426" s="2"/>
      <c r="AH426" s="2"/>
      <c r="AL426" s="2"/>
      <c r="AO426" s="2">
        <v>0.03</v>
      </c>
    </row>
    <row r="427" spans="1:42">
      <c r="A427" t="s">
        <v>808</v>
      </c>
      <c r="G427">
        <v>34</v>
      </c>
      <c r="H427">
        <v>30</v>
      </c>
      <c r="N427">
        <v>25</v>
      </c>
      <c r="O427">
        <v>35</v>
      </c>
      <c r="V427" s="2"/>
      <c r="W427" s="2"/>
      <c r="X427" s="2"/>
      <c r="Y427" s="2"/>
      <c r="Z427" s="2"/>
      <c r="AA427" s="2"/>
      <c r="AB427" s="32">
        <v>31</v>
      </c>
      <c r="AC427" s="2"/>
      <c r="AD427" s="2"/>
      <c r="AE427" s="32">
        <v>4</v>
      </c>
      <c r="AF427" s="2"/>
      <c r="AG427" s="2"/>
      <c r="AH427" s="2"/>
      <c r="AL427" s="2"/>
      <c r="AO427" s="2"/>
    </row>
    <row r="428" spans="1:42">
      <c r="A428" t="s">
        <v>809</v>
      </c>
      <c r="G428">
        <v>24</v>
      </c>
      <c r="H428">
        <v>20</v>
      </c>
      <c r="N428">
        <v>25</v>
      </c>
      <c r="O428">
        <v>20</v>
      </c>
      <c r="V428" s="2">
        <v>0.02</v>
      </c>
      <c r="W428" s="2"/>
      <c r="X428" s="2"/>
      <c r="Y428" s="2"/>
      <c r="Z428" s="2"/>
      <c r="AA428" s="2"/>
      <c r="AB428" s="32">
        <v>31</v>
      </c>
      <c r="AC428" s="2"/>
      <c r="AD428" s="2"/>
      <c r="AE428" s="32">
        <v>6</v>
      </c>
      <c r="AF428" s="2"/>
      <c r="AG428" s="2"/>
      <c r="AH428" s="2"/>
      <c r="AL428" s="2"/>
      <c r="AO428" s="2"/>
    </row>
    <row r="429" spans="1:42">
      <c r="A429" t="s">
        <v>951</v>
      </c>
      <c r="G429">
        <v>36</v>
      </c>
      <c r="H429">
        <v>32</v>
      </c>
      <c r="N429">
        <v>35</v>
      </c>
      <c r="O429">
        <v>50</v>
      </c>
      <c r="V429" s="2"/>
      <c r="W429" s="2"/>
      <c r="X429" s="2"/>
      <c r="Y429" s="2"/>
      <c r="Z429" s="2"/>
      <c r="AA429" s="2"/>
      <c r="AB429" s="32">
        <v>31</v>
      </c>
      <c r="AC429" s="2"/>
      <c r="AD429" s="2"/>
      <c r="AE429" s="32">
        <v>5</v>
      </c>
      <c r="AF429" s="2"/>
      <c r="AG429" s="2"/>
      <c r="AH429" s="2"/>
      <c r="AL429" s="2"/>
      <c r="AO429" s="2"/>
    </row>
    <row r="430" spans="1:42">
      <c r="A430" t="s">
        <v>873</v>
      </c>
      <c r="G430">
        <v>24</v>
      </c>
      <c r="H430">
        <v>20</v>
      </c>
      <c r="N430">
        <v>35</v>
      </c>
      <c r="O430">
        <v>30</v>
      </c>
      <c r="V430" s="2">
        <v>0.03</v>
      </c>
      <c r="W430" s="2"/>
      <c r="X430" s="2"/>
      <c r="Y430" s="2"/>
      <c r="Z430" s="2"/>
      <c r="AA430" s="2"/>
      <c r="AB430" s="32">
        <v>31</v>
      </c>
      <c r="AC430" s="2"/>
      <c r="AD430" s="2"/>
      <c r="AE430" s="32">
        <v>10</v>
      </c>
      <c r="AF430" s="2"/>
      <c r="AG430" s="2"/>
      <c r="AH430" s="2"/>
      <c r="AL430" s="2"/>
      <c r="AO430" s="2"/>
    </row>
    <row r="431" spans="1:42">
      <c r="A431" t="s">
        <v>826</v>
      </c>
      <c r="G431">
        <v>14</v>
      </c>
      <c r="H431">
        <v>14</v>
      </c>
      <c r="I431">
        <v>15</v>
      </c>
      <c r="J431">
        <v>33</v>
      </c>
      <c r="L431">
        <v>11</v>
      </c>
      <c r="M431">
        <v>28</v>
      </c>
      <c r="V431" s="2">
        <v>0.03</v>
      </c>
      <c r="W431" s="2"/>
      <c r="X431" s="2"/>
      <c r="Y431" s="2"/>
      <c r="Z431" s="2"/>
      <c r="AA431" s="2"/>
      <c r="AB431" s="32">
        <v>41</v>
      </c>
      <c r="AC431" s="2"/>
      <c r="AD431" s="2"/>
      <c r="AE431" s="32">
        <v>7</v>
      </c>
      <c r="AF431" s="2"/>
      <c r="AG431" s="2"/>
      <c r="AH431" s="2"/>
      <c r="AL431" s="2"/>
      <c r="AN431" s="32">
        <v>75</v>
      </c>
      <c r="AO431" s="2"/>
    </row>
    <row r="432" spans="1:42">
      <c r="A432" s="29" t="s">
        <v>850</v>
      </c>
      <c r="G432">
        <v>17</v>
      </c>
      <c r="H432">
        <v>33</v>
      </c>
      <c r="I432">
        <v>12</v>
      </c>
      <c r="J432">
        <v>38</v>
      </c>
      <c r="L432">
        <v>16</v>
      </c>
      <c r="M432">
        <v>32</v>
      </c>
      <c r="N432">
        <f>23+15</f>
        <v>38</v>
      </c>
      <c r="O432">
        <v>23</v>
      </c>
      <c r="V432" s="2"/>
      <c r="W432" s="2"/>
      <c r="X432" s="2"/>
      <c r="Y432" s="2"/>
      <c r="Z432" s="2"/>
      <c r="AA432" s="2"/>
      <c r="AB432" s="32">
        <v>31</v>
      </c>
      <c r="AC432" s="2"/>
      <c r="AD432" s="2"/>
      <c r="AE432" s="32"/>
      <c r="AF432" s="2"/>
      <c r="AG432" s="2"/>
      <c r="AH432" s="2"/>
      <c r="AL432" s="2"/>
      <c r="AO432" s="2"/>
    </row>
    <row r="433" spans="1:53">
      <c r="A433" s="29" t="s">
        <v>708</v>
      </c>
      <c r="G433">
        <v>14</v>
      </c>
      <c r="H433">
        <v>12</v>
      </c>
      <c r="I433">
        <v>11</v>
      </c>
      <c r="J433">
        <v>18</v>
      </c>
      <c r="L433">
        <v>6</v>
      </c>
      <c r="M433">
        <v>17</v>
      </c>
      <c r="O433">
        <v>12</v>
      </c>
      <c r="V433" s="2"/>
      <c r="W433" s="2"/>
      <c r="X433" s="2"/>
      <c r="Y433" s="2"/>
      <c r="Z433" s="2"/>
      <c r="AA433" s="2"/>
      <c r="AB433" s="32">
        <v>30</v>
      </c>
      <c r="AC433" s="2"/>
      <c r="AD433" s="2"/>
      <c r="AE433" s="32"/>
      <c r="AF433" s="2"/>
      <c r="AG433" s="2"/>
      <c r="AH433" s="2"/>
      <c r="AL433" s="2"/>
    </row>
    <row r="434" spans="1:53">
      <c r="A434" s="29" t="s">
        <v>709</v>
      </c>
      <c r="G434">
        <v>21</v>
      </c>
      <c r="H434">
        <v>17</v>
      </c>
      <c r="I434">
        <v>17</v>
      </c>
      <c r="J434">
        <v>29</v>
      </c>
      <c r="L434">
        <v>10</v>
      </c>
      <c r="M434">
        <v>26</v>
      </c>
      <c r="O434">
        <v>15</v>
      </c>
      <c r="V434" s="2"/>
      <c r="W434" s="2"/>
      <c r="X434" s="2"/>
      <c r="Y434" s="2"/>
      <c r="Z434" s="2"/>
      <c r="AA434" s="2"/>
      <c r="AB434" s="32">
        <v>30</v>
      </c>
      <c r="AC434" s="2"/>
      <c r="AD434" s="2"/>
      <c r="AE434" s="32"/>
      <c r="AF434" s="2"/>
      <c r="AG434" s="2"/>
      <c r="AH434" s="2"/>
      <c r="AL434" s="2"/>
    </row>
    <row r="435" spans="1:53">
      <c r="A435" s="29" t="s">
        <v>918</v>
      </c>
      <c r="G435">
        <v>27</v>
      </c>
      <c r="H435">
        <v>30</v>
      </c>
      <c r="I435">
        <v>20</v>
      </c>
      <c r="J435">
        <v>26</v>
      </c>
      <c r="L435">
        <v>8</v>
      </c>
      <c r="M435">
        <v>20</v>
      </c>
      <c r="N435">
        <v>36</v>
      </c>
      <c r="S435">
        <v>36</v>
      </c>
      <c r="V435" s="2">
        <v>0.05</v>
      </c>
      <c r="W435" s="2"/>
      <c r="X435" s="2"/>
      <c r="Y435" s="2"/>
      <c r="Z435" s="2"/>
      <c r="AA435" s="2"/>
      <c r="AB435" s="32">
        <v>21</v>
      </c>
      <c r="AC435" s="2"/>
      <c r="AD435" s="2"/>
      <c r="AE435" s="32">
        <v>5</v>
      </c>
      <c r="AF435" s="2"/>
      <c r="AG435" s="2"/>
      <c r="AH435" s="2"/>
      <c r="AL435" s="2"/>
    </row>
    <row r="436" spans="1:53">
      <c r="A436" s="29" t="s">
        <v>950</v>
      </c>
      <c r="G436">
        <v>31</v>
      </c>
      <c r="H436">
        <v>34</v>
      </c>
      <c r="I436">
        <v>20</v>
      </c>
      <c r="J436">
        <v>26</v>
      </c>
      <c r="L436">
        <v>8</v>
      </c>
      <c r="M436">
        <v>20</v>
      </c>
      <c r="N436">
        <v>42</v>
      </c>
      <c r="S436">
        <v>42</v>
      </c>
      <c r="V436" s="2">
        <v>0.06</v>
      </c>
      <c r="W436" s="2"/>
      <c r="X436" s="2"/>
      <c r="Y436" s="2"/>
      <c r="Z436" s="2"/>
      <c r="AA436" s="2"/>
      <c r="AB436" s="32">
        <v>21</v>
      </c>
      <c r="AC436" s="2"/>
      <c r="AD436" s="2"/>
      <c r="AE436" s="32">
        <v>6</v>
      </c>
      <c r="AF436" s="2"/>
      <c r="AG436" s="2"/>
      <c r="AH436" s="2"/>
      <c r="AL436" s="2"/>
      <c r="AN436" s="32">
        <v>40</v>
      </c>
    </row>
    <row r="437" spans="1:53">
      <c r="A437" s="29" t="s">
        <v>799</v>
      </c>
      <c r="G437">
        <v>19</v>
      </c>
      <c r="H437">
        <v>21</v>
      </c>
      <c r="I437">
        <f>19+10</f>
        <v>29</v>
      </c>
      <c r="J437">
        <v>28</v>
      </c>
      <c r="L437">
        <v>7</v>
      </c>
      <c r="M437">
        <v>21</v>
      </c>
      <c r="N437">
        <f>20+15</f>
        <v>35</v>
      </c>
      <c r="V437" s="2">
        <v>0.02</v>
      </c>
      <c r="W437" s="2"/>
      <c r="X437" s="2"/>
      <c r="Y437" s="2"/>
      <c r="Z437" s="2"/>
      <c r="AA437" s="2"/>
      <c r="AB437" s="32">
        <v>31</v>
      </c>
      <c r="AC437" s="2"/>
      <c r="AD437" s="2"/>
      <c r="AE437" s="32"/>
      <c r="AF437" s="2"/>
      <c r="AG437" s="2"/>
      <c r="AH437" s="2"/>
      <c r="AL437" s="2"/>
      <c r="AN437" s="32">
        <v>20</v>
      </c>
    </row>
    <row r="438" spans="1:53">
      <c r="A438" s="29" t="s">
        <v>715</v>
      </c>
      <c r="G438">
        <v>19</v>
      </c>
      <c r="H438">
        <v>16</v>
      </c>
      <c r="I438">
        <v>16</v>
      </c>
      <c r="J438">
        <v>27</v>
      </c>
      <c r="L438">
        <v>9</v>
      </c>
      <c r="M438">
        <v>25</v>
      </c>
      <c r="N438">
        <v>14</v>
      </c>
      <c r="O438">
        <v>14</v>
      </c>
      <c r="V438" s="2"/>
      <c r="W438" s="2"/>
      <c r="X438" s="2"/>
      <c r="Y438" s="2"/>
      <c r="Z438" s="2"/>
      <c r="AA438" s="2"/>
      <c r="AB438" s="32">
        <v>31</v>
      </c>
      <c r="AC438" s="2"/>
      <c r="AD438" s="2"/>
      <c r="AE438" s="32"/>
      <c r="AF438" s="2"/>
      <c r="AG438" s="2"/>
      <c r="AH438" s="2"/>
      <c r="AL438" s="2"/>
      <c r="AN438" s="32">
        <f>38+40</f>
        <v>78</v>
      </c>
    </row>
    <row r="439" spans="1:53">
      <c r="A439" s="29" t="s">
        <v>767</v>
      </c>
      <c r="G439">
        <v>15</v>
      </c>
      <c r="H439">
        <v>7</v>
      </c>
      <c r="I439">
        <v>11</v>
      </c>
      <c r="J439">
        <v>18</v>
      </c>
      <c r="K439">
        <v>11</v>
      </c>
      <c r="L439">
        <v>10</v>
      </c>
      <c r="M439">
        <v>17</v>
      </c>
      <c r="S439">
        <v>10</v>
      </c>
      <c r="T439">
        <v>10</v>
      </c>
      <c r="V439" s="2"/>
      <c r="W439" s="2"/>
      <c r="X439" s="2"/>
      <c r="Y439" s="2"/>
      <c r="Z439" s="2"/>
      <c r="AA439" s="2"/>
      <c r="AB439" s="32">
        <v>31</v>
      </c>
      <c r="AC439" s="2"/>
      <c r="AD439" s="2"/>
      <c r="AE439" s="32"/>
      <c r="AF439" s="2"/>
      <c r="AG439" s="2"/>
      <c r="AH439" s="2"/>
      <c r="AL439" s="2"/>
      <c r="AN439" s="32">
        <v>8</v>
      </c>
    </row>
    <row r="440" spans="1:53">
      <c r="A440" s="29" t="s">
        <v>768</v>
      </c>
      <c r="G440">
        <v>22</v>
      </c>
      <c r="H440">
        <v>11</v>
      </c>
      <c r="I440">
        <v>17</v>
      </c>
      <c r="J440">
        <v>29</v>
      </c>
      <c r="K440">
        <v>12</v>
      </c>
      <c r="L440">
        <v>14</v>
      </c>
      <c r="M440">
        <v>28</v>
      </c>
      <c r="S440">
        <v>20</v>
      </c>
      <c r="T440">
        <v>20</v>
      </c>
      <c r="V440" s="2"/>
      <c r="W440" s="2"/>
      <c r="X440" s="2"/>
      <c r="Y440" s="2"/>
      <c r="Z440" s="2"/>
      <c r="AA440" s="2"/>
      <c r="AB440" s="32">
        <v>31</v>
      </c>
      <c r="AC440" s="2"/>
      <c r="AD440" s="2"/>
      <c r="AE440" s="32"/>
      <c r="AF440" s="2"/>
      <c r="AG440" s="2"/>
      <c r="AH440" s="2"/>
      <c r="AL440" s="2"/>
      <c r="AN440" s="32">
        <v>18</v>
      </c>
    </row>
    <row r="441" spans="1:53">
      <c r="A441" s="29" t="s">
        <v>644</v>
      </c>
      <c r="G441">
        <v>10</v>
      </c>
      <c r="H441">
        <v>8</v>
      </c>
      <c r="I441">
        <v>11</v>
      </c>
      <c r="J441">
        <v>18</v>
      </c>
      <c r="L441">
        <v>6</v>
      </c>
      <c r="M441">
        <v>17</v>
      </c>
      <c r="O441">
        <v>15</v>
      </c>
      <c r="P441" s="2"/>
      <c r="Q441" s="2"/>
      <c r="R441" s="2"/>
      <c r="U441" s="2"/>
      <c r="V441" s="2"/>
      <c r="W441" s="2"/>
      <c r="X441" s="2"/>
      <c r="Y441" s="2"/>
      <c r="Z441" s="2"/>
      <c r="AA441" s="2"/>
      <c r="AB441" s="32">
        <v>31</v>
      </c>
      <c r="AC441" s="2"/>
      <c r="AD441" s="2"/>
      <c r="AE441" s="32"/>
      <c r="AF441" s="2"/>
      <c r="AG441" s="2"/>
      <c r="AH441" s="2"/>
      <c r="AL441" s="2"/>
      <c r="AN441" s="32">
        <v>28</v>
      </c>
      <c r="AO441" s="2"/>
    </row>
    <row r="442" spans="1:53">
      <c r="A442" s="29" t="s">
        <v>691</v>
      </c>
      <c r="G442">
        <v>16</v>
      </c>
      <c r="H442">
        <v>12</v>
      </c>
      <c r="I442">
        <v>17</v>
      </c>
      <c r="J442">
        <v>29</v>
      </c>
      <c r="L442">
        <v>10</v>
      </c>
      <c r="M442">
        <v>26</v>
      </c>
      <c r="O442">
        <v>20</v>
      </c>
      <c r="P442" s="2"/>
      <c r="Q442" s="2"/>
      <c r="R442" s="2"/>
      <c r="U442" s="2"/>
      <c r="V442" s="2"/>
      <c r="W442" s="2"/>
      <c r="X442" s="2"/>
      <c r="Y442" s="2"/>
      <c r="Z442" s="2"/>
      <c r="AA442" s="2"/>
      <c r="AB442" s="32">
        <v>31</v>
      </c>
      <c r="AC442" s="2"/>
      <c r="AD442" s="2"/>
      <c r="AE442" s="32"/>
      <c r="AF442" s="2"/>
      <c r="AG442" s="2"/>
      <c r="AH442" s="2"/>
      <c r="AL442" s="2"/>
      <c r="AN442" s="32">
        <v>38</v>
      </c>
      <c r="AO442" s="2"/>
    </row>
    <row r="443" spans="1:53">
      <c r="A443" s="29" t="s">
        <v>928</v>
      </c>
      <c r="G443">
        <v>21</v>
      </c>
      <c r="H443">
        <v>17</v>
      </c>
      <c r="I443">
        <v>22</v>
      </c>
      <c r="J443">
        <v>34</v>
      </c>
      <c r="L443">
        <v>15</v>
      </c>
      <c r="M443">
        <v>31</v>
      </c>
      <c r="O443">
        <v>30</v>
      </c>
      <c r="P443" s="2"/>
      <c r="Q443" s="2"/>
      <c r="R443" s="2"/>
      <c r="U443" s="2"/>
      <c r="V443" s="2"/>
      <c r="W443" s="2"/>
      <c r="X443" s="2"/>
      <c r="Y443" s="2"/>
      <c r="Z443" s="2"/>
      <c r="AA443" s="2"/>
      <c r="AB443" s="32">
        <v>31</v>
      </c>
      <c r="AC443" s="2"/>
      <c r="AD443" s="2"/>
      <c r="AE443" s="32"/>
      <c r="AF443" s="2"/>
      <c r="AG443" s="2"/>
      <c r="AH443" s="2"/>
      <c r="AL443" s="2"/>
      <c r="AN443" s="32">
        <v>57</v>
      </c>
      <c r="AO443" s="2"/>
    </row>
    <row r="444" spans="1:53">
      <c r="A444" s="29" t="s">
        <v>929</v>
      </c>
      <c r="G444">
        <v>26</v>
      </c>
      <c r="H444">
        <v>22</v>
      </c>
      <c r="I444">
        <v>27</v>
      </c>
      <c r="J444">
        <v>39</v>
      </c>
      <c r="L444">
        <v>20</v>
      </c>
      <c r="M444">
        <v>36</v>
      </c>
      <c r="O444">
        <v>40</v>
      </c>
      <c r="P444" s="2"/>
      <c r="Q444" s="2"/>
      <c r="R444" s="2"/>
      <c r="U444" s="2"/>
      <c r="V444" s="2"/>
      <c r="W444" s="2"/>
      <c r="X444" s="2"/>
      <c r="Y444" s="2"/>
      <c r="Z444" s="2"/>
      <c r="AA444" s="2"/>
      <c r="AB444" s="32">
        <v>31</v>
      </c>
      <c r="AC444" s="2"/>
      <c r="AD444" s="2"/>
      <c r="AE444" s="32"/>
      <c r="AF444" s="2"/>
      <c r="AG444" s="2"/>
      <c r="AH444" s="2"/>
      <c r="AL444" s="2"/>
      <c r="AN444" s="32">
        <v>67</v>
      </c>
      <c r="AO444" s="2"/>
    </row>
    <row r="445" spans="1:53">
      <c r="A445" s="29" t="s">
        <v>801</v>
      </c>
      <c r="G445">
        <v>16</v>
      </c>
      <c r="H445">
        <v>12</v>
      </c>
      <c r="I445">
        <v>17</v>
      </c>
      <c r="J445">
        <v>29</v>
      </c>
      <c r="L445">
        <v>10</v>
      </c>
      <c r="M445">
        <v>26</v>
      </c>
      <c r="N445">
        <v>18</v>
      </c>
      <c r="O445">
        <v>18</v>
      </c>
      <c r="V445" s="2">
        <v>0.04</v>
      </c>
      <c r="W445" s="2"/>
      <c r="X445" s="2"/>
      <c r="Y445" s="2"/>
      <c r="Z445" s="2"/>
      <c r="AA445" s="2"/>
      <c r="AB445" s="32">
        <v>31</v>
      </c>
      <c r="AC445" s="2"/>
      <c r="AD445" s="2"/>
      <c r="AE445" s="32"/>
      <c r="AF445" s="2"/>
      <c r="AG445" s="2"/>
      <c r="AH445" s="2"/>
      <c r="AL445" s="2"/>
    </row>
    <row r="446" spans="1:53">
      <c r="A446" s="29" t="s">
        <v>800</v>
      </c>
      <c r="G446">
        <f>16+10</f>
        <v>26</v>
      </c>
      <c r="H446">
        <v>12</v>
      </c>
      <c r="I446">
        <v>17</v>
      </c>
      <c r="J446">
        <v>29</v>
      </c>
      <c r="L446">
        <v>10</v>
      </c>
      <c r="M446">
        <v>26</v>
      </c>
      <c r="N446">
        <v>18</v>
      </c>
      <c r="O446">
        <f>18+15</f>
        <v>33</v>
      </c>
      <c r="V446" s="2">
        <v>0.04</v>
      </c>
      <c r="W446" s="2"/>
      <c r="X446" s="2"/>
      <c r="Y446" s="2"/>
      <c r="Z446" s="2"/>
      <c r="AA446" s="2"/>
      <c r="AB446" s="32">
        <v>61</v>
      </c>
      <c r="AC446" s="2"/>
      <c r="AD446" s="2"/>
      <c r="AE446" s="32"/>
      <c r="AF446" s="2"/>
      <c r="AG446" s="2"/>
      <c r="AH446" s="2"/>
      <c r="AL446" s="2"/>
    </row>
    <row r="447" spans="1:53">
      <c r="A447" s="29" t="s">
        <v>824</v>
      </c>
      <c r="G447">
        <v>34</v>
      </c>
      <c r="H447">
        <v>30</v>
      </c>
      <c r="V447" s="2">
        <v>0.02</v>
      </c>
      <c r="W447" s="2"/>
      <c r="X447" s="2"/>
      <c r="Y447" s="2"/>
      <c r="Z447" s="2"/>
      <c r="AA447" s="2"/>
      <c r="AB447" s="32">
        <v>-51</v>
      </c>
      <c r="AC447" s="2"/>
      <c r="AD447" s="2"/>
      <c r="AE447" s="32"/>
      <c r="AF447" s="2"/>
      <c r="AG447" s="2"/>
      <c r="AH447" s="2"/>
      <c r="AL447" s="2"/>
    </row>
    <row r="448" spans="1:53" s="185" customFormat="1" ht="12.75" customHeight="1">
      <c r="A448" s="183" t="s">
        <v>872</v>
      </c>
      <c r="B448" s="183"/>
      <c r="C448" s="183"/>
      <c r="D448" s="183"/>
      <c r="E448" s="183"/>
      <c r="F448" s="183"/>
      <c r="G448" s="183">
        <v>40</v>
      </c>
      <c r="H448" s="183">
        <v>33</v>
      </c>
      <c r="I448" s="183"/>
      <c r="J448" s="183"/>
      <c r="K448" s="183"/>
      <c r="L448" s="183"/>
      <c r="M448" s="183"/>
      <c r="N448" s="183"/>
      <c r="O448" s="183">
        <v>20</v>
      </c>
      <c r="P448" s="183"/>
      <c r="Q448" s="183"/>
      <c r="R448" s="183"/>
      <c r="S448" s="183"/>
      <c r="T448" s="183"/>
      <c r="U448" s="183"/>
      <c r="V448" s="184">
        <v>0.03</v>
      </c>
      <c r="W448" s="183"/>
      <c r="X448" s="183"/>
      <c r="Y448" s="183"/>
      <c r="Z448" s="183"/>
      <c r="AA448" s="183"/>
      <c r="AB448" s="183">
        <v>-71</v>
      </c>
      <c r="AC448" s="184"/>
      <c r="AD448" s="183"/>
      <c r="AF448" s="183"/>
      <c r="AI448" s="183"/>
      <c r="AJ448" s="183"/>
      <c r="AK448" s="183"/>
      <c r="AL448" s="183"/>
      <c r="AM448" s="183"/>
      <c r="AN448" s="183"/>
      <c r="AO448" s="183"/>
      <c r="AP448" s="183"/>
      <c r="AQ448" s="183"/>
      <c r="AR448" s="183"/>
      <c r="AS448" s="183"/>
      <c r="AT448" s="183"/>
      <c r="AU448" s="183"/>
      <c r="AV448" s="183"/>
      <c r="AW448" s="183"/>
      <c r="AX448" s="183"/>
      <c r="AY448" s="183"/>
      <c r="AZ448" s="183"/>
      <c r="BA448" s="183"/>
    </row>
    <row r="449" spans="1:53">
      <c r="A449" s="29" t="s">
        <v>815</v>
      </c>
      <c r="G449">
        <f>19</f>
        <v>19</v>
      </c>
      <c r="H449">
        <v>12</v>
      </c>
      <c r="I449">
        <v>19</v>
      </c>
      <c r="J449">
        <v>29</v>
      </c>
      <c r="L449">
        <v>10</v>
      </c>
      <c r="M449">
        <v>24</v>
      </c>
      <c r="N449">
        <v>10</v>
      </c>
      <c r="S449">
        <v>10</v>
      </c>
      <c r="V449" s="2"/>
      <c r="W449" s="2"/>
      <c r="X449" s="2"/>
      <c r="Y449" s="2"/>
      <c r="Z449" s="2"/>
      <c r="AA449" s="2"/>
      <c r="AB449" s="32">
        <v>31</v>
      </c>
      <c r="AC449" s="2"/>
      <c r="AD449" s="2"/>
      <c r="AE449" s="32"/>
      <c r="AF449" s="2"/>
      <c r="AG449" s="2"/>
      <c r="AH449" s="2"/>
      <c r="AL449" s="2"/>
    </row>
    <row r="450" spans="1:53" s="185" customFormat="1" ht="12.75" customHeight="1">
      <c r="A450" s="29" t="s">
        <v>879</v>
      </c>
      <c r="B450" s="29"/>
      <c r="C450" s="29"/>
      <c r="D450" s="29"/>
      <c r="E450" s="29"/>
      <c r="F450" s="29"/>
      <c r="G450" s="29">
        <v>19</v>
      </c>
      <c r="H450" s="29">
        <v>12</v>
      </c>
      <c r="I450" s="29">
        <v>19</v>
      </c>
      <c r="J450" s="29">
        <v>29</v>
      </c>
      <c r="K450" s="29"/>
      <c r="L450" s="29">
        <v>10</v>
      </c>
      <c r="M450" s="29">
        <v>24</v>
      </c>
      <c r="N450" s="29">
        <v>40</v>
      </c>
      <c r="O450" s="29"/>
      <c r="P450" s="29"/>
      <c r="Q450" s="29"/>
      <c r="R450" s="29"/>
      <c r="S450" s="29">
        <v>10</v>
      </c>
      <c r="T450" s="29"/>
      <c r="U450" s="29"/>
      <c r="V450" s="12">
        <v>0.05</v>
      </c>
      <c r="W450" s="12"/>
      <c r="X450" s="12"/>
      <c r="Y450" s="12"/>
      <c r="Z450" s="12"/>
      <c r="AA450" s="12"/>
      <c r="AB450" s="29">
        <v>30</v>
      </c>
      <c r="AC450" s="12"/>
      <c r="AD450" s="12"/>
      <c r="AF450" s="12"/>
      <c r="AG450" s="12"/>
      <c r="AH450" s="12"/>
      <c r="AI450" s="29"/>
      <c r="AJ450" s="29"/>
      <c r="AK450" s="29"/>
      <c r="AL450" s="29"/>
      <c r="AM450" s="12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</row>
    <row r="451" spans="1:53" s="185" customFormat="1" ht="12.75" customHeight="1">
      <c r="A451" s="29" t="s">
        <v>880</v>
      </c>
      <c r="B451" s="29"/>
      <c r="C451" s="29"/>
      <c r="D451" s="29"/>
      <c r="E451" s="29"/>
      <c r="F451" s="29"/>
      <c r="G451" s="29">
        <v>19</v>
      </c>
      <c r="H451" s="29">
        <v>12</v>
      </c>
      <c r="I451" s="29">
        <v>19</v>
      </c>
      <c r="J451" s="29">
        <v>29</v>
      </c>
      <c r="K451" s="29"/>
      <c r="L451" s="29">
        <v>10</v>
      </c>
      <c r="M451" s="29">
        <v>24</v>
      </c>
      <c r="N451" s="29">
        <v>40</v>
      </c>
      <c r="O451" s="29"/>
      <c r="P451" s="29"/>
      <c r="Q451" s="29"/>
      <c r="R451" s="29"/>
      <c r="S451" s="29">
        <v>10</v>
      </c>
      <c r="T451" s="29"/>
      <c r="U451" s="29"/>
      <c r="V451" s="12"/>
      <c r="W451" s="12"/>
      <c r="X451" s="12"/>
      <c r="Y451" s="12"/>
      <c r="Z451" s="12"/>
      <c r="AA451" s="12"/>
      <c r="AB451" s="29">
        <v>30</v>
      </c>
      <c r="AC451" s="12"/>
      <c r="AD451" s="12"/>
      <c r="AE451" s="29">
        <v>8</v>
      </c>
      <c r="AF451" s="12"/>
      <c r="AG451" s="12"/>
      <c r="AH451" s="12"/>
      <c r="AI451" s="29"/>
      <c r="AJ451" s="29"/>
      <c r="AK451" s="29"/>
      <c r="AL451" s="29"/>
      <c r="AM451" s="12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</row>
    <row r="452" spans="1:53" s="185" customFormat="1" ht="12.75" customHeight="1">
      <c r="A452" s="29" t="s">
        <v>881</v>
      </c>
      <c r="B452" s="29"/>
      <c r="C452" s="29"/>
      <c r="D452" s="29"/>
      <c r="E452" s="29"/>
      <c r="F452" s="29"/>
      <c r="G452" s="29">
        <v>19</v>
      </c>
      <c r="H452" s="29">
        <v>12</v>
      </c>
      <c r="I452" s="29">
        <v>19</v>
      </c>
      <c r="J452" s="29">
        <v>29</v>
      </c>
      <c r="K452" s="29"/>
      <c r="L452" s="29">
        <v>10</v>
      </c>
      <c r="M452" s="29">
        <v>24</v>
      </c>
      <c r="N452" s="29">
        <v>40</v>
      </c>
      <c r="O452" s="29"/>
      <c r="P452" s="29"/>
      <c r="Q452" s="29"/>
      <c r="R452" s="29"/>
      <c r="S452" s="29">
        <v>10</v>
      </c>
      <c r="T452" s="29"/>
      <c r="U452" s="29"/>
      <c r="V452" s="12"/>
      <c r="W452" s="12"/>
      <c r="X452" s="12"/>
      <c r="Y452" s="12"/>
      <c r="Z452" s="12"/>
      <c r="AA452" s="12"/>
      <c r="AB452" s="29">
        <v>30</v>
      </c>
      <c r="AC452" s="12"/>
      <c r="AD452" s="12"/>
      <c r="AF452" s="12"/>
      <c r="AG452" s="12"/>
      <c r="AH452" s="12">
        <v>0.05</v>
      </c>
      <c r="AI452" s="29"/>
      <c r="AJ452" s="29"/>
      <c r="AK452" s="29"/>
      <c r="AL452" s="29"/>
      <c r="AM452" s="12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</row>
    <row r="453" spans="1:53">
      <c r="A453" s="29" t="s">
        <v>833</v>
      </c>
      <c r="G453">
        <f>19</f>
        <v>19</v>
      </c>
      <c r="H453">
        <v>19</v>
      </c>
      <c r="I453">
        <v>19</v>
      </c>
      <c r="J453">
        <v>29</v>
      </c>
      <c r="L453">
        <v>10</v>
      </c>
      <c r="M453">
        <v>24</v>
      </c>
      <c r="N453">
        <f>10+15</f>
        <v>25</v>
      </c>
      <c r="S453">
        <v>21</v>
      </c>
      <c r="T453">
        <v>11</v>
      </c>
      <c r="V453" s="2"/>
      <c r="W453" s="2"/>
      <c r="X453" s="2">
        <v>0.01</v>
      </c>
      <c r="Y453" s="2"/>
      <c r="Z453" s="2"/>
      <c r="AA453" s="2"/>
      <c r="AB453" s="32">
        <v>31</v>
      </c>
      <c r="AC453" s="2"/>
      <c r="AD453" s="2"/>
      <c r="AE453" s="32"/>
      <c r="AF453" s="2"/>
      <c r="AG453" s="2"/>
      <c r="AH453" s="2"/>
      <c r="AL453" s="2"/>
    </row>
    <row r="454" spans="1:53">
      <c r="A454" s="29" t="s">
        <v>832</v>
      </c>
      <c r="G454">
        <f>19</f>
        <v>19</v>
      </c>
      <c r="H454">
        <v>12</v>
      </c>
      <c r="I454">
        <v>19</v>
      </c>
      <c r="J454">
        <v>29</v>
      </c>
      <c r="L454">
        <v>10</v>
      </c>
      <c r="M454">
        <v>24</v>
      </c>
      <c r="N454">
        <f>10+46</f>
        <v>56</v>
      </c>
      <c r="O454">
        <v>18</v>
      </c>
      <c r="S454">
        <v>10</v>
      </c>
      <c r="V454" s="2"/>
      <c r="W454" s="2"/>
      <c r="X454" s="2"/>
      <c r="Y454" s="2"/>
      <c r="Z454" s="2"/>
      <c r="AA454" s="2"/>
      <c r="AB454" s="32">
        <v>31</v>
      </c>
      <c r="AC454" s="2"/>
      <c r="AD454" s="2">
        <v>0.03</v>
      </c>
      <c r="AE454" s="32"/>
      <c r="AF454" s="2"/>
      <c r="AG454" s="2"/>
      <c r="AH454" s="2"/>
      <c r="AL454" s="2"/>
    </row>
    <row r="455" spans="1:53">
      <c r="A455" s="29" t="s">
        <v>865</v>
      </c>
      <c r="G455">
        <f>19+15</f>
        <v>34</v>
      </c>
      <c r="H455">
        <v>12</v>
      </c>
      <c r="I455">
        <v>19</v>
      </c>
      <c r="J455">
        <v>29</v>
      </c>
      <c r="L455">
        <v>10</v>
      </c>
      <c r="M455">
        <v>24</v>
      </c>
      <c r="N455">
        <f>10+20</f>
        <v>30</v>
      </c>
      <c r="O455">
        <v>20</v>
      </c>
      <c r="S455">
        <v>10</v>
      </c>
      <c r="V455" s="2"/>
      <c r="W455" s="2"/>
      <c r="X455" s="2"/>
      <c r="Y455" s="2"/>
      <c r="Z455" s="2"/>
      <c r="AA455" s="2"/>
      <c r="AB455" s="32">
        <v>31</v>
      </c>
      <c r="AC455" s="2"/>
      <c r="AD455" s="2"/>
      <c r="AE455" s="32"/>
      <c r="AF455" s="2"/>
      <c r="AG455" s="2"/>
      <c r="AH455" s="2">
        <v>0.05</v>
      </c>
      <c r="AL455" s="2"/>
    </row>
    <row r="456" spans="1:53">
      <c r="A456" s="29" t="s">
        <v>946</v>
      </c>
      <c r="B456">
        <v>42</v>
      </c>
      <c r="G456">
        <v>24</v>
      </c>
      <c r="H456">
        <v>21</v>
      </c>
      <c r="I456">
        <v>17</v>
      </c>
      <c r="J456">
        <v>32</v>
      </c>
      <c r="L456">
        <v>16</v>
      </c>
      <c r="M456">
        <v>31</v>
      </c>
      <c r="V456" s="2"/>
      <c r="W456" s="2"/>
      <c r="X456" s="2"/>
      <c r="Y456" s="2"/>
      <c r="Z456" s="2"/>
      <c r="AA456" s="2"/>
      <c r="AB456" s="32">
        <v>31</v>
      </c>
      <c r="AC456" s="2"/>
      <c r="AD456" s="2"/>
      <c r="AE456" s="32"/>
      <c r="AF456" s="2"/>
      <c r="AG456" s="2"/>
      <c r="AH456" s="2">
        <v>0.06</v>
      </c>
      <c r="AL456" s="2"/>
      <c r="AN456" s="32">
        <v>387</v>
      </c>
    </row>
    <row r="457" spans="1:53">
      <c r="A457" s="29" t="s">
        <v>947</v>
      </c>
      <c r="B457">
        <v>52</v>
      </c>
      <c r="G457">
        <v>29</v>
      </c>
      <c r="H457">
        <v>26</v>
      </c>
      <c r="I457">
        <v>17</v>
      </c>
      <c r="J457">
        <v>32</v>
      </c>
      <c r="L457">
        <v>16</v>
      </c>
      <c r="M457">
        <v>31</v>
      </c>
      <c r="V457" s="2"/>
      <c r="W457" s="2"/>
      <c r="X457" s="2"/>
      <c r="Y457" s="2"/>
      <c r="Z457" s="2"/>
      <c r="AA457" s="2"/>
      <c r="AB457" s="32">
        <v>31</v>
      </c>
      <c r="AC457" s="2"/>
      <c r="AD457" s="2"/>
      <c r="AE457" s="32"/>
      <c r="AF457" s="2"/>
      <c r="AG457" s="2"/>
      <c r="AH457" s="2">
        <v>0.08</v>
      </c>
      <c r="AL457" s="2"/>
      <c r="AN457" s="32">
        <v>487</v>
      </c>
    </row>
    <row r="458" spans="1:53">
      <c r="A458" s="29" t="s">
        <v>861</v>
      </c>
      <c r="G458">
        <v>26</v>
      </c>
      <c r="H458">
        <v>16</v>
      </c>
      <c r="I458">
        <v>26</v>
      </c>
      <c r="J458">
        <v>26</v>
      </c>
      <c r="L458">
        <v>15</v>
      </c>
      <c r="M458">
        <v>29</v>
      </c>
      <c r="N458">
        <v>36</v>
      </c>
      <c r="O458">
        <v>40</v>
      </c>
      <c r="V458" s="2"/>
      <c r="W458" s="2"/>
      <c r="X458" s="2"/>
      <c r="Y458" s="2"/>
      <c r="Z458" s="2"/>
      <c r="AA458" s="2"/>
      <c r="AB458" s="32">
        <v>11</v>
      </c>
      <c r="AC458" s="2"/>
      <c r="AD458" s="2"/>
      <c r="AE458" s="32"/>
      <c r="AF458" s="2"/>
      <c r="AG458" s="2"/>
      <c r="AH458" s="2">
        <v>0.06</v>
      </c>
      <c r="AL458" s="2"/>
    </row>
    <row r="459" spans="1:53">
      <c r="A459" s="29" t="s">
        <v>945</v>
      </c>
      <c r="G459">
        <v>29</v>
      </c>
      <c r="H459">
        <v>19</v>
      </c>
      <c r="I459">
        <v>29</v>
      </c>
      <c r="J459">
        <v>26</v>
      </c>
      <c r="L459">
        <v>18</v>
      </c>
      <c r="M459">
        <v>32</v>
      </c>
      <c r="N459">
        <v>42</v>
      </c>
      <c r="O459">
        <v>46</v>
      </c>
      <c r="V459" s="2"/>
      <c r="W459" s="2"/>
      <c r="X459" s="2"/>
      <c r="Y459" s="2"/>
      <c r="Z459" s="2"/>
      <c r="AA459" s="2"/>
      <c r="AB459" s="32">
        <v>11</v>
      </c>
      <c r="AC459" s="2"/>
      <c r="AD459" s="2"/>
      <c r="AE459" s="32"/>
      <c r="AF459" s="2"/>
      <c r="AG459" s="2"/>
      <c r="AH459" s="2">
        <v>7.0000000000000007E-2</v>
      </c>
      <c r="AL459" s="2"/>
    </row>
    <row r="460" spans="1:53">
      <c r="A460" s="29" t="s">
        <v>814</v>
      </c>
      <c r="G460">
        <v>17</v>
      </c>
      <c r="H460">
        <v>20</v>
      </c>
      <c r="I460">
        <v>17</v>
      </c>
      <c r="J460">
        <v>26</v>
      </c>
      <c r="L460">
        <v>6</v>
      </c>
      <c r="M460">
        <v>20</v>
      </c>
      <c r="N460">
        <v>12</v>
      </c>
      <c r="O460">
        <v>12</v>
      </c>
      <c r="V460" s="2"/>
      <c r="W460" s="2"/>
      <c r="X460" s="2"/>
      <c r="Y460" s="2"/>
      <c r="Z460" s="2"/>
      <c r="AA460" s="2"/>
      <c r="AB460" s="32">
        <v>31</v>
      </c>
      <c r="AC460" s="2"/>
      <c r="AD460" s="2">
        <v>0.04</v>
      </c>
      <c r="AE460" s="32">
        <v>5</v>
      </c>
      <c r="AF460" s="2"/>
      <c r="AG460" s="2"/>
      <c r="AH460" s="2"/>
      <c r="AL460" s="2"/>
    </row>
    <row r="461" spans="1:53" s="185" customFormat="1" ht="12.75" customHeight="1">
      <c r="A461" s="29" t="s">
        <v>876</v>
      </c>
      <c r="B461" s="29"/>
      <c r="C461" s="29"/>
      <c r="D461" s="29"/>
      <c r="E461" s="29"/>
      <c r="F461" s="29"/>
      <c r="G461" s="29">
        <v>17</v>
      </c>
      <c r="H461" s="29">
        <v>20</v>
      </c>
      <c r="I461" s="29">
        <v>17</v>
      </c>
      <c r="J461" s="29">
        <v>26</v>
      </c>
      <c r="K461" s="29"/>
      <c r="L461" s="29">
        <v>6</v>
      </c>
      <c r="M461" s="29">
        <v>20</v>
      </c>
      <c r="N461" s="29">
        <v>42</v>
      </c>
      <c r="O461" s="29">
        <v>12</v>
      </c>
      <c r="P461" s="29"/>
      <c r="Q461" s="29"/>
      <c r="R461" s="29"/>
      <c r="S461" s="29"/>
      <c r="T461" s="29"/>
      <c r="U461" s="29"/>
      <c r="V461" s="12">
        <v>0.05</v>
      </c>
      <c r="W461" s="29"/>
      <c r="X461" s="29"/>
      <c r="Y461" s="29"/>
      <c r="Z461" s="29"/>
      <c r="AA461" s="29"/>
      <c r="AB461" s="29">
        <v>30</v>
      </c>
      <c r="AC461" s="29"/>
      <c r="AD461" s="12">
        <v>0.04</v>
      </c>
      <c r="AE461" s="29">
        <v>5</v>
      </c>
      <c r="AF461" s="29"/>
      <c r="AH461" s="12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</row>
    <row r="462" spans="1:53" s="185" customFormat="1" ht="12.75" customHeight="1">
      <c r="A462" s="29" t="s">
        <v>877</v>
      </c>
      <c r="B462" s="29"/>
      <c r="C462" s="29"/>
      <c r="D462" s="29"/>
      <c r="E462" s="29"/>
      <c r="F462" s="29"/>
      <c r="G462" s="29">
        <v>17</v>
      </c>
      <c r="H462" s="29">
        <v>20</v>
      </c>
      <c r="I462" s="29">
        <v>17</v>
      </c>
      <c r="J462" s="29">
        <v>26</v>
      </c>
      <c r="K462" s="29"/>
      <c r="L462" s="29">
        <v>6</v>
      </c>
      <c r="M462" s="29">
        <v>20</v>
      </c>
      <c r="N462" s="29">
        <v>42</v>
      </c>
      <c r="O462" s="29">
        <v>12</v>
      </c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>
        <v>30</v>
      </c>
      <c r="AC462" s="29"/>
      <c r="AD462" s="12">
        <v>0.04</v>
      </c>
      <c r="AE462" s="29">
        <v>13</v>
      </c>
      <c r="AF462" s="29"/>
      <c r="AH462" s="12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</row>
    <row r="463" spans="1:53" s="185" customFormat="1" ht="12.75" customHeight="1">
      <c r="A463" s="29" t="s">
        <v>878</v>
      </c>
      <c r="B463" s="29"/>
      <c r="C463" s="29"/>
      <c r="D463" s="29"/>
      <c r="E463" s="29"/>
      <c r="F463" s="29"/>
      <c r="G463" s="29">
        <v>17</v>
      </c>
      <c r="H463" s="29">
        <v>20</v>
      </c>
      <c r="I463" s="29">
        <v>17</v>
      </c>
      <c r="J463" s="29">
        <v>26</v>
      </c>
      <c r="K463" s="29"/>
      <c r="L463" s="29">
        <v>6</v>
      </c>
      <c r="M463" s="29">
        <v>20</v>
      </c>
      <c r="N463" s="29">
        <v>42</v>
      </c>
      <c r="O463" s="29">
        <v>12</v>
      </c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>
        <v>30</v>
      </c>
      <c r="AC463" s="29"/>
      <c r="AD463" s="12">
        <v>0.04</v>
      </c>
      <c r="AE463" s="29">
        <v>5</v>
      </c>
      <c r="AF463" s="29"/>
      <c r="AH463" s="12">
        <v>0.05</v>
      </c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</row>
    <row r="464" spans="1:53">
      <c r="A464" s="29" t="s">
        <v>870</v>
      </c>
      <c r="G464">
        <v>17</v>
      </c>
      <c r="H464">
        <v>20</v>
      </c>
      <c r="I464">
        <v>17</v>
      </c>
      <c r="J464">
        <v>26</v>
      </c>
      <c r="L464">
        <v>6</v>
      </c>
      <c r="M464">
        <v>20</v>
      </c>
      <c r="N464">
        <f>12+25</f>
        <v>37</v>
      </c>
      <c r="O464">
        <f>12+25</f>
        <v>37</v>
      </c>
      <c r="V464" s="2">
        <v>0.04</v>
      </c>
      <c r="W464" s="2"/>
      <c r="X464" s="2"/>
      <c r="Y464" s="2"/>
      <c r="Z464" s="2"/>
      <c r="AA464" s="2"/>
      <c r="AB464" s="32">
        <v>31</v>
      </c>
      <c r="AC464" s="2"/>
      <c r="AD464" s="2">
        <v>0.04</v>
      </c>
      <c r="AE464" s="42">
        <v>5</v>
      </c>
      <c r="AF464" s="2"/>
      <c r="AG464" s="2"/>
      <c r="AH464" s="2"/>
      <c r="AL464" s="2"/>
    </row>
    <row r="465" spans="1:40">
      <c r="A465" s="29" t="s">
        <v>888</v>
      </c>
      <c r="G465">
        <v>27</v>
      </c>
      <c r="H465">
        <v>20</v>
      </c>
      <c r="I465">
        <v>17</v>
      </c>
      <c r="J465">
        <v>26</v>
      </c>
      <c r="L465">
        <v>6</v>
      </c>
      <c r="M465">
        <v>20</v>
      </c>
      <c r="N465">
        <f>12+12</f>
        <v>24</v>
      </c>
      <c r="O465">
        <f>12+13</f>
        <v>25</v>
      </c>
      <c r="V465" s="2"/>
      <c r="W465" s="2"/>
      <c r="X465" s="2"/>
      <c r="Y465" s="2"/>
      <c r="Z465" s="2"/>
      <c r="AA465" s="2"/>
      <c r="AB465" s="32">
        <v>31</v>
      </c>
      <c r="AC465" s="2"/>
      <c r="AD465" s="2">
        <v>0.04</v>
      </c>
      <c r="AE465" s="32">
        <v>10</v>
      </c>
      <c r="AF465" s="2"/>
      <c r="AG465" s="2"/>
      <c r="AH465" s="2"/>
      <c r="AL465" s="2"/>
      <c r="AM465"/>
      <c r="AN465"/>
    </row>
    <row r="466" spans="1:40">
      <c r="A466" s="29" t="s">
        <v>949</v>
      </c>
      <c r="G466">
        <v>17</v>
      </c>
      <c r="H466">
        <v>20</v>
      </c>
      <c r="I466">
        <v>17</v>
      </c>
      <c r="J466">
        <v>26</v>
      </c>
      <c r="L466">
        <v>6</v>
      </c>
      <c r="M466">
        <v>20</v>
      </c>
      <c r="N466">
        <v>12</v>
      </c>
      <c r="O466">
        <v>12</v>
      </c>
      <c r="V466" s="2">
        <v>0.02</v>
      </c>
      <c r="W466" s="2"/>
      <c r="X466" s="2">
        <v>0.02</v>
      </c>
      <c r="Y466" s="2"/>
      <c r="Z466" s="2"/>
      <c r="AA466" s="2"/>
      <c r="AB466" s="32">
        <v>31</v>
      </c>
      <c r="AC466" s="2"/>
      <c r="AD466" s="2">
        <v>0.04</v>
      </c>
      <c r="AE466" s="32">
        <v>5</v>
      </c>
      <c r="AF466" s="2"/>
      <c r="AG466" s="2"/>
      <c r="AH466" s="2"/>
      <c r="AL466" s="2"/>
    </row>
    <row r="467" spans="1:40">
      <c r="A467" s="29" t="s">
        <v>937</v>
      </c>
      <c r="G467">
        <v>17</v>
      </c>
      <c r="H467">
        <v>35</v>
      </c>
      <c r="I467">
        <v>17</v>
      </c>
      <c r="J467">
        <v>26</v>
      </c>
      <c r="L467">
        <v>6</v>
      </c>
      <c r="M467">
        <v>20</v>
      </c>
      <c r="N467">
        <v>62</v>
      </c>
      <c r="O467">
        <v>62</v>
      </c>
      <c r="V467" s="2"/>
      <c r="W467" s="2">
        <v>0.03</v>
      </c>
      <c r="X467" s="2">
        <v>0.03</v>
      </c>
      <c r="Y467" s="2"/>
      <c r="Z467" s="2"/>
      <c r="AA467" s="2"/>
      <c r="AB467" s="32">
        <v>31</v>
      </c>
      <c r="AC467" s="2"/>
      <c r="AD467" s="2">
        <v>0.04</v>
      </c>
      <c r="AE467" s="32">
        <v>5</v>
      </c>
      <c r="AF467" s="2"/>
      <c r="AG467" s="2"/>
      <c r="AH467" s="2"/>
      <c r="AL467" s="2"/>
    </row>
    <row r="468" spans="1:40">
      <c r="A468" t="s">
        <v>597</v>
      </c>
      <c r="G468">
        <v>15</v>
      </c>
      <c r="H468">
        <v>17</v>
      </c>
      <c r="I468">
        <v>15</v>
      </c>
      <c r="J468">
        <v>32</v>
      </c>
      <c r="L468">
        <v>15</v>
      </c>
      <c r="M468">
        <v>26</v>
      </c>
      <c r="N468">
        <f>12+14</f>
        <v>26</v>
      </c>
      <c r="O468">
        <f>12+4</f>
        <v>16</v>
      </c>
      <c r="V468" s="2"/>
      <c r="W468" s="2"/>
      <c r="X468" s="2"/>
      <c r="Y468" s="2"/>
      <c r="Z468" s="2"/>
      <c r="AA468" s="2"/>
      <c r="AB468" s="32">
        <v>51</v>
      </c>
      <c r="AC468" s="2"/>
      <c r="AD468" s="2"/>
      <c r="AE468" s="32"/>
      <c r="AF468" s="2"/>
      <c r="AG468" s="2"/>
      <c r="AH468" s="2"/>
      <c r="AL468" s="2"/>
      <c r="AM468"/>
      <c r="AN468"/>
    </row>
    <row r="469" spans="1:40">
      <c r="AC469" s="2"/>
      <c r="AD469" s="2"/>
      <c r="AE469" s="32"/>
      <c r="AF469" s="2"/>
      <c r="AG469" s="2"/>
      <c r="AH469" s="2"/>
      <c r="AL469" s="2"/>
      <c r="AM469"/>
      <c r="AN469"/>
    </row>
    <row r="474" spans="1:40">
      <c r="AC474" s="2"/>
      <c r="AD474" s="2"/>
      <c r="AF474" s="2"/>
      <c r="AG474" s="2"/>
      <c r="AH474" s="2"/>
      <c r="AL474" s="2"/>
      <c r="AM474"/>
      <c r="AN474"/>
    </row>
  </sheetData>
  <sortState ref="A292:BP293">
    <sortCondition ref="A29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indexed="46"/>
  </sheetPr>
  <dimension ref="A2:XFD188"/>
  <sheetViews>
    <sheetView topLeftCell="A64" workbookViewId="0">
      <selection activeCell="K84" sqref="K84"/>
    </sheetView>
  </sheetViews>
  <sheetFormatPr defaultRowHeight="12.75"/>
  <cols>
    <col min="1" max="1" width="23.140625" customWidth="1"/>
    <col min="2" max="2" width="13.28515625" customWidth="1"/>
    <col min="3" max="3" width="11.7109375" customWidth="1"/>
    <col min="4" max="4" width="12.140625" customWidth="1"/>
    <col min="5" max="5" width="12.5703125" customWidth="1"/>
    <col min="6" max="6" width="12.28515625" customWidth="1"/>
    <col min="7" max="7" width="12.140625" customWidth="1"/>
    <col min="9" max="9" width="9.28515625" customWidth="1"/>
    <col min="10" max="10" width="12.42578125" customWidth="1"/>
  </cols>
  <sheetData>
    <row r="2" spans="1:17">
      <c r="A2" t="s">
        <v>80</v>
      </c>
      <c r="B2" t="s">
        <v>217</v>
      </c>
      <c r="C2" t="s">
        <v>568</v>
      </c>
      <c r="D2" t="s">
        <v>569</v>
      </c>
      <c r="E2" t="s">
        <v>3</v>
      </c>
      <c r="F2" t="s">
        <v>4</v>
      </c>
      <c r="G2" t="s">
        <v>42</v>
      </c>
      <c r="H2" t="s">
        <v>5</v>
      </c>
      <c r="I2" t="s">
        <v>181</v>
      </c>
      <c r="J2" t="s">
        <v>182</v>
      </c>
      <c r="K2" t="s">
        <v>13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</row>
    <row r="3" spans="1:17">
      <c r="A3" t="s">
        <v>53</v>
      </c>
      <c r="L3" s="2"/>
      <c r="O3" s="2"/>
    </row>
    <row r="4" spans="1:17">
      <c r="A4" t="s">
        <v>96</v>
      </c>
      <c r="L4" s="2">
        <v>0.2</v>
      </c>
      <c r="M4">
        <v>50</v>
      </c>
      <c r="O4" s="2">
        <v>0.1</v>
      </c>
      <c r="P4">
        <v>48</v>
      </c>
    </row>
    <row r="5" spans="1:17">
      <c r="A5" t="s">
        <v>97</v>
      </c>
      <c r="L5" s="2">
        <v>0.21</v>
      </c>
      <c r="M5">
        <v>55</v>
      </c>
      <c r="O5" s="2">
        <v>0.11</v>
      </c>
      <c r="P5">
        <v>52</v>
      </c>
    </row>
    <row r="6" spans="1:17">
      <c r="A6" t="s">
        <v>93</v>
      </c>
      <c r="F6">
        <v>6</v>
      </c>
      <c r="H6">
        <v>5</v>
      </c>
      <c r="L6" s="2"/>
      <c r="O6" s="2">
        <v>0.16</v>
      </c>
      <c r="P6">
        <v>76</v>
      </c>
    </row>
    <row r="7" spans="1:17">
      <c r="A7" t="s">
        <v>94</v>
      </c>
      <c r="L7" s="2"/>
      <c r="O7" s="2">
        <v>0.13</v>
      </c>
      <c r="P7">
        <v>62</v>
      </c>
    </row>
    <row r="8" spans="1:17">
      <c r="A8" t="s">
        <v>92</v>
      </c>
      <c r="E8">
        <v>5</v>
      </c>
      <c r="F8">
        <v>6</v>
      </c>
      <c r="L8" s="2"/>
      <c r="O8" s="2">
        <v>0.15</v>
      </c>
      <c r="P8">
        <v>72</v>
      </c>
    </row>
    <row r="9" spans="1:17">
      <c r="A9" t="s">
        <v>98</v>
      </c>
      <c r="F9">
        <v>6</v>
      </c>
      <c r="L9" s="2"/>
      <c r="O9" s="2">
        <v>0.15</v>
      </c>
      <c r="P9">
        <v>72</v>
      </c>
    </row>
    <row r="10" spans="1:17">
      <c r="A10" t="s">
        <v>816</v>
      </c>
      <c r="E10">
        <v>6</v>
      </c>
      <c r="F10">
        <v>7</v>
      </c>
      <c r="I10">
        <v>-3</v>
      </c>
      <c r="L10" s="2"/>
      <c r="O10" s="2">
        <v>0.1</v>
      </c>
      <c r="P10">
        <v>100</v>
      </c>
    </row>
    <row r="11" spans="1:17">
      <c r="A11" t="s">
        <v>91</v>
      </c>
      <c r="E11">
        <v>6</v>
      </c>
      <c r="I11">
        <v>-3</v>
      </c>
      <c r="L11" s="2">
        <v>0.18</v>
      </c>
      <c r="M11">
        <v>90</v>
      </c>
      <c r="O11" s="2"/>
    </row>
    <row r="12" spans="1:17">
      <c r="A12" t="s">
        <v>712</v>
      </c>
      <c r="C12" s="29"/>
      <c r="D12" s="29"/>
      <c r="E12" s="29">
        <v>8</v>
      </c>
      <c r="K12" s="29"/>
      <c r="L12" s="12">
        <v>0.23</v>
      </c>
      <c r="M12" s="29">
        <v>180</v>
      </c>
    </row>
    <row r="13" spans="1:17">
      <c r="A13" t="s">
        <v>713</v>
      </c>
      <c r="C13" s="29"/>
      <c r="D13" s="29"/>
      <c r="E13" s="29">
        <v>7</v>
      </c>
      <c r="K13" s="29">
        <v>-10</v>
      </c>
      <c r="L13" s="12">
        <v>0.17</v>
      </c>
      <c r="M13" s="29">
        <v>110</v>
      </c>
    </row>
    <row r="14" spans="1:17">
      <c r="A14" t="s">
        <v>714</v>
      </c>
      <c r="C14" s="29"/>
      <c r="D14" s="29"/>
      <c r="E14" s="29">
        <v>8</v>
      </c>
      <c r="K14" s="29"/>
      <c r="L14" s="12">
        <v>0.23499999999999999</v>
      </c>
      <c r="M14" s="29">
        <v>175</v>
      </c>
    </row>
    <row r="15" spans="1:17">
      <c r="A15" t="s">
        <v>145</v>
      </c>
      <c r="C15" s="2">
        <v>0.14000000000000001</v>
      </c>
      <c r="D15">
        <v>175</v>
      </c>
      <c r="E15">
        <v>4</v>
      </c>
      <c r="H15">
        <v>2</v>
      </c>
      <c r="I15">
        <v>-3</v>
      </c>
      <c r="K15">
        <v>6</v>
      </c>
      <c r="L15" s="2">
        <v>0.18</v>
      </c>
      <c r="M15">
        <v>65</v>
      </c>
      <c r="O15" s="2"/>
    </row>
    <row r="16" spans="1:17">
      <c r="A16" t="s">
        <v>570</v>
      </c>
      <c r="C16" s="2">
        <v>0.12</v>
      </c>
      <c r="D16">
        <v>150</v>
      </c>
      <c r="E16">
        <v>5</v>
      </c>
      <c r="H16">
        <v>2</v>
      </c>
      <c r="I16">
        <v>-7</v>
      </c>
      <c r="K16">
        <v>5</v>
      </c>
      <c r="L16" s="2">
        <v>0.22500000000000001</v>
      </c>
      <c r="M16">
        <v>120</v>
      </c>
      <c r="O16" s="2"/>
    </row>
    <row r="17" spans="1:15">
      <c r="A17" t="s">
        <v>87</v>
      </c>
      <c r="E17">
        <v>5</v>
      </c>
      <c r="I17">
        <v>-2</v>
      </c>
      <c r="L17" s="2">
        <v>0.22</v>
      </c>
      <c r="M17">
        <v>60</v>
      </c>
      <c r="O17" s="2"/>
    </row>
    <row r="18" spans="1:15">
      <c r="A18" t="s">
        <v>88</v>
      </c>
      <c r="E18">
        <v>5</v>
      </c>
      <c r="I18">
        <v>-2</v>
      </c>
      <c r="L18" s="2">
        <v>0.22</v>
      </c>
      <c r="M18">
        <v>65</v>
      </c>
      <c r="O18" s="2"/>
    </row>
    <row r="19" spans="1:15">
      <c r="A19" t="s">
        <v>90</v>
      </c>
      <c r="E19">
        <v>5</v>
      </c>
      <c r="I19">
        <v>-2</v>
      </c>
      <c r="L19" s="2">
        <v>0.2</v>
      </c>
      <c r="M19">
        <v>75</v>
      </c>
      <c r="O19" s="2"/>
    </row>
    <row r="20" spans="1:15">
      <c r="A20" t="s">
        <v>89</v>
      </c>
      <c r="E20">
        <v>5</v>
      </c>
      <c r="I20">
        <v>-2</v>
      </c>
      <c r="L20" s="2">
        <v>0.22</v>
      </c>
      <c r="M20">
        <v>80</v>
      </c>
      <c r="O20" s="2"/>
    </row>
    <row r="21" spans="1:15">
      <c r="A21" t="s">
        <v>95</v>
      </c>
      <c r="E21">
        <v>5</v>
      </c>
      <c r="I21">
        <v>-4</v>
      </c>
      <c r="L21" s="2">
        <v>0.23</v>
      </c>
      <c r="M21">
        <v>75</v>
      </c>
      <c r="O21" s="2"/>
    </row>
    <row r="22" spans="1:15">
      <c r="A22" t="s">
        <v>110</v>
      </c>
      <c r="E22">
        <v>5</v>
      </c>
      <c r="I22">
        <v>-4</v>
      </c>
      <c r="L22" s="2">
        <v>0.2</v>
      </c>
      <c r="M22">
        <v>85</v>
      </c>
      <c r="O22" s="2"/>
    </row>
    <row r="23" spans="1:15">
      <c r="A23" t="s">
        <v>111</v>
      </c>
      <c r="E23">
        <v>5</v>
      </c>
      <c r="I23">
        <v>-2</v>
      </c>
      <c r="L23" s="2">
        <v>0.23</v>
      </c>
      <c r="M23">
        <v>90</v>
      </c>
      <c r="O23" s="2"/>
    </row>
    <row r="24" spans="1:15">
      <c r="A24" t="s">
        <v>109</v>
      </c>
      <c r="E24">
        <v>7</v>
      </c>
      <c r="I24">
        <v>-2</v>
      </c>
      <c r="L24" s="2">
        <v>0.247</v>
      </c>
      <c r="M24">
        <v>150</v>
      </c>
      <c r="O24" s="2"/>
    </row>
    <row r="27" spans="1:15">
      <c r="A27" s="14" t="s">
        <v>174</v>
      </c>
    </row>
    <row r="28" spans="1:15">
      <c r="A28" t="s">
        <v>172</v>
      </c>
    </row>
    <row r="29" spans="1:15">
      <c r="A29" s="29" t="s">
        <v>725</v>
      </c>
    </row>
    <row r="30" spans="1:15">
      <c r="A30" s="29" t="s">
        <v>726</v>
      </c>
    </row>
    <row r="31" spans="1:15">
      <c r="A31" t="s">
        <v>212</v>
      </c>
    </row>
    <row r="32" spans="1:15">
      <c r="A32" t="s">
        <v>173</v>
      </c>
    </row>
    <row r="33" spans="1:1">
      <c r="A33" t="s">
        <v>213</v>
      </c>
    </row>
    <row r="34" spans="1:1">
      <c r="A34" t="s">
        <v>407</v>
      </c>
    </row>
    <row r="36" spans="1:1">
      <c r="A36" s="14" t="s">
        <v>175</v>
      </c>
    </row>
    <row r="37" spans="1:1">
      <c r="A37" t="s">
        <v>176</v>
      </c>
    </row>
    <row r="38" spans="1:1">
      <c r="A38" t="s">
        <v>177</v>
      </c>
    </row>
    <row r="39" spans="1:1">
      <c r="A39" s="29" t="s">
        <v>191</v>
      </c>
    </row>
    <row r="40" spans="1:1">
      <c r="A40" s="29" t="s">
        <v>728</v>
      </c>
    </row>
    <row r="41" spans="1:1">
      <c r="A41" t="s">
        <v>375</v>
      </c>
    </row>
    <row r="43" spans="1:1">
      <c r="A43" s="14" t="s">
        <v>178</v>
      </c>
    </row>
    <row r="44" spans="1:1">
      <c r="A44" t="s">
        <v>179</v>
      </c>
    </row>
    <row r="45" spans="1:1">
      <c r="A45" t="s">
        <v>926</v>
      </c>
    </row>
    <row r="46" spans="1:1">
      <c r="A46" s="29" t="s">
        <v>785</v>
      </c>
    </row>
    <row r="47" spans="1:1">
      <c r="A47" s="29" t="s">
        <v>724</v>
      </c>
    </row>
    <row r="49" spans="1:2">
      <c r="A49" s="14" t="s">
        <v>180</v>
      </c>
    </row>
    <row r="50" spans="1:2">
      <c r="A50" t="s">
        <v>410</v>
      </c>
    </row>
    <row r="52" spans="1:2">
      <c r="A52" s="14" t="s">
        <v>166</v>
      </c>
    </row>
    <row r="53" spans="1:2">
      <c r="A53" s="20" t="s">
        <v>167</v>
      </c>
    </row>
    <row r="54" spans="1:2">
      <c r="A54" s="20" t="s">
        <v>168</v>
      </c>
    </row>
    <row r="55" spans="1:2">
      <c r="A55" s="20" t="s">
        <v>169</v>
      </c>
    </row>
    <row r="56" spans="1:2">
      <c r="A56" s="20" t="s">
        <v>170</v>
      </c>
    </row>
    <row r="58" spans="1:2">
      <c r="A58" s="22" t="s">
        <v>614</v>
      </c>
    </row>
    <row r="59" spans="1:2">
      <c r="A59" s="29" t="s">
        <v>167</v>
      </c>
      <c r="B59" s="29" t="s">
        <v>619</v>
      </c>
    </row>
    <row r="60" spans="1:2">
      <c r="A60" s="29" t="s">
        <v>615</v>
      </c>
      <c r="B60" s="29" t="s">
        <v>619</v>
      </c>
    </row>
    <row r="61" spans="1:2">
      <c r="A61" s="29" t="s">
        <v>616</v>
      </c>
      <c r="B61" s="29" t="s">
        <v>619</v>
      </c>
    </row>
    <row r="62" spans="1:2">
      <c r="A62" s="29" t="s">
        <v>169</v>
      </c>
      <c r="B62" s="29" t="s">
        <v>620</v>
      </c>
    </row>
    <row r="64" spans="1:2">
      <c r="A64" s="22" t="s">
        <v>617</v>
      </c>
    </row>
    <row r="65" spans="1:20">
      <c r="A65" s="29" t="s">
        <v>137</v>
      </c>
    </row>
    <row r="66" spans="1:20">
      <c r="A66" s="29"/>
    </row>
    <row r="67" spans="1:20">
      <c r="A67" s="22" t="s">
        <v>618</v>
      </c>
    </row>
    <row r="68" spans="1:20">
      <c r="A68" s="29" t="s">
        <v>169</v>
      </c>
    </row>
    <row r="70" spans="1:20">
      <c r="A70" s="22" t="s">
        <v>621</v>
      </c>
    </row>
    <row r="71" spans="1:20">
      <c r="A71" s="29" t="s">
        <v>167</v>
      </c>
      <c r="B71" t="s">
        <v>491</v>
      </c>
      <c r="C71">
        <v>276</v>
      </c>
      <c r="D71">
        <f>Setup!B20</f>
        <v>16</v>
      </c>
    </row>
    <row r="72" spans="1:20">
      <c r="A72" s="29" t="s">
        <v>615</v>
      </c>
      <c r="B72" t="s">
        <v>488</v>
      </c>
      <c r="C72">
        <v>269</v>
      </c>
      <c r="D72">
        <f>Setup!B21</f>
        <v>16</v>
      </c>
    </row>
    <row r="73" spans="1:20">
      <c r="A73" s="29" t="s">
        <v>616</v>
      </c>
      <c r="B73" t="s">
        <v>489</v>
      </c>
      <c r="C73">
        <v>240</v>
      </c>
      <c r="D73">
        <f>Setup!B22</f>
        <v>16</v>
      </c>
    </row>
    <row r="74" spans="1:20">
      <c r="A74" s="29" t="s">
        <v>169</v>
      </c>
      <c r="B74" t="s">
        <v>490</v>
      </c>
      <c r="C74">
        <v>240</v>
      </c>
      <c r="D74">
        <f>Setup!B23</f>
        <v>16</v>
      </c>
    </row>
    <row r="75" spans="1:20">
      <c r="A75" s="29" t="s">
        <v>137</v>
      </c>
      <c r="B75" s="29" t="s">
        <v>53</v>
      </c>
      <c r="C75">
        <v>0</v>
      </c>
      <c r="D75">
        <v>0</v>
      </c>
    </row>
    <row r="77" spans="1:20">
      <c r="A77" s="14" t="s">
        <v>409</v>
      </c>
      <c r="B77" s="14" t="s">
        <v>186</v>
      </c>
      <c r="C77" s="14" t="s">
        <v>465</v>
      </c>
      <c r="D77" s="14" t="s">
        <v>466</v>
      </c>
      <c r="E77" s="14" t="s">
        <v>467</v>
      </c>
      <c r="F77" s="14" t="s">
        <v>468</v>
      </c>
      <c r="G77" s="14" t="s">
        <v>469</v>
      </c>
      <c r="H77" s="17" t="s">
        <v>470</v>
      </c>
      <c r="I77" s="14" t="s">
        <v>471</v>
      </c>
      <c r="J77" s="14" t="s">
        <v>472</v>
      </c>
      <c r="K77" s="21" t="s">
        <v>473</v>
      </c>
      <c r="L77" s="14" t="s">
        <v>286</v>
      </c>
      <c r="M77" s="14" t="s">
        <v>474</v>
      </c>
      <c r="N77" s="14" t="s">
        <v>475</v>
      </c>
      <c r="O77" s="21" t="s">
        <v>476</v>
      </c>
      <c r="P77" s="21" t="s">
        <v>477</v>
      </c>
      <c r="Q77" s="21" t="s">
        <v>478</v>
      </c>
      <c r="R77" s="21" t="s">
        <v>485</v>
      </c>
      <c r="S77" s="21" t="s">
        <v>486</v>
      </c>
      <c r="T77" s="21" t="s">
        <v>487</v>
      </c>
    </row>
    <row r="78" spans="1:20">
      <c r="A78" t="s">
        <v>172</v>
      </c>
      <c r="B78">
        <v>0</v>
      </c>
      <c r="C78">
        <v>3</v>
      </c>
      <c r="D78" t="s">
        <v>3</v>
      </c>
      <c r="E78" s="2">
        <v>0.3</v>
      </c>
      <c r="F78" s="20" t="s">
        <v>182</v>
      </c>
      <c r="G78" s="40">
        <v>0.5</v>
      </c>
      <c r="H78" s="86">
        <v>0.875</v>
      </c>
      <c r="I78" s="86">
        <v>0.875</v>
      </c>
      <c r="J78" s="86">
        <v>0.875</v>
      </c>
      <c r="K78" s="116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>
      <c r="A79" s="29" t="s">
        <v>725</v>
      </c>
      <c r="B79">
        <v>0</v>
      </c>
      <c r="C79">
        <v>1</v>
      </c>
      <c r="D79" t="s">
        <v>3</v>
      </c>
      <c r="E79" s="2">
        <v>0.6</v>
      </c>
      <c r="F79" s="20" t="s">
        <v>182</v>
      </c>
      <c r="G79" s="40">
        <v>0.6</v>
      </c>
      <c r="H79" s="86">
        <v>2</v>
      </c>
      <c r="I79" s="86">
        <v>4</v>
      </c>
      <c r="J79" s="86">
        <v>7</v>
      </c>
      <c r="K79" s="116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>
      <c r="A80" s="29" t="s">
        <v>726</v>
      </c>
      <c r="B80">
        <v>0</v>
      </c>
      <c r="C80">
        <v>0</v>
      </c>
      <c r="D80" t="s">
        <v>3</v>
      </c>
      <c r="E80" s="2">
        <v>0.5</v>
      </c>
      <c r="F80" s="154" t="s">
        <v>181</v>
      </c>
      <c r="G80" s="40">
        <v>0.5</v>
      </c>
      <c r="H80" s="86">
        <v>1.375</v>
      </c>
      <c r="I80" s="86">
        <v>2.75</v>
      </c>
      <c r="J80" s="86">
        <v>4.75</v>
      </c>
      <c r="K80" s="116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>
      <c r="A81" t="s">
        <v>212</v>
      </c>
      <c r="B81">
        <v>0</v>
      </c>
      <c r="C81">
        <v>0</v>
      </c>
      <c r="D81" s="29" t="s">
        <v>3</v>
      </c>
      <c r="E81" s="2">
        <v>0.4</v>
      </c>
      <c r="F81" s="154" t="s">
        <v>181</v>
      </c>
      <c r="G81" s="40">
        <v>0.4</v>
      </c>
      <c r="H81" s="86">
        <v>2.75</v>
      </c>
      <c r="I81" s="86">
        <v>2.75</v>
      </c>
      <c r="J81" s="86">
        <v>2.75</v>
      </c>
      <c r="K81" s="116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>
      <c r="A82" t="s">
        <v>173</v>
      </c>
      <c r="B82">
        <v>0</v>
      </c>
      <c r="C82">
        <v>3</v>
      </c>
      <c r="D82" t="s">
        <v>3</v>
      </c>
      <c r="E82" s="2">
        <v>0.2</v>
      </c>
      <c r="F82" s="20" t="s">
        <v>181</v>
      </c>
      <c r="G82" s="40">
        <v>0.2</v>
      </c>
      <c r="H82" s="86">
        <v>0.5</v>
      </c>
      <c r="I82" s="86">
        <v>3.25</v>
      </c>
      <c r="J82" s="86">
        <v>6</v>
      </c>
      <c r="K82" s="116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</row>
    <row r="83" spans="1:20">
      <c r="A83" t="s">
        <v>213</v>
      </c>
      <c r="B83">
        <v>0</v>
      </c>
      <c r="C83">
        <v>0</v>
      </c>
      <c r="D83" t="s">
        <v>3</v>
      </c>
      <c r="E83" s="2">
        <v>0.6</v>
      </c>
      <c r="F83" s="20" t="s">
        <v>182</v>
      </c>
      <c r="G83" s="40">
        <v>0.6</v>
      </c>
      <c r="H83" s="117">
        <v>3</v>
      </c>
      <c r="I83" s="16">
        <v>3</v>
      </c>
      <c r="J83" s="16">
        <v>3</v>
      </c>
      <c r="K83" s="116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0.1</v>
      </c>
      <c r="S83" s="2">
        <v>0.3</v>
      </c>
      <c r="T83" s="2">
        <v>0.5</v>
      </c>
    </row>
    <row r="84" spans="1:20">
      <c r="A84" t="s">
        <v>407</v>
      </c>
      <c r="B84">
        <v>0</v>
      </c>
      <c r="C84">
        <v>3</v>
      </c>
      <c r="D84" t="s">
        <v>181</v>
      </c>
      <c r="E84" s="2">
        <f>IF(Setup!B25&gt;0, 70% + 3% *Setup!B25, 0)</f>
        <v>0.85</v>
      </c>
      <c r="F84" s="20" t="s">
        <v>462</v>
      </c>
      <c r="G84" s="40">
        <v>0</v>
      </c>
      <c r="H84" s="86">
        <v>0.75</v>
      </c>
      <c r="I84" s="86">
        <v>1.25</v>
      </c>
      <c r="J84" s="86">
        <v>2</v>
      </c>
      <c r="K84" s="116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>
      <c r="A85" t="s">
        <v>176</v>
      </c>
      <c r="B85">
        <v>0</v>
      </c>
      <c r="C85">
        <v>0</v>
      </c>
      <c r="D85" t="s">
        <v>3</v>
      </c>
      <c r="E85" s="2">
        <v>0.3</v>
      </c>
      <c r="F85" s="26" t="s">
        <v>181</v>
      </c>
      <c r="G85" s="40">
        <v>0.3</v>
      </c>
      <c r="H85" s="3">
        <v>2.5</v>
      </c>
      <c r="I85" s="3">
        <v>3.5</v>
      </c>
      <c r="J85" s="3">
        <v>4.5</v>
      </c>
      <c r="K85" s="116">
        <v>0</v>
      </c>
      <c r="L85" s="2">
        <v>0.5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>
      <c r="A86" t="s">
        <v>177</v>
      </c>
      <c r="B86">
        <v>0</v>
      </c>
      <c r="C86">
        <v>0</v>
      </c>
      <c r="D86" t="s">
        <v>3</v>
      </c>
      <c r="E86" s="2">
        <v>0.5</v>
      </c>
      <c r="F86" s="20" t="s">
        <v>181</v>
      </c>
      <c r="G86" s="40">
        <v>0.5</v>
      </c>
      <c r="H86" s="86">
        <v>1.5</v>
      </c>
      <c r="I86" s="86">
        <v>2.5</v>
      </c>
      <c r="J86" s="86">
        <v>3.5</v>
      </c>
      <c r="K86" s="116">
        <v>0</v>
      </c>
      <c r="L86" s="2">
        <v>0.75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>
      <c r="A87" s="29" t="s">
        <v>728</v>
      </c>
      <c r="B87">
        <v>0</v>
      </c>
      <c r="C87">
        <v>0</v>
      </c>
      <c r="D87" s="29" t="s">
        <v>3</v>
      </c>
      <c r="E87" s="2">
        <v>0.4</v>
      </c>
      <c r="F87" s="25" t="s">
        <v>5</v>
      </c>
      <c r="G87" s="40">
        <v>0.4</v>
      </c>
      <c r="H87" s="3">
        <v>3</v>
      </c>
      <c r="I87" s="3">
        <v>3</v>
      </c>
      <c r="J87" s="3">
        <v>3</v>
      </c>
      <c r="K87" s="116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>
      <c r="A88" s="29" t="s">
        <v>191</v>
      </c>
      <c r="B88">
        <v>0</v>
      </c>
      <c r="C88">
        <v>0</v>
      </c>
      <c r="D88" t="s">
        <v>5</v>
      </c>
      <c r="E88" s="2">
        <v>0.8</v>
      </c>
      <c r="F88" s="26" t="s">
        <v>462</v>
      </c>
      <c r="G88" s="40">
        <v>0</v>
      </c>
      <c r="H88" s="3">
        <v>4.75</v>
      </c>
      <c r="I88" s="3">
        <v>7.5</v>
      </c>
      <c r="J88" s="3">
        <v>10</v>
      </c>
      <c r="K88" s="116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>
      <c r="A89" t="s">
        <v>375</v>
      </c>
      <c r="B89">
        <v>0</v>
      </c>
      <c r="C89">
        <v>4</v>
      </c>
      <c r="D89" t="s">
        <v>3</v>
      </c>
      <c r="E89" s="2">
        <f>IF(Setup!B24&gt;0, 70% + 3% *Setup!B24, 0)</f>
        <v>0.85</v>
      </c>
      <c r="F89" s="20" t="s">
        <v>462</v>
      </c>
      <c r="G89" s="40">
        <v>0</v>
      </c>
      <c r="H89" s="86">
        <v>0.71875</v>
      </c>
      <c r="I89" s="86">
        <v>1.5</v>
      </c>
      <c r="J89" s="86">
        <v>2.25</v>
      </c>
      <c r="K89" s="116">
        <v>1</v>
      </c>
      <c r="L89" s="2">
        <v>-0.15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>
      <c r="A90" s="29" t="s">
        <v>785</v>
      </c>
      <c r="B90">
        <v>0</v>
      </c>
      <c r="C90">
        <v>0</v>
      </c>
      <c r="D90" s="29" t="s">
        <v>3</v>
      </c>
      <c r="E90" s="2">
        <v>0.5</v>
      </c>
      <c r="F90" s="154" t="s">
        <v>182</v>
      </c>
      <c r="G90" s="40">
        <v>0.5</v>
      </c>
      <c r="H90" s="86">
        <v>4</v>
      </c>
      <c r="I90" s="86">
        <v>10.25</v>
      </c>
      <c r="J90" s="86">
        <v>13.75</v>
      </c>
      <c r="K90" s="174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>
      <c r="A91" s="29" t="s">
        <v>926</v>
      </c>
      <c r="B91">
        <v>0</v>
      </c>
      <c r="C91">
        <v>0</v>
      </c>
      <c r="D91" s="29" t="s">
        <v>3</v>
      </c>
      <c r="E91" s="2">
        <v>0.5</v>
      </c>
      <c r="F91" s="154" t="s">
        <v>5</v>
      </c>
      <c r="G91" s="40">
        <v>0.5</v>
      </c>
      <c r="H91" s="86">
        <v>2.5</v>
      </c>
      <c r="I91" s="86">
        <v>6.5</v>
      </c>
      <c r="J91" s="86">
        <v>10.375</v>
      </c>
      <c r="K91" s="174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>
      <c r="A92" t="s">
        <v>179</v>
      </c>
      <c r="B92">
        <v>0</v>
      </c>
      <c r="C92">
        <v>4</v>
      </c>
      <c r="D92" t="s">
        <v>3</v>
      </c>
      <c r="E92" s="2">
        <v>0.5</v>
      </c>
      <c r="F92" s="20" t="s">
        <v>462</v>
      </c>
      <c r="G92" s="40">
        <v>0</v>
      </c>
      <c r="H92" s="117">
        <v>0.5</v>
      </c>
      <c r="I92" s="16">
        <v>0.5</v>
      </c>
      <c r="J92" s="16">
        <v>0.5</v>
      </c>
      <c r="K92" s="116">
        <v>0</v>
      </c>
      <c r="L92" s="2">
        <v>0</v>
      </c>
      <c r="M92" s="2">
        <v>0</v>
      </c>
      <c r="N92" s="2">
        <v>0</v>
      </c>
      <c r="O92" s="2">
        <v>0.1</v>
      </c>
      <c r="P92" s="2">
        <v>0.1</v>
      </c>
      <c r="Q92" s="2">
        <v>0.15</v>
      </c>
      <c r="R92" s="2">
        <v>0</v>
      </c>
      <c r="S92" s="2">
        <v>0</v>
      </c>
      <c r="T92" s="2">
        <v>0</v>
      </c>
    </row>
    <row r="93" spans="1:20">
      <c r="A93" t="s">
        <v>724</v>
      </c>
      <c r="B93">
        <v>0</v>
      </c>
      <c r="C93">
        <v>3</v>
      </c>
      <c r="D93" t="s">
        <v>3</v>
      </c>
      <c r="E93" s="2">
        <f>IF(Setup!B27&gt;0, 70% + 3% * Setup!B27, 0)</f>
        <v>0.85</v>
      </c>
      <c r="F93" s="20" t="s">
        <v>462</v>
      </c>
      <c r="G93" s="40">
        <v>0</v>
      </c>
      <c r="H93" s="117">
        <v>1</v>
      </c>
      <c r="I93" s="16">
        <v>1</v>
      </c>
      <c r="J93" s="16">
        <v>1</v>
      </c>
      <c r="K93" s="116">
        <v>1</v>
      </c>
      <c r="L93" s="2">
        <v>0.35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>
      <c r="A94" t="s">
        <v>410</v>
      </c>
      <c r="B94">
        <v>0</v>
      </c>
      <c r="C94">
        <v>3</v>
      </c>
      <c r="D94" t="s">
        <v>5</v>
      </c>
      <c r="E94" s="2">
        <f>IF(Setup!B26&gt;0, 70% + 3% *Setup!B26, 0)</f>
        <v>0.85</v>
      </c>
      <c r="F94" s="20" t="s">
        <v>462</v>
      </c>
      <c r="G94" s="40">
        <v>0</v>
      </c>
      <c r="H94" s="3">
        <v>1</v>
      </c>
      <c r="I94" s="3">
        <v>3.5</v>
      </c>
      <c r="J94" s="3">
        <v>6.5</v>
      </c>
      <c r="K94" s="116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>
      <c r="A95" s="26"/>
      <c r="B95" s="26"/>
      <c r="C95" s="26"/>
      <c r="D95" s="26"/>
      <c r="E95" s="26"/>
      <c r="F95" s="26"/>
      <c r="G95" s="26"/>
      <c r="H95" s="26"/>
      <c r="I95" s="26"/>
    </row>
    <row r="96" spans="1:20">
      <c r="A96" s="26"/>
      <c r="B96" s="26"/>
      <c r="C96" s="26"/>
      <c r="D96" s="26"/>
      <c r="E96" s="26"/>
      <c r="F96" s="26"/>
      <c r="G96" s="26"/>
      <c r="H96" s="26"/>
      <c r="I96" s="26"/>
    </row>
    <row r="97" spans="1:16384">
      <c r="A97" s="26"/>
      <c r="B97" s="26"/>
      <c r="C97" s="26"/>
      <c r="D97" s="26"/>
      <c r="E97" s="26"/>
      <c r="F97" s="26"/>
      <c r="G97" s="26"/>
      <c r="H97" s="26"/>
      <c r="I97" s="26"/>
    </row>
    <row r="98" spans="1:16384">
      <c r="A98" s="72"/>
      <c r="B98" s="72"/>
      <c r="C98" s="72"/>
      <c r="D98" s="72" t="s">
        <v>578</v>
      </c>
      <c r="E98" s="72"/>
      <c r="F98" s="72"/>
      <c r="G98" s="72"/>
      <c r="H98" s="72"/>
      <c r="I98" s="72" t="s">
        <v>579</v>
      </c>
      <c r="J98" s="72"/>
      <c r="K98" s="18"/>
      <c r="L98" s="18"/>
    </row>
    <row r="99" spans="1:16384">
      <c r="A99" s="138" t="s">
        <v>14</v>
      </c>
      <c r="B99" s="138" t="s">
        <v>591</v>
      </c>
      <c r="C99" s="138" t="s">
        <v>580</v>
      </c>
      <c r="D99" s="138">
        <v>0</v>
      </c>
      <c r="E99" s="138">
        <v>1</v>
      </c>
      <c r="F99" s="138">
        <v>2</v>
      </c>
      <c r="G99" s="138">
        <v>3</v>
      </c>
      <c r="H99" s="138">
        <v>4</v>
      </c>
      <c r="I99" s="138">
        <v>5</v>
      </c>
      <c r="J99" s="138" t="s">
        <v>581</v>
      </c>
      <c r="K99" s="138" t="s">
        <v>582</v>
      </c>
      <c r="L99" s="138" t="s">
        <v>583</v>
      </c>
      <c r="M99" s="138" t="s">
        <v>584</v>
      </c>
    </row>
    <row r="100" spans="1:16384">
      <c r="A100" s="29" t="s">
        <v>951</v>
      </c>
      <c r="B100" s="18"/>
      <c r="C100" s="29" t="s">
        <v>12</v>
      </c>
      <c r="D100" s="18">
        <v>0</v>
      </c>
      <c r="E100" s="18">
        <v>0</v>
      </c>
      <c r="F100" s="141">
        <v>0.04</v>
      </c>
      <c r="G100" s="141">
        <v>0.06</v>
      </c>
      <c r="H100" s="141">
        <v>0.08</v>
      </c>
      <c r="I100" s="141">
        <v>0.1</v>
      </c>
      <c r="J100" s="18">
        <f t="shared" ref="J100:M114" ca="1" si="0">HLOOKUP((COUNTIF(INDIRECT(J$99), $A100) + IF(ISBLANK($B100)=FALSE, COUNTIF(INDIRECT(J$99), $B100), 0)) * IF(COUNTIF(INDIRECT(J$99), $A100)&gt;0, 1, 0) * IF(ISBLANK($B100)=FALSE, IF(COUNTIF(INDIRECT(J$99), $B100)&gt;0, 1, 0), 1), SetBonusLookup, ROW()-ROW(SetBonusLookup)+1, FALSE)</f>
        <v>0.04</v>
      </c>
      <c r="K100" s="18">
        <f t="shared" ca="1" si="0"/>
        <v>0</v>
      </c>
      <c r="L100" s="18">
        <f t="shared" ca="1" si="0"/>
        <v>0</v>
      </c>
      <c r="M100" s="18">
        <f t="shared" ca="1" si="0"/>
        <v>0</v>
      </c>
    </row>
    <row r="101" spans="1:16384">
      <c r="A101" s="18" t="s">
        <v>603</v>
      </c>
      <c r="B101" s="18" t="s">
        <v>604</v>
      </c>
      <c r="C101" s="18" t="s">
        <v>12</v>
      </c>
      <c r="D101" s="18">
        <v>0</v>
      </c>
      <c r="E101" s="18">
        <v>0</v>
      </c>
      <c r="F101" s="141">
        <v>7.0000000000000007E-2</v>
      </c>
      <c r="G101" s="18">
        <v>0</v>
      </c>
      <c r="H101" s="18">
        <v>0</v>
      </c>
      <c r="I101" s="18">
        <v>0</v>
      </c>
      <c r="J101" s="18">
        <f t="shared" ca="1" si="0"/>
        <v>0</v>
      </c>
      <c r="K101" s="18">
        <f t="shared" ca="1" si="0"/>
        <v>0</v>
      </c>
      <c r="L101" s="18">
        <f t="shared" ca="1" si="0"/>
        <v>0</v>
      </c>
      <c r="M101" s="18">
        <f t="shared" ca="1" si="0"/>
        <v>0</v>
      </c>
      <c r="N101" s="29"/>
      <c r="O101" s="29"/>
    </row>
    <row r="102" spans="1:16384">
      <c r="A102" s="18" t="s">
        <v>601</v>
      </c>
      <c r="B102" s="18" t="s">
        <v>602</v>
      </c>
      <c r="C102" s="18" t="s">
        <v>265</v>
      </c>
      <c r="D102" s="18">
        <v>0</v>
      </c>
      <c r="E102" s="18">
        <v>0</v>
      </c>
      <c r="F102" s="141">
        <v>7.0000000000000007E-2</v>
      </c>
      <c r="G102" s="18">
        <v>0</v>
      </c>
      <c r="H102" s="18">
        <v>0</v>
      </c>
      <c r="I102" s="18">
        <v>0</v>
      </c>
      <c r="J102" s="18">
        <f t="shared" ca="1" si="0"/>
        <v>0</v>
      </c>
      <c r="K102" s="18">
        <f t="shared" ca="1" si="0"/>
        <v>0</v>
      </c>
      <c r="L102" s="18">
        <f t="shared" ca="1" si="0"/>
        <v>0</v>
      </c>
      <c r="M102" s="18">
        <f t="shared" ca="1" si="0"/>
        <v>0</v>
      </c>
    </row>
    <row r="103" spans="1:16384">
      <c r="A103" s="29" t="s">
        <v>950</v>
      </c>
      <c r="B103" s="29"/>
      <c r="C103" s="29" t="s">
        <v>3</v>
      </c>
      <c r="D103" s="29">
        <v>0</v>
      </c>
      <c r="E103" s="29">
        <v>0</v>
      </c>
      <c r="F103" s="29">
        <v>8</v>
      </c>
      <c r="G103" s="29">
        <v>16</v>
      </c>
      <c r="H103" s="29">
        <v>24</v>
      </c>
      <c r="I103" s="29">
        <v>32</v>
      </c>
      <c r="J103" s="18">
        <f t="shared" ca="1" si="0"/>
        <v>0</v>
      </c>
      <c r="K103" s="18">
        <f t="shared" ca="1" si="0"/>
        <v>8</v>
      </c>
      <c r="L103" s="18">
        <f t="shared" ca="1" si="0"/>
        <v>0</v>
      </c>
      <c r="M103" s="18">
        <f t="shared" ca="1" si="0"/>
        <v>0</v>
      </c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  <c r="HS103" s="29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29"/>
      <c r="IN103" s="29"/>
      <c r="IO103" s="29"/>
      <c r="IP103" s="29"/>
      <c r="IQ103" s="29"/>
      <c r="IR103" s="29"/>
      <c r="IS103" s="29"/>
      <c r="IT103" s="29"/>
      <c r="IU103" s="29"/>
      <c r="IV103" s="29"/>
      <c r="IW103" s="29"/>
      <c r="IX103" s="29"/>
      <c r="IY103" s="29"/>
      <c r="IZ103" s="29"/>
      <c r="JA103" s="29"/>
      <c r="JB103" s="29"/>
      <c r="JC103" s="29"/>
      <c r="JD103" s="29"/>
      <c r="JE103" s="29"/>
      <c r="JF103" s="29"/>
      <c r="JG103" s="29"/>
      <c r="JH103" s="29"/>
      <c r="JI103" s="29"/>
      <c r="JJ103" s="29"/>
      <c r="JK103" s="29"/>
      <c r="JL103" s="29"/>
      <c r="JM103" s="29"/>
      <c r="JN103" s="29"/>
      <c r="JO103" s="29"/>
      <c r="JP103" s="29"/>
      <c r="JQ103" s="29"/>
      <c r="JR103" s="29"/>
      <c r="JS103" s="29"/>
      <c r="JT103" s="29"/>
      <c r="JU103" s="29"/>
      <c r="JV103" s="29"/>
      <c r="JW103" s="29"/>
      <c r="JX103" s="29"/>
      <c r="JY103" s="29"/>
      <c r="JZ103" s="29"/>
      <c r="KA103" s="29"/>
      <c r="KB103" s="29"/>
      <c r="KC103" s="29"/>
      <c r="KD103" s="29"/>
      <c r="KE103" s="29"/>
      <c r="KF103" s="29"/>
      <c r="KG103" s="29"/>
      <c r="KH103" s="29"/>
      <c r="KI103" s="29"/>
      <c r="KJ103" s="29"/>
      <c r="KK103" s="29"/>
      <c r="KL103" s="29"/>
      <c r="KM103" s="29"/>
      <c r="KN103" s="29"/>
      <c r="KO103" s="29"/>
      <c r="KP103" s="29"/>
      <c r="KQ103" s="29"/>
      <c r="KR103" s="29"/>
      <c r="KS103" s="29"/>
      <c r="KT103" s="29"/>
      <c r="KU103" s="29"/>
      <c r="KV103" s="29"/>
      <c r="KW103" s="29"/>
      <c r="KX103" s="29"/>
      <c r="KY103" s="29"/>
      <c r="KZ103" s="29"/>
      <c r="LA103" s="29"/>
      <c r="LB103" s="29"/>
      <c r="LC103" s="29"/>
      <c r="LD103" s="29"/>
      <c r="LE103" s="29"/>
      <c r="LF103" s="29"/>
      <c r="LG103" s="29"/>
      <c r="LH103" s="29"/>
      <c r="LI103" s="29"/>
      <c r="LJ103" s="29"/>
      <c r="LK103" s="29"/>
      <c r="LL103" s="29"/>
      <c r="LM103" s="29"/>
      <c r="LN103" s="29"/>
      <c r="LO103" s="29"/>
      <c r="LP103" s="29"/>
      <c r="LQ103" s="29"/>
      <c r="LR103" s="29"/>
      <c r="LS103" s="29"/>
      <c r="LT103" s="29"/>
      <c r="LU103" s="29"/>
      <c r="LV103" s="29"/>
      <c r="LW103" s="29"/>
      <c r="LX103" s="29"/>
      <c r="LY103" s="29"/>
      <c r="LZ103" s="29"/>
      <c r="MA103" s="29"/>
      <c r="MB103" s="29"/>
      <c r="MC103" s="29"/>
      <c r="MD103" s="29"/>
      <c r="ME103" s="29"/>
      <c r="MF103" s="29"/>
      <c r="MG103" s="29"/>
      <c r="MH103" s="29"/>
      <c r="MI103" s="29"/>
      <c r="MJ103" s="29"/>
      <c r="MK103" s="29"/>
      <c r="ML103" s="29"/>
      <c r="MM103" s="29"/>
      <c r="MN103" s="29"/>
      <c r="MO103" s="29"/>
      <c r="MP103" s="29"/>
      <c r="MQ103" s="29"/>
      <c r="MR103" s="29"/>
      <c r="MS103" s="29"/>
      <c r="MT103" s="29"/>
      <c r="MU103" s="29"/>
      <c r="MV103" s="29"/>
      <c r="MW103" s="29"/>
      <c r="MX103" s="29"/>
      <c r="MY103" s="29"/>
      <c r="MZ103" s="29"/>
      <c r="NA103" s="29"/>
      <c r="NB103" s="29"/>
      <c r="NC103" s="29"/>
      <c r="ND103" s="29"/>
      <c r="NE103" s="29"/>
      <c r="NF103" s="29"/>
      <c r="NG103" s="29"/>
      <c r="NH103" s="29"/>
      <c r="NI103" s="29"/>
      <c r="NJ103" s="29"/>
      <c r="NK103" s="29"/>
      <c r="NL103" s="29"/>
      <c r="NM103" s="29"/>
      <c r="NN103" s="29"/>
      <c r="NO103" s="29"/>
      <c r="NP103" s="29"/>
      <c r="NQ103" s="29"/>
      <c r="NR103" s="29"/>
      <c r="NS103" s="29"/>
      <c r="NT103" s="29"/>
      <c r="NU103" s="29"/>
      <c r="NV103" s="29"/>
      <c r="NW103" s="29"/>
      <c r="NX103" s="29"/>
      <c r="NY103" s="29"/>
      <c r="NZ103" s="29"/>
      <c r="OA103" s="29"/>
      <c r="OB103" s="29"/>
      <c r="OC103" s="29"/>
      <c r="OD103" s="29"/>
      <c r="OE103" s="29"/>
      <c r="OF103" s="29"/>
      <c r="OG103" s="29"/>
      <c r="OH103" s="29"/>
      <c r="OI103" s="29"/>
      <c r="OJ103" s="29"/>
      <c r="OK103" s="29"/>
      <c r="OL103" s="29"/>
      <c r="OM103" s="29"/>
      <c r="ON103" s="29"/>
      <c r="OO103" s="29"/>
      <c r="OP103" s="29"/>
      <c r="OQ103" s="29"/>
      <c r="OR103" s="29"/>
      <c r="OS103" s="29"/>
      <c r="OT103" s="29"/>
      <c r="OU103" s="29"/>
      <c r="OV103" s="29"/>
      <c r="OW103" s="29"/>
      <c r="OX103" s="29"/>
      <c r="OY103" s="29"/>
      <c r="OZ103" s="29"/>
      <c r="PA103" s="29"/>
      <c r="PB103" s="29"/>
      <c r="PC103" s="29"/>
      <c r="PD103" s="29"/>
      <c r="PE103" s="29"/>
      <c r="PF103" s="29"/>
      <c r="PG103" s="29"/>
      <c r="PH103" s="29"/>
      <c r="PI103" s="29"/>
      <c r="PJ103" s="29"/>
      <c r="PK103" s="29"/>
      <c r="PL103" s="29"/>
      <c r="PM103" s="29"/>
      <c r="PN103" s="29"/>
      <c r="PO103" s="29"/>
      <c r="PP103" s="29"/>
      <c r="PQ103" s="29"/>
      <c r="PR103" s="29"/>
      <c r="PS103" s="29"/>
      <c r="PT103" s="29"/>
      <c r="PU103" s="29"/>
      <c r="PV103" s="29"/>
      <c r="PW103" s="29"/>
      <c r="PX103" s="29"/>
      <c r="PY103" s="29"/>
      <c r="PZ103" s="29"/>
      <c r="QA103" s="29"/>
      <c r="QB103" s="29"/>
      <c r="QC103" s="29"/>
      <c r="QD103" s="29"/>
      <c r="QE103" s="29"/>
      <c r="QF103" s="29"/>
      <c r="QG103" s="29"/>
      <c r="QH103" s="29"/>
      <c r="QI103" s="29"/>
      <c r="QJ103" s="29"/>
      <c r="QK103" s="29"/>
      <c r="QL103" s="29"/>
      <c r="QM103" s="29"/>
      <c r="QN103" s="29"/>
      <c r="QO103" s="29"/>
      <c r="QP103" s="29"/>
      <c r="QQ103" s="29"/>
      <c r="QR103" s="29"/>
      <c r="QS103" s="29"/>
      <c r="QT103" s="29"/>
      <c r="QU103" s="29"/>
      <c r="QV103" s="29"/>
      <c r="QW103" s="29"/>
      <c r="QX103" s="29"/>
      <c r="QY103" s="29"/>
      <c r="QZ103" s="29"/>
      <c r="RA103" s="29"/>
      <c r="RB103" s="29"/>
      <c r="RC103" s="29"/>
      <c r="RD103" s="29"/>
      <c r="RE103" s="29"/>
      <c r="RF103" s="29"/>
      <c r="RG103" s="29"/>
      <c r="RH103" s="29"/>
      <c r="RI103" s="29"/>
      <c r="RJ103" s="29"/>
      <c r="RK103" s="29"/>
      <c r="RL103" s="29"/>
      <c r="RM103" s="29"/>
      <c r="RN103" s="29"/>
      <c r="RO103" s="29"/>
      <c r="RP103" s="29"/>
      <c r="RQ103" s="29"/>
      <c r="RR103" s="29"/>
      <c r="RS103" s="29"/>
      <c r="RT103" s="29"/>
      <c r="RU103" s="29"/>
      <c r="RV103" s="29"/>
      <c r="RW103" s="29"/>
      <c r="RX103" s="29"/>
      <c r="RY103" s="29"/>
      <c r="RZ103" s="29"/>
      <c r="SA103" s="29"/>
      <c r="SB103" s="29"/>
      <c r="SC103" s="29"/>
      <c r="SD103" s="29"/>
      <c r="SE103" s="29"/>
      <c r="SF103" s="29"/>
      <c r="SG103" s="29"/>
      <c r="SH103" s="29"/>
      <c r="SI103" s="29"/>
      <c r="SJ103" s="29"/>
      <c r="SK103" s="29"/>
      <c r="SL103" s="29"/>
      <c r="SM103" s="29"/>
      <c r="SN103" s="29"/>
      <c r="SO103" s="29"/>
      <c r="SP103" s="29"/>
      <c r="SQ103" s="29"/>
      <c r="SR103" s="29"/>
      <c r="SS103" s="29"/>
      <c r="ST103" s="29"/>
      <c r="SU103" s="29"/>
      <c r="SV103" s="29"/>
      <c r="SW103" s="29"/>
      <c r="SX103" s="29"/>
      <c r="SY103" s="29"/>
      <c r="SZ103" s="29"/>
      <c r="TA103" s="29"/>
      <c r="TB103" s="29"/>
      <c r="TC103" s="29"/>
      <c r="TD103" s="29"/>
      <c r="TE103" s="29"/>
      <c r="TF103" s="29"/>
      <c r="TG103" s="29"/>
      <c r="TH103" s="29"/>
      <c r="TI103" s="29"/>
      <c r="TJ103" s="29"/>
      <c r="TK103" s="29"/>
      <c r="TL103" s="29"/>
      <c r="TM103" s="29"/>
      <c r="TN103" s="29"/>
      <c r="TO103" s="29"/>
      <c r="TP103" s="29"/>
      <c r="TQ103" s="29"/>
      <c r="TR103" s="29"/>
      <c r="TS103" s="29"/>
      <c r="TT103" s="29"/>
      <c r="TU103" s="29"/>
      <c r="TV103" s="29"/>
      <c r="TW103" s="29"/>
      <c r="TX103" s="29"/>
      <c r="TY103" s="29"/>
      <c r="TZ103" s="29"/>
      <c r="UA103" s="29"/>
      <c r="UB103" s="29"/>
      <c r="UC103" s="29"/>
      <c r="UD103" s="29"/>
      <c r="UE103" s="29"/>
      <c r="UF103" s="29"/>
      <c r="UG103" s="29"/>
      <c r="UH103" s="29"/>
      <c r="UI103" s="29"/>
      <c r="UJ103" s="29"/>
      <c r="UK103" s="29"/>
      <c r="UL103" s="29"/>
      <c r="UM103" s="29"/>
      <c r="UN103" s="29"/>
      <c r="UO103" s="29"/>
      <c r="UP103" s="29"/>
      <c r="UQ103" s="29"/>
      <c r="UR103" s="29"/>
      <c r="US103" s="29"/>
      <c r="UT103" s="29"/>
      <c r="UU103" s="29"/>
      <c r="UV103" s="29"/>
      <c r="UW103" s="29"/>
      <c r="UX103" s="29"/>
      <c r="UY103" s="29"/>
      <c r="UZ103" s="29"/>
      <c r="VA103" s="29"/>
      <c r="VB103" s="29"/>
      <c r="VC103" s="29"/>
      <c r="VD103" s="29"/>
      <c r="VE103" s="29"/>
      <c r="VF103" s="29"/>
      <c r="VG103" s="29"/>
      <c r="VH103" s="29"/>
      <c r="VI103" s="29"/>
      <c r="VJ103" s="29"/>
      <c r="VK103" s="29"/>
      <c r="VL103" s="29"/>
      <c r="VM103" s="29"/>
      <c r="VN103" s="29"/>
      <c r="VO103" s="29"/>
      <c r="VP103" s="29"/>
      <c r="VQ103" s="29"/>
      <c r="VR103" s="29"/>
      <c r="VS103" s="29"/>
      <c r="VT103" s="29"/>
      <c r="VU103" s="29"/>
      <c r="VV103" s="29"/>
      <c r="VW103" s="29"/>
      <c r="VX103" s="29"/>
      <c r="VY103" s="29"/>
      <c r="VZ103" s="29"/>
      <c r="WA103" s="29"/>
      <c r="WB103" s="29"/>
      <c r="WC103" s="29"/>
      <c r="WD103" s="29"/>
      <c r="WE103" s="29"/>
      <c r="WF103" s="29"/>
      <c r="WG103" s="29"/>
      <c r="WH103" s="29"/>
      <c r="WI103" s="29"/>
      <c r="WJ103" s="29"/>
      <c r="WK103" s="29"/>
      <c r="WL103" s="29"/>
      <c r="WM103" s="29"/>
      <c r="WN103" s="29"/>
      <c r="WO103" s="29"/>
      <c r="WP103" s="29"/>
      <c r="WQ103" s="29"/>
      <c r="WR103" s="29"/>
      <c r="WS103" s="29"/>
      <c r="WT103" s="29"/>
      <c r="WU103" s="29"/>
      <c r="WV103" s="29"/>
      <c r="WW103" s="29"/>
      <c r="WX103" s="29"/>
      <c r="WY103" s="29"/>
      <c r="WZ103" s="29"/>
      <c r="XA103" s="29"/>
      <c r="XB103" s="29"/>
      <c r="XC103" s="29"/>
      <c r="XD103" s="29"/>
      <c r="XE103" s="29"/>
      <c r="XF103" s="29"/>
      <c r="XG103" s="29"/>
      <c r="XH103" s="29"/>
      <c r="XI103" s="29"/>
      <c r="XJ103" s="29"/>
      <c r="XK103" s="29"/>
      <c r="XL103" s="29"/>
      <c r="XM103" s="29"/>
      <c r="XN103" s="29"/>
      <c r="XO103" s="29"/>
      <c r="XP103" s="29"/>
      <c r="XQ103" s="29"/>
      <c r="XR103" s="29"/>
      <c r="XS103" s="29"/>
      <c r="XT103" s="29"/>
      <c r="XU103" s="29"/>
      <c r="XV103" s="29"/>
      <c r="XW103" s="29"/>
      <c r="XX103" s="29"/>
      <c r="XY103" s="29"/>
      <c r="XZ103" s="29"/>
      <c r="YA103" s="29"/>
      <c r="YB103" s="29"/>
      <c r="YC103" s="29"/>
      <c r="YD103" s="29"/>
      <c r="YE103" s="29"/>
      <c r="YF103" s="29"/>
      <c r="YG103" s="29"/>
      <c r="YH103" s="29"/>
      <c r="YI103" s="29"/>
      <c r="YJ103" s="29"/>
      <c r="YK103" s="29"/>
      <c r="YL103" s="29"/>
      <c r="YM103" s="29"/>
      <c r="YN103" s="29"/>
      <c r="YO103" s="29"/>
      <c r="YP103" s="29"/>
      <c r="YQ103" s="29"/>
      <c r="YR103" s="29"/>
      <c r="YS103" s="29"/>
      <c r="YT103" s="29"/>
      <c r="YU103" s="29"/>
      <c r="YV103" s="29"/>
      <c r="YW103" s="29"/>
      <c r="YX103" s="29"/>
      <c r="YY103" s="29"/>
      <c r="YZ103" s="29"/>
      <c r="ZA103" s="29"/>
      <c r="ZB103" s="29"/>
      <c r="ZC103" s="29"/>
      <c r="ZD103" s="29"/>
      <c r="ZE103" s="29"/>
      <c r="ZF103" s="29"/>
      <c r="ZG103" s="29"/>
      <c r="ZH103" s="29"/>
      <c r="ZI103" s="29"/>
      <c r="ZJ103" s="29"/>
      <c r="ZK103" s="29"/>
      <c r="ZL103" s="29"/>
      <c r="ZM103" s="29"/>
      <c r="ZN103" s="29"/>
      <c r="ZO103" s="29"/>
      <c r="ZP103" s="29"/>
      <c r="ZQ103" s="29"/>
      <c r="ZR103" s="29"/>
      <c r="ZS103" s="29"/>
      <c r="ZT103" s="29"/>
      <c r="ZU103" s="29"/>
      <c r="ZV103" s="29"/>
      <c r="ZW103" s="29"/>
      <c r="ZX103" s="29"/>
      <c r="ZY103" s="29"/>
      <c r="ZZ103" s="29"/>
      <c r="AAA103" s="29"/>
      <c r="AAB103" s="29"/>
      <c r="AAC103" s="29"/>
      <c r="AAD103" s="29"/>
      <c r="AAE103" s="29"/>
      <c r="AAF103" s="29"/>
      <c r="AAG103" s="29"/>
      <c r="AAH103" s="29"/>
      <c r="AAI103" s="29"/>
      <c r="AAJ103" s="29"/>
      <c r="AAK103" s="29"/>
      <c r="AAL103" s="29"/>
      <c r="AAM103" s="29"/>
      <c r="AAN103" s="29"/>
      <c r="AAO103" s="29"/>
      <c r="AAP103" s="29"/>
      <c r="AAQ103" s="29"/>
      <c r="AAR103" s="29"/>
      <c r="AAS103" s="29"/>
      <c r="AAT103" s="29"/>
      <c r="AAU103" s="29"/>
      <c r="AAV103" s="29"/>
      <c r="AAW103" s="29"/>
      <c r="AAX103" s="29"/>
      <c r="AAY103" s="29"/>
      <c r="AAZ103" s="29"/>
      <c r="ABA103" s="29"/>
      <c r="ABB103" s="29"/>
      <c r="ABC103" s="29"/>
      <c r="ABD103" s="29"/>
      <c r="ABE103" s="29"/>
      <c r="ABF103" s="29"/>
      <c r="ABG103" s="29"/>
      <c r="ABH103" s="29"/>
      <c r="ABI103" s="29"/>
      <c r="ABJ103" s="29"/>
      <c r="ABK103" s="29"/>
      <c r="ABL103" s="29"/>
      <c r="ABM103" s="29"/>
      <c r="ABN103" s="29"/>
      <c r="ABO103" s="29"/>
      <c r="ABP103" s="29"/>
      <c r="ABQ103" s="29"/>
      <c r="ABR103" s="29"/>
      <c r="ABS103" s="29"/>
      <c r="ABT103" s="29"/>
      <c r="ABU103" s="29"/>
      <c r="ABV103" s="29"/>
      <c r="ABW103" s="29"/>
      <c r="ABX103" s="29"/>
      <c r="ABY103" s="29"/>
      <c r="ABZ103" s="29"/>
      <c r="ACA103" s="29"/>
      <c r="ACB103" s="29"/>
      <c r="ACC103" s="29"/>
      <c r="ACD103" s="29"/>
      <c r="ACE103" s="29"/>
      <c r="ACF103" s="29"/>
      <c r="ACG103" s="29"/>
      <c r="ACH103" s="29"/>
      <c r="ACI103" s="29"/>
      <c r="ACJ103" s="29"/>
      <c r="ACK103" s="29"/>
      <c r="ACL103" s="29"/>
      <c r="ACM103" s="29"/>
      <c r="ACN103" s="29"/>
      <c r="ACO103" s="29"/>
      <c r="ACP103" s="29"/>
      <c r="ACQ103" s="29"/>
      <c r="ACR103" s="29"/>
      <c r="ACS103" s="29"/>
      <c r="ACT103" s="29"/>
      <c r="ACU103" s="29"/>
      <c r="ACV103" s="29"/>
      <c r="ACW103" s="29"/>
      <c r="ACX103" s="29"/>
      <c r="ACY103" s="29"/>
      <c r="ACZ103" s="29"/>
      <c r="ADA103" s="29"/>
      <c r="ADB103" s="29"/>
      <c r="ADC103" s="29"/>
      <c r="ADD103" s="29"/>
      <c r="ADE103" s="29"/>
      <c r="ADF103" s="29"/>
      <c r="ADG103" s="29"/>
      <c r="ADH103" s="29"/>
      <c r="ADI103" s="29"/>
      <c r="ADJ103" s="29"/>
      <c r="ADK103" s="29"/>
      <c r="ADL103" s="29"/>
      <c r="ADM103" s="29"/>
      <c r="ADN103" s="29"/>
      <c r="ADO103" s="29"/>
      <c r="ADP103" s="29"/>
      <c r="ADQ103" s="29"/>
      <c r="ADR103" s="29"/>
      <c r="ADS103" s="29"/>
      <c r="ADT103" s="29"/>
      <c r="ADU103" s="29"/>
      <c r="ADV103" s="29"/>
      <c r="ADW103" s="29"/>
      <c r="ADX103" s="29"/>
      <c r="ADY103" s="29"/>
      <c r="ADZ103" s="29"/>
      <c r="AEA103" s="29"/>
      <c r="AEB103" s="29"/>
      <c r="AEC103" s="29"/>
      <c r="AED103" s="29"/>
      <c r="AEE103" s="29"/>
      <c r="AEF103" s="29"/>
      <c r="AEG103" s="29"/>
      <c r="AEH103" s="29"/>
      <c r="AEI103" s="29"/>
      <c r="AEJ103" s="29"/>
      <c r="AEK103" s="29"/>
      <c r="AEL103" s="29"/>
      <c r="AEM103" s="29"/>
      <c r="AEN103" s="29"/>
      <c r="AEO103" s="29"/>
      <c r="AEP103" s="29"/>
      <c r="AEQ103" s="29"/>
      <c r="AER103" s="29"/>
      <c r="AES103" s="29"/>
      <c r="AET103" s="29"/>
      <c r="AEU103" s="29"/>
      <c r="AEV103" s="29"/>
      <c r="AEW103" s="29"/>
      <c r="AEX103" s="29"/>
      <c r="AEY103" s="29"/>
      <c r="AEZ103" s="29"/>
      <c r="AFA103" s="29"/>
      <c r="AFB103" s="29"/>
      <c r="AFC103" s="29"/>
      <c r="AFD103" s="29"/>
      <c r="AFE103" s="29"/>
      <c r="AFF103" s="29"/>
      <c r="AFG103" s="29"/>
      <c r="AFH103" s="29"/>
      <c r="AFI103" s="29"/>
      <c r="AFJ103" s="29"/>
      <c r="AFK103" s="29"/>
      <c r="AFL103" s="29"/>
      <c r="AFM103" s="29"/>
      <c r="AFN103" s="29"/>
      <c r="AFO103" s="29"/>
      <c r="AFP103" s="29"/>
      <c r="AFQ103" s="29"/>
      <c r="AFR103" s="29"/>
      <c r="AFS103" s="29"/>
      <c r="AFT103" s="29"/>
      <c r="AFU103" s="29"/>
      <c r="AFV103" s="29"/>
      <c r="AFW103" s="29"/>
      <c r="AFX103" s="29"/>
      <c r="AFY103" s="29"/>
      <c r="AFZ103" s="29"/>
      <c r="AGA103" s="29"/>
      <c r="AGB103" s="29"/>
      <c r="AGC103" s="29"/>
      <c r="AGD103" s="29"/>
      <c r="AGE103" s="29"/>
      <c r="AGF103" s="29"/>
      <c r="AGG103" s="29"/>
      <c r="AGH103" s="29"/>
      <c r="AGI103" s="29"/>
      <c r="AGJ103" s="29"/>
      <c r="AGK103" s="29"/>
      <c r="AGL103" s="29"/>
      <c r="AGM103" s="29"/>
      <c r="AGN103" s="29"/>
      <c r="AGO103" s="29"/>
      <c r="AGP103" s="29"/>
      <c r="AGQ103" s="29"/>
      <c r="AGR103" s="29"/>
      <c r="AGS103" s="29"/>
      <c r="AGT103" s="29"/>
      <c r="AGU103" s="29"/>
      <c r="AGV103" s="29"/>
      <c r="AGW103" s="29"/>
      <c r="AGX103" s="29"/>
      <c r="AGY103" s="29"/>
      <c r="AGZ103" s="29"/>
      <c r="AHA103" s="29"/>
      <c r="AHB103" s="29"/>
      <c r="AHC103" s="29"/>
      <c r="AHD103" s="29"/>
      <c r="AHE103" s="29"/>
      <c r="AHF103" s="29"/>
      <c r="AHG103" s="29"/>
      <c r="AHH103" s="29"/>
      <c r="AHI103" s="29"/>
      <c r="AHJ103" s="29"/>
      <c r="AHK103" s="29"/>
      <c r="AHL103" s="29"/>
      <c r="AHM103" s="29"/>
      <c r="AHN103" s="29"/>
      <c r="AHO103" s="29"/>
      <c r="AHP103" s="29"/>
      <c r="AHQ103" s="29"/>
      <c r="AHR103" s="29"/>
      <c r="AHS103" s="29"/>
      <c r="AHT103" s="29"/>
      <c r="AHU103" s="29"/>
      <c r="AHV103" s="29"/>
      <c r="AHW103" s="29"/>
      <c r="AHX103" s="29"/>
      <c r="AHY103" s="29"/>
      <c r="AHZ103" s="29"/>
      <c r="AIA103" s="29"/>
      <c r="AIB103" s="29"/>
      <c r="AIC103" s="29"/>
      <c r="AID103" s="29"/>
      <c r="AIE103" s="29"/>
      <c r="AIF103" s="29"/>
      <c r="AIG103" s="29"/>
      <c r="AIH103" s="29"/>
      <c r="AII103" s="29"/>
      <c r="AIJ103" s="29"/>
      <c r="AIK103" s="29"/>
      <c r="AIL103" s="29"/>
      <c r="AIM103" s="29"/>
      <c r="AIN103" s="29"/>
      <c r="AIO103" s="29"/>
      <c r="AIP103" s="29"/>
      <c r="AIQ103" s="29"/>
      <c r="AIR103" s="29"/>
      <c r="AIS103" s="29"/>
      <c r="AIT103" s="29"/>
      <c r="AIU103" s="29"/>
      <c r="AIV103" s="29"/>
      <c r="AIW103" s="29"/>
      <c r="AIX103" s="29"/>
      <c r="AIY103" s="29"/>
      <c r="AIZ103" s="29"/>
      <c r="AJA103" s="29"/>
      <c r="AJB103" s="29"/>
      <c r="AJC103" s="29"/>
      <c r="AJD103" s="29"/>
      <c r="AJE103" s="29"/>
      <c r="AJF103" s="29"/>
      <c r="AJG103" s="29"/>
      <c r="AJH103" s="29"/>
      <c r="AJI103" s="29"/>
      <c r="AJJ103" s="29"/>
      <c r="AJK103" s="29"/>
      <c r="AJL103" s="29"/>
      <c r="AJM103" s="29"/>
      <c r="AJN103" s="29"/>
      <c r="AJO103" s="29"/>
      <c r="AJP103" s="29"/>
      <c r="AJQ103" s="29"/>
      <c r="AJR103" s="29"/>
      <c r="AJS103" s="29"/>
      <c r="AJT103" s="29"/>
      <c r="AJU103" s="29"/>
      <c r="AJV103" s="29"/>
      <c r="AJW103" s="29"/>
      <c r="AJX103" s="29"/>
      <c r="AJY103" s="29"/>
      <c r="AJZ103" s="29"/>
      <c r="AKA103" s="29"/>
      <c r="AKB103" s="29"/>
      <c r="AKC103" s="29"/>
      <c r="AKD103" s="29"/>
      <c r="AKE103" s="29"/>
      <c r="AKF103" s="29"/>
      <c r="AKG103" s="29"/>
      <c r="AKH103" s="29"/>
      <c r="AKI103" s="29"/>
      <c r="AKJ103" s="29"/>
      <c r="AKK103" s="29"/>
      <c r="AKL103" s="29"/>
      <c r="AKM103" s="29"/>
      <c r="AKN103" s="29"/>
      <c r="AKO103" s="29"/>
      <c r="AKP103" s="29"/>
      <c r="AKQ103" s="29"/>
      <c r="AKR103" s="29"/>
      <c r="AKS103" s="29"/>
      <c r="AKT103" s="29"/>
      <c r="AKU103" s="29"/>
      <c r="AKV103" s="29"/>
      <c r="AKW103" s="29"/>
      <c r="AKX103" s="29"/>
      <c r="AKY103" s="29"/>
      <c r="AKZ103" s="29"/>
      <c r="ALA103" s="29"/>
      <c r="ALB103" s="29"/>
      <c r="ALC103" s="29"/>
      <c r="ALD103" s="29"/>
      <c r="ALE103" s="29"/>
      <c r="ALF103" s="29"/>
      <c r="ALG103" s="29"/>
      <c r="ALH103" s="29"/>
      <c r="ALI103" s="29"/>
      <c r="ALJ103" s="29"/>
      <c r="ALK103" s="29"/>
      <c r="ALL103" s="29"/>
      <c r="ALM103" s="29"/>
      <c r="ALN103" s="29"/>
      <c r="ALO103" s="29"/>
      <c r="ALP103" s="29"/>
      <c r="ALQ103" s="29"/>
      <c r="ALR103" s="29"/>
      <c r="ALS103" s="29"/>
      <c r="ALT103" s="29"/>
      <c r="ALU103" s="29"/>
      <c r="ALV103" s="29"/>
      <c r="ALW103" s="29"/>
      <c r="ALX103" s="29"/>
      <c r="ALY103" s="29"/>
      <c r="ALZ103" s="29"/>
      <c r="AMA103" s="29"/>
      <c r="AMB103" s="29"/>
      <c r="AMC103" s="29"/>
      <c r="AMD103" s="29"/>
      <c r="AME103" s="29"/>
      <c r="AMF103" s="29"/>
      <c r="AMG103" s="29"/>
      <c r="AMH103" s="29"/>
      <c r="AMI103" s="29"/>
      <c r="AMJ103" s="29"/>
      <c r="AMK103" s="29"/>
      <c r="AML103" s="29"/>
      <c r="AMM103" s="29"/>
      <c r="AMN103" s="29"/>
      <c r="AMO103" s="29"/>
      <c r="AMP103" s="29"/>
      <c r="AMQ103" s="29"/>
      <c r="AMR103" s="29"/>
      <c r="AMS103" s="29"/>
      <c r="AMT103" s="29"/>
      <c r="AMU103" s="29"/>
      <c r="AMV103" s="29"/>
      <c r="AMW103" s="29"/>
      <c r="AMX103" s="29"/>
      <c r="AMY103" s="29"/>
      <c r="AMZ103" s="29"/>
      <c r="ANA103" s="29"/>
      <c r="ANB103" s="29"/>
      <c r="ANC103" s="29"/>
      <c r="AND103" s="29"/>
      <c r="ANE103" s="29"/>
      <c r="ANF103" s="29"/>
      <c r="ANG103" s="29"/>
      <c r="ANH103" s="29"/>
      <c r="ANI103" s="29"/>
      <c r="ANJ103" s="29"/>
      <c r="ANK103" s="29"/>
      <c r="ANL103" s="29"/>
      <c r="ANM103" s="29"/>
      <c r="ANN103" s="29"/>
      <c r="ANO103" s="29"/>
      <c r="ANP103" s="29"/>
      <c r="ANQ103" s="29"/>
      <c r="ANR103" s="29"/>
      <c r="ANS103" s="29"/>
      <c r="ANT103" s="29"/>
      <c r="ANU103" s="29"/>
      <c r="ANV103" s="29"/>
      <c r="ANW103" s="29"/>
      <c r="ANX103" s="29"/>
      <c r="ANY103" s="29"/>
      <c r="ANZ103" s="29"/>
      <c r="AOA103" s="29"/>
      <c r="AOB103" s="29"/>
      <c r="AOC103" s="29"/>
      <c r="AOD103" s="29"/>
      <c r="AOE103" s="29"/>
      <c r="AOF103" s="29"/>
      <c r="AOG103" s="29"/>
      <c r="AOH103" s="29"/>
      <c r="AOI103" s="29"/>
      <c r="AOJ103" s="29"/>
      <c r="AOK103" s="29"/>
      <c r="AOL103" s="29"/>
      <c r="AOM103" s="29"/>
      <c r="AON103" s="29"/>
      <c r="AOO103" s="29"/>
      <c r="AOP103" s="29"/>
      <c r="AOQ103" s="29"/>
      <c r="AOR103" s="29"/>
      <c r="AOS103" s="29"/>
      <c r="AOT103" s="29"/>
      <c r="AOU103" s="29"/>
      <c r="AOV103" s="29"/>
      <c r="AOW103" s="29"/>
      <c r="AOX103" s="29"/>
      <c r="AOY103" s="29"/>
      <c r="AOZ103" s="29"/>
      <c r="APA103" s="29"/>
      <c r="APB103" s="29"/>
      <c r="APC103" s="29"/>
      <c r="APD103" s="29"/>
      <c r="APE103" s="29"/>
      <c r="APF103" s="29"/>
      <c r="APG103" s="29"/>
      <c r="APH103" s="29"/>
      <c r="API103" s="29"/>
      <c r="APJ103" s="29"/>
      <c r="APK103" s="29"/>
      <c r="APL103" s="29"/>
      <c r="APM103" s="29"/>
      <c r="APN103" s="29"/>
      <c r="APO103" s="29"/>
      <c r="APP103" s="29"/>
      <c r="APQ103" s="29"/>
      <c r="APR103" s="29"/>
      <c r="APS103" s="29"/>
      <c r="APT103" s="29"/>
      <c r="APU103" s="29"/>
      <c r="APV103" s="29"/>
      <c r="APW103" s="29"/>
      <c r="APX103" s="29"/>
      <c r="APY103" s="29"/>
      <c r="APZ103" s="29"/>
      <c r="AQA103" s="29"/>
      <c r="AQB103" s="29"/>
      <c r="AQC103" s="29"/>
      <c r="AQD103" s="29"/>
      <c r="AQE103" s="29"/>
      <c r="AQF103" s="29"/>
      <c r="AQG103" s="29"/>
      <c r="AQH103" s="29"/>
      <c r="AQI103" s="29"/>
      <c r="AQJ103" s="29"/>
      <c r="AQK103" s="29"/>
      <c r="AQL103" s="29"/>
      <c r="AQM103" s="29"/>
      <c r="AQN103" s="29"/>
      <c r="AQO103" s="29"/>
      <c r="AQP103" s="29"/>
      <c r="AQQ103" s="29"/>
      <c r="AQR103" s="29"/>
      <c r="AQS103" s="29"/>
      <c r="AQT103" s="29"/>
      <c r="AQU103" s="29"/>
      <c r="AQV103" s="29"/>
      <c r="AQW103" s="29"/>
      <c r="AQX103" s="29"/>
      <c r="AQY103" s="29"/>
      <c r="AQZ103" s="29"/>
      <c r="ARA103" s="29"/>
      <c r="ARB103" s="29"/>
      <c r="ARC103" s="29"/>
      <c r="ARD103" s="29"/>
      <c r="ARE103" s="29"/>
      <c r="ARF103" s="29"/>
      <c r="ARG103" s="29"/>
      <c r="ARH103" s="29"/>
      <c r="ARI103" s="29"/>
      <c r="ARJ103" s="29"/>
      <c r="ARK103" s="29"/>
      <c r="ARL103" s="29"/>
      <c r="ARM103" s="29"/>
      <c r="ARN103" s="29"/>
      <c r="ARO103" s="29"/>
      <c r="ARP103" s="29"/>
      <c r="ARQ103" s="29"/>
      <c r="ARR103" s="29"/>
      <c r="ARS103" s="29"/>
      <c r="ART103" s="29"/>
      <c r="ARU103" s="29"/>
      <c r="ARV103" s="29"/>
      <c r="ARW103" s="29"/>
      <c r="ARX103" s="29"/>
      <c r="ARY103" s="29"/>
      <c r="ARZ103" s="29"/>
      <c r="ASA103" s="29"/>
      <c r="ASB103" s="29"/>
      <c r="ASC103" s="29"/>
      <c r="ASD103" s="29"/>
      <c r="ASE103" s="29"/>
      <c r="ASF103" s="29"/>
      <c r="ASG103" s="29"/>
      <c r="ASH103" s="29"/>
      <c r="ASI103" s="29"/>
      <c r="ASJ103" s="29"/>
      <c r="ASK103" s="29"/>
      <c r="ASL103" s="29"/>
      <c r="ASM103" s="29"/>
      <c r="ASN103" s="29"/>
      <c r="ASO103" s="29"/>
      <c r="ASP103" s="29"/>
      <c r="ASQ103" s="29"/>
      <c r="ASR103" s="29"/>
      <c r="ASS103" s="29"/>
      <c r="AST103" s="29"/>
      <c r="ASU103" s="29"/>
      <c r="ASV103" s="29"/>
      <c r="ASW103" s="29"/>
      <c r="ASX103" s="29"/>
      <c r="ASY103" s="29"/>
      <c r="ASZ103" s="29"/>
      <c r="ATA103" s="29"/>
      <c r="ATB103" s="29"/>
      <c r="ATC103" s="29"/>
      <c r="ATD103" s="29"/>
      <c r="ATE103" s="29"/>
      <c r="ATF103" s="29"/>
      <c r="ATG103" s="29"/>
      <c r="ATH103" s="29"/>
      <c r="ATI103" s="29"/>
      <c r="ATJ103" s="29"/>
      <c r="ATK103" s="29"/>
      <c r="ATL103" s="29"/>
      <c r="ATM103" s="29"/>
      <c r="ATN103" s="29"/>
      <c r="ATO103" s="29"/>
      <c r="ATP103" s="29"/>
      <c r="ATQ103" s="29"/>
      <c r="ATR103" s="29"/>
      <c r="ATS103" s="29"/>
      <c r="ATT103" s="29"/>
      <c r="ATU103" s="29"/>
      <c r="ATV103" s="29"/>
      <c r="ATW103" s="29"/>
      <c r="ATX103" s="29"/>
      <c r="ATY103" s="29"/>
      <c r="ATZ103" s="29"/>
      <c r="AUA103" s="29"/>
      <c r="AUB103" s="29"/>
      <c r="AUC103" s="29"/>
      <c r="AUD103" s="29"/>
      <c r="AUE103" s="29"/>
      <c r="AUF103" s="29"/>
      <c r="AUG103" s="29"/>
      <c r="AUH103" s="29"/>
      <c r="AUI103" s="29"/>
      <c r="AUJ103" s="29"/>
      <c r="AUK103" s="29"/>
      <c r="AUL103" s="29"/>
      <c r="AUM103" s="29"/>
      <c r="AUN103" s="29"/>
      <c r="AUO103" s="29"/>
      <c r="AUP103" s="29"/>
      <c r="AUQ103" s="29"/>
      <c r="AUR103" s="29"/>
      <c r="AUS103" s="29"/>
      <c r="AUT103" s="29"/>
      <c r="AUU103" s="29"/>
      <c r="AUV103" s="29"/>
      <c r="AUW103" s="29"/>
      <c r="AUX103" s="29"/>
      <c r="AUY103" s="29"/>
      <c r="AUZ103" s="29"/>
      <c r="AVA103" s="29"/>
      <c r="AVB103" s="29"/>
      <c r="AVC103" s="29"/>
      <c r="AVD103" s="29"/>
      <c r="AVE103" s="29"/>
      <c r="AVF103" s="29"/>
      <c r="AVG103" s="29"/>
      <c r="AVH103" s="29"/>
      <c r="AVI103" s="29"/>
      <c r="AVJ103" s="29"/>
      <c r="AVK103" s="29"/>
      <c r="AVL103" s="29"/>
      <c r="AVM103" s="29"/>
      <c r="AVN103" s="29"/>
      <c r="AVO103" s="29"/>
      <c r="AVP103" s="29"/>
      <c r="AVQ103" s="29"/>
      <c r="AVR103" s="29"/>
      <c r="AVS103" s="29"/>
      <c r="AVT103" s="29"/>
      <c r="AVU103" s="29"/>
      <c r="AVV103" s="29"/>
      <c r="AVW103" s="29"/>
      <c r="AVX103" s="29"/>
      <c r="AVY103" s="29"/>
      <c r="AVZ103" s="29"/>
      <c r="AWA103" s="29"/>
      <c r="AWB103" s="29"/>
      <c r="AWC103" s="29"/>
      <c r="AWD103" s="29"/>
      <c r="AWE103" s="29"/>
      <c r="AWF103" s="29"/>
      <c r="AWG103" s="29"/>
      <c r="AWH103" s="29"/>
      <c r="AWI103" s="29"/>
      <c r="AWJ103" s="29"/>
      <c r="AWK103" s="29"/>
      <c r="AWL103" s="29"/>
      <c r="AWM103" s="29"/>
      <c r="AWN103" s="29"/>
      <c r="AWO103" s="29"/>
      <c r="AWP103" s="29"/>
      <c r="AWQ103" s="29"/>
      <c r="AWR103" s="29"/>
      <c r="AWS103" s="29"/>
      <c r="AWT103" s="29"/>
      <c r="AWU103" s="29"/>
      <c r="AWV103" s="29"/>
      <c r="AWW103" s="29"/>
      <c r="AWX103" s="29"/>
      <c r="AWY103" s="29"/>
      <c r="AWZ103" s="29"/>
      <c r="AXA103" s="29"/>
      <c r="AXB103" s="29"/>
      <c r="AXC103" s="29"/>
      <c r="AXD103" s="29"/>
      <c r="AXE103" s="29"/>
      <c r="AXF103" s="29"/>
      <c r="AXG103" s="29"/>
      <c r="AXH103" s="29"/>
      <c r="AXI103" s="29"/>
      <c r="AXJ103" s="29"/>
      <c r="AXK103" s="29"/>
      <c r="AXL103" s="29"/>
      <c r="AXM103" s="29"/>
      <c r="AXN103" s="29"/>
      <c r="AXO103" s="29"/>
      <c r="AXP103" s="29"/>
      <c r="AXQ103" s="29"/>
      <c r="AXR103" s="29"/>
      <c r="AXS103" s="29"/>
      <c r="AXT103" s="29"/>
      <c r="AXU103" s="29"/>
      <c r="AXV103" s="29"/>
      <c r="AXW103" s="29"/>
      <c r="AXX103" s="29"/>
      <c r="AXY103" s="29"/>
      <c r="AXZ103" s="29"/>
      <c r="AYA103" s="29"/>
      <c r="AYB103" s="29"/>
      <c r="AYC103" s="29"/>
      <c r="AYD103" s="29"/>
      <c r="AYE103" s="29"/>
      <c r="AYF103" s="29"/>
      <c r="AYG103" s="29"/>
      <c r="AYH103" s="29"/>
      <c r="AYI103" s="29"/>
      <c r="AYJ103" s="29"/>
      <c r="AYK103" s="29"/>
      <c r="AYL103" s="29"/>
      <c r="AYM103" s="29"/>
      <c r="AYN103" s="29"/>
      <c r="AYO103" s="29"/>
      <c r="AYP103" s="29"/>
      <c r="AYQ103" s="29"/>
      <c r="AYR103" s="29"/>
      <c r="AYS103" s="29"/>
      <c r="AYT103" s="29"/>
      <c r="AYU103" s="29"/>
      <c r="AYV103" s="29"/>
      <c r="AYW103" s="29"/>
      <c r="AYX103" s="29"/>
      <c r="AYY103" s="29"/>
      <c r="AYZ103" s="29"/>
      <c r="AZA103" s="29"/>
      <c r="AZB103" s="29"/>
      <c r="AZC103" s="29"/>
      <c r="AZD103" s="29"/>
      <c r="AZE103" s="29"/>
      <c r="AZF103" s="29"/>
      <c r="AZG103" s="29"/>
      <c r="AZH103" s="29"/>
      <c r="AZI103" s="29"/>
      <c r="AZJ103" s="29"/>
      <c r="AZK103" s="29"/>
      <c r="AZL103" s="29"/>
      <c r="AZM103" s="29"/>
      <c r="AZN103" s="29"/>
      <c r="AZO103" s="29"/>
      <c r="AZP103" s="29"/>
      <c r="AZQ103" s="29"/>
      <c r="AZR103" s="29"/>
      <c r="AZS103" s="29"/>
      <c r="AZT103" s="29"/>
      <c r="AZU103" s="29"/>
      <c r="AZV103" s="29"/>
      <c r="AZW103" s="29"/>
      <c r="AZX103" s="29"/>
      <c r="AZY103" s="29"/>
      <c r="AZZ103" s="29"/>
      <c r="BAA103" s="29"/>
      <c r="BAB103" s="29"/>
      <c r="BAC103" s="29"/>
      <c r="BAD103" s="29"/>
      <c r="BAE103" s="29"/>
      <c r="BAF103" s="29"/>
      <c r="BAG103" s="29"/>
      <c r="BAH103" s="29"/>
      <c r="BAI103" s="29"/>
      <c r="BAJ103" s="29"/>
      <c r="BAK103" s="29"/>
      <c r="BAL103" s="29"/>
      <c r="BAM103" s="29"/>
      <c r="BAN103" s="29"/>
      <c r="BAO103" s="29"/>
      <c r="BAP103" s="29"/>
      <c r="BAQ103" s="29"/>
      <c r="BAR103" s="29"/>
      <c r="BAS103" s="29"/>
      <c r="BAT103" s="29"/>
      <c r="BAU103" s="29"/>
      <c r="BAV103" s="29"/>
      <c r="BAW103" s="29"/>
      <c r="BAX103" s="29"/>
      <c r="BAY103" s="29"/>
      <c r="BAZ103" s="29"/>
      <c r="BBA103" s="29"/>
      <c r="BBB103" s="29"/>
      <c r="BBC103" s="29"/>
      <c r="BBD103" s="29"/>
      <c r="BBE103" s="29"/>
      <c r="BBF103" s="29"/>
      <c r="BBG103" s="29"/>
      <c r="BBH103" s="29"/>
      <c r="BBI103" s="29"/>
      <c r="BBJ103" s="29"/>
      <c r="BBK103" s="29"/>
      <c r="BBL103" s="29"/>
      <c r="BBM103" s="29"/>
      <c r="BBN103" s="29"/>
      <c r="BBO103" s="29"/>
      <c r="BBP103" s="29"/>
      <c r="BBQ103" s="29"/>
      <c r="BBR103" s="29"/>
      <c r="BBS103" s="29"/>
      <c r="BBT103" s="29"/>
      <c r="BBU103" s="29"/>
      <c r="BBV103" s="29"/>
      <c r="BBW103" s="29"/>
      <c r="BBX103" s="29"/>
      <c r="BBY103" s="29"/>
      <c r="BBZ103" s="29"/>
      <c r="BCA103" s="29"/>
      <c r="BCB103" s="29"/>
      <c r="BCC103" s="29"/>
      <c r="BCD103" s="29"/>
      <c r="BCE103" s="29"/>
      <c r="BCF103" s="29"/>
      <c r="BCG103" s="29"/>
      <c r="BCH103" s="29"/>
      <c r="BCI103" s="29"/>
      <c r="BCJ103" s="29"/>
      <c r="BCK103" s="29"/>
      <c r="BCL103" s="29"/>
      <c r="BCM103" s="29"/>
      <c r="BCN103" s="29"/>
      <c r="BCO103" s="29"/>
      <c r="BCP103" s="29"/>
      <c r="BCQ103" s="29"/>
      <c r="BCR103" s="29"/>
      <c r="BCS103" s="29"/>
      <c r="BCT103" s="29"/>
      <c r="BCU103" s="29"/>
      <c r="BCV103" s="29"/>
      <c r="BCW103" s="29"/>
      <c r="BCX103" s="29"/>
      <c r="BCY103" s="29"/>
      <c r="BCZ103" s="29"/>
      <c r="BDA103" s="29"/>
      <c r="BDB103" s="29"/>
      <c r="BDC103" s="29"/>
      <c r="BDD103" s="29"/>
      <c r="BDE103" s="29"/>
      <c r="BDF103" s="29"/>
      <c r="BDG103" s="29"/>
      <c r="BDH103" s="29"/>
      <c r="BDI103" s="29"/>
      <c r="BDJ103" s="29"/>
      <c r="BDK103" s="29"/>
      <c r="BDL103" s="29"/>
      <c r="BDM103" s="29"/>
      <c r="BDN103" s="29"/>
      <c r="BDO103" s="29"/>
      <c r="BDP103" s="29"/>
      <c r="BDQ103" s="29"/>
      <c r="BDR103" s="29"/>
      <c r="BDS103" s="29"/>
      <c r="BDT103" s="29"/>
      <c r="BDU103" s="29"/>
      <c r="BDV103" s="29"/>
      <c r="BDW103" s="29"/>
      <c r="BDX103" s="29"/>
      <c r="BDY103" s="29"/>
      <c r="BDZ103" s="29"/>
      <c r="BEA103" s="29"/>
      <c r="BEB103" s="29"/>
      <c r="BEC103" s="29"/>
      <c r="BED103" s="29"/>
      <c r="BEE103" s="29"/>
      <c r="BEF103" s="29"/>
      <c r="BEG103" s="29"/>
      <c r="BEH103" s="29"/>
      <c r="BEI103" s="29"/>
      <c r="BEJ103" s="29"/>
      <c r="BEK103" s="29"/>
      <c r="BEL103" s="29"/>
      <c r="BEM103" s="29"/>
      <c r="BEN103" s="29"/>
      <c r="BEO103" s="29"/>
      <c r="BEP103" s="29"/>
      <c r="BEQ103" s="29"/>
      <c r="BER103" s="29"/>
      <c r="BES103" s="29"/>
      <c r="BET103" s="29"/>
      <c r="BEU103" s="29"/>
      <c r="BEV103" s="29"/>
      <c r="BEW103" s="29"/>
      <c r="BEX103" s="29"/>
      <c r="BEY103" s="29"/>
      <c r="BEZ103" s="29"/>
      <c r="BFA103" s="29"/>
      <c r="BFB103" s="29"/>
      <c r="BFC103" s="29"/>
      <c r="BFD103" s="29"/>
      <c r="BFE103" s="29"/>
      <c r="BFF103" s="29"/>
      <c r="BFG103" s="29"/>
      <c r="BFH103" s="29"/>
      <c r="BFI103" s="29"/>
      <c r="BFJ103" s="29"/>
      <c r="BFK103" s="29"/>
      <c r="BFL103" s="29"/>
      <c r="BFM103" s="29"/>
      <c r="BFN103" s="29"/>
      <c r="BFO103" s="29"/>
      <c r="BFP103" s="29"/>
      <c r="BFQ103" s="29"/>
      <c r="BFR103" s="29"/>
      <c r="BFS103" s="29"/>
      <c r="BFT103" s="29"/>
      <c r="BFU103" s="29"/>
      <c r="BFV103" s="29"/>
      <c r="BFW103" s="29"/>
      <c r="BFX103" s="29"/>
      <c r="BFY103" s="29"/>
      <c r="BFZ103" s="29"/>
      <c r="BGA103" s="29"/>
      <c r="BGB103" s="29"/>
      <c r="BGC103" s="29"/>
      <c r="BGD103" s="29"/>
      <c r="BGE103" s="29"/>
      <c r="BGF103" s="29"/>
      <c r="BGG103" s="29"/>
      <c r="BGH103" s="29"/>
      <c r="BGI103" s="29"/>
      <c r="BGJ103" s="29"/>
      <c r="BGK103" s="29"/>
      <c r="BGL103" s="29"/>
      <c r="BGM103" s="29"/>
      <c r="BGN103" s="29"/>
      <c r="BGO103" s="29"/>
      <c r="BGP103" s="29"/>
      <c r="BGQ103" s="29"/>
      <c r="BGR103" s="29"/>
      <c r="BGS103" s="29"/>
      <c r="BGT103" s="29"/>
      <c r="BGU103" s="29"/>
      <c r="BGV103" s="29"/>
      <c r="BGW103" s="29"/>
      <c r="BGX103" s="29"/>
      <c r="BGY103" s="29"/>
      <c r="BGZ103" s="29"/>
      <c r="BHA103" s="29"/>
      <c r="BHB103" s="29"/>
      <c r="BHC103" s="29"/>
      <c r="BHD103" s="29"/>
      <c r="BHE103" s="29"/>
      <c r="BHF103" s="29"/>
      <c r="BHG103" s="29"/>
      <c r="BHH103" s="29"/>
      <c r="BHI103" s="29"/>
      <c r="BHJ103" s="29"/>
      <c r="BHK103" s="29"/>
      <c r="BHL103" s="29"/>
      <c r="BHM103" s="29"/>
      <c r="BHN103" s="29"/>
      <c r="BHO103" s="29"/>
      <c r="BHP103" s="29"/>
      <c r="BHQ103" s="29"/>
      <c r="BHR103" s="29"/>
      <c r="BHS103" s="29"/>
      <c r="BHT103" s="29"/>
      <c r="BHU103" s="29"/>
      <c r="BHV103" s="29"/>
      <c r="BHW103" s="29"/>
      <c r="BHX103" s="29"/>
      <c r="BHY103" s="29"/>
      <c r="BHZ103" s="29"/>
      <c r="BIA103" s="29"/>
      <c r="BIB103" s="29"/>
      <c r="BIC103" s="29"/>
      <c r="BID103" s="29"/>
      <c r="BIE103" s="29"/>
      <c r="BIF103" s="29"/>
      <c r="BIG103" s="29"/>
      <c r="BIH103" s="29"/>
      <c r="BII103" s="29"/>
      <c r="BIJ103" s="29"/>
      <c r="BIK103" s="29"/>
      <c r="BIL103" s="29"/>
      <c r="BIM103" s="29"/>
      <c r="BIN103" s="29"/>
      <c r="BIO103" s="29"/>
      <c r="BIP103" s="29"/>
      <c r="BIQ103" s="29"/>
      <c r="BIR103" s="29"/>
      <c r="BIS103" s="29"/>
      <c r="BIT103" s="29"/>
      <c r="BIU103" s="29"/>
      <c r="BIV103" s="29"/>
      <c r="BIW103" s="29"/>
      <c r="BIX103" s="29"/>
      <c r="BIY103" s="29"/>
      <c r="BIZ103" s="29"/>
      <c r="BJA103" s="29"/>
      <c r="BJB103" s="29"/>
      <c r="BJC103" s="29"/>
      <c r="BJD103" s="29"/>
      <c r="BJE103" s="29"/>
      <c r="BJF103" s="29"/>
      <c r="BJG103" s="29"/>
      <c r="BJH103" s="29"/>
      <c r="BJI103" s="29"/>
      <c r="BJJ103" s="29"/>
      <c r="BJK103" s="29"/>
      <c r="BJL103" s="29"/>
      <c r="BJM103" s="29"/>
      <c r="BJN103" s="29"/>
      <c r="BJO103" s="29"/>
      <c r="BJP103" s="29"/>
      <c r="BJQ103" s="29"/>
      <c r="BJR103" s="29"/>
      <c r="BJS103" s="29"/>
      <c r="BJT103" s="29"/>
      <c r="BJU103" s="29"/>
      <c r="BJV103" s="29"/>
      <c r="BJW103" s="29"/>
      <c r="BJX103" s="29"/>
      <c r="BJY103" s="29"/>
      <c r="BJZ103" s="29"/>
      <c r="BKA103" s="29"/>
      <c r="BKB103" s="29"/>
      <c r="BKC103" s="29"/>
      <c r="BKD103" s="29"/>
      <c r="BKE103" s="29"/>
      <c r="BKF103" s="29"/>
      <c r="BKG103" s="29"/>
      <c r="BKH103" s="29"/>
      <c r="BKI103" s="29"/>
      <c r="BKJ103" s="29"/>
      <c r="BKK103" s="29"/>
      <c r="BKL103" s="29"/>
      <c r="BKM103" s="29"/>
      <c r="BKN103" s="29"/>
      <c r="BKO103" s="29"/>
      <c r="BKP103" s="29"/>
      <c r="BKQ103" s="29"/>
      <c r="BKR103" s="29"/>
      <c r="BKS103" s="29"/>
      <c r="BKT103" s="29"/>
      <c r="BKU103" s="29"/>
      <c r="BKV103" s="29"/>
      <c r="BKW103" s="29"/>
      <c r="BKX103" s="29"/>
      <c r="BKY103" s="29"/>
      <c r="BKZ103" s="29"/>
      <c r="BLA103" s="29"/>
      <c r="BLB103" s="29"/>
      <c r="BLC103" s="29"/>
      <c r="BLD103" s="29"/>
      <c r="BLE103" s="29"/>
      <c r="BLF103" s="29"/>
      <c r="BLG103" s="29"/>
      <c r="BLH103" s="29"/>
      <c r="BLI103" s="29"/>
      <c r="BLJ103" s="29"/>
      <c r="BLK103" s="29"/>
      <c r="BLL103" s="29"/>
      <c r="BLM103" s="29"/>
      <c r="BLN103" s="29"/>
      <c r="BLO103" s="29"/>
      <c r="BLP103" s="29"/>
      <c r="BLQ103" s="29"/>
      <c r="BLR103" s="29"/>
      <c r="BLS103" s="29"/>
      <c r="BLT103" s="29"/>
      <c r="BLU103" s="29"/>
      <c r="BLV103" s="29"/>
      <c r="BLW103" s="29"/>
      <c r="BLX103" s="29"/>
      <c r="BLY103" s="29"/>
      <c r="BLZ103" s="29"/>
      <c r="BMA103" s="29"/>
      <c r="BMB103" s="29"/>
      <c r="BMC103" s="29"/>
      <c r="BMD103" s="29"/>
      <c r="BME103" s="29"/>
      <c r="BMF103" s="29"/>
      <c r="BMG103" s="29"/>
      <c r="BMH103" s="29"/>
      <c r="BMI103" s="29"/>
      <c r="BMJ103" s="29"/>
      <c r="BMK103" s="29"/>
      <c r="BML103" s="29"/>
      <c r="BMM103" s="29"/>
      <c r="BMN103" s="29"/>
      <c r="BMO103" s="29"/>
      <c r="BMP103" s="29"/>
      <c r="BMQ103" s="29"/>
      <c r="BMR103" s="29"/>
      <c r="BMS103" s="29"/>
      <c r="BMT103" s="29"/>
      <c r="BMU103" s="29"/>
      <c r="BMV103" s="29"/>
      <c r="BMW103" s="29"/>
      <c r="BMX103" s="29"/>
      <c r="BMY103" s="29"/>
      <c r="BMZ103" s="29"/>
      <c r="BNA103" s="29"/>
      <c r="BNB103" s="29"/>
      <c r="BNC103" s="29"/>
      <c r="BND103" s="29"/>
      <c r="BNE103" s="29"/>
      <c r="BNF103" s="29"/>
      <c r="BNG103" s="29"/>
      <c r="BNH103" s="29"/>
      <c r="BNI103" s="29"/>
      <c r="BNJ103" s="29"/>
      <c r="BNK103" s="29"/>
      <c r="BNL103" s="29"/>
      <c r="BNM103" s="29"/>
      <c r="BNN103" s="29"/>
      <c r="BNO103" s="29"/>
      <c r="BNP103" s="29"/>
      <c r="BNQ103" s="29"/>
      <c r="BNR103" s="29"/>
      <c r="BNS103" s="29"/>
      <c r="BNT103" s="29"/>
      <c r="BNU103" s="29"/>
      <c r="BNV103" s="29"/>
      <c r="BNW103" s="29"/>
      <c r="BNX103" s="29"/>
      <c r="BNY103" s="29"/>
      <c r="BNZ103" s="29"/>
      <c r="BOA103" s="29"/>
      <c r="BOB103" s="29"/>
      <c r="BOC103" s="29"/>
      <c r="BOD103" s="29"/>
      <c r="BOE103" s="29"/>
      <c r="BOF103" s="29"/>
      <c r="BOG103" s="29"/>
      <c r="BOH103" s="29"/>
      <c r="BOI103" s="29"/>
      <c r="BOJ103" s="29"/>
      <c r="BOK103" s="29"/>
      <c r="BOL103" s="29"/>
      <c r="BOM103" s="29"/>
      <c r="BON103" s="29"/>
      <c r="BOO103" s="29"/>
      <c r="BOP103" s="29"/>
      <c r="BOQ103" s="29"/>
      <c r="BOR103" s="29"/>
      <c r="BOS103" s="29"/>
      <c r="BOT103" s="29"/>
      <c r="BOU103" s="29"/>
      <c r="BOV103" s="29"/>
      <c r="BOW103" s="29"/>
      <c r="BOX103" s="29"/>
      <c r="BOY103" s="29"/>
      <c r="BOZ103" s="29"/>
      <c r="BPA103" s="29"/>
      <c r="BPB103" s="29"/>
      <c r="BPC103" s="29"/>
      <c r="BPD103" s="29"/>
      <c r="BPE103" s="29"/>
      <c r="BPF103" s="29"/>
      <c r="BPG103" s="29"/>
      <c r="BPH103" s="29"/>
      <c r="BPI103" s="29"/>
      <c r="BPJ103" s="29"/>
      <c r="BPK103" s="29"/>
      <c r="BPL103" s="29"/>
      <c r="BPM103" s="29"/>
      <c r="BPN103" s="29"/>
      <c r="BPO103" s="29"/>
      <c r="BPP103" s="29"/>
      <c r="BPQ103" s="29"/>
      <c r="BPR103" s="29"/>
      <c r="BPS103" s="29"/>
      <c r="BPT103" s="29"/>
      <c r="BPU103" s="29"/>
      <c r="BPV103" s="29"/>
      <c r="BPW103" s="29"/>
      <c r="BPX103" s="29"/>
      <c r="BPY103" s="29"/>
      <c r="BPZ103" s="29"/>
      <c r="BQA103" s="29"/>
      <c r="BQB103" s="29"/>
      <c r="BQC103" s="29"/>
      <c r="BQD103" s="29"/>
      <c r="BQE103" s="29"/>
      <c r="BQF103" s="29"/>
      <c r="BQG103" s="29"/>
      <c r="BQH103" s="29"/>
      <c r="BQI103" s="29"/>
      <c r="BQJ103" s="29"/>
      <c r="BQK103" s="29"/>
      <c r="BQL103" s="29"/>
      <c r="BQM103" s="29"/>
      <c r="BQN103" s="29"/>
      <c r="BQO103" s="29"/>
      <c r="BQP103" s="29"/>
      <c r="BQQ103" s="29"/>
      <c r="BQR103" s="29"/>
      <c r="BQS103" s="29"/>
      <c r="BQT103" s="29"/>
      <c r="BQU103" s="29"/>
      <c r="BQV103" s="29"/>
      <c r="BQW103" s="29"/>
      <c r="BQX103" s="29"/>
      <c r="BQY103" s="29"/>
      <c r="BQZ103" s="29"/>
      <c r="BRA103" s="29"/>
      <c r="BRB103" s="29"/>
      <c r="BRC103" s="29"/>
      <c r="BRD103" s="29"/>
      <c r="BRE103" s="29"/>
      <c r="BRF103" s="29"/>
      <c r="BRG103" s="29"/>
      <c r="BRH103" s="29"/>
      <c r="BRI103" s="29"/>
      <c r="BRJ103" s="29"/>
      <c r="BRK103" s="29"/>
      <c r="BRL103" s="29"/>
      <c r="BRM103" s="29"/>
      <c r="BRN103" s="29"/>
      <c r="BRO103" s="29"/>
      <c r="BRP103" s="29"/>
      <c r="BRQ103" s="29"/>
      <c r="BRR103" s="29"/>
      <c r="BRS103" s="29"/>
      <c r="BRT103" s="29"/>
      <c r="BRU103" s="29"/>
      <c r="BRV103" s="29"/>
      <c r="BRW103" s="29"/>
      <c r="BRX103" s="29"/>
      <c r="BRY103" s="29"/>
      <c r="BRZ103" s="29"/>
      <c r="BSA103" s="29"/>
      <c r="BSB103" s="29"/>
      <c r="BSC103" s="29"/>
      <c r="BSD103" s="29"/>
      <c r="BSE103" s="29"/>
      <c r="BSF103" s="29"/>
      <c r="BSG103" s="29"/>
      <c r="BSH103" s="29"/>
      <c r="BSI103" s="29"/>
      <c r="BSJ103" s="29"/>
      <c r="BSK103" s="29"/>
      <c r="BSL103" s="29"/>
      <c r="BSM103" s="29"/>
      <c r="BSN103" s="29"/>
      <c r="BSO103" s="29"/>
      <c r="BSP103" s="29"/>
      <c r="BSQ103" s="29"/>
      <c r="BSR103" s="29"/>
      <c r="BSS103" s="29"/>
      <c r="BST103" s="29"/>
      <c r="BSU103" s="29"/>
      <c r="BSV103" s="29"/>
      <c r="BSW103" s="29"/>
      <c r="BSX103" s="29"/>
      <c r="BSY103" s="29"/>
      <c r="BSZ103" s="29"/>
      <c r="BTA103" s="29"/>
      <c r="BTB103" s="29"/>
      <c r="BTC103" s="29"/>
      <c r="BTD103" s="29"/>
      <c r="BTE103" s="29"/>
      <c r="BTF103" s="29"/>
      <c r="BTG103" s="29"/>
      <c r="BTH103" s="29"/>
      <c r="BTI103" s="29"/>
      <c r="BTJ103" s="29"/>
      <c r="BTK103" s="29"/>
      <c r="BTL103" s="29"/>
      <c r="BTM103" s="29"/>
      <c r="BTN103" s="29"/>
      <c r="BTO103" s="29"/>
      <c r="BTP103" s="29"/>
      <c r="BTQ103" s="29"/>
      <c r="BTR103" s="29"/>
      <c r="BTS103" s="29"/>
      <c r="BTT103" s="29"/>
      <c r="BTU103" s="29"/>
      <c r="BTV103" s="29"/>
      <c r="BTW103" s="29"/>
      <c r="BTX103" s="29"/>
      <c r="BTY103" s="29"/>
      <c r="BTZ103" s="29"/>
      <c r="BUA103" s="29"/>
      <c r="BUB103" s="29"/>
      <c r="BUC103" s="29"/>
      <c r="BUD103" s="29"/>
      <c r="BUE103" s="29"/>
      <c r="BUF103" s="29"/>
      <c r="BUG103" s="29"/>
      <c r="BUH103" s="29"/>
      <c r="BUI103" s="29"/>
      <c r="BUJ103" s="29"/>
      <c r="BUK103" s="29"/>
      <c r="BUL103" s="29"/>
      <c r="BUM103" s="29"/>
      <c r="BUN103" s="29"/>
      <c r="BUO103" s="29"/>
      <c r="BUP103" s="29"/>
      <c r="BUQ103" s="29"/>
      <c r="BUR103" s="29"/>
      <c r="BUS103" s="29"/>
      <c r="BUT103" s="29"/>
      <c r="BUU103" s="29"/>
      <c r="BUV103" s="29"/>
      <c r="BUW103" s="29"/>
      <c r="BUX103" s="29"/>
      <c r="BUY103" s="29"/>
      <c r="BUZ103" s="29"/>
      <c r="BVA103" s="29"/>
      <c r="BVB103" s="29"/>
      <c r="BVC103" s="29"/>
      <c r="BVD103" s="29"/>
      <c r="BVE103" s="29"/>
      <c r="BVF103" s="29"/>
      <c r="BVG103" s="29"/>
      <c r="BVH103" s="29"/>
      <c r="BVI103" s="29"/>
      <c r="BVJ103" s="29"/>
      <c r="BVK103" s="29"/>
      <c r="BVL103" s="29"/>
      <c r="BVM103" s="29"/>
      <c r="BVN103" s="29"/>
      <c r="BVO103" s="29"/>
      <c r="BVP103" s="29"/>
      <c r="BVQ103" s="29"/>
      <c r="BVR103" s="29"/>
      <c r="BVS103" s="29"/>
      <c r="BVT103" s="29"/>
      <c r="BVU103" s="29"/>
      <c r="BVV103" s="29"/>
      <c r="BVW103" s="29"/>
      <c r="BVX103" s="29"/>
      <c r="BVY103" s="29"/>
      <c r="BVZ103" s="29"/>
      <c r="BWA103" s="29"/>
      <c r="BWB103" s="29"/>
      <c r="BWC103" s="29"/>
      <c r="BWD103" s="29"/>
      <c r="BWE103" s="29"/>
      <c r="BWF103" s="29"/>
      <c r="BWG103" s="29"/>
      <c r="BWH103" s="29"/>
      <c r="BWI103" s="29"/>
      <c r="BWJ103" s="29"/>
      <c r="BWK103" s="29"/>
      <c r="BWL103" s="29"/>
      <c r="BWM103" s="29"/>
      <c r="BWN103" s="29"/>
      <c r="BWO103" s="29"/>
      <c r="BWP103" s="29"/>
      <c r="BWQ103" s="29"/>
      <c r="BWR103" s="29"/>
      <c r="BWS103" s="29"/>
      <c r="BWT103" s="29"/>
      <c r="BWU103" s="29"/>
      <c r="BWV103" s="29"/>
      <c r="BWW103" s="29"/>
      <c r="BWX103" s="29"/>
      <c r="BWY103" s="29"/>
      <c r="BWZ103" s="29"/>
      <c r="BXA103" s="29"/>
      <c r="BXB103" s="29"/>
      <c r="BXC103" s="29"/>
      <c r="BXD103" s="29"/>
      <c r="BXE103" s="29"/>
      <c r="BXF103" s="29"/>
      <c r="BXG103" s="29"/>
      <c r="BXH103" s="29"/>
      <c r="BXI103" s="29"/>
      <c r="BXJ103" s="29"/>
      <c r="BXK103" s="29"/>
      <c r="BXL103" s="29"/>
      <c r="BXM103" s="29"/>
      <c r="BXN103" s="29"/>
      <c r="BXO103" s="29"/>
      <c r="BXP103" s="29"/>
      <c r="BXQ103" s="29"/>
      <c r="BXR103" s="29"/>
      <c r="BXS103" s="29"/>
      <c r="BXT103" s="29"/>
      <c r="BXU103" s="29"/>
      <c r="BXV103" s="29"/>
      <c r="BXW103" s="29"/>
      <c r="BXX103" s="29"/>
      <c r="BXY103" s="29"/>
      <c r="BXZ103" s="29"/>
      <c r="BYA103" s="29"/>
      <c r="BYB103" s="29"/>
      <c r="BYC103" s="29"/>
      <c r="BYD103" s="29"/>
      <c r="BYE103" s="29"/>
      <c r="BYF103" s="29"/>
      <c r="BYG103" s="29"/>
      <c r="BYH103" s="29"/>
      <c r="BYI103" s="29"/>
      <c r="BYJ103" s="29"/>
      <c r="BYK103" s="29"/>
      <c r="BYL103" s="29"/>
      <c r="BYM103" s="29"/>
      <c r="BYN103" s="29"/>
      <c r="BYO103" s="29"/>
      <c r="BYP103" s="29"/>
      <c r="BYQ103" s="29"/>
      <c r="BYR103" s="29"/>
      <c r="BYS103" s="29"/>
      <c r="BYT103" s="29"/>
      <c r="BYU103" s="29"/>
      <c r="BYV103" s="29"/>
      <c r="BYW103" s="29"/>
      <c r="BYX103" s="29"/>
      <c r="BYY103" s="29"/>
      <c r="BYZ103" s="29"/>
      <c r="BZA103" s="29"/>
      <c r="BZB103" s="29"/>
      <c r="BZC103" s="29"/>
      <c r="BZD103" s="29"/>
      <c r="BZE103" s="29"/>
      <c r="BZF103" s="29"/>
      <c r="BZG103" s="29"/>
      <c r="BZH103" s="29"/>
      <c r="BZI103" s="29"/>
      <c r="BZJ103" s="29"/>
      <c r="BZK103" s="29"/>
      <c r="BZL103" s="29"/>
      <c r="BZM103" s="29"/>
      <c r="BZN103" s="29"/>
      <c r="BZO103" s="29"/>
      <c r="BZP103" s="29"/>
      <c r="BZQ103" s="29"/>
      <c r="BZR103" s="29"/>
      <c r="BZS103" s="29"/>
      <c r="BZT103" s="29"/>
      <c r="BZU103" s="29"/>
      <c r="BZV103" s="29"/>
      <c r="BZW103" s="29"/>
      <c r="BZX103" s="29"/>
      <c r="BZY103" s="29"/>
      <c r="BZZ103" s="29"/>
      <c r="CAA103" s="29"/>
      <c r="CAB103" s="29"/>
      <c r="CAC103" s="29"/>
      <c r="CAD103" s="29"/>
      <c r="CAE103" s="29"/>
      <c r="CAF103" s="29"/>
      <c r="CAG103" s="29"/>
      <c r="CAH103" s="29"/>
      <c r="CAI103" s="29"/>
      <c r="CAJ103" s="29"/>
      <c r="CAK103" s="29"/>
      <c r="CAL103" s="29"/>
      <c r="CAM103" s="29"/>
      <c r="CAN103" s="29"/>
      <c r="CAO103" s="29"/>
      <c r="CAP103" s="29"/>
      <c r="CAQ103" s="29"/>
      <c r="CAR103" s="29"/>
      <c r="CAS103" s="29"/>
      <c r="CAT103" s="29"/>
      <c r="CAU103" s="29"/>
      <c r="CAV103" s="29"/>
      <c r="CAW103" s="29"/>
      <c r="CAX103" s="29"/>
      <c r="CAY103" s="29"/>
      <c r="CAZ103" s="29"/>
      <c r="CBA103" s="29"/>
      <c r="CBB103" s="29"/>
      <c r="CBC103" s="29"/>
      <c r="CBD103" s="29"/>
      <c r="CBE103" s="29"/>
      <c r="CBF103" s="29"/>
      <c r="CBG103" s="29"/>
      <c r="CBH103" s="29"/>
      <c r="CBI103" s="29"/>
      <c r="CBJ103" s="29"/>
      <c r="CBK103" s="29"/>
      <c r="CBL103" s="29"/>
      <c r="CBM103" s="29"/>
      <c r="CBN103" s="29"/>
      <c r="CBO103" s="29"/>
      <c r="CBP103" s="29"/>
      <c r="CBQ103" s="29"/>
      <c r="CBR103" s="29"/>
      <c r="CBS103" s="29"/>
      <c r="CBT103" s="29"/>
      <c r="CBU103" s="29"/>
      <c r="CBV103" s="29"/>
      <c r="CBW103" s="29"/>
      <c r="CBX103" s="29"/>
      <c r="CBY103" s="29"/>
      <c r="CBZ103" s="29"/>
      <c r="CCA103" s="29"/>
      <c r="CCB103" s="29"/>
      <c r="CCC103" s="29"/>
      <c r="CCD103" s="29"/>
      <c r="CCE103" s="29"/>
      <c r="CCF103" s="29"/>
      <c r="CCG103" s="29"/>
      <c r="CCH103" s="29"/>
      <c r="CCI103" s="29"/>
      <c r="CCJ103" s="29"/>
      <c r="CCK103" s="29"/>
      <c r="CCL103" s="29"/>
      <c r="CCM103" s="29"/>
      <c r="CCN103" s="29"/>
      <c r="CCO103" s="29"/>
      <c r="CCP103" s="29"/>
      <c r="CCQ103" s="29"/>
      <c r="CCR103" s="29"/>
      <c r="CCS103" s="29"/>
      <c r="CCT103" s="29"/>
      <c r="CCU103" s="29"/>
      <c r="CCV103" s="29"/>
      <c r="CCW103" s="29"/>
      <c r="CCX103" s="29"/>
      <c r="CCY103" s="29"/>
      <c r="CCZ103" s="29"/>
      <c r="CDA103" s="29"/>
      <c r="CDB103" s="29"/>
      <c r="CDC103" s="29"/>
      <c r="CDD103" s="29"/>
      <c r="CDE103" s="29"/>
      <c r="CDF103" s="29"/>
      <c r="CDG103" s="29"/>
      <c r="CDH103" s="29"/>
      <c r="CDI103" s="29"/>
      <c r="CDJ103" s="29"/>
      <c r="CDK103" s="29"/>
      <c r="CDL103" s="29"/>
      <c r="CDM103" s="29"/>
      <c r="CDN103" s="29"/>
      <c r="CDO103" s="29"/>
      <c r="CDP103" s="29"/>
      <c r="CDQ103" s="29"/>
      <c r="CDR103" s="29"/>
      <c r="CDS103" s="29"/>
      <c r="CDT103" s="29"/>
      <c r="CDU103" s="29"/>
      <c r="CDV103" s="29"/>
      <c r="CDW103" s="29"/>
      <c r="CDX103" s="29"/>
      <c r="CDY103" s="29"/>
      <c r="CDZ103" s="29"/>
      <c r="CEA103" s="29"/>
      <c r="CEB103" s="29"/>
      <c r="CEC103" s="29"/>
      <c r="CED103" s="29"/>
      <c r="CEE103" s="29"/>
      <c r="CEF103" s="29"/>
      <c r="CEG103" s="29"/>
      <c r="CEH103" s="29"/>
      <c r="CEI103" s="29"/>
      <c r="CEJ103" s="29"/>
      <c r="CEK103" s="29"/>
      <c r="CEL103" s="29"/>
      <c r="CEM103" s="29"/>
      <c r="CEN103" s="29"/>
      <c r="CEO103" s="29"/>
      <c r="CEP103" s="29"/>
      <c r="CEQ103" s="29"/>
      <c r="CER103" s="29"/>
      <c r="CES103" s="29"/>
      <c r="CET103" s="29"/>
      <c r="CEU103" s="29"/>
      <c r="CEV103" s="29"/>
      <c r="CEW103" s="29"/>
      <c r="CEX103" s="29"/>
      <c r="CEY103" s="29"/>
      <c r="CEZ103" s="29"/>
      <c r="CFA103" s="29"/>
      <c r="CFB103" s="29"/>
      <c r="CFC103" s="29"/>
      <c r="CFD103" s="29"/>
      <c r="CFE103" s="29"/>
      <c r="CFF103" s="29"/>
      <c r="CFG103" s="29"/>
      <c r="CFH103" s="29"/>
      <c r="CFI103" s="29"/>
      <c r="CFJ103" s="29"/>
      <c r="CFK103" s="29"/>
      <c r="CFL103" s="29"/>
      <c r="CFM103" s="29"/>
      <c r="CFN103" s="29"/>
      <c r="CFO103" s="29"/>
      <c r="CFP103" s="29"/>
      <c r="CFQ103" s="29"/>
      <c r="CFR103" s="29"/>
      <c r="CFS103" s="29"/>
      <c r="CFT103" s="29"/>
      <c r="CFU103" s="29"/>
      <c r="CFV103" s="29"/>
      <c r="CFW103" s="29"/>
      <c r="CFX103" s="29"/>
      <c r="CFY103" s="29"/>
      <c r="CFZ103" s="29"/>
      <c r="CGA103" s="29"/>
      <c r="CGB103" s="29"/>
      <c r="CGC103" s="29"/>
      <c r="CGD103" s="29"/>
      <c r="CGE103" s="29"/>
      <c r="CGF103" s="29"/>
      <c r="CGG103" s="29"/>
      <c r="CGH103" s="29"/>
      <c r="CGI103" s="29"/>
      <c r="CGJ103" s="29"/>
      <c r="CGK103" s="29"/>
      <c r="CGL103" s="29"/>
      <c r="CGM103" s="29"/>
      <c r="CGN103" s="29"/>
      <c r="CGO103" s="29"/>
      <c r="CGP103" s="29"/>
      <c r="CGQ103" s="29"/>
      <c r="CGR103" s="29"/>
      <c r="CGS103" s="29"/>
      <c r="CGT103" s="29"/>
      <c r="CGU103" s="29"/>
      <c r="CGV103" s="29"/>
      <c r="CGW103" s="29"/>
      <c r="CGX103" s="29"/>
      <c r="CGY103" s="29"/>
      <c r="CGZ103" s="29"/>
      <c r="CHA103" s="29"/>
      <c r="CHB103" s="29"/>
      <c r="CHC103" s="29"/>
      <c r="CHD103" s="29"/>
      <c r="CHE103" s="29"/>
      <c r="CHF103" s="29"/>
      <c r="CHG103" s="29"/>
      <c r="CHH103" s="29"/>
      <c r="CHI103" s="29"/>
      <c r="CHJ103" s="29"/>
      <c r="CHK103" s="29"/>
      <c r="CHL103" s="29"/>
      <c r="CHM103" s="29"/>
      <c r="CHN103" s="29"/>
      <c r="CHO103" s="29"/>
      <c r="CHP103" s="29"/>
      <c r="CHQ103" s="29"/>
      <c r="CHR103" s="29"/>
      <c r="CHS103" s="29"/>
      <c r="CHT103" s="29"/>
      <c r="CHU103" s="29"/>
      <c r="CHV103" s="29"/>
      <c r="CHW103" s="29"/>
      <c r="CHX103" s="29"/>
      <c r="CHY103" s="29"/>
      <c r="CHZ103" s="29"/>
      <c r="CIA103" s="29"/>
      <c r="CIB103" s="29"/>
      <c r="CIC103" s="29"/>
      <c r="CID103" s="29"/>
      <c r="CIE103" s="29"/>
      <c r="CIF103" s="29"/>
      <c r="CIG103" s="29"/>
      <c r="CIH103" s="29"/>
      <c r="CII103" s="29"/>
      <c r="CIJ103" s="29"/>
      <c r="CIK103" s="29"/>
      <c r="CIL103" s="29"/>
      <c r="CIM103" s="29"/>
      <c r="CIN103" s="29"/>
      <c r="CIO103" s="29"/>
      <c r="CIP103" s="29"/>
      <c r="CIQ103" s="29"/>
      <c r="CIR103" s="29"/>
      <c r="CIS103" s="29"/>
      <c r="CIT103" s="29"/>
      <c r="CIU103" s="29"/>
      <c r="CIV103" s="29"/>
      <c r="CIW103" s="29"/>
      <c r="CIX103" s="29"/>
      <c r="CIY103" s="29"/>
      <c r="CIZ103" s="29"/>
      <c r="CJA103" s="29"/>
      <c r="CJB103" s="29"/>
      <c r="CJC103" s="29"/>
      <c r="CJD103" s="29"/>
      <c r="CJE103" s="29"/>
      <c r="CJF103" s="29"/>
      <c r="CJG103" s="29"/>
      <c r="CJH103" s="29"/>
      <c r="CJI103" s="29"/>
      <c r="CJJ103" s="29"/>
      <c r="CJK103" s="29"/>
      <c r="CJL103" s="29"/>
      <c r="CJM103" s="29"/>
      <c r="CJN103" s="29"/>
      <c r="CJO103" s="29"/>
      <c r="CJP103" s="29"/>
      <c r="CJQ103" s="29"/>
      <c r="CJR103" s="29"/>
      <c r="CJS103" s="29"/>
      <c r="CJT103" s="29"/>
      <c r="CJU103" s="29"/>
      <c r="CJV103" s="29"/>
      <c r="CJW103" s="29"/>
      <c r="CJX103" s="29"/>
      <c r="CJY103" s="29"/>
      <c r="CJZ103" s="29"/>
      <c r="CKA103" s="29"/>
      <c r="CKB103" s="29"/>
      <c r="CKC103" s="29"/>
      <c r="CKD103" s="29"/>
      <c r="CKE103" s="29"/>
      <c r="CKF103" s="29"/>
      <c r="CKG103" s="29"/>
      <c r="CKH103" s="29"/>
      <c r="CKI103" s="29"/>
      <c r="CKJ103" s="29"/>
      <c r="CKK103" s="29"/>
      <c r="CKL103" s="29"/>
      <c r="CKM103" s="29"/>
      <c r="CKN103" s="29"/>
      <c r="CKO103" s="29"/>
      <c r="CKP103" s="29"/>
      <c r="CKQ103" s="29"/>
      <c r="CKR103" s="29"/>
      <c r="CKS103" s="29"/>
      <c r="CKT103" s="29"/>
      <c r="CKU103" s="29"/>
      <c r="CKV103" s="29"/>
      <c r="CKW103" s="29"/>
      <c r="CKX103" s="29"/>
      <c r="CKY103" s="29"/>
      <c r="CKZ103" s="29"/>
      <c r="CLA103" s="29"/>
      <c r="CLB103" s="29"/>
      <c r="CLC103" s="29"/>
      <c r="CLD103" s="29"/>
      <c r="CLE103" s="29"/>
      <c r="CLF103" s="29"/>
      <c r="CLG103" s="29"/>
      <c r="CLH103" s="29"/>
      <c r="CLI103" s="29"/>
      <c r="CLJ103" s="29"/>
      <c r="CLK103" s="29"/>
      <c r="CLL103" s="29"/>
      <c r="CLM103" s="29"/>
      <c r="CLN103" s="29"/>
      <c r="CLO103" s="29"/>
      <c r="CLP103" s="29"/>
      <c r="CLQ103" s="29"/>
      <c r="CLR103" s="29"/>
      <c r="CLS103" s="29"/>
      <c r="CLT103" s="29"/>
      <c r="CLU103" s="29"/>
      <c r="CLV103" s="29"/>
      <c r="CLW103" s="29"/>
      <c r="CLX103" s="29"/>
      <c r="CLY103" s="29"/>
      <c r="CLZ103" s="29"/>
      <c r="CMA103" s="29"/>
      <c r="CMB103" s="29"/>
      <c r="CMC103" s="29"/>
      <c r="CMD103" s="29"/>
      <c r="CME103" s="29"/>
      <c r="CMF103" s="29"/>
      <c r="CMG103" s="29"/>
      <c r="CMH103" s="29"/>
      <c r="CMI103" s="29"/>
      <c r="CMJ103" s="29"/>
      <c r="CMK103" s="29"/>
      <c r="CML103" s="29"/>
      <c r="CMM103" s="29"/>
      <c r="CMN103" s="29"/>
      <c r="CMO103" s="29"/>
      <c r="CMP103" s="29"/>
      <c r="CMQ103" s="29"/>
      <c r="CMR103" s="29"/>
      <c r="CMS103" s="29"/>
      <c r="CMT103" s="29"/>
      <c r="CMU103" s="29"/>
      <c r="CMV103" s="29"/>
      <c r="CMW103" s="29"/>
      <c r="CMX103" s="29"/>
      <c r="CMY103" s="29"/>
      <c r="CMZ103" s="29"/>
      <c r="CNA103" s="29"/>
      <c r="CNB103" s="29"/>
      <c r="CNC103" s="29"/>
      <c r="CND103" s="29"/>
      <c r="CNE103" s="29"/>
      <c r="CNF103" s="29"/>
      <c r="CNG103" s="29"/>
      <c r="CNH103" s="29"/>
      <c r="CNI103" s="29"/>
      <c r="CNJ103" s="29"/>
      <c r="CNK103" s="29"/>
      <c r="CNL103" s="29"/>
      <c r="CNM103" s="29"/>
      <c r="CNN103" s="29"/>
      <c r="CNO103" s="29"/>
      <c r="CNP103" s="29"/>
      <c r="CNQ103" s="29"/>
      <c r="CNR103" s="29"/>
      <c r="CNS103" s="29"/>
      <c r="CNT103" s="29"/>
      <c r="CNU103" s="29"/>
      <c r="CNV103" s="29"/>
      <c r="CNW103" s="29"/>
      <c r="CNX103" s="29"/>
      <c r="CNY103" s="29"/>
      <c r="CNZ103" s="29"/>
      <c r="COA103" s="29"/>
      <c r="COB103" s="29"/>
      <c r="COC103" s="29"/>
      <c r="COD103" s="29"/>
      <c r="COE103" s="29"/>
      <c r="COF103" s="29"/>
      <c r="COG103" s="29"/>
      <c r="COH103" s="29"/>
      <c r="COI103" s="29"/>
      <c r="COJ103" s="29"/>
      <c r="COK103" s="29"/>
      <c r="COL103" s="29"/>
      <c r="COM103" s="29"/>
      <c r="CON103" s="29"/>
      <c r="COO103" s="29"/>
      <c r="COP103" s="29"/>
      <c r="COQ103" s="29"/>
      <c r="COR103" s="29"/>
      <c r="COS103" s="29"/>
      <c r="COT103" s="29"/>
      <c r="COU103" s="29"/>
      <c r="COV103" s="29"/>
      <c r="COW103" s="29"/>
      <c r="COX103" s="29"/>
      <c r="COY103" s="29"/>
      <c r="COZ103" s="29"/>
      <c r="CPA103" s="29"/>
      <c r="CPB103" s="29"/>
      <c r="CPC103" s="29"/>
      <c r="CPD103" s="29"/>
      <c r="CPE103" s="29"/>
      <c r="CPF103" s="29"/>
      <c r="CPG103" s="29"/>
      <c r="CPH103" s="29"/>
      <c r="CPI103" s="29"/>
      <c r="CPJ103" s="29"/>
      <c r="CPK103" s="29"/>
      <c r="CPL103" s="29"/>
      <c r="CPM103" s="29"/>
      <c r="CPN103" s="29"/>
      <c r="CPO103" s="29"/>
      <c r="CPP103" s="29"/>
      <c r="CPQ103" s="29"/>
      <c r="CPR103" s="29"/>
      <c r="CPS103" s="29"/>
      <c r="CPT103" s="29"/>
      <c r="CPU103" s="29"/>
      <c r="CPV103" s="29"/>
      <c r="CPW103" s="29"/>
      <c r="CPX103" s="29"/>
      <c r="CPY103" s="29"/>
      <c r="CPZ103" s="29"/>
      <c r="CQA103" s="29"/>
      <c r="CQB103" s="29"/>
      <c r="CQC103" s="29"/>
      <c r="CQD103" s="29"/>
      <c r="CQE103" s="29"/>
      <c r="CQF103" s="29"/>
      <c r="CQG103" s="29"/>
      <c r="CQH103" s="29"/>
      <c r="CQI103" s="29"/>
      <c r="CQJ103" s="29"/>
      <c r="CQK103" s="29"/>
      <c r="CQL103" s="29"/>
      <c r="CQM103" s="29"/>
      <c r="CQN103" s="29"/>
      <c r="CQO103" s="29"/>
      <c r="CQP103" s="29"/>
      <c r="CQQ103" s="29"/>
      <c r="CQR103" s="29"/>
      <c r="CQS103" s="29"/>
      <c r="CQT103" s="29"/>
      <c r="CQU103" s="29"/>
      <c r="CQV103" s="29"/>
      <c r="CQW103" s="29"/>
      <c r="CQX103" s="29"/>
      <c r="CQY103" s="29"/>
      <c r="CQZ103" s="29"/>
      <c r="CRA103" s="29"/>
      <c r="CRB103" s="29"/>
      <c r="CRC103" s="29"/>
      <c r="CRD103" s="29"/>
      <c r="CRE103" s="29"/>
      <c r="CRF103" s="29"/>
      <c r="CRG103" s="29"/>
      <c r="CRH103" s="29"/>
      <c r="CRI103" s="29"/>
      <c r="CRJ103" s="29"/>
      <c r="CRK103" s="29"/>
      <c r="CRL103" s="29"/>
      <c r="CRM103" s="29"/>
      <c r="CRN103" s="29"/>
      <c r="CRO103" s="29"/>
      <c r="CRP103" s="29"/>
      <c r="CRQ103" s="29"/>
      <c r="CRR103" s="29"/>
      <c r="CRS103" s="29"/>
      <c r="CRT103" s="29"/>
      <c r="CRU103" s="29"/>
      <c r="CRV103" s="29"/>
      <c r="CRW103" s="29"/>
      <c r="CRX103" s="29"/>
      <c r="CRY103" s="29"/>
      <c r="CRZ103" s="29"/>
      <c r="CSA103" s="29"/>
      <c r="CSB103" s="29"/>
      <c r="CSC103" s="29"/>
      <c r="CSD103" s="29"/>
      <c r="CSE103" s="29"/>
      <c r="CSF103" s="29"/>
      <c r="CSG103" s="29"/>
      <c r="CSH103" s="29"/>
      <c r="CSI103" s="29"/>
      <c r="CSJ103" s="29"/>
      <c r="CSK103" s="29"/>
      <c r="CSL103" s="29"/>
      <c r="CSM103" s="29"/>
      <c r="CSN103" s="29"/>
      <c r="CSO103" s="29"/>
      <c r="CSP103" s="29"/>
      <c r="CSQ103" s="29"/>
      <c r="CSR103" s="29"/>
      <c r="CSS103" s="29"/>
      <c r="CST103" s="29"/>
      <c r="CSU103" s="29"/>
      <c r="CSV103" s="29"/>
      <c r="CSW103" s="29"/>
      <c r="CSX103" s="29"/>
      <c r="CSY103" s="29"/>
      <c r="CSZ103" s="29"/>
      <c r="CTA103" s="29"/>
      <c r="CTB103" s="29"/>
      <c r="CTC103" s="29"/>
      <c r="CTD103" s="29"/>
      <c r="CTE103" s="29"/>
      <c r="CTF103" s="29"/>
      <c r="CTG103" s="29"/>
      <c r="CTH103" s="29"/>
      <c r="CTI103" s="29"/>
      <c r="CTJ103" s="29"/>
      <c r="CTK103" s="29"/>
      <c r="CTL103" s="29"/>
      <c r="CTM103" s="29"/>
      <c r="CTN103" s="29"/>
      <c r="CTO103" s="29"/>
      <c r="CTP103" s="29"/>
      <c r="CTQ103" s="29"/>
      <c r="CTR103" s="29"/>
      <c r="CTS103" s="29"/>
      <c r="CTT103" s="29"/>
      <c r="CTU103" s="29"/>
      <c r="CTV103" s="29"/>
      <c r="CTW103" s="29"/>
      <c r="CTX103" s="29"/>
      <c r="CTY103" s="29"/>
      <c r="CTZ103" s="29"/>
      <c r="CUA103" s="29"/>
      <c r="CUB103" s="29"/>
      <c r="CUC103" s="29"/>
      <c r="CUD103" s="29"/>
      <c r="CUE103" s="29"/>
      <c r="CUF103" s="29"/>
      <c r="CUG103" s="29"/>
      <c r="CUH103" s="29"/>
      <c r="CUI103" s="29"/>
      <c r="CUJ103" s="29"/>
      <c r="CUK103" s="29"/>
      <c r="CUL103" s="29"/>
      <c r="CUM103" s="29"/>
      <c r="CUN103" s="29"/>
      <c r="CUO103" s="29"/>
      <c r="CUP103" s="29"/>
      <c r="CUQ103" s="29"/>
      <c r="CUR103" s="29"/>
      <c r="CUS103" s="29"/>
      <c r="CUT103" s="29"/>
      <c r="CUU103" s="29"/>
      <c r="CUV103" s="29"/>
      <c r="CUW103" s="29"/>
      <c r="CUX103" s="29"/>
      <c r="CUY103" s="29"/>
      <c r="CUZ103" s="29"/>
      <c r="CVA103" s="29"/>
      <c r="CVB103" s="29"/>
      <c r="CVC103" s="29"/>
      <c r="CVD103" s="29"/>
      <c r="CVE103" s="29"/>
      <c r="CVF103" s="29"/>
      <c r="CVG103" s="29"/>
      <c r="CVH103" s="29"/>
      <c r="CVI103" s="29"/>
      <c r="CVJ103" s="29"/>
      <c r="CVK103" s="29"/>
      <c r="CVL103" s="29"/>
      <c r="CVM103" s="29"/>
      <c r="CVN103" s="29"/>
      <c r="CVO103" s="29"/>
      <c r="CVP103" s="29"/>
      <c r="CVQ103" s="29"/>
      <c r="CVR103" s="29"/>
      <c r="CVS103" s="29"/>
      <c r="CVT103" s="29"/>
      <c r="CVU103" s="29"/>
      <c r="CVV103" s="29"/>
      <c r="CVW103" s="29"/>
      <c r="CVX103" s="29"/>
      <c r="CVY103" s="29"/>
      <c r="CVZ103" s="29"/>
      <c r="CWA103" s="29"/>
      <c r="CWB103" s="29"/>
      <c r="CWC103" s="29"/>
      <c r="CWD103" s="29"/>
      <c r="CWE103" s="29"/>
      <c r="CWF103" s="29"/>
      <c r="CWG103" s="29"/>
      <c r="CWH103" s="29"/>
      <c r="CWI103" s="29"/>
      <c r="CWJ103" s="29"/>
      <c r="CWK103" s="29"/>
      <c r="CWL103" s="29"/>
      <c r="CWM103" s="29"/>
      <c r="CWN103" s="29"/>
      <c r="CWO103" s="29"/>
      <c r="CWP103" s="29"/>
      <c r="CWQ103" s="29"/>
      <c r="CWR103" s="29"/>
      <c r="CWS103" s="29"/>
      <c r="CWT103" s="29"/>
      <c r="CWU103" s="29"/>
      <c r="CWV103" s="29"/>
      <c r="CWW103" s="29"/>
      <c r="CWX103" s="29"/>
      <c r="CWY103" s="29"/>
      <c r="CWZ103" s="29"/>
      <c r="CXA103" s="29"/>
      <c r="CXB103" s="29"/>
      <c r="CXC103" s="29"/>
      <c r="CXD103" s="29"/>
      <c r="CXE103" s="29"/>
      <c r="CXF103" s="29"/>
      <c r="CXG103" s="29"/>
      <c r="CXH103" s="29"/>
      <c r="CXI103" s="29"/>
      <c r="CXJ103" s="29"/>
      <c r="CXK103" s="29"/>
      <c r="CXL103" s="29"/>
      <c r="CXM103" s="29"/>
      <c r="CXN103" s="29"/>
      <c r="CXO103" s="29"/>
      <c r="CXP103" s="29"/>
      <c r="CXQ103" s="29"/>
      <c r="CXR103" s="29"/>
      <c r="CXS103" s="29"/>
      <c r="CXT103" s="29"/>
      <c r="CXU103" s="29"/>
      <c r="CXV103" s="29"/>
      <c r="CXW103" s="29"/>
      <c r="CXX103" s="29"/>
      <c r="CXY103" s="29"/>
      <c r="CXZ103" s="29"/>
      <c r="CYA103" s="29"/>
      <c r="CYB103" s="29"/>
      <c r="CYC103" s="29"/>
      <c r="CYD103" s="29"/>
      <c r="CYE103" s="29"/>
      <c r="CYF103" s="29"/>
      <c r="CYG103" s="29"/>
      <c r="CYH103" s="29"/>
      <c r="CYI103" s="29"/>
      <c r="CYJ103" s="29"/>
      <c r="CYK103" s="29"/>
      <c r="CYL103" s="29"/>
      <c r="CYM103" s="29"/>
      <c r="CYN103" s="29"/>
      <c r="CYO103" s="29"/>
      <c r="CYP103" s="29"/>
      <c r="CYQ103" s="29"/>
      <c r="CYR103" s="29"/>
      <c r="CYS103" s="29"/>
      <c r="CYT103" s="29"/>
      <c r="CYU103" s="29"/>
      <c r="CYV103" s="29"/>
      <c r="CYW103" s="29"/>
      <c r="CYX103" s="29"/>
      <c r="CYY103" s="29"/>
      <c r="CYZ103" s="29"/>
      <c r="CZA103" s="29"/>
      <c r="CZB103" s="29"/>
      <c r="CZC103" s="29"/>
      <c r="CZD103" s="29"/>
      <c r="CZE103" s="29"/>
      <c r="CZF103" s="29"/>
      <c r="CZG103" s="29"/>
      <c r="CZH103" s="29"/>
      <c r="CZI103" s="29"/>
      <c r="CZJ103" s="29"/>
      <c r="CZK103" s="29"/>
      <c r="CZL103" s="29"/>
      <c r="CZM103" s="29"/>
      <c r="CZN103" s="29"/>
      <c r="CZO103" s="29"/>
      <c r="CZP103" s="29"/>
      <c r="CZQ103" s="29"/>
      <c r="CZR103" s="29"/>
      <c r="CZS103" s="29"/>
      <c r="CZT103" s="29"/>
      <c r="CZU103" s="29"/>
      <c r="CZV103" s="29"/>
      <c r="CZW103" s="29"/>
      <c r="CZX103" s="29"/>
      <c r="CZY103" s="29"/>
      <c r="CZZ103" s="29"/>
      <c r="DAA103" s="29"/>
      <c r="DAB103" s="29"/>
      <c r="DAC103" s="29"/>
      <c r="DAD103" s="29"/>
      <c r="DAE103" s="29"/>
      <c r="DAF103" s="29"/>
      <c r="DAG103" s="29"/>
      <c r="DAH103" s="29"/>
      <c r="DAI103" s="29"/>
      <c r="DAJ103" s="29"/>
      <c r="DAK103" s="29"/>
      <c r="DAL103" s="29"/>
      <c r="DAM103" s="29"/>
      <c r="DAN103" s="29"/>
      <c r="DAO103" s="29"/>
      <c r="DAP103" s="29"/>
      <c r="DAQ103" s="29"/>
      <c r="DAR103" s="29"/>
      <c r="DAS103" s="29"/>
      <c r="DAT103" s="29"/>
      <c r="DAU103" s="29"/>
      <c r="DAV103" s="29"/>
      <c r="DAW103" s="29"/>
      <c r="DAX103" s="29"/>
      <c r="DAY103" s="29"/>
      <c r="DAZ103" s="29"/>
      <c r="DBA103" s="29"/>
      <c r="DBB103" s="29"/>
      <c r="DBC103" s="29"/>
      <c r="DBD103" s="29"/>
      <c r="DBE103" s="29"/>
      <c r="DBF103" s="29"/>
      <c r="DBG103" s="29"/>
      <c r="DBH103" s="29"/>
      <c r="DBI103" s="29"/>
      <c r="DBJ103" s="29"/>
      <c r="DBK103" s="29"/>
      <c r="DBL103" s="29"/>
      <c r="DBM103" s="29"/>
      <c r="DBN103" s="29"/>
      <c r="DBO103" s="29"/>
      <c r="DBP103" s="29"/>
      <c r="DBQ103" s="29"/>
      <c r="DBR103" s="29"/>
      <c r="DBS103" s="29"/>
      <c r="DBT103" s="29"/>
      <c r="DBU103" s="29"/>
      <c r="DBV103" s="29"/>
      <c r="DBW103" s="29"/>
      <c r="DBX103" s="29"/>
      <c r="DBY103" s="29"/>
      <c r="DBZ103" s="29"/>
      <c r="DCA103" s="29"/>
      <c r="DCB103" s="29"/>
      <c r="DCC103" s="29"/>
      <c r="DCD103" s="29"/>
      <c r="DCE103" s="29"/>
      <c r="DCF103" s="29"/>
      <c r="DCG103" s="29"/>
      <c r="DCH103" s="29"/>
      <c r="DCI103" s="29"/>
      <c r="DCJ103" s="29"/>
      <c r="DCK103" s="29"/>
      <c r="DCL103" s="29"/>
      <c r="DCM103" s="29"/>
      <c r="DCN103" s="29"/>
      <c r="DCO103" s="29"/>
      <c r="DCP103" s="29"/>
      <c r="DCQ103" s="29"/>
      <c r="DCR103" s="29"/>
      <c r="DCS103" s="29"/>
      <c r="DCT103" s="29"/>
      <c r="DCU103" s="29"/>
      <c r="DCV103" s="29"/>
      <c r="DCW103" s="29"/>
      <c r="DCX103" s="29"/>
      <c r="DCY103" s="29"/>
      <c r="DCZ103" s="29"/>
      <c r="DDA103" s="29"/>
      <c r="DDB103" s="29"/>
      <c r="DDC103" s="29"/>
      <c r="DDD103" s="29"/>
      <c r="DDE103" s="29"/>
      <c r="DDF103" s="29"/>
      <c r="DDG103" s="29"/>
      <c r="DDH103" s="29"/>
      <c r="DDI103" s="29"/>
      <c r="DDJ103" s="29"/>
      <c r="DDK103" s="29"/>
      <c r="DDL103" s="29"/>
      <c r="DDM103" s="29"/>
      <c r="DDN103" s="29"/>
      <c r="DDO103" s="29"/>
      <c r="DDP103" s="29"/>
      <c r="DDQ103" s="29"/>
      <c r="DDR103" s="29"/>
      <c r="DDS103" s="29"/>
      <c r="DDT103" s="29"/>
      <c r="DDU103" s="29"/>
      <c r="DDV103" s="29"/>
      <c r="DDW103" s="29"/>
      <c r="DDX103" s="29"/>
      <c r="DDY103" s="29"/>
      <c r="DDZ103" s="29"/>
      <c r="DEA103" s="29"/>
      <c r="DEB103" s="29"/>
      <c r="DEC103" s="29"/>
      <c r="DED103" s="29"/>
      <c r="DEE103" s="29"/>
      <c r="DEF103" s="29"/>
      <c r="DEG103" s="29"/>
      <c r="DEH103" s="29"/>
      <c r="DEI103" s="29"/>
      <c r="DEJ103" s="29"/>
      <c r="DEK103" s="29"/>
      <c r="DEL103" s="29"/>
      <c r="DEM103" s="29"/>
      <c r="DEN103" s="29"/>
      <c r="DEO103" s="29"/>
      <c r="DEP103" s="29"/>
      <c r="DEQ103" s="29"/>
      <c r="DER103" s="29"/>
      <c r="DES103" s="29"/>
      <c r="DET103" s="29"/>
      <c r="DEU103" s="29"/>
      <c r="DEV103" s="29"/>
      <c r="DEW103" s="29"/>
      <c r="DEX103" s="29"/>
      <c r="DEY103" s="29"/>
      <c r="DEZ103" s="29"/>
      <c r="DFA103" s="29"/>
      <c r="DFB103" s="29"/>
      <c r="DFC103" s="29"/>
      <c r="DFD103" s="29"/>
      <c r="DFE103" s="29"/>
      <c r="DFF103" s="29"/>
      <c r="DFG103" s="29"/>
      <c r="DFH103" s="29"/>
      <c r="DFI103" s="29"/>
      <c r="DFJ103" s="29"/>
      <c r="DFK103" s="29"/>
      <c r="DFL103" s="29"/>
      <c r="DFM103" s="29"/>
      <c r="DFN103" s="29"/>
      <c r="DFO103" s="29"/>
      <c r="DFP103" s="29"/>
      <c r="DFQ103" s="29"/>
      <c r="DFR103" s="29"/>
      <c r="DFS103" s="29"/>
      <c r="DFT103" s="29"/>
      <c r="DFU103" s="29"/>
      <c r="DFV103" s="29"/>
      <c r="DFW103" s="29"/>
      <c r="DFX103" s="29"/>
      <c r="DFY103" s="29"/>
      <c r="DFZ103" s="29"/>
      <c r="DGA103" s="29"/>
      <c r="DGB103" s="29"/>
      <c r="DGC103" s="29"/>
      <c r="DGD103" s="29"/>
      <c r="DGE103" s="29"/>
      <c r="DGF103" s="29"/>
      <c r="DGG103" s="29"/>
      <c r="DGH103" s="29"/>
      <c r="DGI103" s="29"/>
      <c r="DGJ103" s="29"/>
      <c r="DGK103" s="29"/>
      <c r="DGL103" s="29"/>
      <c r="DGM103" s="29"/>
      <c r="DGN103" s="29"/>
      <c r="DGO103" s="29"/>
      <c r="DGP103" s="29"/>
      <c r="DGQ103" s="29"/>
      <c r="DGR103" s="29"/>
      <c r="DGS103" s="29"/>
      <c r="DGT103" s="29"/>
      <c r="DGU103" s="29"/>
      <c r="DGV103" s="29"/>
      <c r="DGW103" s="29"/>
      <c r="DGX103" s="29"/>
      <c r="DGY103" s="29"/>
      <c r="DGZ103" s="29"/>
      <c r="DHA103" s="29"/>
      <c r="DHB103" s="29"/>
      <c r="DHC103" s="29"/>
      <c r="DHD103" s="29"/>
      <c r="DHE103" s="29"/>
      <c r="DHF103" s="29"/>
      <c r="DHG103" s="29"/>
      <c r="DHH103" s="29"/>
      <c r="DHI103" s="29"/>
      <c r="DHJ103" s="29"/>
      <c r="DHK103" s="29"/>
      <c r="DHL103" s="29"/>
      <c r="DHM103" s="29"/>
      <c r="DHN103" s="29"/>
      <c r="DHO103" s="29"/>
      <c r="DHP103" s="29"/>
      <c r="DHQ103" s="29"/>
      <c r="DHR103" s="29"/>
      <c r="DHS103" s="29"/>
      <c r="DHT103" s="29"/>
      <c r="DHU103" s="29"/>
      <c r="DHV103" s="29"/>
      <c r="DHW103" s="29"/>
      <c r="DHX103" s="29"/>
      <c r="DHY103" s="29"/>
      <c r="DHZ103" s="29"/>
      <c r="DIA103" s="29"/>
      <c r="DIB103" s="29"/>
      <c r="DIC103" s="29"/>
      <c r="DID103" s="29"/>
      <c r="DIE103" s="29"/>
      <c r="DIF103" s="29"/>
      <c r="DIG103" s="29"/>
      <c r="DIH103" s="29"/>
      <c r="DII103" s="29"/>
      <c r="DIJ103" s="29"/>
      <c r="DIK103" s="29"/>
      <c r="DIL103" s="29"/>
      <c r="DIM103" s="29"/>
      <c r="DIN103" s="29"/>
      <c r="DIO103" s="29"/>
      <c r="DIP103" s="29"/>
      <c r="DIQ103" s="29"/>
      <c r="DIR103" s="29"/>
      <c r="DIS103" s="29"/>
      <c r="DIT103" s="29"/>
      <c r="DIU103" s="29"/>
      <c r="DIV103" s="29"/>
      <c r="DIW103" s="29"/>
      <c r="DIX103" s="29"/>
      <c r="DIY103" s="29"/>
      <c r="DIZ103" s="29"/>
      <c r="DJA103" s="29"/>
      <c r="DJB103" s="29"/>
      <c r="DJC103" s="29"/>
      <c r="DJD103" s="29"/>
      <c r="DJE103" s="29"/>
      <c r="DJF103" s="29"/>
      <c r="DJG103" s="29"/>
      <c r="DJH103" s="29"/>
      <c r="DJI103" s="29"/>
      <c r="DJJ103" s="29"/>
      <c r="DJK103" s="29"/>
      <c r="DJL103" s="29"/>
      <c r="DJM103" s="29"/>
      <c r="DJN103" s="29"/>
      <c r="DJO103" s="29"/>
      <c r="DJP103" s="29"/>
      <c r="DJQ103" s="29"/>
      <c r="DJR103" s="29"/>
      <c r="DJS103" s="29"/>
      <c r="DJT103" s="29"/>
      <c r="DJU103" s="29"/>
      <c r="DJV103" s="29"/>
      <c r="DJW103" s="29"/>
      <c r="DJX103" s="29"/>
      <c r="DJY103" s="29"/>
      <c r="DJZ103" s="29"/>
      <c r="DKA103" s="29"/>
      <c r="DKB103" s="29"/>
      <c r="DKC103" s="29"/>
      <c r="DKD103" s="29"/>
      <c r="DKE103" s="29"/>
      <c r="DKF103" s="29"/>
      <c r="DKG103" s="29"/>
      <c r="DKH103" s="29"/>
      <c r="DKI103" s="29"/>
      <c r="DKJ103" s="29"/>
      <c r="DKK103" s="29"/>
      <c r="DKL103" s="29"/>
      <c r="DKM103" s="29"/>
      <c r="DKN103" s="29"/>
      <c r="DKO103" s="29"/>
      <c r="DKP103" s="29"/>
      <c r="DKQ103" s="29"/>
      <c r="DKR103" s="29"/>
      <c r="DKS103" s="29"/>
      <c r="DKT103" s="29"/>
      <c r="DKU103" s="29"/>
      <c r="DKV103" s="29"/>
      <c r="DKW103" s="29"/>
      <c r="DKX103" s="29"/>
      <c r="DKY103" s="29"/>
      <c r="DKZ103" s="29"/>
      <c r="DLA103" s="29"/>
      <c r="DLB103" s="29"/>
      <c r="DLC103" s="29"/>
      <c r="DLD103" s="29"/>
      <c r="DLE103" s="29"/>
      <c r="DLF103" s="29"/>
      <c r="DLG103" s="29"/>
      <c r="DLH103" s="29"/>
      <c r="DLI103" s="29"/>
      <c r="DLJ103" s="29"/>
      <c r="DLK103" s="29"/>
      <c r="DLL103" s="29"/>
      <c r="DLM103" s="29"/>
      <c r="DLN103" s="29"/>
      <c r="DLO103" s="29"/>
      <c r="DLP103" s="29"/>
      <c r="DLQ103" s="29"/>
      <c r="DLR103" s="29"/>
      <c r="DLS103" s="29"/>
      <c r="DLT103" s="29"/>
      <c r="DLU103" s="29"/>
      <c r="DLV103" s="29"/>
      <c r="DLW103" s="29"/>
      <c r="DLX103" s="29"/>
      <c r="DLY103" s="29"/>
      <c r="DLZ103" s="29"/>
      <c r="DMA103" s="29"/>
      <c r="DMB103" s="29"/>
      <c r="DMC103" s="29"/>
      <c r="DMD103" s="29"/>
      <c r="DME103" s="29"/>
      <c r="DMF103" s="29"/>
      <c r="DMG103" s="29"/>
      <c r="DMH103" s="29"/>
      <c r="DMI103" s="29"/>
      <c r="DMJ103" s="29"/>
      <c r="DMK103" s="29"/>
      <c r="DML103" s="29"/>
      <c r="DMM103" s="29"/>
      <c r="DMN103" s="29"/>
      <c r="DMO103" s="29"/>
      <c r="DMP103" s="29"/>
      <c r="DMQ103" s="29"/>
      <c r="DMR103" s="29"/>
      <c r="DMS103" s="29"/>
      <c r="DMT103" s="29"/>
      <c r="DMU103" s="29"/>
      <c r="DMV103" s="29"/>
      <c r="DMW103" s="29"/>
      <c r="DMX103" s="29"/>
      <c r="DMY103" s="29"/>
      <c r="DMZ103" s="29"/>
      <c r="DNA103" s="29"/>
      <c r="DNB103" s="29"/>
      <c r="DNC103" s="29"/>
      <c r="DND103" s="29"/>
      <c r="DNE103" s="29"/>
      <c r="DNF103" s="29"/>
      <c r="DNG103" s="29"/>
      <c r="DNH103" s="29"/>
      <c r="DNI103" s="29"/>
      <c r="DNJ103" s="29"/>
      <c r="DNK103" s="29"/>
      <c r="DNL103" s="29"/>
      <c r="DNM103" s="29"/>
      <c r="DNN103" s="29"/>
      <c r="DNO103" s="29"/>
      <c r="DNP103" s="29"/>
      <c r="DNQ103" s="29"/>
      <c r="DNR103" s="29"/>
      <c r="DNS103" s="29"/>
      <c r="DNT103" s="29"/>
      <c r="DNU103" s="29"/>
      <c r="DNV103" s="29"/>
      <c r="DNW103" s="29"/>
      <c r="DNX103" s="29"/>
      <c r="DNY103" s="29"/>
      <c r="DNZ103" s="29"/>
      <c r="DOA103" s="29"/>
      <c r="DOB103" s="29"/>
      <c r="DOC103" s="29"/>
      <c r="DOD103" s="29"/>
      <c r="DOE103" s="29"/>
      <c r="DOF103" s="29"/>
      <c r="DOG103" s="29"/>
      <c r="DOH103" s="29"/>
      <c r="DOI103" s="29"/>
      <c r="DOJ103" s="29"/>
      <c r="DOK103" s="29"/>
      <c r="DOL103" s="29"/>
      <c r="DOM103" s="29"/>
      <c r="DON103" s="29"/>
      <c r="DOO103" s="29"/>
      <c r="DOP103" s="29"/>
      <c r="DOQ103" s="29"/>
      <c r="DOR103" s="29"/>
      <c r="DOS103" s="29"/>
      <c r="DOT103" s="29"/>
      <c r="DOU103" s="29"/>
      <c r="DOV103" s="29"/>
      <c r="DOW103" s="29"/>
      <c r="DOX103" s="29"/>
      <c r="DOY103" s="29"/>
      <c r="DOZ103" s="29"/>
      <c r="DPA103" s="29"/>
      <c r="DPB103" s="29"/>
      <c r="DPC103" s="29"/>
      <c r="DPD103" s="29"/>
      <c r="DPE103" s="29"/>
      <c r="DPF103" s="29"/>
      <c r="DPG103" s="29"/>
      <c r="DPH103" s="29"/>
      <c r="DPI103" s="29"/>
      <c r="DPJ103" s="29"/>
      <c r="DPK103" s="29"/>
      <c r="DPL103" s="29"/>
      <c r="DPM103" s="29"/>
      <c r="DPN103" s="29"/>
      <c r="DPO103" s="29"/>
      <c r="DPP103" s="29"/>
      <c r="DPQ103" s="29"/>
      <c r="DPR103" s="29"/>
      <c r="DPS103" s="29"/>
      <c r="DPT103" s="29"/>
      <c r="DPU103" s="29"/>
      <c r="DPV103" s="29"/>
      <c r="DPW103" s="29"/>
      <c r="DPX103" s="29"/>
      <c r="DPY103" s="29"/>
      <c r="DPZ103" s="29"/>
      <c r="DQA103" s="29"/>
      <c r="DQB103" s="29"/>
      <c r="DQC103" s="29"/>
      <c r="DQD103" s="29"/>
      <c r="DQE103" s="29"/>
      <c r="DQF103" s="29"/>
      <c r="DQG103" s="29"/>
      <c r="DQH103" s="29"/>
      <c r="DQI103" s="29"/>
      <c r="DQJ103" s="29"/>
      <c r="DQK103" s="29"/>
      <c r="DQL103" s="29"/>
      <c r="DQM103" s="29"/>
      <c r="DQN103" s="29"/>
      <c r="DQO103" s="29"/>
      <c r="DQP103" s="29"/>
      <c r="DQQ103" s="29"/>
      <c r="DQR103" s="29"/>
      <c r="DQS103" s="29"/>
      <c r="DQT103" s="29"/>
      <c r="DQU103" s="29"/>
      <c r="DQV103" s="29"/>
      <c r="DQW103" s="29"/>
      <c r="DQX103" s="29"/>
      <c r="DQY103" s="29"/>
      <c r="DQZ103" s="29"/>
      <c r="DRA103" s="29"/>
      <c r="DRB103" s="29"/>
      <c r="DRC103" s="29"/>
      <c r="DRD103" s="29"/>
      <c r="DRE103" s="29"/>
      <c r="DRF103" s="29"/>
      <c r="DRG103" s="29"/>
      <c r="DRH103" s="29"/>
      <c r="DRI103" s="29"/>
      <c r="DRJ103" s="29"/>
      <c r="DRK103" s="29"/>
      <c r="DRL103" s="29"/>
      <c r="DRM103" s="29"/>
      <c r="DRN103" s="29"/>
      <c r="DRO103" s="29"/>
      <c r="DRP103" s="29"/>
      <c r="DRQ103" s="29"/>
      <c r="DRR103" s="29"/>
      <c r="DRS103" s="29"/>
      <c r="DRT103" s="29"/>
      <c r="DRU103" s="29"/>
      <c r="DRV103" s="29"/>
      <c r="DRW103" s="29"/>
      <c r="DRX103" s="29"/>
      <c r="DRY103" s="29"/>
      <c r="DRZ103" s="29"/>
      <c r="DSA103" s="29"/>
      <c r="DSB103" s="29"/>
      <c r="DSC103" s="29"/>
      <c r="DSD103" s="29"/>
      <c r="DSE103" s="29"/>
      <c r="DSF103" s="29"/>
      <c r="DSG103" s="29"/>
      <c r="DSH103" s="29"/>
      <c r="DSI103" s="29"/>
      <c r="DSJ103" s="29"/>
      <c r="DSK103" s="29"/>
      <c r="DSL103" s="29"/>
      <c r="DSM103" s="29"/>
      <c r="DSN103" s="29"/>
      <c r="DSO103" s="29"/>
      <c r="DSP103" s="29"/>
      <c r="DSQ103" s="29"/>
      <c r="DSR103" s="29"/>
      <c r="DSS103" s="29"/>
      <c r="DST103" s="29"/>
      <c r="DSU103" s="29"/>
      <c r="DSV103" s="29"/>
      <c r="DSW103" s="29"/>
      <c r="DSX103" s="29"/>
      <c r="DSY103" s="29"/>
      <c r="DSZ103" s="29"/>
      <c r="DTA103" s="29"/>
      <c r="DTB103" s="29"/>
      <c r="DTC103" s="29"/>
      <c r="DTD103" s="29"/>
      <c r="DTE103" s="29"/>
      <c r="DTF103" s="29"/>
      <c r="DTG103" s="29"/>
      <c r="DTH103" s="29"/>
      <c r="DTI103" s="29"/>
      <c r="DTJ103" s="29"/>
      <c r="DTK103" s="29"/>
      <c r="DTL103" s="29"/>
      <c r="DTM103" s="29"/>
      <c r="DTN103" s="29"/>
      <c r="DTO103" s="29"/>
      <c r="DTP103" s="29"/>
      <c r="DTQ103" s="29"/>
      <c r="DTR103" s="29"/>
      <c r="DTS103" s="29"/>
      <c r="DTT103" s="29"/>
      <c r="DTU103" s="29"/>
      <c r="DTV103" s="29"/>
      <c r="DTW103" s="29"/>
      <c r="DTX103" s="29"/>
      <c r="DTY103" s="29"/>
      <c r="DTZ103" s="29"/>
      <c r="DUA103" s="29"/>
      <c r="DUB103" s="29"/>
      <c r="DUC103" s="29"/>
      <c r="DUD103" s="29"/>
      <c r="DUE103" s="29"/>
      <c r="DUF103" s="29"/>
      <c r="DUG103" s="29"/>
      <c r="DUH103" s="29"/>
      <c r="DUI103" s="29"/>
      <c r="DUJ103" s="29"/>
      <c r="DUK103" s="29"/>
      <c r="DUL103" s="29"/>
      <c r="DUM103" s="29"/>
      <c r="DUN103" s="29"/>
      <c r="DUO103" s="29"/>
      <c r="DUP103" s="29"/>
      <c r="DUQ103" s="29"/>
      <c r="DUR103" s="29"/>
      <c r="DUS103" s="29"/>
      <c r="DUT103" s="29"/>
      <c r="DUU103" s="29"/>
      <c r="DUV103" s="29"/>
      <c r="DUW103" s="29"/>
      <c r="DUX103" s="29"/>
      <c r="DUY103" s="29"/>
      <c r="DUZ103" s="29"/>
      <c r="DVA103" s="29"/>
      <c r="DVB103" s="29"/>
      <c r="DVC103" s="29"/>
      <c r="DVD103" s="29"/>
      <c r="DVE103" s="29"/>
      <c r="DVF103" s="29"/>
      <c r="DVG103" s="29"/>
      <c r="DVH103" s="29"/>
      <c r="DVI103" s="29"/>
      <c r="DVJ103" s="29"/>
      <c r="DVK103" s="29"/>
      <c r="DVL103" s="29"/>
      <c r="DVM103" s="29"/>
      <c r="DVN103" s="29"/>
      <c r="DVO103" s="29"/>
      <c r="DVP103" s="29"/>
      <c r="DVQ103" s="29"/>
      <c r="DVR103" s="29"/>
      <c r="DVS103" s="29"/>
      <c r="DVT103" s="29"/>
      <c r="DVU103" s="29"/>
      <c r="DVV103" s="29"/>
      <c r="DVW103" s="29"/>
      <c r="DVX103" s="29"/>
      <c r="DVY103" s="29"/>
      <c r="DVZ103" s="29"/>
      <c r="DWA103" s="29"/>
      <c r="DWB103" s="29"/>
      <c r="DWC103" s="29"/>
      <c r="DWD103" s="29"/>
      <c r="DWE103" s="29"/>
      <c r="DWF103" s="29"/>
      <c r="DWG103" s="29"/>
      <c r="DWH103" s="29"/>
      <c r="DWI103" s="29"/>
      <c r="DWJ103" s="29"/>
      <c r="DWK103" s="29"/>
      <c r="DWL103" s="29"/>
      <c r="DWM103" s="29"/>
      <c r="DWN103" s="29"/>
      <c r="DWO103" s="29"/>
      <c r="DWP103" s="29"/>
      <c r="DWQ103" s="29"/>
      <c r="DWR103" s="29"/>
      <c r="DWS103" s="29"/>
      <c r="DWT103" s="29"/>
      <c r="DWU103" s="29"/>
      <c r="DWV103" s="29"/>
      <c r="DWW103" s="29"/>
      <c r="DWX103" s="29"/>
      <c r="DWY103" s="29"/>
      <c r="DWZ103" s="29"/>
      <c r="DXA103" s="29"/>
      <c r="DXB103" s="29"/>
      <c r="DXC103" s="29"/>
      <c r="DXD103" s="29"/>
      <c r="DXE103" s="29"/>
      <c r="DXF103" s="29"/>
      <c r="DXG103" s="29"/>
      <c r="DXH103" s="29"/>
      <c r="DXI103" s="29"/>
      <c r="DXJ103" s="29"/>
      <c r="DXK103" s="29"/>
      <c r="DXL103" s="29"/>
      <c r="DXM103" s="29"/>
      <c r="DXN103" s="29"/>
      <c r="DXO103" s="29"/>
      <c r="DXP103" s="29"/>
      <c r="DXQ103" s="29"/>
      <c r="DXR103" s="29"/>
      <c r="DXS103" s="29"/>
      <c r="DXT103" s="29"/>
      <c r="DXU103" s="29"/>
      <c r="DXV103" s="29"/>
      <c r="DXW103" s="29"/>
      <c r="DXX103" s="29"/>
      <c r="DXY103" s="29"/>
      <c r="DXZ103" s="29"/>
      <c r="DYA103" s="29"/>
      <c r="DYB103" s="29"/>
      <c r="DYC103" s="29"/>
      <c r="DYD103" s="29"/>
      <c r="DYE103" s="29"/>
      <c r="DYF103" s="29"/>
      <c r="DYG103" s="29"/>
      <c r="DYH103" s="29"/>
      <c r="DYI103" s="29"/>
      <c r="DYJ103" s="29"/>
      <c r="DYK103" s="29"/>
      <c r="DYL103" s="29"/>
      <c r="DYM103" s="29"/>
      <c r="DYN103" s="29"/>
      <c r="DYO103" s="29"/>
      <c r="DYP103" s="29"/>
      <c r="DYQ103" s="29"/>
      <c r="DYR103" s="29"/>
      <c r="DYS103" s="29"/>
      <c r="DYT103" s="29"/>
      <c r="DYU103" s="29"/>
      <c r="DYV103" s="29"/>
      <c r="DYW103" s="29"/>
      <c r="DYX103" s="29"/>
      <c r="DYY103" s="29"/>
      <c r="DYZ103" s="29"/>
      <c r="DZA103" s="29"/>
      <c r="DZB103" s="29"/>
      <c r="DZC103" s="29"/>
      <c r="DZD103" s="29"/>
      <c r="DZE103" s="29"/>
      <c r="DZF103" s="29"/>
      <c r="DZG103" s="29"/>
      <c r="DZH103" s="29"/>
      <c r="DZI103" s="29"/>
      <c r="DZJ103" s="29"/>
      <c r="DZK103" s="29"/>
      <c r="DZL103" s="29"/>
      <c r="DZM103" s="29"/>
      <c r="DZN103" s="29"/>
      <c r="DZO103" s="29"/>
      <c r="DZP103" s="29"/>
      <c r="DZQ103" s="29"/>
      <c r="DZR103" s="29"/>
      <c r="DZS103" s="29"/>
      <c r="DZT103" s="29"/>
      <c r="DZU103" s="29"/>
      <c r="DZV103" s="29"/>
      <c r="DZW103" s="29"/>
      <c r="DZX103" s="29"/>
      <c r="DZY103" s="29"/>
      <c r="DZZ103" s="29"/>
      <c r="EAA103" s="29"/>
      <c r="EAB103" s="29"/>
      <c r="EAC103" s="29"/>
      <c r="EAD103" s="29"/>
      <c r="EAE103" s="29"/>
      <c r="EAF103" s="29"/>
      <c r="EAG103" s="29"/>
      <c r="EAH103" s="29"/>
      <c r="EAI103" s="29"/>
      <c r="EAJ103" s="29"/>
      <c r="EAK103" s="29"/>
      <c r="EAL103" s="29"/>
      <c r="EAM103" s="29"/>
      <c r="EAN103" s="29"/>
      <c r="EAO103" s="29"/>
      <c r="EAP103" s="29"/>
      <c r="EAQ103" s="29"/>
      <c r="EAR103" s="29"/>
      <c r="EAS103" s="29"/>
      <c r="EAT103" s="29"/>
      <c r="EAU103" s="29"/>
      <c r="EAV103" s="29"/>
      <c r="EAW103" s="29"/>
      <c r="EAX103" s="29"/>
      <c r="EAY103" s="29"/>
      <c r="EAZ103" s="29"/>
      <c r="EBA103" s="29"/>
      <c r="EBB103" s="29"/>
      <c r="EBC103" s="29"/>
      <c r="EBD103" s="29"/>
      <c r="EBE103" s="29"/>
      <c r="EBF103" s="29"/>
      <c r="EBG103" s="29"/>
      <c r="EBH103" s="29"/>
      <c r="EBI103" s="29"/>
      <c r="EBJ103" s="29"/>
      <c r="EBK103" s="29"/>
      <c r="EBL103" s="29"/>
      <c r="EBM103" s="29"/>
      <c r="EBN103" s="29"/>
      <c r="EBO103" s="29"/>
      <c r="EBP103" s="29"/>
      <c r="EBQ103" s="29"/>
      <c r="EBR103" s="29"/>
      <c r="EBS103" s="29"/>
      <c r="EBT103" s="29"/>
      <c r="EBU103" s="29"/>
      <c r="EBV103" s="29"/>
      <c r="EBW103" s="29"/>
      <c r="EBX103" s="29"/>
      <c r="EBY103" s="29"/>
      <c r="EBZ103" s="29"/>
      <c r="ECA103" s="29"/>
      <c r="ECB103" s="29"/>
      <c r="ECC103" s="29"/>
      <c r="ECD103" s="29"/>
      <c r="ECE103" s="29"/>
      <c r="ECF103" s="29"/>
      <c r="ECG103" s="29"/>
      <c r="ECH103" s="29"/>
      <c r="ECI103" s="29"/>
      <c r="ECJ103" s="29"/>
      <c r="ECK103" s="29"/>
      <c r="ECL103" s="29"/>
      <c r="ECM103" s="29"/>
      <c r="ECN103" s="29"/>
      <c r="ECO103" s="29"/>
      <c r="ECP103" s="29"/>
      <c r="ECQ103" s="29"/>
      <c r="ECR103" s="29"/>
      <c r="ECS103" s="29"/>
      <c r="ECT103" s="29"/>
      <c r="ECU103" s="29"/>
      <c r="ECV103" s="29"/>
      <c r="ECW103" s="29"/>
      <c r="ECX103" s="29"/>
      <c r="ECY103" s="29"/>
      <c r="ECZ103" s="29"/>
      <c r="EDA103" s="29"/>
      <c r="EDB103" s="29"/>
      <c r="EDC103" s="29"/>
      <c r="EDD103" s="29"/>
      <c r="EDE103" s="29"/>
      <c r="EDF103" s="29"/>
      <c r="EDG103" s="29"/>
      <c r="EDH103" s="29"/>
      <c r="EDI103" s="29"/>
      <c r="EDJ103" s="29"/>
      <c r="EDK103" s="29"/>
      <c r="EDL103" s="29"/>
      <c r="EDM103" s="29"/>
      <c r="EDN103" s="29"/>
      <c r="EDO103" s="29"/>
      <c r="EDP103" s="29"/>
      <c r="EDQ103" s="29"/>
      <c r="EDR103" s="29"/>
      <c r="EDS103" s="29"/>
      <c r="EDT103" s="29"/>
      <c r="EDU103" s="29"/>
      <c r="EDV103" s="29"/>
      <c r="EDW103" s="29"/>
      <c r="EDX103" s="29"/>
      <c r="EDY103" s="29"/>
      <c r="EDZ103" s="29"/>
      <c r="EEA103" s="29"/>
      <c r="EEB103" s="29"/>
      <c r="EEC103" s="29"/>
      <c r="EED103" s="29"/>
      <c r="EEE103" s="29"/>
      <c r="EEF103" s="29"/>
      <c r="EEG103" s="29"/>
      <c r="EEH103" s="29"/>
      <c r="EEI103" s="29"/>
      <c r="EEJ103" s="29"/>
      <c r="EEK103" s="29"/>
      <c r="EEL103" s="29"/>
      <c r="EEM103" s="29"/>
      <c r="EEN103" s="29"/>
      <c r="EEO103" s="29"/>
      <c r="EEP103" s="29"/>
      <c r="EEQ103" s="29"/>
      <c r="EER103" s="29"/>
      <c r="EES103" s="29"/>
      <c r="EET103" s="29"/>
      <c r="EEU103" s="29"/>
      <c r="EEV103" s="29"/>
      <c r="EEW103" s="29"/>
      <c r="EEX103" s="29"/>
      <c r="EEY103" s="29"/>
      <c r="EEZ103" s="29"/>
      <c r="EFA103" s="29"/>
      <c r="EFB103" s="29"/>
      <c r="EFC103" s="29"/>
      <c r="EFD103" s="29"/>
      <c r="EFE103" s="29"/>
      <c r="EFF103" s="29"/>
      <c r="EFG103" s="29"/>
      <c r="EFH103" s="29"/>
      <c r="EFI103" s="29"/>
      <c r="EFJ103" s="29"/>
      <c r="EFK103" s="29"/>
      <c r="EFL103" s="29"/>
      <c r="EFM103" s="29"/>
      <c r="EFN103" s="29"/>
      <c r="EFO103" s="29"/>
      <c r="EFP103" s="29"/>
      <c r="EFQ103" s="29"/>
      <c r="EFR103" s="29"/>
      <c r="EFS103" s="29"/>
      <c r="EFT103" s="29"/>
      <c r="EFU103" s="29"/>
      <c r="EFV103" s="29"/>
      <c r="EFW103" s="29"/>
      <c r="EFX103" s="29"/>
      <c r="EFY103" s="29"/>
      <c r="EFZ103" s="29"/>
      <c r="EGA103" s="29"/>
      <c r="EGB103" s="29"/>
      <c r="EGC103" s="29"/>
      <c r="EGD103" s="29"/>
      <c r="EGE103" s="29"/>
      <c r="EGF103" s="29"/>
      <c r="EGG103" s="29"/>
      <c r="EGH103" s="29"/>
      <c r="EGI103" s="29"/>
      <c r="EGJ103" s="29"/>
      <c r="EGK103" s="29"/>
      <c r="EGL103" s="29"/>
      <c r="EGM103" s="29"/>
      <c r="EGN103" s="29"/>
      <c r="EGO103" s="29"/>
      <c r="EGP103" s="29"/>
      <c r="EGQ103" s="29"/>
      <c r="EGR103" s="29"/>
      <c r="EGS103" s="29"/>
      <c r="EGT103" s="29"/>
      <c r="EGU103" s="29"/>
      <c r="EGV103" s="29"/>
      <c r="EGW103" s="29"/>
      <c r="EGX103" s="29"/>
      <c r="EGY103" s="29"/>
      <c r="EGZ103" s="29"/>
      <c r="EHA103" s="29"/>
      <c r="EHB103" s="29"/>
      <c r="EHC103" s="29"/>
      <c r="EHD103" s="29"/>
      <c r="EHE103" s="29"/>
      <c r="EHF103" s="29"/>
      <c r="EHG103" s="29"/>
      <c r="EHH103" s="29"/>
      <c r="EHI103" s="29"/>
      <c r="EHJ103" s="29"/>
      <c r="EHK103" s="29"/>
      <c r="EHL103" s="29"/>
      <c r="EHM103" s="29"/>
      <c r="EHN103" s="29"/>
      <c r="EHO103" s="29"/>
      <c r="EHP103" s="29"/>
      <c r="EHQ103" s="29"/>
      <c r="EHR103" s="29"/>
      <c r="EHS103" s="29"/>
      <c r="EHT103" s="29"/>
      <c r="EHU103" s="29"/>
      <c r="EHV103" s="29"/>
      <c r="EHW103" s="29"/>
      <c r="EHX103" s="29"/>
      <c r="EHY103" s="29"/>
      <c r="EHZ103" s="29"/>
      <c r="EIA103" s="29"/>
      <c r="EIB103" s="29"/>
      <c r="EIC103" s="29"/>
      <c r="EID103" s="29"/>
      <c r="EIE103" s="29"/>
      <c r="EIF103" s="29"/>
      <c r="EIG103" s="29"/>
      <c r="EIH103" s="29"/>
      <c r="EII103" s="29"/>
      <c r="EIJ103" s="29"/>
      <c r="EIK103" s="29"/>
      <c r="EIL103" s="29"/>
      <c r="EIM103" s="29"/>
      <c r="EIN103" s="29"/>
      <c r="EIO103" s="29"/>
      <c r="EIP103" s="29"/>
      <c r="EIQ103" s="29"/>
      <c r="EIR103" s="29"/>
      <c r="EIS103" s="29"/>
      <c r="EIT103" s="29"/>
      <c r="EIU103" s="29"/>
      <c r="EIV103" s="29"/>
      <c r="EIW103" s="29"/>
      <c r="EIX103" s="29"/>
      <c r="EIY103" s="29"/>
      <c r="EIZ103" s="29"/>
      <c r="EJA103" s="29"/>
      <c r="EJB103" s="29"/>
      <c r="EJC103" s="29"/>
      <c r="EJD103" s="29"/>
      <c r="EJE103" s="29"/>
      <c r="EJF103" s="29"/>
      <c r="EJG103" s="29"/>
      <c r="EJH103" s="29"/>
      <c r="EJI103" s="29"/>
      <c r="EJJ103" s="29"/>
      <c r="EJK103" s="29"/>
      <c r="EJL103" s="29"/>
      <c r="EJM103" s="29"/>
      <c r="EJN103" s="29"/>
      <c r="EJO103" s="29"/>
      <c r="EJP103" s="29"/>
      <c r="EJQ103" s="29"/>
      <c r="EJR103" s="29"/>
      <c r="EJS103" s="29"/>
      <c r="EJT103" s="29"/>
      <c r="EJU103" s="29"/>
      <c r="EJV103" s="29"/>
      <c r="EJW103" s="29"/>
      <c r="EJX103" s="29"/>
      <c r="EJY103" s="29"/>
      <c r="EJZ103" s="29"/>
      <c r="EKA103" s="29"/>
      <c r="EKB103" s="29"/>
      <c r="EKC103" s="29"/>
      <c r="EKD103" s="29"/>
      <c r="EKE103" s="29"/>
      <c r="EKF103" s="29"/>
      <c r="EKG103" s="29"/>
      <c r="EKH103" s="29"/>
      <c r="EKI103" s="29"/>
      <c r="EKJ103" s="29"/>
      <c r="EKK103" s="29"/>
      <c r="EKL103" s="29"/>
      <c r="EKM103" s="29"/>
      <c r="EKN103" s="29"/>
      <c r="EKO103" s="29"/>
      <c r="EKP103" s="29"/>
      <c r="EKQ103" s="29"/>
      <c r="EKR103" s="29"/>
      <c r="EKS103" s="29"/>
      <c r="EKT103" s="29"/>
      <c r="EKU103" s="29"/>
      <c r="EKV103" s="29"/>
      <c r="EKW103" s="29"/>
      <c r="EKX103" s="29"/>
      <c r="EKY103" s="29"/>
      <c r="EKZ103" s="29"/>
      <c r="ELA103" s="29"/>
      <c r="ELB103" s="29"/>
      <c r="ELC103" s="29"/>
      <c r="ELD103" s="29"/>
      <c r="ELE103" s="29"/>
      <c r="ELF103" s="29"/>
      <c r="ELG103" s="29"/>
      <c r="ELH103" s="29"/>
      <c r="ELI103" s="29"/>
      <c r="ELJ103" s="29"/>
      <c r="ELK103" s="29"/>
      <c r="ELL103" s="29"/>
      <c r="ELM103" s="29"/>
      <c r="ELN103" s="29"/>
      <c r="ELO103" s="29"/>
      <c r="ELP103" s="29"/>
      <c r="ELQ103" s="29"/>
      <c r="ELR103" s="29"/>
      <c r="ELS103" s="29"/>
      <c r="ELT103" s="29"/>
      <c r="ELU103" s="29"/>
      <c r="ELV103" s="29"/>
      <c r="ELW103" s="29"/>
      <c r="ELX103" s="29"/>
      <c r="ELY103" s="29"/>
      <c r="ELZ103" s="29"/>
      <c r="EMA103" s="29"/>
      <c r="EMB103" s="29"/>
      <c r="EMC103" s="29"/>
      <c r="EMD103" s="29"/>
      <c r="EME103" s="29"/>
      <c r="EMF103" s="29"/>
      <c r="EMG103" s="29"/>
      <c r="EMH103" s="29"/>
      <c r="EMI103" s="29"/>
      <c r="EMJ103" s="29"/>
      <c r="EMK103" s="29"/>
      <c r="EML103" s="29"/>
      <c r="EMM103" s="29"/>
      <c r="EMN103" s="29"/>
      <c r="EMO103" s="29"/>
      <c r="EMP103" s="29"/>
      <c r="EMQ103" s="29"/>
      <c r="EMR103" s="29"/>
      <c r="EMS103" s="29"/>
      <c r="EMT103" s="29"/>
      <c r="EMU103" s="29"/>
      <c r="EMV103" s="29"/>
      <c r="EMW103" s="29"/>
      <c r="EMX103" s="29"/>
      <c r="EMY103" s="29"/>
      <c r="EMZ103" s="29"/>
      <c r="ENA103" s="29"/>
      <c r="ENB103" s="29"/>
      <c r="ENC103" s="29"/>
      <c r="END103" s="29"/>
      <c r="ENE103" s="29"/>
      <c r="ENF103" s="29"/>
      <c r="ENG103" s="29"/>
      <c r="ENH103" s="29"/>
      <c r="ENI103" s="29"/>
      <c r="ENJ103" s="29"/>
      <c r="ENK103" s="29"/>
      <c r="ENL103" s="29"/>
      <c r="ENM103" s="29"/>
      <c r="ENN103" s="29"/>
      <c r="ENO103" s="29"/>
      <c r="ENP103" s="29"/>
      <c r="ENQ103" s="29"/>
      <c r="ENR103" s="29"/>
      <c r="ENS103" s="29"/>
      <c r="ENT103" s="29"/>
      <c r="ENU103" s="29"/>
      <c r="ENV103" s="29"/>
      <c r="ENW103" s="29"/>
      <c r="ENX103" s="29"/>
      <c r="ENY103" s="29"/>
      <c r="ENZ103" s="29"/>
      <c r="EOA103" s="29"/>
      <c r="EOB103" s="29"/>
      <c r="EOC103" s="29"/>
      <c r="EOD103" s="29"/>
      <c r="EOE103" s="29"/>
      <c r="EOF103" s="29"/>
      <c r="EOG103" s="29"/>
      <c r="EOH103" s="29"/>
      <c r="EOI103" s="29"/>
      <c r="EOJ103" s="29"/>
      <c r="EOK103" s="29"/>
      <c r="EOL103" s="29"/>
      <c r="EOM103" s="29"/>
      <c r="EON103" s="29"/>
      <c r="EOO103" s="29"/>
      <c r="EOP103" s="29"/>
      <c r="EOQ103" s="29"/>
      <c r="EOR103" s="29"/>
      <c r="EOS103" s="29"/>
      <c r="EOT103" s="29"/>
      <c r="EOU103" s="29"/>
      <c r="EOV103" s="29"/>
      <c r="EOW103" s="29"/>
      <c r="EOX103" s="29"/>
      <c r="EOY103" s="29"/>
      <c r="EOZ103" s="29"/>
      <c r="EPA103" s="29"/>
      <c r="EPB103" s="29"/>
      <c r="EPC103" s="29"/>
      <c r="EPD103" s="29"/>
      <c r="EPE103" s="29"/>
      <c r="EPF103" s="29"/>
      <c r="EPG103" s="29"/>
      <c r="EPH103" s="29"/>
      <c r="EPI103" s="29"/>
      <c r="EPJ103" s="29"/>
      <c r="EPK103" s="29"/>
      <c r="EPL103" s="29"/>
      <c r="EPM103" s="29"/>
      <c r="EPN103" s="29"/>
      <c r="EPO103" s="29"/>
      <c r="EPP103" s="29"/>
      <c r="EPQ103" s="29"/>
      <c r="EPR103" s="29"/>
      <c r="EPS103" s="29"/>
      <c r="EPT103" s="29"/>
      <c r="EPU103" s="29"/>
      <c r="EPV103" s="29"/>
      <c r="EPW103" s="29"/>
      <c r="EPX103" s="29"/>
      <c r="EPY103" s="29"/>
      <c r="EPZ103" s="29"/>
      <c r="EQA103" s="29"/>
      <c r="EQB103" s="29"/>
      <c r="EQC103" s="29"/>
      <c r="EQD103" s="29"/>
      <c r="EQE103" s="29"/>
      <c r="EQF103" s="29"/>
      <c r="EQG103" s="29"/>
      <c r="EQH103" s="29"/>
      <c r="EQI103" s="29"/>
      <c r="EQJ103" s="29"/>
      <c r="EQK103" s="29"/>
      <c r="EQL103" s="29"/>
      <c r="EQM103" s="29"/>
      <c r="EQN103" s="29"/>
      <c r="EQO103" s="29"/>
      <c r="EQP103" s="29"/>
      <c r="EQQ103" s="29"/>
      <c r="EQR103" s="29"/>
      <c r="EQS103" s="29"/>
      <c r="EQT103" s="29"/>
      <c r="EQU103" s="29"/>
      <c r="EQV103" s="29"/>
      <c r="EQW103" s="29"/>
      <c r="EQX103" s="29"/>
      <c r="EQY103" s="29"/>
      <c r="EQZ103" s="29"/>
      <c r="ERA103" s="29"/>
      <c r="ERB103" s="29"/>
      <c r="ERC103" s="29"/>
      <c r="ERD103" s="29"/>
      <c r="ERE103" s="29"/>
      <c r="ERF103" s="29"/>
      <c r="ERG103" s="29"/>
      <c r="ERH103" s="29"/>
      <c r="ERI103" s="29"/>
      <c r="ERJ103" s="29"/>
      <c r="ERK103" s="29"/>
      <c r="ERL103" s="29"/>
      <c r="ERM103" s="29"/>
      <c r="ERN103" s="29"/>
      <c r="ERO103" s="29"/>
      <c r="ERP103" s="29"/>
      <c r="ERQ103" s="29"/>
      <c r="ERR103" s="29"/>
      <c r="ERS103" s="29"/>
      <c r="ERT103" s="29"/>
      <c r="ERU103" s="29"/>
      <c r="ERV103" s="29"/>
      <c r="ERW103" s="29"/>
      <c r="ERX103" s="29"/>
      <c r="ERY103" s="29"/>
      <c r="ERZ103" s="29"/>
      <c r="ESA103" s="29"/>
      <c r="ESB103" s="29"/>
      <c r="ESC103" s="29"/>
      <c r="ESD103" s="29"/>
      <c r="ESE103" s="29"/>
      <c r="ESF103" s="29"/>
      <c r="ESG103" s="29"/>
      <c r="ESH103" s="29"/>
      <c r="ESI103" s="29"/>
      <c r="ESJ103" s="29"/>
      <c r="ESK103" s="29"/>
      <c r="ESL103" s="29"/>
      <c r="ESM103" s="29"/>
      <c r="ESN103" s="29"/>
      <c r="ESO103" s="29"/>
      <c r="ESP103" s="29"/>
      <c r="ESQ103" s="29"/>
      <c r="ESR103" s="29"/>
      <c r="ESS103" s="29"/>
      <c r="EST103" s="29"/>
      <c r="ESU103" s="29"/>
      <c r="ESV103" s="29"/>
      <c r="ESW103" s="29"/>
      <c r="ESX103" s="29"/>
      <c r="ESY103" s="29"/>
      <c r="ESZ103" s="29"/>
      <c r="ETA103" s="29"/>
      <c r="ETB103" s="29"/>
      <c r="ETC103" s="29"/>
      <c r="ETD103" s="29"/>
      <c r="ETE103" s="29"/>
      <c r="ETF103" s="29"/>
      <c r="ETG103" s="29"/>
      <c r="ETH103" s="29"/>
      <c r="ETI103" s="29"/>
      <c r="ETJ103" s="29"/>
      <c r="ETK103" s="29"/>
      <c r="ETL103" s="29"/>
      <c r="ETM103" s="29"/>
      <c r="ETN103" s="29"/>
      <c r="ETO103" s="29"/>
      <c r="ETP103" s="29"/>
      <c r="ETQ103" s="29"/>
      <c r="ETR103" s="29"/>
      <c r="ETS103" s="29"/>
      <c r="ETT103" s="29"/>
      <c r="ETU103" s="29"/>
      <c r="ETV103" s="29"/>
      <c r="ETW103" s="29"/>
      <c r="ETX103" s="29"/>
      <c r="ETY103" s="29"/>
      <c r="ETZ103" s="29"/>
      <c r="EUA103" s="29"/>
      <c r="EUB103" s="29"/>
      <c r="EUC103" s="29"/>
      <c r="EUD103" s="29"/>
      <c r="EUE103" s="29"/>
      <c r="EUF103" s="29"/>
      <c r="EUG103" s="29"/>
      <c r="EUH103" s="29"/>
      <c r="EUI103" s="29"/>
      <c r="EUJ103" s="29"/>
      <c r="EUK103" s="29"/>
      <c r="EUL103" s="29"/>
      <c r="EUM103" s="29"/>
      <c r="EUN103" s="29"/>
      <c r="EUO103" s="29"/>
      <c r="EUP103" s="29"/>
      <c r="EUQ103" s="29"/>
      <c r="EUR103" s="29"/>
      <c r="EUS103" s="29"/>
      <c r="EUT103" s="29"/>
      <c r="EUU103" s="29"/>
      <c r="EUV103" s="29"/>
      <c r="EUW103" s="29"/>
      <c r="EUX103" s="29"/>
      <c r="EUY103" s="29"/>
      <c r="EUZ103" s="29"/>
      <c r="EVA103" s="29"/>
      <c r="EVB103" s="29"/>
      <c r="EVC103" s="29"/>
      <c r="EVD103" s="29"/>
      <c r="EVE103" s="29"/>
      <c r="EVF103" s="29"/>
      <c r="EVG103" s="29"/>
      <c r="EVH103" s="29"/>
      <c r="EVI103" s="29"/>
      <c r="EVJ103" s="29"/>
      <c r="EVK103" s="29"/>
      <c r="EVL103" s="29"/>
      <c r="EVM103" s="29"/>
      <c r="EVN103" s="29"/>
      <c r="EVO103" s="29"/>
      <c r="EVP103" s="29"/>
      <c r="EVQ103" s="29"/>
      <c r="EVR103" s="29"/>
      <c r="EVS103" s="29"/>
      <c r="EVT103" s="29"/>
      <c r="EVU103" s="29"/>
      <c r="EVV103" s="29"/>
      <c r="EVW103" s="29"/>
      <c r="EVX103" s="29"/>
      <c r="EVY103" s="29"/>
      <c r="EVZ103" s="29"/>
      <c r="EWA103" s="29"/>
      <c r="EWB103" s="29"/>
      <c r="EWC103" s="29"/>
      <c r="EWD103" s="29"/>
      <c r="EWE103" s="29"/>
      <c r="EWF103" s="29"/>
      <c r="EWG103" s="29"/>
      <c r="EWH103" s="29"/>
      <c r="EWI103" s="29"/>
      <c r="EWJ103" s="29"/>
      <c r="EWK103" s="29"/>
      <c r="EWL103" s="29"/>
      <c r="EWM103" s="29"/>
      <c r="EWN103" s="29"/>
      <c r="EWO103" s="29"/>
      <c r="EWP103" s="29"/>
      <c r="EWQ103" s="29"/>
      <c r="EWR103" s="29"/>
      <c r="EWS103" s="29"/>
      <c r="EWT103" s="29"/>
      <c r="EWU103" s="29"/>
      <c r="EWV103" s="29"/>
      <c r="EWW103" s="29"/>
      <c r="EWX103" s="29"/>
      <c r="EWY103" s="29"/>
      <c r="EWZ103" s="29"/>
      <c r="EXA103" s="29"/>
      <c r="EXB103" s="29"/>
      <c r="EXC103" s="29"/>
      <c r="EXD103" s="29"/>
      <c r="EXE103" s="29"/>
      <c r="EXF103" s="29"/>
      <c r="EXG103" s="29"/>
      <c r="EXH103" s="29"/>
      <c r="EXI103" s="29"/>
      <c r="EXJ103" s="29"/>
      <c r="EXK103" s="29"/>
      <c r="EXL103" s="29"/>
      <c r="EXM103" s="29"/>
      <c r="EXN103" s="29"/>
      <c r="EXO103" s="29"/>
      <c r="EXP103" s="29"/>
      <c r="EXQ103" s="29"/>
      <c r="EXR103" s="29"/>
      <c r="EXS103" s="29"/>
      <c r="EXT103" s="29"/>
      <c r="EXU103" s="29"/>
      <c r="EXV103" s="29"/>
      <c r="EXW103" s="29"/>
      <c r="EXX103" s="29"/>
      <c r="EXY103" s="29"/>
      <c r="EXZ103" s="29"/>
      <c r="EYA103" s="29"/>
      <c r="EYB103" s="29"/>
      <c r="EYC103" s="29"/>
      <c r="EYD103" s="29"/>
      <c r="EYE103" s="29"/>
      <c r="EYF103" s="29"/>
      <c r="EYG103" s="29"/>
      <c r="EYH103" s="29"/>
      <c r="EYI103" s="29"/>
      <c r="EYJ103" s="29"/>
      <c r="EYK103" s="29"/>
      <c r="EYL103" s="29"/>
      <c r="EYM103" s="29"/>
      <c r="EYN103" s="29"/>
      <c r="EYO103" s="29"/>
      <c r="EYP103" s="29"/>
      <c r="EYQ103" s="29"/>
      <c r="EYR103" s="29"/>
      <c r="EYS103" s="29"/>
      <c r="EYT103" s="29"/>
      <c r="EYU103" s="29"/>
      <c r="EYV103" s="29"/>
      <c r="EYW103" s="29"/>
      <c r="EYX103" s="29"/>
      <c r="EYY103" s="29"/>
      <c r="EYZ103" s="29"/>
      <c r="EZA103" s="29"/>
      <c r="EZB103" s="29"/>
      <c r="EZC103" s="29"/>
      <c r="EZD103" s="29"/>
      <c r="EZE103" s="29"/>
      <c r="EZF103" s="29"/>
      <c r="EZG103" s="29"/>
      <c r="EZH103" s="29"/>
      <c r="EZI103" s="29"/>
      <c r="EZJ103" s="29"/>
      <c r="EZK103" s="29"/>
      <c r="EZL103" s="29"/>
      <c r="EZM103" s="29"/>
      <c r="EZN103" s="29"/>
      <c r="EZO103" s="29"/>
      <c r="EZP103" s="29"/>
      <c r="EZQ103" s="29"/>
      <c r="EZR103" s="29"/>
      <c r="EZS103" s="29"/>
      <c r="EZT103" s="29"/>
      <c r="EZU103" s="29"/>
      <c r="EZV103" s="29"/>
      <c r="EZW103" s="29"/>
      <c r="EZX103" s="29"/>
      <c r="EZY103" s="29"/>
      <c r="EZZ103" s="29"/>
      <c r="FAA103" s="29"/>
      <c r="FAB103" s="29"/>
      <c r="FAC103" s="29"/>
      <c r="FAD103" s="29"/>
      <c r="FAE103" s="29"/>
      <c r="FAF103" s="29"/>
      <c r="FAG103" s="29"/>
      <c r="FAH103" s="29"/>
      <c r="FAI103" s="29"/>
      <c r="FAJ103" s="29"/>
      <c r="FAK103" s="29"/>
      <c r="FAL103" s="29"/>
      <c r="FAM103" s="29"/>
      <c r="FAN103" s="29"/>
      <c r="FAO103" s="29"/>
      <c r="FAP103" s="29"/>
      <c r="FAQ103" s="29"/>
      <c r="FAR103" s="29"/>
      <c r="FAS103" s="29"/>
      <c r="FAT103" s="29"/>
      <c r="FAU103" s="29"/>
      <c r="FAV103" s="29"/>
      <c r="FAW103" s="29"/>
      <c r="FAX103" s="29"/>
      <c r="FAY103" s="29"/>
      <c r="FAZ103" s="29"/>
      <c r="FBA103" s="29"/>
      <c r="FBB103" s="29"/>
      <c r="FBC103" s="29"/>
      <c r="FBD103" s="29"/>
      <c r="FBE103" s="29"/>
      <c r="FBF103" s="29"/>
      <c r="FBG103" s="29"/>
      <c r="FBH103" s="29"/>
      <c r="FBI103" s="29"/>
      <c r="FBJ103" s="29"/>
      <c r="FBK103" s="29"/>
      <c r="FBL103" s="29"/>
      <c r="FBM103" s="29"/>
      <c r="FBN103" s="29"/>
      <c r="FBO103" s="29"/>
      <c r="FBP103" s="29"/>
      <c r="FBQ103" s="29"/>
      <c r="FBR103" s="29"/>
      <c r="FBS103" s="29"/>
      <c r="FBT103" s="29"/>
      <c r="FBU103" s="29"/>
      <c r="FBV103" s="29"/>
      <c r="FBW103" s="29"/>
      <c r="FBX103" s="29"/>
      <c r="FBY103" s="29"/>
      <c r="FBZ103" s="29"/>
      <c r="FCA103" s="29"/>
      <c r="FCB103" s="29"/>
      <c r="FCC103" s="29"/>
      <c r="FCD103" s="29"/>
      <c r="FCE103" s="29"/>
      <c r="FCF103" s="29"/>
      <c r="FCG103" s="29"/>
      <c r="FCH103" s="29"/>
      <c r="FCI103" s="29"/>
      <c r="FCJ103" s="29"/>
      <c r="FCK103" s="29"/>
      <c r="FCL103" s="29"/>
      <c r="FCM103" s="29"/>
      <c r="FCN103" s="29"/>
      <c r="FCO103" s="29"/>
      <c r="FCP103" s="29"/>
      <c r="FCQ103" s="29"/>
      <c r="FCR103" s="29"/>
      <c r="FCS103" s="29"/>
      <c r="FCT103" s="29"/>
      <c r="FCU103" s="29"/>
      <c r="FCV103" s="29"/>
      <c r="FCW103" s="29"/>
      <c r="FCX103" s="29"/>
      <c r="FCY103" s="29"/>
      <c r="FCZ103" s="29"/>
      <c r="FDA103" s="29"/>
      <c r="FDB103" s="29"/>
      <c r="FDC103" s="29"/>
      <c r="FDD103" s="29"/>
      <c r="FDE103" s="29"/>
      <c r="FDF103" s="29"/>
      <c r="FDG103" s="29"/>
      <c r="FDH103" s="29"/>
      <c r="FDI103" s="29"/>
      <c r="FDJ103" s="29"/>
      <c r="FDK103" s="29"/>
      <c r="FDL103" s="29"/>
      <c r="FDM103" s="29"/>
      <c r="FDN103" s="29"/>
      <c r="FDO103" s="29"/>
      <c r="FDP103" s="29"/>
      <c r="FDQ103" s="29"/>
      <c r="FDR103" s="29"/>
      <c r="FDS103" s="29"/>
      <c r="FDT103" s="29"/>
      <c r="FDU103" s="29"/>
      <c r="FDV103" s="29"/>
      <c r="FDW103" s="29"/>
      <c r="FDX103" s="29"/>
      <c r="FDY103" s="29"/>
      <c r="FDZ103" s="29"/>
      <c r="FEA103" s="29"/>
      <c r="FEB103" s="29"/>
      <c r="FEC103" s="29"/>
      <c r="FED103" s="29"/>
      <c r="FEE103" s="29"/>
      <c r="FEF103" s="29"/>
      <c r="FEG103" s="29"/>
      <c r="FEH103" s="29"/>
      <c r="FEI103" s="29"/>
      <c r="FEJ103" s="29"/>
      <c r="FEK103" s="29"/>
      <c r="FEL103" s="29"/>
      <c r="FEM103" s="29"/>
      <c r="FEN103" s="29"/>
      <c r="FEO103" s="29"/>
      <c r="FEP103" s="29"/>
      <c r="FEQ103" s="29"/>
      <c r="FER103" s="29"/>
      <c r="FES103" s="29"/>
      <c r="FET103" s="29"/>
      <c r="FEU103" s="29"/>
      <c r="FEV103" s="29"/>
      <c r="FEW103" s="29"/>
      <c r="FEX103" s="29"/>
      <c r="FEY103" s="29"/>
      <c r="FEZ103" s="29"/>
      <c r="FFA103" s="29"/>
      <c r="FFB103" s="29"/>
      <c r="FFC103" s="29"/>
      <c r="FFD103" s="29"/>
      <c r="FFE103" s="29"/>
      <c r="FFF103" s="29"/>
      <c r="FFG103" s="29"/>
      <c r="FFH103" s="29"/>
      <c r="FFI103" s="29"/>
      <c r="FFJ103" s="29"/>
      <c r="FFK103" s="29"/>
      <c r="FFL103" s="29"/>
      <c r="FFM103" s="29"/>
      <c r="FFN103" s="29"/>
      <c r="FFO103" s="29"/>
      <c r="FFP103" s="29"/>
      <c r="FFQ103" s="29"/>
      <c r="FFR103" s="29"/>
      <c r="FFS103" s="29"/>
      <c r="FFT103" s="29"/>
      <c r="FFU103" s="29"/>
      <c r="FFV103" s="29"/>
      <c r="FFW103" s="29"/>
      <c r="FFX103" s="29"/>
      <c r="FFY103" s="29"/>
      <c r="FFZ103" s="29"/>
      <c r="FGA103" s="29"/>
      <c r="FGB103" s="29"/>
      <c r="FGC103" s="29"/>
      <c r="FGD103" s="29"/>
      <c r="FGE103" s="29"/>
      <c r="FGF103" s="29"/>
      <c r="FGG103" s="29"/>
      <c r="FGH103" s="29"/>
      <c r="FGI103" s="29"/>
      <c r="FGJ103" s="29"/>
      <c r="FGK103" s="29"/>
      <c r="FGL103" s="29"/>
      <c r="FGM103" s="29"/>
      <c r="FGN103" s="29"/>
      <c r="FGO103" s="29"/>
      <c r="FGP103" s="29"/>
      <c r="FGQ103" s="29"/>
      <c r="FGR103" s="29"/>
      <c r="FGS103" s="29"/>
      <c r="FGT103" s="29"/>
      <c r="FGU103" s="29"/>
      <c r="FGV103" s="29"/>
      <c r="FGW103" s="29"/>
      <c r="FGX103" s="29"/>
      <c r="FGY103" s="29"/>
      <c r="FGZ103" s="29"/>
      <c r="FHA103" s="29"/>
      <c r="FHB103" s="29"/>
      <c r="FHC103" s="29"/>
      <c r="FHD103" s="29"/>
      <c r="FHE103" s="29"/>
      <c r="FHF103" s="29"/>
      <c r="FHG103" s="29"/>
      <c r="FHH103" s="29"/>
      <c r="FHI103" s="29"/>
      <c r="FHJ103" s="29"/>
      <c r="FHK103" s="29"/>
      <c r="FHL103" s="29"/>
      <c r="FHM103" s="29"/>
      <c r="FHN103" s="29"/>
      <c r="FHO103" s="29"/>
      <c r="FHP103" s="29"/>
      <c r="FHQ103" s="29"/>
      <c r="FHR103" s="29"/>
      <c r="FHS103" s="29"/>
      <c r="FHT103" s="29"/>
      <c r="FHU103" s="29"/>
      <c r="FHV103" s="29"/>
      <c r="FHW103" s="29"/>
      <c r="FHX103" s="29"/>
      <c r="FHY103" s="29"/>
      <c r="FHZ103" s="29"/>
      <c r="FIA103" s="29"/>
      <c r="FIB103" s="29"/>
      <c r="FIC103" s="29"/>
      <c r="FID103" s="29"/>
      <c r="FIE103" s="29"/>
      <c r="FIF103" s="29"/>
      <c r="FIG103" s="29"/>
      <c r="FIH103" s="29"/>
      <c r="FII103" s="29"/>
      <c r="FIJ103" s="29"/>
      <c r="FIK103" s="29"/>
      <c r="FIL103" s="29"/>
      <c r="FIM103" s="29"/>
      <c r="FIN103" s="29"/>
      <c r="FIO103" s="29"/>
      <c r="FIP103" s="29"/>
      <c r="FIQ103" s="29"/>
      <c r="FIR103" s="29"/>
      <c r="FIS103" s="29"/>
      <c r="FIT103" s="29"/>
      <c r="FIU103" s="29"/>
      <c r="FIV103" s="29"/>
      <c r="FIW103" s="29"/>
      <c r="FIX103" s="29"/>
      <c r="FIY103" s="29"/>
      <c r="FIZ103" s="29"/>
      <c r="FJA103" s="29"/>
      <c r="FJB103" s="29"/>
      <c r="FJC103" s="29"/>
      <c r="FJD103" s="29"/>
      <c r="FJE103" s="29"/>
      <c r="FJF103" s="29"/>
      <c r="FJG103" s="29"/>
      <c r="FJH103" s="29"/>
      <c r="FJI103" s="29"/>
      <c r="FJJ103" s="29"/>
      <c r="FJK103" s="29"/>
      <c r="FJL103" s="29"/>
      <c r="FJM103" s="29"/>
      <c r="FJN103" s="29"/>
      <c r="FJO103" s="29"/>
      <c r="FJP103" s="29"/>
      <c r="FJQ103" s="29"/>
      <c r="FJR103" s="29"/>
      <c r="FJS103" s="29"/>
      <c r="FJT103" s="29"/>
      <c r="FJU103" s="29"/>
      <c r="FJV103" s="29"/>
      <c r="FJW103" s="29"/>
      <c r="FJX103" s="29"/>
      <c r="FJY103" s="29"/>
      <c r="FJZ103" s="29"/>
      <c r="FKA103" s="29"/>
      <c r="FKB103" s="29"/>
      <c r="FKC103" s="29"/>
      <c r="FKD103" s="29"/>
      <c r="FKE103" s="29"/>
      <c r="FKF103" s="29"/>
      <c r="FKG103" s="29"/>
      <c r="FKH103" s="29"/>
      <c r="FKI103" s="29"/>
      <c r="FKJ103" s="29"/>
      <c r="FKK103" s="29"/>
      <c r="FKL103" s="29"/>
      <c r="FKM103" s="29"/>
      <c r="FKN103" s="29"/>
      <c r="FKO103" s="29"/>
      <c r="FKP103" s="29"/>
      <c r="FKQ103" s="29"/>
      <c r="FKR103" s="29"/>
      <c r="FKS103" s="29"/>
      <c r="FKT103" s="29"/>
      <c r="FKU103" s="29"/>
      <c r="FKV103" s="29"/>
      <c r="FKW103" s="29"/>
      <c r="FKX103" s="29"/>
      <c r="FKY103" s="29"/>
      <c r="FKZ103" s="29"/>
      <c r="FLA103" s="29"/>
      <c r="FLB103" s="29"/>
      <c r="FLC103" s="29"/>
      <c r="FLD103" s="29"/>
      <c r="FLE103" s="29"/>
      <c r="FLF103" s="29"/>
      <c r="FLG103" s="29"/>
      <c r="FLH103" s="29"/>
      <c r="FLI103" s="29"/>
      <c r="FLJ103" s="29"/>
      <c r="FLK103" s="29"/>
      <c r="FLL103" s="29"/>
      <c r="FLM103" s="29"/>
      <c r="FLN103" s="29"/>
      <c r="FLO103" s="29"/>
      <c r="FLP103" s="29"/>
      <c r="FLQ103" s="29"/>
      <c r="FLR103" s="29"/>
      <c r="FLS103" s="29"/>
      <c r="FLT103" s="29"/>
      <c r="FLU103" s="29"/>
      <c r="FLV103" s="29"/>
      <c r="FLW103" s="29"/>
      <c r="FLX103" s="29"/>
      <c r="FLY103" s="29"/>
      <c r="FLZ103" s="29"/>
      <c r="FMA103" s="29"/>
      <c r="FMB103" s="29"/>
      <c r="FMC103" s="29"/>
      <c r="FMD103" s="29"/>
      <c r="FME103" s="29"/>
      <c r="FMF103" s="29"/>
      <c r="FMG103" s="29"/>
      <c r="FMH103" s="29"/>
      <c r="FMI103" s="29"/>
      <c r="FMJ103" s="29"/>
      <c r="FMK103" s="29"/>
      <c r="FML103" s="29"/>
      <c r="FMM103" s="29"/>
      <c r="FMN103" s="29"/>
      <c r="FMO103" s="29"/>
      <c r="FMP103" s="29"/>
      <c r="FMQ103" s="29"/>
      <c r="FMR103" s="29"/>
      <c r="FMS103" s="29"/>
      <c r="FMT103" s="29"/>
      <c r="FMU103" s="29"/>
      <c r="FMV103" s="29"/>
      <c r="FMW103" s="29"/>
      <c r="FMX103" s="29"/>
      <c r="FMY103" s="29"/>
      <c r="FMZ103" s="29"/>
      <c r="FNA103" s="29"/>
      <c r="FNB103" s="29"/>
      <c r="FNC103" s="29"/>
      <c r="FND103" s="29"/>
      <c r="FNE103" s="29"/>
      <c r="FNF103" s="29"/>
      <c r="FNG103" s="29"/>
      <c r="FNH103" s="29"/>
      <c r="FNI103" s="29"/>
      <c r="FNJ103" s="29"/>
      <c r="FNK103" s="29"/>
      <c r="FNL103" s="29"/>
      <c r="FNM103" s="29"/>
      <c r="FNN103" s="29"/>
      <c r="FNO103" s="29"/>
      <c r="FNP103" s="29"/>
      <c r="FNQ103" s="29"/>
      <c r="FNR103" s="29"/>
      <c r="FNS103" s="29"/>
      <c r="FNT103" s="29"/>
      <c r="FNU103" s="29"/>
      <c r="FNV103" s="29"/>
      <c r="FNW103" s="29"/>
      <c r="FNX103" s="29"/>
      <c r="FNY103" s="29"/>
      <c r="FNZ103" s="29"/>
      <c r="FOA103" s="29"/>
      <c r="FOB103" s="29"/>
      <c r="FOC103" s="29"/>
      <c r="FOD103" s="29"/>
      <c r="FOE103" s="29"/>
      <c r="FOF103" s="29"/>
      <c r="FOG103" s="29"/>
      <c r="FOH103" s="29"/>
      <c r="FOI103" s="29"/>
      <c r="FOJ103" s="29"/>
      <c r="FOK103" s="29"/>
      <c r="FOL103" s="29"/>
      <c r="FOM103" s="29"/>
      <c r="FON103" s="29"/>
      <c r="FOO103" s="29"/>
      <c r="FOP103" s="29"/>
      <c r="FOQ103" s="29"/>
      <c r="FOR103" s="29"/>
      <c r="FOS103" s="29"/>
      <c r="FOT103" s="29"/>
      <c r="FOU103" s="29"/>
      <c r="FOV103" s="29"/>
      <c r="FOW103" s="29"/>
      <c r="FOX103" s="29"/>
      <c r="FOY103" s="29"/>
      <c r="FOZ103" s="29"/>
      <c r="FPA103" s="29"/>
      <c r="FPB103" s="29"/>
      <c r="FPC103" s="29"/>
      <c r="FPD103" s="29"/>
      <c r="FPE103" s="29"/>
      <c r="FPF103" s="29"/>
      <c r="FPG103" s="29"/>
      <c r="FPH103" s="29"/>
      <c r="FPI103" s="29"/>
      <c r="FPJ103" s="29"/>
      <c r="FPK103" s="29"/>
      <c r="FPL103" s="29"/>
      <c r="FPM103" s="29"/>
      <c r="FPN103" s="29"/>
      <c r="FPO103" s="29"/>
      <c r="FPP103" s="29"/>
      <c r="FPQ103" s="29"/>
      <c r="FPR103" s="29"/>
      <c r="FPS103" s="29"/>
      <c r="FPT103" s="29"/>
      <c r="FPU103" s="29"/>
      <c r="FPV103" s="29"/>
      <c r="FPW103" s="29"/>
      <c r="FPX103" s="29"/>
      <c r="FPY103" s="29"/>
      <c r="FPZ103" s="29"/>
      <c r="FQA103" s="29"/>
      <c r="FQB103" s="29"/>
      <c r="FQC103" s="29"/>
      <c r="FQD103" s="29"/>
      <c r="FQE103" s="29"/>
      <c r="FQF103" s="29"/>
      <c r="FQG103" s="29"/>
      <c r="FQH103" s="29"/>
      <c r="FQI103" s="29"/>
      <c r="FQJ103" s="29"/>
      <c r="FQK103" s="29"/>
      <c r="FQL103" s="29"/>
      <c r="FQM103" s="29"/>
      <c r="FQN103" s="29"/>
      <c r="FQO103" s="29"/>
      <c r="FQP103" s="29"/>
      <c r="FQQ103" s="29"/>
      <c r="FQR103" s="29"/>
      <c r="FQS103" s="29"/>
      <c r="FQT103" s="29"/>
      <c r="FQU103" s="29"/>
      <c r="FQV103" s="29"/>
      <c r="FQW103" s="29"/>
      <c r="FQX103" s="29"/>
      <c r="FQY103" s="29"/>
      <c r="FQZ103" s="29"/>
      <c r="FRA103" s="29"/>
      <c r="FRB103" s="29"/>
      <c r="FRC103" s="29"/>
      <c r="FRD103" s="29"/>
      <c r="FRE103" s="29"/>
      <c r="FRF103" s="29"/>
      <c r="FRG103" s="29"/>
      <c r="FRH103" s="29"/>
      <c r="FRI103" s="29"/>
      <c r="FRJ103" s="29"/>
      <c r="FRK103" s="29"/>
      <c r="FRL103" s="29"/>
      <c r="FRM103" s="29"/>
      <c r="FRN103" s="29"/>
      <c r="FRO103" s="29"/>
      <c r="FRP103" s="29"/>
      <c r="FRQ103" s="29"/>
      <c r="FRR103" s="29"/>
      <c r="FRS103" s="29"/>
      <c r="FRT103" s="29"/>
      <c r="FRU103" s="29"/>
      <c r="FRV103" s="29"/>
      <c r="FRW103" s="29"/>
      <c r="FRX103" s="29"/>
      <c r="FRY103" s="29"/>
      <c r="FRZ103" s="29"/>
      <c r="FSA103" s="29"/>
      <c r="FSB103" s="29"/>
      <c r="FSC103" s="29"/>
      <c r="FSD103" s="29"/>
      <c r="FSE103" s="29"/>
      <c r="FSF103" s="29"/>
      <c r="FSG103" s="29"/>
      <c r="FSH103" s="29"/>
      <c r="FSI103" s="29"/>
      <c r="FSJ103" s="29"/>
      <c r="FSK103" s="29"/>
      <c r="FSL103" s="29"/>
      <c r="FSM103" s="29"/>
      <c r="FSN103" s="29"/>
      <c r="FSO103" s="29"/>
      <c r="FSP103" s="29"/>
      <c r="FSQ103" s="29"/>
      <c r="FSR103" s="29"/>
      <c r="FSS103" s="29"/>
      <c r="FST103" s="29"/>
      <c r="FSU103" s="29"/>
      <c r="FSV103" s="29"/>
      <c r="FSW103" s="29"/>
      <c r="FSX103" s="29"/>
      <c r="FSY103" s="29"/>
      <c r="FSZ103" s="29"/>
      <c r="FTA103" s="29"/>
      <c r="FTB103" s="29"/>
      <c r="FTC103" s="29"/>
      <c r="FTD103" s="29"/>
      <c r="FTE103" s="29"/>
      <c r="FTF103" s="29"/>
      <c r="FTG103" s="29"/>
      <c r="FTH103" s="29"/>
      <c r="FTI103" s="29"/>
      <c r="FTJ103" s="29"/>
      <c r="FTK103" s="29"/>
      <c r="FTL103" s="29"/>
      <c r="FTM103" s="29"/>
      <c r="FTN103" s="29"/>
      <c r="FTO103" s="29"/>
      <c r="FTP103" s="29"/>
      <c r="FTQ103" s="29"/>
      <c r="FTR103" s="29"/>
      <c r="FTS103" s="29"/>
      <c r="FTT103" s="29"/>
      <c r="FTU103" s="29"/>
      <c r="FTV103" s="29"/>
      <c r="FTW103" s="29"/>
      <c r="FTX103" s="29"/>
      <c r="FTY103" s="29"/>
      <c r="FTZ103" s="29"/>
      <c r="FUA103" s="29"/>
      <c r="FUB103" s="29"/>
      <c r="FUC103" s="29"/>
      <c r="FUD103" s="29"/>
      <c r="FUE103" s="29"/>
      <c r="FUF103" s="29"/>
      <c r="FUG103" s="29"/>
      <c r="FUH103" s="29"/>
      <c r="FUI103" s="29"/>
      <c r="FUJ103" s="29"/>
      <c r="FUK103" s="29"/>
      <c r="FUL103" s="29"/>
      <c r="FUM103" s="29"/>
      <c r="FUN103" s="29"/>
      <c r="FUO103" s="29"/>
      <c r="FUP103" s="29"/>
      <c r="FUQ103" s="29"/>
      <c r="FUR103" s="29"/>
      <c r="FUS103" s="29"/>
      <c r="FUT103" s="29"/>
      <c r="FUU103" s="29"/>
      <c r="FUV103" s="29"/>
      <c r="FUW103" s="29"/>
      <c r="FUX103" s="29"/>
      <c r="FUY103" s="29"/>
      <c r="FUZ103" s="29"/>
      <c r="FVA103" s="29"/>
      <c r="FVB103" s="29"/>
      <c r="FVC103" s="29"/>
      <c r="FVD103" s="29"/>
      <c r="FVE103" s="29"/>
      <c r="FVF103" s="29"/>
      <c r="FVG103" s="29"/>
      <c r="FVH103" s="29"/>
      <c r="FVI103" s="29"/>
      <c r="FVJ103" s="29"/>
      <c r="FVK103" s="29"/>
      <c r="FVL103" s="29"/>
      <c r="FVM103" s="29"/>
      <c r="FVN103" s="29"/>
      <c r="FVO103" s="29"/>
      <c r="FVP103" s="29"/>
      <c r="FVQ103" s="29"/>
      <c r="FVR103" s="29"/>
      <c r="FVS103" s="29"/>
      <c r="FVT103" s="29"/>
      <c r="FVU103" s="29"/>
      <c r="FVV103" s="29"/>
      <c r="FVW103" s="29"/>
      <c r="FVX103" s="29"/>
      <c r="FVY103" s="29"/>
      <c r="FVZ103" s="29"/>
      <c r="FWA103" s="29"/>
      <c r="FWB103" s="29"/>
      <c r="FWC103" s="29"/>
      <c r="FWD103" s="29"/>
      <c r="FWE103" s="29"/>
      <c r="FWF103" s="29"/>
      <c r="FWG103" s="29"/>
      <c r="FWH103" s="29"/>
      <c r="FWI103" s="29"/>
      <c r="FWJ103" s="29"/>
      <c r="FWK103" s="29"/>
      <c r="FWL103" s="29"/>
      <c r="FWM103" s="29"/>
      <c r="FWN103" s="29"/>
      <c r="FWO103" s="29"/>
      <c r="FWP103" s="29"/>
      <c r="FWQ103" s="29"/>
      <c r="FWR103" s="29"/>
      <c r="FWS103" s="29"/>
      <c r="FWT103" s="29"/>
      <c r="FWU103" s="29"/>
      <c r="FWV103" s="29"/>
      <c r="FWW103" s="29"/>
      <c r="FWX103" s="29"/>
      <c r="FWY103" s="29"/>
      <c r="FWZ103" s="29"/>
      <c r="FXA103" s="29"/>
      <c r="FXB103" s="29"/>
      <c r="FXC103" s="29"/>
      <c r="FXD103" s="29"/>
      <c r="FXE103" s="29"/>
      <c r="FXF103" s="29"/>
      <c r="FXG103" s="29"/>
      <c r="FXH103" s="29"/>
      <c r="FXI103" s="29"/>
      <c r="FXJ103" s="29"/>
      <c r="FXK103" s="29"/>
      <c r="FXL103" s="29"/>
      <c r="FXM103" s="29"/>
      <c r="FXN103" s="29"/>
      <c r="FXO103" s="29"/>
      <c r="FXP103" s="29"/>
      <c r="FXQ103" s="29"/>
      <c r="FXR103" s="29"/>
      <c r="FXS103" s="29"/>
      <c r="FXT103" s="29"/>
      <c r="FXU103" s="29"/>
      <c r="FXV103" s="29"/>
      <c r="FXW103" s="29"/>
      <c r="FXX103" s="29"/>
      <c r="FXY103" s="29"/>
      <c r="FXZ103" s="29"/>
      <c r="FYA103" s="29"/>
      <c r="FYB103" s="29"/>
      <c r="FYC103" s="29"/>
      <c r="FYD103" s="29"/>
      <c r="FYE103" s="29"/>
      <c r="FYF103" s="29"/>
      <c r="FYG103" s="29"/>
      <c r="FYH103" s="29"/>
      <c r="FYI103" s="29"/>
      <c r="FYJ103" s="29"/>
      <c r="FYK103" s="29"/>
      <c r="FYL103" s="29"/>
      <c r="FYM103" s="29"/>
      <c r="FYN103" s="29"/>
      <c r="FYO103" s="29"/>
      <c r="FYP103" s="29"/>
      <c r="FYQ103" s="29"/>
      <c r="FYR103" s="29"/>
      <c r="FYS103" s="29"/>
      <c r="FYT103" s="29"/>
      <c r="FYU103" s="29"/>
      <c r="FYV103" s="29"/>
      <c r="FYW103" s="29"/>
      <c r="FYX103" s="29"/>
      <c r="FYY103" s="29"/>
      <c r="FYZ103" s="29"/>
      <c r="FZA103" s="29"/>
      <c r="FZB103" s="29"/>
      <c r="FZC103" s="29"/>
      <c r="FZD103" s="29"/>
      <c r="FZE103" s="29"/>
      <c r="FZF103" s="29"/>
      <c r="FZG103" s="29"/>
      <c r="FZH103" s="29"/>
      <c r="FZI103" s="29"/>
      <c r="FZJ103" s="29"/>
      <c r="FZK103" s="29"/>
      <c r="FZL103" s="29"/>
      <c r="FZM103" s="29"/>
      <c r="FZN103" s="29"/>
      <c r="FZO103" s="29"/>
      <c r="FZP103" s="29"/>
      <c r="FZQ103" s="29"/>
      <c r="FZR103" s="29"/>
      <c r="FZS103" s="29"/>
      <c r="FZT103" s="29"/>
      <c r="FZU103" s="29"/>
      <c r="FZV103" s="29"/>
      <c r="FZW103" s="29"/>
      <c r="FZX103" s="29"/>
      <c r="FZY103" s="29"/>
      <c r="FZZ103" s="29"/>
      <c r="GAA103" s="29"/>
      <c r="GAB103" s="29"/>
      <c r="GAC103" s="29"/>
      <c r="GAD103" s="29"/>
      <c r="GAE103" s="29"/>
      <c r="GAF103" s="29"/>
      <c r="GAG103" s="29"/>
      <c r="GAH103" s="29"/>
      <c r="GAI103" s="29"/>
      <c r="GAJ103" s="29"/>
      <c r="GAK103" s="29"/>
      <c r="GAL103" s="29"/>
      <c r="GAM103" s="29"/>
      <c r="GAN103" s="29"/>
      <c r="GAO103" s="29"/>
      <c r="GAP103" s="29"/>
      <c r="GAQ103" s="29"/>
      <c r="GAR103" s="29"/>
      <c r="GAS103" s="29"/>
      <c r="GAT103" s="29"/>
      <c r="GAU103" s="29"/>
      <c r="GAV103" s="29"/>
      <c r="GAW103" s="29"/>
      <c r="GAX103" s="29"/>
      <c r="GAY103" s="29"/>
      <c r="GAZ103" s="29"/>
      <c r="GBA103" s="29"/>
      <c r="GBB103" s="29"/>
      <c r="GBC103" s="29"/>
      <c r="GBD103" s="29"/>
      <c r="GBE103" s="29"/>
      <c r="GBF103" s="29"/>
      <c r="GBG103" s="29"/>
      <c r="GBH103" s="29"/>
      <c r="GBI103" s="29"/>
      <c r="GBJ103" s="29"/>
      <c r="GBK103" s="29"/>
      <c r="GBL103" s="29"/>
      <c r="GBM103" s="29"/>
      <c r="GBN103" s="29"/>
      <c r="GBO103" s="29"/>
      <c r="GBP103" s="29"/>
      <c r="GBQ103" s="29"/>
      <c r="GBR103" s="29"/>
      <c r="GBS103" s="29"/>
      <c r="GBT103" s="29"/>
      <c r="GBU103" s="29"/>
      <c r="GBV103" s="29"/>
      <c r="GBW103" s="29"/>
      <c r="GBX103" s="29"/>
      <c r="GBY103" s="29"/>
      <c r="GBZ103" s="29"/>
      <c r="GCA103" s="29"/>
      <c r="GCB103" s="29"/>
      <c r="GCC103" s="29"/>
      <c r="GCD103" s="29"/>
      <c r="GCE103" s="29"/>
      <c r="GCF103" s="29"/>
      <c r="GCG103" s="29"/>
      <c r="GCH103" s="29"/>
      <c r="GCI103" s="29"/>
      <c r="GCJ103" s="29"/>
      <c r="GCK103" s="29"/>
      <c r="GCL103" s="29"/>
      <c r="GCM103" s="29"/>
      <c r="GCN103" s="29"/>
      <c r="GCO103" s="29"/>
      <c r="GCP103" s="29"/>
      <c r="GCQ103" s="29"/>
      <c r="GCR103" s="29"/>
      <c r="GCS103" s="29"/>
      <c r="GCT103" s="29"/>
      <c r="GCU103" s="29"/>
      <c r="GCV103" s="29"/>
      <c r="GCW103" s="29"/>
      <c r="GCX103" s="29"/>
      <c r="GCY103" s="29"/>
      <c r="GCZ103" s="29"/>
      <c r="GDA103" s="29"/>
      <c r="GDB103" s="29"/>
      <c r="GDC103" s="29"/>
      <c r="GDD103" s="29"/>
      <c r="GDE103" s="29"/>
      <c r="GDF103" s="29"/>
      <c r="GDG103" s="29"/>
      <c r="GDH103" s="29"/>
      <c r="GDI103" s="29"/>
      <c r="GDJ103" s="29"/>
      <c r="GDK103" s="29"/>
      <c r="GDL103" s="29"/>
      <c r="GDM103" s="29"/>
      <c r="GDN103" s="29"/>
      <c r="GDO103" s="29"/>
      <c r="GDP103" s="29"/>
      <c r="GDQ103" s="29"/>
      <c r="GDR103" s="29"/>
      <c r="GDS103" s="29"/>
      <c r="GDT103" s="29"/>
      <c r="GDU103" s="29"/>
      <c r="GDV103" s="29"/>
      <c r="GDW103" s="29"/>
      <c r="GDX103" s="29"/>
      <c r="GDY103" s="29"/>
      <c r="GDZ103" s="29"/>
      <c r="GEA103" s="29"/>
      <c r="GEB103" s="29"/>
      <c r="GEC103" s="29"/>
      <c r="GED103" s="29"/>
      <c r="GEE103" s="29"/>
      <c r="GEF103" s="29"/>
      <c r="GEG103" s="29"/>
      <c r="GEH103" s="29"/>
      <c r="GEI103" s="29"/>
      <c r="GEJ103" s="29"/>
      <c r="GEK103" s="29"/>
      <c r="GEL103" s="29"/>
      <c r="GEM103" s="29"/>
      <c r="GEN103" s="29"/>
      <c r="GEO103" s="29"/>
      <c r="GEP103" s="29"/>
      <c r="GEQ103" s="29"/>
      <c r="GER103" s="29"/>
      <c r="GES103" s="29"/>
      <c r="GET103" s="29"/>
      <c r="GEU103" s="29"/>
      <c r="GEV103" s="29"/>
      <c r="GEW103" s="29"/>
      <c r="GEX103" s="29"/>
      <c r="GEY103" s="29"/>
      <c r="GEZ103" s="29"/>
      <c r="GFA103" s="29"/>
      <c r="GFB103" s="29"/>
      <c r="GFC103" s="29"/>
      <c r="GFD103" s="29"/>
      <c r="GFE103" s="29"/>
      <c r="GFF103" s="29"/>
      <c r="GFG103" s="29"/>
      <c r="GFH103" s="29"/>
      <c r="GFI103" s="29"/>
      <c r="GFJ103" s="29"/>
      <c r="GFK103" s="29"/>
      <c r="GFL103" s="29"/>
      <c r="GFM103" s="29"/>
      <c r="GFN103" s="29"/>
      <c r="GFO103" s="29"/>
      <c r="GFP103" s="29"/>
      <c r="GFQ103" s="29"/>
      <c r="GFR103" s="29"/>
      <c r="GFS103" s="29"/>
      <c r="GFT103" s="29"/>
      <c r="GFU103" s="29"/>
      <c r="GFV103" s="29"/>
      <c r="GFW103" s="29"/>
      <c r="GFX103" s="29"/>
      <c r="GFY103" s="29"/>
      <c r="GFZ103" s="29"/>
      <c r="GGA103" s="29"/>
      <c r="GGB103" s="29"/>
      <c r="GGC103" s="29"/>
      <c r="GGD103" s="29"/>
      <c r="GGE103" s="29"/>
      <c r="GGF103" s="29"/>
      <c r="GGG103" s="29"/>
      <c r="GGH103" s="29"/>
      <c r="GGI103" s="29"/>
      <c r="GGJ103" s="29"/>
      <c r="GGK103" s="29"/>
      <c r="GGL103" s="29"/>
      <c r="GGM103" s="29"/>
      <c r="GGN103" s="29"/>
      <c r="GGO103" s="29"/>
      <c r="GGP103" s="29"/>
      <c r="GGQ103" s="29"/>
      <c r="GGR103" s="29"/>
      <c r="GGS103" s="29"/>
      <c r="GGT103" s="29"/>
      <c r="GGU103" s="29"/>
      <c r="GGV103" s="29"/>
      <c r="GGW103" s="29"/>
      <c r="GGX103" s="29"/>
      <c r="GGY103" s="29"/>
      <c r="GGZ103" s="29"/>
      <c r="GHA103" s="29"/>
      <c r="GHB103" s="29"/>
      <c r="GHC103" s="29"/>
      <c r="GHD103" s="29"/>
      <c r="GHE103" s="29"/>
      <c r="GHF103" s="29"/>
      <c r="GHG103" s="29"/>
      <c r="GHH103" s="29"/>
      <c r="GHI103" s="29"/>
      <c r="GHJ103" s="29"/>
      <c r="GHK103" s="29"/>
      <c r="GHL103" s="29"/>
      <c r="GHM103" s="29"/>
      <c r="GHN103" s="29"/>
      <c r="GHO103" s="29"/>
      <c r="GHP103" s="29"/>
      <c r="GHQ103" s="29"/>
      <c r="GHR103" s="29"/>
      <c r="GHS103" s="29"/>
      <c r="GHT103" s="29"/>
      <c r="GHU103" s="29"/>
      <c r="GHV103" s="29"/>
      <c r="GHW103" s="29"/>
      <c r="GHX103" s="29"/>
      <c r="GHY103" s="29"/>
      <c r="GHZ103" s="29"/>
      <c r="GIA103" s="29"/>
      <c r="GIB103" s="29"/>
      <c r="GIC103" s="29"/>
      <c r="GID103" s="29"/>
      <c r="GIE103" s="29"/>
      <c r="GIF103" s="29"/>
      <c r="GIG103" s="29"/>
      <c r="GIH103" s="29"/>
      <c r="GII103" s="29"/>
      <c r="GIJ103" s="29"/>
      <c r="GIK103" s="29"/>
      <c r="GIL103" s="29"/>
      <c r="GIM103" s="29"/>
      <c r="GIN103" s="29"/>
      <c r="GIO103" s="29"/>
      <c r="GIP103" s="29"/>
      <c r="GIQ103" s="29"/>
      <c r="GIR103" s="29"/>
      <c r="GIS103" s="29"/>
      <c r="GIT103" s="29"/>
      <c r="GIU103" s="29"/>
      <c r="GIV103" s="29"/>
      <c r="GIW103" s="29"/>
      <c r="GIX103" s="29"/>
      <c r="GIY103" s="29"/>
      <c r="GIZ103" s="29"/>
      <c r="GJA103" s="29"/>
      <c r="GJB103" s="29"/>
      <c r="GJC103" s="29"/>
      <c r="GJD103" s="29"/>
      <c r="GJE103" s="29"/>
      <c r="GJF103" s="29"/>
      <c r="GJG103" s="29"/>
      <c r="GJH103" s="29"/>
      <c r="GJI103" s="29"/>
      <c r="GJJ103" s="29"/>
      <c r="GJK103" s="29"/>
      <c r="GJL103" s="29"/>
      <c r="GJM103" s="29"/>
      <c r="GJN103" s="29"/>
      <c r="GJO103" s="29"/>
      <c r="GJP103" s="29"/>
      <c r="GJQ103" s="29"/>
      <c r="GJR103" s="29"/>
      <c r="GJS103" s="29"/>
      <c r="GJT103" s="29"/>
      <c r="GJU103" s="29"/>
      <c r="GJV103" s="29"/>
      <c r="GJW103" s="29"/>
      <c r="GJX103" s="29"/>
      <c r="GJY103" s="29"/>
      <c r="GJZ103" s="29"/>
      <c r="GKA103" s="29"/>
      <c r="GKB103" s="29"/>
      <c r="GKC103" s="29"/>
      <c r="GKD103" s="29"/>
      <c r="GKE103" s="29"/>
      <c r="GKF103" s="29"/>
      <c r="GKG103" s="29"/>
      <c r="GKH103" s="29"/>
      <c r="GKI103" s="29"/>
      <c r="GKJ103" s="29"/>
      <c r="GKK103" s="29"/>
      <c r="GKL103" s="29"/>
      <c r="GKM103" s="29"/>
      <c r="GKN103" s="29"/>
      <c r="GKO103" s="29"/>
      <c r="GKP103" s="29"/>
      <c r="GKQ103" s="29"/>
      <c r="GKR103" s="29"/>
      <c r="GKS103" s="29"/>
      <c r="GKT103" s="29"/>
      <c r="GKU103" s="29"/>
      <c r="GKV103" s="29"/>
      <c r="GKW103" s="29"/>
      <c r="GKX103" s="29"/>
      <c r="GKY103" s="29"/>
      <c r="GKZ103" s="29"/>
      <c r="GLA103" s="29"/>
      <c r="GLB103" s="29"/>
      <c r="GLC103" s="29"/>
      <c r="GLD103" s="29"/>
      <c r="GLE103" s="29"/>
      <c r="GLF103" s="29"/>
      <c r="GLG103" s="29"/>
      <c r="GLH103" s="29"/>
      <c r="GLI103" s="29"/>
      <c r="GLJ103" s="29"/>
      <c r="GLK103" s="29"/>
      <c r="GLL103" s="29"/>
      <c r="GLM103" s="29"/>
      <c r="GLN103" s="29"/>
      <c r="GLO103" s="29"/>
      <c r="GLP103" s="29"/>
      <c r="GLQ103" s="29"/>
      <c r="GLR103" s="29"/>
      <c r="GLS103" s="29"/>
      <c r="GLT103" s="29"/>
      <c r="GLU103" s="29"/>
      <c r="GLV103" s="29"/>
      <c r="GLW103" s="29"/>
      <c r="GLX103" s="29"/>
      <c r="GLY103" s="29"/>
      <c r="GLZ103" s="29"/>
      <c r="GMA103" s="29"/>
      <c r="GMB103" s="29"/>
      <c r="GMC103" s="29"/>
      <c r="GMD103" s="29"/>
      <c r="GME103" s="29"/>
      <c r="GMF103" s="29"/>
      <c r="GMG103" s="29"/>
      <c r="GMH103" s="29"/>
      <c r="GMI103" s="29"/>
      <c r="GMJ103" s="29"/>
      <c r="GMK103" s="29"/>
      <c r="GML103" s="29"/>
      <c r="GMM103" s="29"/>
      <c r="GMN103" s="29"/>
      <c r="GMO103" s="29"/>
      <c r="GMP103" s="29"/>
      <c r="GMQ103" s="29"/>
      <c r="GMR103" s="29"/>
      <c r="GMS103" s="29"/>
      <c r="GMT103" s="29"/>
      <c r="GMU103" s="29"/>
      <c r="GMV103" s="29"/>
      <c r="GMW103" s="29"/>
      <c r="GMX103" s="29"/>
      <c r="GMY103" s="29"/>
      <c r="GMZ103" s="29"/>
      <c r="GNA103" s="29"/>
      <c r="GNB103" s="29"/>
      <c r="GNC103" s="29"/>
      <c r="GND103" s="29"/>
      <c r="GNE103" s="29"/>
      <c r="GNF103" s="29"/>
      <c r="GNG103" s="29"/>
      <c r="GNH103" s="29"/>
      <c r="GNI103" s="29"/>
      <c r="GNJ103" s="29"/>
      <c r="GNK103" s="29"/>
      <c r="GNL103" s="29"/>
      <c r="GNM103" s="29"/>
      <c r="GNN103" s="29"/>
      <c r="GNO103" s="29"/>
      <c r="GNP103" s="29"/>
      <c r="GNQ103" s="29"/>
      <c r="GNR103" s="29"/>
      <c r="GNS103" s="29"/>
      <c r="GNT103" s="29"/>
      <c r="GNU103" s="29"/>
      <c r="GNV103" s="29"/>
      <c r="GNW103" s="29"/>
      <c r="GNX103" s="29"/>
      <c r="GNY103" s="29"/>
      <c r="GNZ103" s="29"/>
      <c r="GOA103" s="29"/>
      <c r="GOB103" s="29"/>
      <c r="GOC103" s="29"/>
      <c r="GOD103" s="29"/>
      <c r="GOE103" s="29"/>
      <c r="GOF103" s="29"/>
      <c r="GOG103" s="29"/>
      <c r="GOH103" s="29"/>
      <c r="GOI103" s="29"/>
      <c r="GOJ103" s="29"/>
      <c r="GOK103" s="29"/>
      <c r="GOL103" s="29"/>
      <c r="GOM103" s="29"/>
      <c r="GON103" s="29"/>
      <c r="GOO103" s="29"/>
      <c r="GOP103" s="29"/>
      <c r="GOQ103" s="29"/>
      <c r="GOR103" s="29"/>
      <c r="GOS103" s="29"/>
      <c r="GOT103" s="29"/>
      <c r="GOU103" s="29"/>
      <c r="GOV103" s="29"/>
      <c r="GOW103" s="29"/>
      <c r="GOX103" s="29"/>
      <c r="GOY103" s="29"/>
      <c r="GOZ103" s="29"/>
      <c r="GPA103" s="29"/>
      <c r="GPB103" s="29"/>
      <c r="GPC103" s="29"/>
      <c r="GPD103" s="29"/>
      <c r="GPE103" s="29"/>
      <c r="GPF103" s="29"/>
      <c r="GPG103" s="29"/>
      <c r="GPH103" s="29"/>
      <c r="GPI103" s="29"/>
      <c r="GPJ103" s="29"/>
      <c r="GPK103" s="29"/>
      <c r="GPL103" s="29"/>
      <c r="GPM103" s="29"/>
      <c r="GPN103" s="29"/>
      <c r="GPO103" s="29"/>
      <c r="GPP103" s="29"/>
      <c r="GPQ103" s="29"/>
      <c r="GPR103" s="29"/>
      <c r="GPS103" s="29"/>
      <c r="GPT103" s="29"/>
      <c r="GPU103" s="29"/>
      <c r="GPV103" s="29"/>
      <c r="GPW103" s="29"/>
      <c r="GPX103" s="29"/>
      <c r="GPY103" s="29"/>
      <c r="GPZ103" s="29"/>
      <c r="GQA103" s="29"/>
      <c r="GQB103" s="29"/>
      <c r="GQC103" s="29"/>
      <c r="GQD103" s="29"/>
      <c r="GQE103" s="29"/>
      <c r="GQF103" s="29"/>
      <c r="GQG103" s="29"/>
      <c r="GQH103" s="29"/>
      <c r="GQI103" s="29"/>
      <c r="GQJ103" s="29"/>
      <c r="GQK103" s="29"/>
      <c r="GQL103" s="29"/>
      <c r="GQM103" s="29"/>
      <c r="GQN103" s="29"/>
      <c r="GQO103" s="29"/>
      <c r="GQP103" s="29"/>
      <c r="GQQ103" s="29"/>
      <c r="GQR103" s="29"/>
      <c r="GQS103" s="29"/>
      <c r="GQT103" s="29"/>
      <c r="GQU103" s="29"/>
      <c r="GQV103" s="29"/>
      <c r="GQW103" s="29"/>
      <c r="GQX103" s="29"/>
      <c r="GQY103" s="29"/>
      <c r="GQZ103" s="29"/>
      <c r="GRA103" s="29"/>
      <c r="GRB103" s="29"/>
      <c r="GRC103" s="29"/>
      <c r="GRD103" s="29"/>
      <c r="GRE103" s="29"/>
      <c r="GRF103" s="29"/>
      <c r="GRG103" s="29"/>
      <c r="GRH103" s="29"/>
      <c r="GRI103" s="29"/>
      <c r="GRJ103" s="29"/>
      <c r="GRK103" s="29"/>
      <c r="GRL103" s="29"/>
      <c r="GRM103" s="29"/>
      <c r="GRN103" s="29"/>
      <c r="GRO103" s="29"/>
      <c r="GRP103" s="29"/>
      <c r="GRQ103" s="29"/>
      <c r="GRR103" s="29"/>
      <c r="GRS103" s="29"/>
      <c r="GRT103" s="29"/>
      <c r="GRU103" s="29"/>
      <c r="GRV103" s="29"/>
      <c r="GRW103" s="29"/>
      <c r="GRX103" s="29"/>
      <c r="GRY103" s="29"/>
      <c r="GRZ103" s="29"/>
      <c r="GSA103" s="29"/>
      <c r="GSB103" s="29"/>
      <c r="GSC103" s="29"/>
      <c r="GSD103" s="29"/>
      <c r="GSE103" s="29"/>
      <c r="GSF103" s="29"/>
      <c r="GSG103" s="29"/>
      <c r="GSH103" s="29"/>
      <c r="GSI103" s="29"/>
      <c r="GSJ103" s="29"/>
      <c r="GSK103" s="29"/>
      <c r="GSL103" s="29"/>
      <c r="GSM103" s="29"/>
      <c r="GSN103" s="29"/>
      <c r="GSO103" s="29"/>
      <c r="GSP103" s="29"/>
      <c r="GSQ103" s="29"/>
      <c r="GSR103" s="29"/>
      <c r="GSS103" s="29"/>
      <c r="GST103" s="29"/>
      <c r="GSU103" s="29"/>
      <c r="GSV103" s="29"/>
      <c r="GSW103" s="29"/>
      <c r="GSX103" s="29"/>
      <c r="GSY103" s="29"/>
      <c r="GSZ103" s="29"/>
      <c r="GTA103" s="29"/>
      <c r="GTB103" s="29"/>
      <c r="GTC103" s="29"/>
      <c r="GTD103" s="29"/>
      <c r="GTE103" s="29"/>
      <c r="GTF103" s="29"/>
      <c r="GTG103" s="29"/>
      <c r="GTH103" s="29"/>
      <c r="GTI103" s="29"/>
      <c r="GTJ103" s="29"/>
      <c r="GTK103" s="29"/>
      <c r="GTL103" s="29"/>
      <c r="GTM103" s="29"/>
      <c r="GTN103" s="29"/>
      <c r="GTO103" s="29"/>
      <c r="GTP103" s="29"/>
      <c r="GTQ103" s="29"/>
      <c r="GTR103" s="29"/>
      <c r="GTS103" s="29"/>
      <c r="GTT103" s="29"/>
      <c r="GTU103" s="29"/>
      <c r="GTV103" s="29"/>
      <c r="GTW103" s="29"/>
      <c r="GTX103" s="29"/>
      <c r="GTY103" s="29"/>
      <c r="GTZ103" s="29"/>
      <c r="GUA103" s="29"/>
      <c r="GUB103" s="29"/>
      <c r="GUC103" s="29"/>
      <c r="GUD103" s="29"/>
      <c r="GUE103" s="29"/>
      <c r="GUF103" s="29"/>
      <c r="GUG103" s="29"/>
      <c r="GUH103" s="29"/>
      <c r="GUI103" s="29"/>
      <c r="GUJ103" s="29"/>
      <c r="GUK103" s="29"/>
      <c r="GUL103" s="29"/>
      <c r="GUM103" s="29"/>
      <c r="GUN103" s="29"/>
      <c r="GUO103" s="29"/>
      <c r="GUP103" s="29"/>
      <c r="GUQ103" s="29"/>
      <c r="GUR103" s="29"/>
      <c r="GUS103" s="29"/>
      <c r="GUT103" s="29"/>
      <c r="GUU103" s="29"/>
      <c r="GUV103" s="29"/>
      <c r="GUW103" s="29"/>
      <c r="GUX103" s="29"/>
      <c r="GUY103" s="29"/>
      <c r="GUZ103" s="29"/>
      <c r="GVA103" s="29"/>
      <c r="GVB103" s="29"/>
      <c r="GVC103" s="29"/>
      <c r="GVD103" s="29"/>
      <c r="GVE103" s="29"/>
      <c r="GVF103" s="29"/>
      <c r="GVG103" s="29"/>
      <c r="GVH103" s="29"/>
      <c r="GVI103" s="29"/>
      <c r="GVJ103" s="29"/>
      <c r="GVK103" s="29"/>
      <c r="GVL103" s="29"/>
      <c r="GVM103" s="29"/>
      <c r="GVN103" s="29"/>
      <c r="GVO103" s="29"/>
      <c r="GVP103" s="29"/>
      <c r="GVQ103" s="29"/>
      <c r="GVR103" s="29"/>
      <c r="GVS103" s="29"/>
      <c r="GVT103" s="29"/>
      <c r="GVU103" s="29"/>
      <c r="GVV103" s="29"/>
      <c r="GVW103" s="29"/>
      <c r="GVX103" s="29"/>
      <c r="GVY103" s="29"/>
      <c r="GVZ103" s="29"/>
      <c r="GWA103" s="29"/>
      <c r="GWB103" s="29"/>
      <c r="GWC103" s="29"/>
      <c r="GWD103" s="29"/>
      <c r="GWE103" s="29"/>
      <c r="GWF103" s="29"/>
      <c r="GWG103" s="29"/>
      <c r="GWH103" s="29"/>
      <c r="GWI103" s="29"/>
      <c r="GWJ103" s="29"/>
      <c r="GWK103" s="29"/>
      <c r="GWL103" s="29"/>
      <c r="GWM103" s="29"/>
      <c r="GWN103" s="29"/>
      <c r="GWO103" s="29"/>
      <c r="GWP103" s="29"/>
      <c r="GWQ103" s="29"/>
      <c r="GWR103" s="29"/>
      <c r="GWS103" s="29"/>
      <c r="GWT103" s="29"/>
      <c r="GWU103" s="29"/>
      <c r="GWV103" s="29"/>
      <c r="GWW103" s="29"/>
      <c r="GWX103" s="29"/>
      <c r="GWY103" s="29"/>
      <c r="GWZ103" s="29"/>
      <c r="GXA103" s="29"/>
      <c r="GXB103" s="29"/>
      <c r="GXC103" s="29"/>
      <c r="GXD103" s="29"/>
      <c r="GXE103" s="29"/>
      <c r="GXF103" s="29"/>
      <c r="GXG103" s="29"/>
      <c r="GXH103" s="29"/>
      <c r="GXI103" s="29"/>
      <c r="GXJ103" s="29"/>
      <c r="GXK103" s="29"/>
      <c r="GXL103" s="29"/>
      <c r="GXM103" s="29"/>
      <c r="GXN103" s="29"/>
      <c r="GXO103" s="29"/>
      <c r="GXP103" s="29"/>
      <c r="GXQ103" s="29"/>
      <c r="GXR103" s="29"/>
      <c r="GXS103" s="29"/>
      <c r="GXT103" s="29"/>
      <c r="GXU103" s="29"/>
      <c r="GXV103" s="29"/>
      <c r="GXW103" s="29"/>
      <c r="GXX103" s="29"/>
      <c r="GXY103" s="29"/>
      <c r="GXZ103" s="29"/>
      <c r="GYA103" s="29"/>
      <c r="GYB103" s="29"/>
      <c r="GYC103" s="29"/>
      <c r="GYD103" s="29"/>
      <c r="GYE103" s="29"/>
      <c r="GYF103" s="29"/>
      <c r="GYG103" s="29"/>
      <c r="GYH103" s="29"/>
      <c r="GYI103" s="29"/>
      <c r="GYJ103" s="29"/>
      <c r="GYK103" s="29"/>
      <c r="GYL103" s="29"/>
      <c r="GYM103" s="29"/>
      <c r="GYN103" s="29"/>
      <c r="GYO103" s="29"/>
      <c r="GYP103" s="29"/>
      <c r="GYQ103" s="29"/>
      <c r="GYR103" s="29"/>
      <c r="GYS103" s="29"/>
      <c r="GYT103" s="29"/>
      <c r="GYU103" s="29"/>
      <c r="GYV103" s="29"/>
      <c r="GYW103" s="29"/>
      <c r="GYX103" s="29"/>
      <c r="GYY103" s="29"/>
      <c r="GYZ103" s="29"/>
      <c r="GZA103" s="29"/>
      <c r="GZB103" s="29"/>
      <c r="GZC103" s="29"/>
      <c r="GZD103" s="29"/>
      <c r="GZE103" s="29"/>
      <c r="GZF103" s="29"/>
      <c r="GZG103" s="29"/>
      <c r="GZH103" s="29"/>
      <c r="GZI103" s="29"/>
      <c r="GZJ103" s="29"/>
      <c r="GZK103" s="29"/>
      <c r="GZL103" s="29"/>
      <c r="GZM103" s="29"/>
      <c r="GZN103" s="29"/>
      <c r="GZO103" s="29"/>
      <c r="GZP103" s="29"/>
      <c r="GZQ103" s="29"/>
      <c r="GZR103" s="29"/>
      <c r="GZS103" s="29"/>
      <c r="GZT103" s="29"/>
      <c r="GZU103" s="29"/>
      <c r="GZV103" s="29"/>
      <c r="GZW103" s="29"/>
      <c r="GZX103" s="29"/>
      <c r="GZY103" s="29"/>
      <c r="GZZ103" s="29"/>
      <c r="HAA103" s="29"/>
      <c r="HAB103" s="29"/>
      <c r="HAC103" s="29"/>
      <c r="HAD103" s="29"/>
      <c r="HAE103" s="29"/>
      <c r="HAF103" s="29"/>
      <c r="HAG103" s="29"/>
      <c r="HAH103" s="29"/>
      <c r="HAI103" s="29"/>
      <c r="HAJ103" s="29"/>
      <c r="HAK103" s="29"/>
      <c r="HAL103" s="29"/>
      <c r="HAM103" s="29"/>
      <c r="HAN103" s="29"/>
      <c r="HAO103" s="29"/>
      <c r="HAP103" s="29"/>
      <c r="HAQ103" s="29"/>
      <c r="HAR103" s="29"/>
      <c r="HAS103" s="29"/>
      <c r="HAT103" s="29"/>
      <c r="HAU103" s="29"/>
      <c r="HAV103" s="29"/>
      <c r="HAW103" s="29"/>
      <c r="HAX103" s="29"/>
      <c r="HAY103" s="29"/>
      <c r="HAZ103" s="29"/>
      <c r="HBA103" s="29"/>
      <c r="HBB103" s="29"/>
      <c r="HBC103" s="29"/>
      <c r="HBD103" s="29"/>
      <c r="HBE103" s="29"/>
      <c r="HBF103" s="29"/>
      <c r="HBG103" s="29"/>
      <c r="HBH103" s="29"/>
      <c r="HBI103" s="29"/>
      <c r="HBJ103" s="29"/>
      <c r="HBK103" s="29"/>
      <c r="HBL103" s="29"/>
      <c r="HBM103" s="29"/>
      <c r="HBN103" s="29"/>
      <c r="HBO103" s="29"/>
      <c r="HBP103" s="29"/>
      <c r="HBQ103" s="29"/>
      <c r="HBR103" s="29"/>
      <c r="HBS103" s="29"/>
      <c r="HBT103" s="29"/>
      <c r="HBU103" s="29"/>
      <c r="HBV103" s="29"/>
      <c r="HBW103" s="29"/>
      <c r="HBX103" s="29"/>
      <c r="HBY103" s="29"/>
      <c r="HBZ103" s="29"/>
      <c r="HCA103" s="29"/>
      <c r="HCB103" s="29"/>
      <c r="HCC103" s="29"/>
      <c r="HCD103" s="29"/>
      <c r="HCE103" s="29"/>
      <c r="HCF103" s="29"/>
      <c r="HCG103" s="29"/>
      <c r="HCH103" s="29"/>
      <c r="HCI103" s="29"/>
      <c r="HCJ103" s="29"/>
      <c r="HCK103" s="29"/>
      <c r="HCL103" s="29"/>
      <c r="HCM103" s="29"/>
      <c r="HCN103" s="29"/>
      <c r="HCO103" s="29"/>
      <c r="HCP103" s="29"/>
      <c r="HCQ103" s="29"/>
      <c r="HCR103" s="29"/>
      <c r="HCS103" s="29"/>
      <c r="HCT103" s="29"/>
      <c r="HCU103" s="29"/>
      <c r="HCV103" s="29"/>
      <c r="HCW103" s="29"/>
      <c r="HCX103" s="29"/>
      <c r="HCY103" s="29"/>
      <c r="HCZ103" s="29"/>
      <c r="HDA103" s="29"/>
      <c r="HDB103" s="29"/>
      <c r="HDC103" s="29"/>
      <c r="HDD103" s="29"/>
      <c r="HDE103" s="29"/>
      <c r="HDF103" s="29"/>
      <c r="HDG103" s="29"/>
      <c r="HDH103" s="29"/>
      <c r="HDI103" s="29"/>
      <c r="HDJ103" s="29"/>
      <c r="HDK103" s="29"/>
      <c r="HDL103" s="29"/>
      <c r="HDM103" s="29"/>
      <c r="HDN103" s="29"/>
      <c r="HDO103" s="29"/>
      <c r="HDP103" s="29"/>
      <c r="HDQ103" s="29"/>
      <c r="HDR103" s="29"/>
      <c r="HDS103" s="29"/>
      <c r="HDT103" s="29"/>
      <c r="HDU103" s="29"/>
      <c r="HDV103" s="29"/>
      <c r="HDW103" s="29"/>
      <c r="HDX103" s="29"/>
      <c r="HDY103" s="29"/>
      <c r="HDZ103" s="29"/>
      <c r="HEA103" s="29"/>
      <c r="HEB103" s="29"/>
      <c r="HEC103" s="29"/>
      <c r="HED103" s="29"/>
      <c r="HEE103" s="29"/>
      <c r="HEF103" s="29"/>
      <c r="HEG103" s="29"/>
      <c r="HEH103" s="29"/>
      <c r="HEI103" s="29"/>
      <c r="HEJ103" s="29"/>
      <c r="HEK103" s="29"/>
      <c r="HEL103" s="29"/>
      <c r="HEM103" s="29"/>
      <c r="HEN103" s="29"/>
      <c r="HEO103" s="29"/>
      <c r="HEP103" s="29"/>
      <c r="HEQ103" s="29"/>
      <c r="HER103" s="29"/>
      <c r="HES103" s="29"/>
      <c r="HET103" s="29"/>
      <c r="HEU103" s="29"/>
      <c r="HEV103" s="29"/>
      <c r="HEW103" s="29"/>
      <c r="HEX103" s="29"/>
      <c r="HEY103" s="29"/>
      <c r="HEZ103" s="29"/>
      <c r="HFA103" s="29"/>
      <c r="HFB103" s="29"/>
      <c r="HFC103" s="29"/>
      <c r="HFD103" s="29"/>
      <c r="HFE103" s="29"/>
      <c r="HFF103" s="29"/>
      <c r="HFG103" s="29"/>
      <c r="HFH103" s="29"/>
      <c r="HFI103" s="29"/>
      <c r="HFJ103" s="29"/>
      <c r="HFK103" s="29"/>
      <c r="HFL103" s="29"/>
      <c r="HFM103" s="29"/>
      <c r="HFN103" s="29"/>
      <c r="HFO103" s="29"/>
      <c r="HFP103" s="29"/>
      <c r="HFQ103" s="29"/>
      <c r="HFR103" s="29"/>
      <c r="HFS103" s="29"/>
      <c r="HFT103" s="29"/>
      <c r="HFU103" s="29"/>
      <c r="HFV103" s="29"/>
      <c r="HFW103" s="29"/>
      <c r="HFX103" s="29"/>
      <c r="HFY103" s="29"/>
      <c r="HFZ103" s="29"/>
      <c r="HGA103" s="29"/>
      <c r="HGB103" s="29"/>
      <c r="HGC103" s="29"/>
      <c r="HGD103" s="29"/>
      <c r="HGE103" s="29"/>
      <c r="HGF103" s="29"/>
      <c r="HGG103" s="29"/>
      <c r="HGH103" s="29"/>
      <c r="HGI103" s="29"/>
      <c r="HGJ103" s="29"/>
      <c r="HGK103" s="29"/>
      <c r="HGL103" s="29"/>
      <c r="HGM103" s="29"/>
      <c r="HGN103" s="29"/>
      <c r="HGO103" s="29"/>
      <c r="HGP103" s="29"/>
      <c r="HGQ103" s="29"/>
      <c r="HGR103" s="29"/>
      <c r="HGS103" s="29"/>
      <c r="HGT103" s="29"/>
      <c r="HGU103" s="29"/>
      <c r="HGV103" s="29"/>
      <c r="HGW103" s="29"/>
      <c r="HGX103" s="29"/>
      <c r="HGY103" s="29"/>
      <c r="HGZ103" s="29"/>
      <c r="HHA103" s="29"/>
      <c r="HHB103" s="29"/>
      <c r="HHC103" s="29"/>
      <c r="HHD103" s="29"/>
      <c r="HHE103" s="29"/>
      <c r="HHF103" s="29"/>
      <c r="HHG103" s="29"/>
      <c r="HHH103" s="29"/>
      <c r="HHI103" s="29"/>
      <c r="HHJ103" s="29"/>
      <c r="HHK103" s="29"/>
      <c r="HHL103" s="29"/>
      <c r="HHM103" s="29"/>
      <c r="HHN103" s="29"/>
      <c r="HHO103" s="29"/>
      <c r="HHP103" s="29"/>
      <c r="HHQ103" s="29"/>
      <c r="HHR103" s="29"/>
      <c r="HHS103" s="29"/>
      <c r="HHT103" s="29"/>
      <c r="HHU103" s="29"/>
      <c r="HHV103" s="29"/>
      <c r="HHW103" s="29"/>
      <c r="HHX103" s="29"/>
      <c r="HHY103" s="29"/>
      <c r="HHZ103" s="29"/>
      <c r="HIA103" s="29"/>
      <c r="HIB103" s="29"/>
      <c r="HIC103" s="29"/>
      <c r="HID103" s="29"/>
      <c r="HIE103" s="29"/>
      <c r="HIF103" s="29"/>
      <c r="HIG103" s="29"/>
      <c r="HIH103" s="29"/>
      <c r="HII103" s="29"/>
      <c r="HIJ103" s="29"/>
      <c r="HIK103" s="29"/>
      <c r="HIL103" s="29"/>
      <c r="HIM103" s="29"/>
      <c r="HIN103" s="29"/>
      <c r="HIO103" s="29"/>
      <c r="HIP103" s="29"/>
      <c r="HIQ103" s="29"/>
      <c r="HIR103" s="29"/>
      <c r="HIS103" s="29"/>
      <c r="HIT103" s="29"/>
      <c r="HIU103" s="29"/>
      <c r="HIV103" s="29"/>
      <c r="HIW103" s="29"/>
      <c r="HIX103" s="29"/>
      <c r="HIY103" s="29"/>
      <c r="HIZ103" s="29"/>
      <c r="HJA103" s="29"/>
      <c r="HJB103" s="29"/>
      <c r="HJC103" s="29"/>
      <c r="HJD103" s="29"/>
      <c r="HJE103" s="29"/>
      <c r="HJF103" s="29"/>
      <c r="HJG103" s="29"/>
      <c r="HJH103" s="29"/>
      <c r="HJI103" s="29"/>
      <c r="HJJ103" s="29"/>
      <c r="HJK103" s="29"/>
      <c r="HJL103" s="29"/>
      <c r="HJM103" s="29"/>
      <c r="HJN103" s="29"/>
      <c r="HJO103" s="29"/>
      <c r="HJP103" s="29"/>
      <c r="HJQ103" s="29"/>
      <c r="HJR103" s="29"/>
      <c r="HJS103" s="29"/>
      <c r="HJT103" s="29"/>
      <c r="HJU103" s="29"/>
      <c r="HJV103" s="29"/>
      <c r="HJW103" s="29"/>
      <c r="HJX103" s="29"/>
      <c r="HJY103" s="29"/>
      <c r="HJZ103" s="29"/>
      <c r="HKA103" s="29"/>
      <c r="HKB103" s="29"/>
      <c r="HKC103" s="29"/>
      <c r="HKD103" s="29"/>
      <c r="HKE103" s="29"/>
      <c r="HKF103" s="29"/>
      <c r="HKG103" s="29"/>
      <c r="HKH103" s="29"/>
      <c r="HKI103" s="29"/>
      <c r="HKJ103" s="29"/>
      <c r="HKK103" s="29"/>
      <c r="HKL103" s="29"/>
      <c r="HKM103" s="29"/>
      <c r="HKN103" s="29"/>
      <c r="HKO103" s="29"/>
      <c r="HKP103" s="29"/>
      <c r="HKQ103" s="29"/>
      <c r="HKR103" s="29"/>
      <c r="HKS103" s="29"/>
      <c r="HKT103" s="29"/>
      <c r="HKU103" s="29"/>
      <c r="HKV103" s="29"/>
      <c r="HKW103" s="29"/>
      <c r="HKX103" s="29"/>
      <c r="HKY103" s="29"/>
      <c r="HKZ103" s="29"/>
      <c r="HLA103" s="29"/>
      <c r="HLB103" s="29"/>
      <c r="HLC103" s="29"/>
      <c r="HLD103" s="29"/>
      <c r="HLE103" s="29"/>
      <c r="HLF103" s="29"/>
      <c r="HLG103" s="29"/>
      <c r="HLH103" s="29"/>
      <c r="HLI103" s="29"/>
      <c r="HLJ103" s="29"/>
      <c r="HLK103" s="29"/>
      <c r="HLL103" s="29"/>
      <c r="HLM103" s="29"/>
      <c r="HLN103" s="29"/>
      <c r="HLO103" s="29"/>
      <c r="HLP103" s="29"/>
      <c r="HLQ103" s="29"/>
      <c r="HLR103" s="29"/>
      <c r="HLS103" s="29"/>
      <c r="HLT103" s="29"/>
      <c r="HLU103" s="29"/>
      <c r="HLV103" s="29"/>
      <c r="HLW103" s="29"/>
      <c r="HLX103" s="29"/>
      <c r="HLY103" s="29"/>
      <c r="HLZ103" s="29"/>
      <c r="HMA103" s="29"/>
      <c r="HMB103" s="29"/>
      <c r="HMC103" s="29"/>
      <c r="HMD103" s="29"/>
      <c r="HME103" s="29"/>
      <c r="HMF103" s="29"/>
      <c r="HMG103" s="29"/>
      <c r="HMH103" s="29"/>
      <c r="HMI103" s="29"/>
      <c r="HMJ103" s="29"/>
      <c r="HMK103" s="29"/>
      <c r="HML103" s="29"/>
      <c r="HMM103" s="29"/>
      <c r="HMN103" s="29"/>
      <c r="HMO103" s="29"/>
      <c r="HMP103" s="29"/>
      <c r="HMQ103" s="29"/>
      <c r="HMR103" s="29"/>
      <c r="HMS103" s="29"/>
      <c r="HMT103" s="29"/>
      <c r="HMU103" s="29"/>
      <c r="HMV103" s="29"/>
      <c r="HMW103" s="29"/>
      <c r="HMX103" s="29"/>
      <c r="HMY103" s="29"/>
      <c r="HMZ103" s="29"/>
      <c r="HNA103" s="29"/>
      <c r="HNB103" s="29"/>
      <c r="HNC103" s="29"/>
      <c r="HND103" s="29"/>
      <c r="HNE103" s="29"/>
      <c r="HNF103" s="29"/>
      <c r="HNG103" s="29"/>
      <c r="HNH103" s="29"/>
      <c r="HNI103" s="29"/>
      <c r="HNJ103" s="29"/>
      <c r="HNK103" s="29"/>
      <c r="HNL103" s="29"/>
      <c r="HNM103" s="29"/>
      <c r="HNN103" s="29"/>
      <c r="HNO103" s="29"/>
      <c r="HNP103" s="29"/>
      <c r="HNQ103" s="29"/>
      <c r="HNR103" s="29"/>
      <c r="HNS103" s="29"/>
      <c r="HNT103" s="29"/>
      <c r="HNU103" s="29"/>
      <c r="HNV103" s="29"/>
      <c r="HNW103" s="29"/>
      <c r="HNX103" s="29"/>
      <c r="HNY103" s="29"/>
      <c r="HNZ103" s="29"/>
      <c r="HOA103" s="29"/>
      <c r="HOB103" s="29"/>
      <c r="HOC103" s="29"/>
      <c r="HOD103" s="29"/>
      <c r="HOE103" s="29"/>
      <c r="HOF103" s="29"/>
      <c r="HOG103" s="29"/>
      <c r="HOH103" s="29"/>
      <c r="HOI103" s="29"/>
      <c r="HOJ103" s="29"/>
      <c r="HOK103" s="29"/>
      <c r="HOL103" s="29"/>
      <c r="HOM103" s="29"/>
      <c r="HON103" s="29"/>
      <c r="HOO103" s="29"/>
      <c r="HOP103" s="29"/>
      <c r="HOQ103" s="29"/>
      <c r="HOR103" s="29"/>
      <c r="HOS103" s="29"/>
      <c r="HOT103" s="29"/>
      <c r="HOU103" s="29"/>
      <c r="HOV103" s="29"/>
      <c r="HOW103" s="29"/>
      <c r="HOX103" s="29"/>
      <c r="HOY103" s="29"/>
      <c r="HOZ103" s="29"/>
      <c r="HPA103" s="29"/>
      <c r="HPB103" s="29"/>
      <c r="HPC103" s="29"/>
      <c r="HPD103" s="29"/>
      <c r="HPE103" s="29"/>
      <c r="HPF103" s="29"/>
      <c r="HPG103" s="29"/>
      <c r="HPH103" s="29"/>
      <c r="HPI103" s="29"/>
      <c r="HPJ103" s="29"/>
      <c r="HPK103" s="29"/>
      <c r="HPL103" s="29"/>
      <c r="HPM103" s="29"/>
      <c r="HPN103" s="29"/>
      <c r="HPO103" s="29"/>
      <c r="HPP103" s="29"/>
      <c r="HPQ103" s="29"/>
      <c r="HPR103" s="29"/>
      <c r="HPS103" s="29"/>
      <c r="HPT103" s="29"/>
      <c r="HPU103" s="29"/>
      <c r="HPV103" s="29"/>
      <c r="HPW103" s="29"/>
      <c r="HPX103" s="29"/>
      <c r="HPY103" s="29"/>
      <c r="HPZ103" s="29"/>
      <c r="HQA103" s="29"/>
      <c r="HQB103" s="29"/>
      <c r="HQC103" s="29"/>
      <c r="HQD103" s="29"/>
      <c r="HQE103" s="29"/>
      <c r="HQF103" s="29"/>
      <c r="HQG103" s="29"/>
      <c r="HQH103" s="29"/>
      <c r="HQI103" s="29"/>
      <c r="HQJ103" s="29"/>
      <c r="HQK103" s="29"/>
      <c r="HQL103" s="29"/>
      <c r="HQM103" s="29"/>
      <c r="HQN103" s="29"/>
      <c r="HQO103" s="29"/>
      <c r="HQP103" s="29"/>
      <c r="HQQ103" s="29"/>
      <c r="HQR103" s="29"/>
      <c r="HQS103" s="29"/>
      <c r="HQT103" s="29"/>
      <c r="HQU103" s="29"/>
      <c r="HQV103" s="29"/>
      <c r="HQW103" s="29"/>
      <c r="HQX103" s="29"/>
      <c r="HQY103" s="29"/>
      <c r="HQZ103" s="29"/>
      <c r="HRA103" s="29"/>
      <c r="HRB103" s="29"/>
      <c r="HRC103" s="29"/>
      <c r="HRD103" s="29"/>
      <c r="HRE103" s="29"/>
      <c r="HRF103" s="29"/>
      <c r="HRG103" s="29"/>
      <c r="HRH103" s="29"/>
      <c r="HRI103" s="29"/>
      <c r="HRJ103" s="29"/>
      <c r="HRK103" s="29"/>
      <c r="HRL103" s="29"/>
      <c r="HRM103" s="29"/>
      <c r="HRN103" s="29"/>
      <c r="HRO103" s="29"/>
      <c r="HRP103" s="29"/>
      <c r="HRQ103" s="29"/>
      <c r="HRR103" s="29"/>
      <c r="HRS103" s="29"/>
      <c r="HRT103" s="29"/>
      <c r="HRU103" s="29"/>
      <c r="HRV103" s="29"/>
      <c r="HRW103" s="29"/>
      <c r="HRX103" s="29"/>
      <c r="HRY103" s="29"/>
      <c r="HRZ103" s="29"/>
      <c r="HSA103" s="29"/>
      <c r="HSB103" s="29"/>
      <c r="HSC103" s="29"/>
      <c r="HSD103" s="29"/>
      <c r="HSE103" s="29"/>
      <c r="HSF103" s="29"/>
      <c r="HSG103" s="29"/>
      <c r="HSH103" s="29"/>
      <c r="HSI103" s="29"/>
      <c r="HSJ103" s="29"/>
      <c r="HSK103" s="29"/>
      <c r="HSL103" s="29"/>
      <c r="HSM103" s="29"/>
      <c r="HSN103" s="29"/>
      <c r="HSO103" s="29"/>
      <c r="HSP103" s="29"/>
      <c r="HSQ103" s="29"/>
      <c r="HSR103" s="29"/>
      <c r="HSS103" s="29"/>
      <c r="HST103" s="29"/>
      <c r="HSU103" s="29"/>
      <c r="HSV103" s="29"/>
      <c r="HSW103" s="29"/>
      <c r="HSX103" s="29"/>
      <c r="HSY103" s="29"/>
      <c r="HSZ103" s="29"/>
      <c r="HTA103" s="29"/>
      <c r="HTB103" s="29"/>
      <c r="HTC103" s="29"/>
      <c r="HTD103" s="29"/>
      <c r="HTE103" s="29"/>
      <c r="HTF103" s="29"/>
      <c r="HTG103" s="29"/>
      <c r="HTH103" s="29"/>
      <c r="HTI103" s="29"/>
      <c r="HTJ103" s="29"/>
      <c r="HTK103" s="29"/>
      <c r="HTL103" s="29"/>
      <c r="HTM103" s="29"/>
      <c r="HTN103" s="29"/>
      <c r="HTO103" s="29"/>
      <c r="HTP103" s="29"/>
      <c r="HTQ103" s="29"/>
      <c r="HTR103" s="29"/>
      <c r="HTS103" s="29"/>
      <c r="HTT103" s="29"/>
      <c r="HTU103" s="29"/>
      <c r="HTV103" s="29"/>
      <c r="HTW103" s="29"/>
      <c r="HTX103" s="29"/>
      <c r="HTY103" s="29"/>
      <c r="HTZ103" s="29"/>
      <c r="HUA103" s="29"/>
      <c r="HUB103" s="29"/>
      <c r="HUC103" s="29"/>
      <c r="HUD103" s="29"/>
      <c r="HUE103" s="29"/>
      <c r="HUF103" s="29"/>
      <c r="HUG103" s="29"/>
      <c r="HUH103" s="29"/>
      <c r="HUI103" s="29"/>
      <c r="HUJ103" s="29"/>
      <c r="HUK103" s="29"/>
      <c r="HUL103" s="29"/>
      <c r="HUM103" s="29"/>
      <c r="HUN103" s="29"/>
      <c r="HUO103" s="29"/>
      <c r="HUP103" s="29"/>
      <c r="HUQ103" s="29"/>
      <c r="HUR103" s="29"/>
      <c r="HUS103" s="29"/>
      <c r="HUT103" s="29"/>
      <c r="HUU103" s="29"/>
      <c r="HUV103" s="29"/>
      <c r="HUW103" s="29"/>
      <c r="HUX103" s="29"/>
      <c r="HUY103" s="29"/>
      <c r="HUZ103" s="29"/>
      <c r="HVA103" s="29"/>
      <c r="HVB103" s="29"/>
      <c r="HVC103" s="29"/>
      <c r="HVD103" s="29"/>
      <c r="HVE103" s="29"/>
      <c r="HVF103" s="29"/>
      <c r="HVG103" s="29"/>
      <c r="HVH103" s="29"/>
      <c r="HVI103" s="29"/>
      <c r="HVJ103" s="29"/>
      <c r="HVK103" s="29"/>
      <c r="HVL103" s="29"/>
      <c r="HVM103" s="29"/>
      <c r="HVN103" s="29"/>
      <c r="HVO103" s="29"/>
      <c r="HVP103" s="29"/>
      <c r="HVQ103" s="29"/>
      <c r="HVR103" s="29"/>
      <c r="HVS103" s="29"/>
      <c r="HVT103" s="29"/>
      <c r="HVU103" s="29"/>
      <c r="HVV103" s="29"/>
      <c r="HVW103" s="29"/>
      <c r="HVX103" s="29"/>
      <c r="HVY103" s="29"/>
      <c r="HVZ103" s="29"/>
      <c r="HWA103" s="29"/>
      <c r="HWB103" s="29"/>
      <c r="HWC103" s="29"/>
      <c r="HWD103" s="29"/>
      <c r="HWE103" s="29"/>
      <c r="HWF103" s="29"/>
      <c r="HWG103" s="29"/>
      <c r="HWH103" s="29"/>
      <c r="HWI103" s="29"/>
      <c r="HWJ103" s="29"/>
      <c r="HWK103" s="29"/>
      <c r="HWL103" s="29"/>
      <c r="HWM103" s="29"/>
      <c r="HWN103" s="29"/>
      <c r="HWO103" s="29"/>
      <c r="HWP103" s="29"/>
      <c r="HWQ103" s="29"/>
      <c r="HWR103" s="29"/>
      <c r="HWS103" s="29"/>
      <c r="HWT103" s="29"/>
      <c r="HWU103" s="29"/>
      <c r="HWV103" s="29"/>
      <c r="HWW103" s="29"/>
      <c r="HWX103" s="29"/>
      <c r="HWY103" s="29"/>
      <c r="HWZ103" s="29"/>
      <c r="HXA103" s="29"/>
      <c r="HXB103" s="29"/>
      <c r="HXC103" s="29"/>
      <c r="HXD103" s="29"/>
      <c r="HXE103" s="29"/>
      <c r="HXF103" s="29"/>
      <c r="HXG103" s="29"/>
      <c r="HXH103" s="29"/>
      <c r="HXI103" s="29"/>
      <c r="HXJ103" s="29"/>
      <c r="HXK103" s="29"/>
      <c r="HXL103" s="29"/>
      <c r="HXM103" s="29"/>
      <c r="HXN103" s="29"/>
      <c r="HXO103" s="29"/>
      <c r="HXP103" s="29"/>
      <c r="HXQ103" s="29"/>
      <c r="HXR103" s="29"/>
      <c r="HXS103" s="29"/>
      <c r="HXT103" s="29"/>
      <c r="HXU103" s="29"/>
      <c r="HXV103" s="29"/>
      <c r="HXW103" s="29"/>
      <c r="HXX103" s="29"/>
      <c r="HXY103" s="29"/>
      <c r="HXZ103" s="29"/>
      <c r="HYA103" s="29"/>
      <c r="HYB103" s="29"/>
      <c r="HYC103" s="29"/>
      <c r="HYD103" s="29"/>
      <c r="HYE103" s="29"/>
      <c r="HYF103" s="29"/>
      <c r="HYG103" s="29"/>
      <c r="HYH103" s="29"/>
      <c r="HYI103" s="29"/>
      <c r="HYJ103" s="29"/>
      <c r="HYK103" s="29"/>
      <c r="HYL103" s="29"/>
      <c r="HYM103" s="29"/>
      <c r="HYN103" s="29"/>
      <c r="HYO103" s="29"/>
      <c r="HYP103" s="29"/>
      <c r="HYQ103" s="29"/>
      <c r="HYR103" s="29"/>
      <c r="HYS103" s="29"/>
      <c r="HYT103" s="29"/>
      <c r="HYU103" s="29"/>
      <c r="HYV103" s="29"/>
      <c r="HYW103" s="29"/>
      <c r="HYX103" s="29"/>
      <c r="HYY103" s="29"/>
      <c r="HYZ103" s="29"/>
      <c r="HZA103" s="29"/>
      <c r="HZB103" s="29"/>
      <c r="HZC103" s="29"/>
      <c r="HZD103" s="29"/>
      <c r="HZE103" s="29"/>
      <c r="HZF103" s="29"/>
      <c r="HZG103" s="29"/>
      <c r="HZH103" s="29"/>
      <c r="HZI103" s="29"/>
      <c r="HZJ103" s="29"/>
      <c r="HZK103" s="29"/>
      <c r="HZL103" s="29"/>
      <c r="HZM103" s="29"/>
      <c r="HZN103" s="29"/>
      <c r="HZO103" s="29"/>
      <c r="HZP103" s="29"/>
      <c r="HZQ103" s="29"/>
      <c r="HZR103" s="29"/>
      <c r="HZS103" s="29"/>
      <c r="HZT103" s="29"/>
      <c r="HZU103" s="29"/>
      <c r="HZV103" s="29"/>
      <c r="HZW103" s="29"/>
      <c r="HZX103" s="29"/>
      <c r="HZY103" s="29"/>
      <c r="HZZ103" s="29"/>
      <c r="IAA103" s="29"/>
      <c r="IAB103" s="29"/>
      <c r="IAC103" s="29"/>
      <c r="IAD103" s="29"/>
      <c r="IAE103" s="29"/>
      <c r="IAF103" s="29"/>
      <c r="IAG103" s="29"/>
      <c r="IAH103" s="29"/>
      <c r="IAI103" s="29"/>
      <c r="IAJ103" s="29"/>
      <c r="IAK103" s="29"/>
      <c r="IAL103" s="29"/>
      <c r="IAM103" s="29"/>
      <c r="IAN103" s="29"/>
      <c r="IAO103" s="29"/>
      <c r="IAP103" s="29"/>
      <c r="IAQ103" s="29"/>
      <c r="IAR103" s="29"/>
      <c r="IAS103" s="29"/>
      <c r="IAT103" s="29"/>
      <c r="IAU103" s="29"/>
      <c r="IAV103" s="29"/>
      <c r="IAW103" s="29"/>
      <c r="IAX103" s="29"/>
      <c r="IAY103" s="29"/>
      <c r="IAZ103" s="29"/>
      <c r="IBA103" s="29"/>
      <c r="IBB103" s="29"/>
      <c r="IBC103" s="29"/>
      <c r="IBD103" s="29"/>
      <c r="IBE103" s="29"/>
      <c r="IBF103" s="29"/>
      <c r="IBG103" s="29"/>
      <c r="IBH103" s="29"/>
      <c r="IBI103" s="29"/>
      <c r="IBJ103" s="29"/>
      <c r="IBK103" s="29"/>
      <c r="IBL103" s="29"/>
      <c r="IBM103" s="29"/>
      <c r="IBN103" s="29"/>
      <c r="IBO103" s="29"/>
      <c r="IBP103" s="29"/>
      <c r="IBQ103" s="29"/>
      <c r="IBR103" s="29"/>
      <c r="IBS103" s="29"/>
      <c r="IBT103" s="29"/>
      <c r="IBU103" s="29"/>
      <c r="IBV103" s="29"/>
      <c r="IBW103" s="29"/>
      <c r="IBX103" s="29"/>
      <c r="IBY103" s="29"/>
      <c r="IBZ103" s="29"/>
      <c r="ICA103" s="29"/>
      <c r="ICB103" s="29"/>
      <c r="ICC103" s="29"/>
      <c r="ICD103" s="29"/>
      <c r="ICE103" s="29"/>
      <c r="ICF103" s="29"/>
      <c r="ICG103" s="29"/>
      <c r="ICH103" s="29"/>
      <c r="ICI103" s="29"/>
      <c r="ICJ103" s="29"/>
      <c r="ICK103" s="29"/>
      <c r="ICL103" s="29"/>
      <c r="ICM103" s="29"/>
      <c r="ICN103" s="29"/>
      <c r="ICO103" s="29"/>
      <c r="ICP103" s="29"/>
      <c r="ICQ103" s="29"/>
      <c r="ICR103" s="29"/>
      <c r="ICS103" s="29"/>
      <c r="ICT103" s="29"/>
      <c r="ICU103" s="29"/>
      <c r="ICV103" s="29"/>
      <c r="ICW103" s="29"/>
      <c r="ICX103" s="29"/>
      <c r="ICY103" s="29"/>
      <c r="ICZ103" s="29"/>
      <c r="IDA103" s="29"/>
      <c r="IDB103" s="29"/>
      <c r="IDC103" s="29"/>
      <c r="IDD103" s="29"/>
      <c r="IDE103" s="29"/>
      <c r="IDF103" s="29"/>
      <c r="IDG103" s="29"/>
      <c r="IDH103" s="29"/>
      <c r="IDI103" s="29"/>
      <c r="IDJ103" s="29"/>
      <c r="IDK103" s="29"/>
      <c r="IDL103" s="29"/>
      <c r="IDM103" s="29"/>
      <c r="IDN103" s="29"/>
      <c r="IDO103" s="29"/>
      <c r="IDP103" s="29"/>
      <c r="IDQ103" s="29"/>
      <c r="IDR103" s="29"/>
      <c r="IDS103" s="29"/>
      <c r="IDT103" s="29"/>
      <c r="IDU103" s="29"/>
      <c r="IDV103" s="29"/>
      <c r="IDW103" s="29"/>
      <c r="IDX103" s="29"/>
      <c r="IDY103" s="29"/>
      <c r="IDZ103" s="29"/>
      <c r="IEA103" s="29"/>
      <c r="IEB103" s="29"/>
      <c r="IEC103" s="29"/>
      <c r="IED103" s="29"/>
      <c r="IEE103" s="29"/>
      <c r="IEF103" s="29"/>
      <c r="IEG103" s="29"/>
      <c r="IEH103" s="29"/>
      <c r="IEI103" s="29"/>
      <c r="IEJ103" s="29"/>
      <c r="IEK103" s="29"/>
      <c r="IEL103" s="29"/>
      <c r="IEM103" s="29"/>
      <c r="IEN103" s="29"/>
      <c r="IEO103" s="29"/>
      <c r="IEP103" s="29"/>
      <c r="IEQ103" s="29"/>
      <c r="IER103" s="29"/>
      <c r="IES103" s="29"/>
      <c r="IET103" s="29"/>
      <c r="IEU103" s="29"/>
      <c r="IEV103" s="29"/>
      <c r="IEW103" s="29"/>
      <c r="IEX103" s="29"/>
      <c r="IEY103" s="29"/>
      <c r="IEZ103" s="29"/>
      <c r="IFA103" s="29"/>
      <c r="IFB103" s="29"/>
      <c r="IFC103" s="29"/>
      <c r="IFD103" s="29"/>
      <c r="IFE103" s="29"/>
      <c r="IFF103" s="29"/>
      <c r="IFG103" s="29"/>
      <c r="IFH103" s="29"/>
      <c r="IFI103" s="29"/>
      <c r="IFJ103" s="29"/>
      <c r="IFK103" s="29"/>
      <c r="IFL103" s="29"/>
      <c r="IFM103" s="29"/>
      <c r="IFN103" s="29"/>
      <c r="IFO103" s="29"/>
      <c r="IFP103" s="29"/>
      <c r="IFQ103" s="29"/>
      <c r="IFR103" s="29"/>
      <c r="IFS103" s="29"/>
      <c r="IFT103" s="29"/>
      <c r="IFU103" s="29"/>
      <c r="IFV103" s="29"/>
      <c r="IFW103" s="29"/>
      <c r="IFX103" s="29"/>
      <c r="IFY103" s="29"/>
      <c r="IFZ103" s="29"/>
      <c r="IGA103" s="29"/>
      <c r="IGB103" s="29"/>
      <c r="IGC103" s="29"/>
      <c r="IGD103" s="29"/>
      <c r="IGE103" s="29"/>
      <c r="IGF103" s="29"/>
      <c r="IGG103" s="29"/>
      <c r="IGH103" s="29"/>
      <c r="IGI103" s="29"/>
      <c r="IGJ103" s="29"/>
      <c r="IGK103" s="29"/>
      <c r="IGL103" s="29"/>
      <c r="IGM103" s="29"/>
      <c r="IGN103" s="29"/>
      <c r="IGO103" s="29"/>
      <c r="IGP103" s="29"/>
      <c r="IGQ103" s="29"/>
      <c r="IGR103" s="29"/>
      <c r="IGS103" s="29"/>
      <c r="IGT103" s="29"/>
      <c r="IGU103" s="29"/>
      <c r="IGV103" s="29"/>
      <c r="IGW103" s="29"/>
      <c r="IGX103" s="29"/>
      <c r="IGY103" s="29"/>
      <c r="IGZ103" s="29"/>
      <c r="IHA103" s="29"/>
      <c r="IHB103" s="29"/>
      <c r="IHC103" s="29"/>
      <c r="IHD103" s="29"/>
      <c r="IHE103" s="29"/>
      <c r="IHF103" s="29"/>
      <c r="IHG103" s="29"/>
      <c r="IHH103" s="29"/>
      <c r="IHI103" s="29"/>
      <c r="IHJ103" s="29"/>
      <c r="IHK103" s="29"/>
      <c r="IHL103" s="29"/>
      <c r="IHM103" s="29"/>
      <c r="IHN103" s="29"/>
      <c r="IHO103" s="29"/>
      <c r="IHP103" s="29"/>
      <c r="IHQ103" s="29"/>
      <c r="IHR103" s="29"/>
      <c r="IHS103" s="29"/>
      <c r="IHT103" s="29"/>
      <c r="IHU103" s="29"/>
      <c r="IHV103" s="29"/>
      <c r="IHW103" s="29"/>
      <c r="IHX103" s="29"/>
      <c r="IHY103" s="29"/>
      <c r="IHZ103" s="29"/>
      <c r="IIA103" s="29"/>
      <c r="IIB103" s="29"/>
      <c r="IIC103" s="29"/>
      <c r="IID103" s="29"/>
      <c r="IIE103" s="29"/>
      <c r="IIF103" s="29"/>
      <c r="IIG103" s="29"/>
      <c r="IIH103" s="29"/>
      <c r="III103" s="29"/>
      <c r="IIJ103" s="29"/>
      <c r="IIK103" s="29"/>
      <c r="IIL103" s="29"/>
      <c r="IIM103" s="29"/>
      <c r="IIN103" s="29"/>
      <c r="IIO103" s="29"/>
      <c r="IIP103" s="29"/>
      <c r="IIQ103" s="29"/>
      <c r="IIR103" s="29"/>
      <c r="IIS103" s="29"/>
      <c r="IIT103" s="29"/>
      <c r="IIU103" s="29"/>
      <c r="IIV103" s="29"/>
      <c r="IIW103" s="29"/>
      <c r="IIX103" s="29"/>
      <c r="IIY103" s="29"/>
      <c r="IIZ103" s="29"/>
      <c r="IJA103" s="29"/>
      <c r="IJB103" s="29"/>
      <c r="IJC103" s="29"/>
      <c r="IJD103" s="29"/>
      <c r="IJE103" s="29"/>
      <c r="IJF103" s="29"/>
      <c r="IJG103" s="29"/>
      <c r="IJH103" s="29"/>
      <c r="IJI103" s="29"/>
      <c r="IJJ103" s="29"/>
      <c r="IJK103" s="29"/>
      <c r="IJL103" s="29"/>
      <c r="IJM103" s="29"/>
      <c r="IJN103" s="29"/>
      <c r="IJO103" s="29"/>
      <c r="IJP103" s="29"/>
      <c r="IJQ103" s="29"/>
      <c r="IJR103" s="29"/>
      <c r="IJS103" s="29"/>
      <c r="IJT103" s="29"/>
      <c r="IJU103" s="29"/>
      <c r="IJV103" s="29"/>
      <c r="IJW103" s="29"/>
      <c r="IJX103" s="29"/>
      <c r="IJY103" s="29"/>
      <c r="IJZ103" s="29"/>
      <c r="IKA103" s="29"/>
      <c r="IKB103" s="29"/>
      <c r="IKC103" s="29"/>
      <c r="IKD103" s="29"/>
      <c r="IKE103" s="29"/>
      <c r="IKF103" s="29"/>
      <c r="IKG103" s="29"/>
      <c r="IKH103" s="29"/>
      <c r="IKI103" s="29"/>
      <c r="IKJ103" s="29"/>
      <c r="IKK103" s="29"/>
      <c r="IKL103" s="29"/>
      <c r="IKM103" s="29"/>
      <c r="IKN103" s="29"/>
      <c r="IKO103" s="29"/>
      <c r="IKP103" s="29"/>
      <c r="IKQ103" s="29"/>
      <c r="IKR103" s="29"/>
      <c r="IKS103" s="29"/>
      <c r="IKT103" s="29"/>
      <c r="IKU103" s="29"/>
      <c r="IKV103" s="29"/>
      <c r="IKW103" s="29"/>
      <c r="IKX103" s="29"/>
      <c r="IKY103" s="29"/>
      <c r="IKZ103" s="29"/>
      <c r="ILA103" s="29"/>
      <c r="ILB103" s="29"/>
      <c r="ILC103" s="29"/>
      <c r="ILD103" s="29"/>
      <c r="ILE103" s="29"/>
      <c r="ILF103" s="29"/>
      <c r="ILG103" s="29"/>
      <c r="ILH103" s="29"/>
      <c r="ILI103" s="29"/>
      <c r="ILJ103" s="29"/>
      <c r="ILK103" s="29"/>
      <c r="ILL103" s="29"/>
      <c r="ILM103" s="29"/>
      <c r="ILN103" s="29"/>
      <c r="ILO103" s="29"/>
      <c r="ILP103" s="29"/>
      <c r="ILQ103" s="29"/>
      <c r="ILR103" s="29"/>
      <c r="ILS103" s="29"/>
      <c r="ILT103" s="29"/>
      <c r="ILU103" s="29"/>
      <c r="ILV103" s="29"/>
      <c r="ILW103" s="29"/>
      <c r="ILX103" s="29"/>
      <c r="ILY103" s="29"/>
      <c r="ILZ103" s="29"/>
      <c r="IMA103" s="29"/>
      <c r="IMB103" s="29"/>
      <c r="IMC103" s="29"/>
      <c r="IMD103" s="29"/>
      <c r="IME103" s="29"/>
      <c r="IMF103" s="29"/>
      <c r="IMG103" s="29"/>
      <c r="IMH103" s="29"/>
      <c r="IMI103" s="29"/>
      <c r="IMJ103" s="29"/>
      <c r="IMK103" s="29"/>
      <c r="IML103" s="29"/>
      <c r="IMM103" s="29"/>
      <c r="IMN103" s="29"/>
      <c r="IMO103" s="29"/>
      <c r="IMP103" s="29"/>
      <c r="IMQ103" s="29"/>
      <c r="IMR103" s="29"/>
      <c r="IMS103" s="29"/>
      <c r="IMT103" s="29"/>
      <c r="IMU103" s="29"/>
      <c r="IMV103" s="29"/>
      <c r="IMW103" s="29"/>
      <c r="IMX103" s="29"/>
      <c r="IMY103" s="29"/>
      <c r="IMZ103" s="29"/>
      <c r="INA103" s="29"/>
      <c r="INB103" s="29"/>
      <c r="INC103" s="29"/>
      <c r="IND103" s="29"/>
      <c r="INE103" s="29"/>
      <c r="INF103" s="29"/>
      <c r="ING103" s="29"/>
      <c r="INH103" s="29"/>
      <c r="INI103" s="29"/>
      <c r="INJ103" s="29"/>
      <c r="INK103" s="29"/>
      <c r="INL103" s="29"/>
      <c r="INM103" s="29"/>
      <c r="INN103" s="29"/>
      <c r="INO103" s="29"/>
      <c r="INP103" s="29"/>
      <c r="INQ103" s="29"/>
      <c r="INR103" s="29"/>
      <c r="INS103" s="29"/>
      <c r="INT103" s="29"/>
      <c r="INU103" s="29"/>
      <c r="INV103" s="29"/>
      <c r="INW103" s="29"/>
      <c r="INX103" s="29"/>
      <c r="INY103" s="29"/>
      <c r="INZ103" s="29"/>
      <c r="IOA103" s="29"/>
      <c r="IOB103" s="29"/>
      <c r="IOC103" s="29"/>
      <c r="IOD103" s="29"/>
      <c r="IOE103" s="29"/>
      <c r="IOF103" s="29"/>
      <c r="IOG103" s="29"/>
      <c r="IOH103" s="29"/>
      <c r="IOI103" s="29"/>
      <c r="IOJ103" s="29"/>
      <c r="IOK103" s="29"/>
      <c r="IOL103" s="29"/>
      <c r="IOM103" s="29"/>
      <c r="ION103" s="29"/>
      <c r="IOO103" s="29"/>
      <c r="IOP103" s="29"/>
      <c r="IOQ103" s="29"/>
      <c r="IOR103" s="29"/>
      <c r="IOS103" s="29"/>
      <c r="IOT103" s="29"/>
      <c r="IOU103" s="29"/>
      <c r="IOV103" s="29"/>
      <c r="IOW103" s="29"/>
      <c r="IOX103" s="29"/>
      <c r="IOY103" s="29"/>
      <c r="IOZ103" s="29"/>
      <c r="IPA103" s="29"/>
      <c r="IPB103" s="29"/>
      <c r="IPC103" s="29"/>
      <c r="IPD103" s="29"/>
      <c r="IPE103" s="29"/>
      <c r="IPF103" s="29"/>
      <c r="IPG103" s="29"/>
      <c r="IPH103" s="29"/>
      <c r="IPI103" s="29"/>
      <c r="IPJ103" s="29"/>
      <c r="IPK103" s="29"/>
      <c r="IPL103" s="29"/>
      <c r="IPM103" s="29"/>
      <c r="IPN103" s="29"/>
      <c r="IPO103" s="29"/>
      <c r="IPP103" s="29"/>
      <c r="IPQ103" s="29"/>
      <c r="IPR103" s="29"/>
      <c r="IPS103" s="29"/>
      <c r="IPT103" s="29"/>
      <c r="IPU103" s="29"/>
      <c r="IPV103" s="29"/>
      <c r="IPW103" s="29"/>
      <c r="IPX103" s="29"/>
      <c r="IPY103" s="29"/>
      <c r="IPZ103" s="29"/>
      <c r="IQA103" s="29"/>
      <c r="IQB103" s="29"/>
      <c r="IQC103" s="29"/>
      <c r="IQD103" s="29"/>
      <c r="IQE103" s="29"/>
      <c r="IQF103" s="29"/>
      <c r="IQG103" s="29"/>
      <c r="IQH103" s="29"/>
      <c r="IQI103" s="29"/>
      <c r="IQJ103" s="29"/>
      <c r="IQK103" s="29"/>
      <c r="IQL103" s="29"/>
      <c r="IQM103" s="29"/>
      <c r="IQN103" s="29"/>
      <c r="IQO103" s="29"/>
      <c r="IQP103" s="29"/>
      <c r="IQQ103" s="29"/>
      <c r="IQR103" s="29"/>
      <c r="IQS103" s="29"/>
      <c r="IQT103" s="29"/>
      <c r="IQU103" s="29"/>
      <c r="IQV103" s="29"/>
      <c r="IQW103" s="29"/>
      <c r="IQX103" s="29"/>
      <c r="IQY103" s="29"/>
      <c r="IQZ103" s="29"/>
      <c r="IRA103" s="29"/>
      <c r="IRB103" s="29"/>
      <c r="IRC103" s="29"/>
      <c r="IRD103" s="29"/>
      <c r="IRE103" s="29"/>
      <c r="IRF103" s="29"/>
      <c r="IRG103" s="29"/>
      <c r="IRH103" s="29"/>
      <c r="IRI103" s="29"/>
      <c r="IRJ103" s="29"/>
      <c r="IRK103" s="29"/>
      <c r="IRL103" s="29"/>
      <c r="IRM103" s="29"/>
      <c r="IRN103" s="29"/>
      <c r="IRO103" s="29"/>
      <c r="IRP103" s="29"/>
      <c r="IRQ103" s="29"/>
      <c r="IRR103" s="29"/>
      <c r="IRS103" s="29"/>
      <c r="IRT103" s="29"/>
      <c r="IRU103" s="29"/>
      <c r="IRV103" s="29"/>
      <c r="IRW103" s="29"/>
      <c r="IRX103" s="29"/>
      <c r="IRY103" s="29"/>
      <c r="IRZ103" s="29"/>
      <c r="ISA103" s="29"/>
      <c r="ISB103" s="29"/>
      <c r="ISC103" s="29"/>
      <c r="ISD103" s="29"/>
      <c r="ISE103" s="29"/>
      <c r="ISF103" s="29"/>
      <c r="ISG103" s="29"/>
      <c r="ISH103" s="29"/>
      <c r="ISI103" s="29"/>
      <c r="ISJ103" s="29"/>
      <c r="ISK103" s="29"/>
      <c r="ISL103" s="29"/>
      <c r="ISM103" s="29"/>
      <c r="ISN103" s="29"/>
      <c r="ISO103" s="29"/>
      <c r="ISP103" s="29"/>
      <c r="ISQ103" s="29"/>
      <c r="ISR103" s="29"/>
      <c r="ISS103" s="29"/>
      <c r="IST103" s="29"/>
      <c r="ISU103" s="29"/>
      <c r="ISV103" s="29"/>
      <c r="ISW103" s="29"/>
      <c r="ISX103" s="29"/>
      <c r="ISY103" s="29"/>
      <c r="ISZ103" s="29"/>
      <c r="ITA103" s="29"/>
      <c r="ITB103" s="29"/>
      <c r="ITC103" s="29"/>
      <c r="ITD103" s="29"/>
      <c r="ITE103" s="29"/>
      <c r="ITF103" s="29"/>
      <c r="ITG103" s="29"/>
      <c r="ITH103" s="29"/>
      <c r="ITI103" s="29"/>
      <c r="ITJ103" s="29"/>
      <c r="ITK103" s="29"/>
      <c r="ITL103" s="29"/>
      <c r="ITM103" s="29"/>
      <c r="ITN103" s="29"/>
      <c r="ITO103" s="29"/>
      <c r="ITP103" s="29"/>
      <c r="ITQ103" s="29"/>
      <c r="ITR103" s="29"/>
      <c r="ITS103" s="29"/>
      <c r="ITT103" s="29"/>
      <c r="ITU103" s="29"/>
      <c r="ITV103" s="29"/>
      <c r="ITW103" s="29"/>
      <c r="ITX103" s="29"/>
      <c r="ITY103" s="29"/>
      <c r="ITZ103" s="29"/>
      <c r="IUA103" s="29"/>
      <c r="IUB103" s="29"/>
      <c r="IUC103" s="29"/>
      <c r="IUD103" s="29"/>
      <c r="IUE103" s="29"/>
      <c r="IUF103" s="29"/>
      <c r="IUG103" s="29"/>
      <c r="IUH103" s="29"/>
      <c r="IUI103" s="29"/>
      <c r="IUJ103" s="29"/>
      <c r="IUK103" s="29"/>
      <c r="IUL103" s="29"/>
      <c r="IUM103" s="29"/>
      <c r="IUN103" s="29"/>
      <c r="IUO103" s="29"/>
      <c r="IUP103" s="29"/>
      <c r="IUQ103" s="29"/>
      <c r="IUR103" s="29"/>
      <c r="IUS103" s="29"/>
      <c r="IUT103" s="29"/>
      <c r="IUU103" s="29"/>
      <c r="IUV103" s="29"/>
      <c r="IUW103" s="29"/>
      <c r="IUX103" s="29"/>
      <c r="IUY103" s="29"/>
      <c r="IUZ103" s="29"/>
      <c r="IVA103" s="29"/>
      <c r="IVB103" s="29"/>
      <c r="IVC103" s="29"/>
      <c r="IVD103" s="29"/>
      <c r="IVE103" s="29"/>
      <c r="IVF103" s="29"/>
      <c r="IVG103" s="29"/>
      <c r="IVH103" s="29"/>
      <c r="IVI103" s="29"/>
      <c r="IVJ103" s="29"/>
      <c r="IVK103" s="29"/>
      <c r="IVL103" s="29"/>
      <c r="IVM103" s="29"/>
      <c r="IVN103" s="29"/>
      <c r="IVO103" s="29"/>
      <c r="IVP103" s="29"/>
      <c r="IVQ103" s="29"/>
      <c r="IVR103" s="29"/>
      <c r="IVS103" s="29"/>
      <c r="IVT103" s="29"/>
      <c r="IVU103" s="29"/>
      <c r="IVV103" s="29"/>
      <c r="IVW103" s="29"/>
      <c r="IVX103" s="29"/>
      <c r="IVY103" s="29"/>
      <c r="IVZ103" s="29"/>
      <c r="IWA103" s="29"/>
      <c r="IWB103" s="29"/>
      <c r="IWC103" s="29"/>
      <c r="IWD103" s="29"/>
      <c r="IWE103" s="29"/>
      <c r="IWF103" s="29"/>
      <c r="IWG103" s="29"/>
      <c r="IWH103" s="29"/>
      <c r="IWI103" s="29"/>
      <c r="IWJ103" s="29"/>
      <c r="IWK103" s="29"/>
      <c r="IWL103" s="29"/>
      <c r="IWM103" s="29"/>
      <c r="IWN103" s="29"/>
      <c r="IWO103" s="29"/>
      <c r="IWP103" s="29"/>
      <c r="IWQ103" s="29"/>
      <c r="IWR103" s="29"/>
      <c r="IWS103" s="29"/>
      <c r="IWT103" s="29"/>
      <c r="IWU103" s="29"/>
      <c r="IWV103" s="29"/>
      <c r="IWW103" s="29"/>
      <c r="IWX103" s="29"/>
      <c r="IWY103" s="29"/>
      <c r="IWZ103" s="29"/>
      <c r="IXA103" s="29"/>
      <c r="IXB103" s="29"/>
      <c r="IXC103" s="29"/>
      <c r="IXD103" s="29"/>
      <c r="IXE103" s="29"/>
      <c r="IXF103" s="29"/>
      <c r="IXG103" s="29"/>
      <c r="IXH103" s="29"/>
      <c r="IXI103" s="29"/>
      <c r="IXJ103" s="29"/>
      <c r="IXK103" s="29"/>
      <c r="IXL103" s="29"/>
      <c r="IXM103" s="29"/>
      <c r="IXN103" s="29"/>
      <c r="IXO103" s="29"/>
      <c r="IXP103" s="29"/>
      <c r="IXQ103" s="29"/>
      <c r="IXR103" s="29"/>
      <c r="IXS103" s="29"/>
      <c r="IXT103" s="29"/>
      <c r="IXU103" s="29"/>
      <c r="IXV103" s="29"/>
      <c r="IXW103" s="29"/>
      <c r="IXX103" s="29"/>
      <c r="IXY103" s="29"/>
      <c r="IXZ103" s="29"/>
      <c r="IYA103" s="29"/>
      <c r="IYB103" s="29"/>
      <c r="IYC103" s="29"/>
      <c r="IYD103" s="29"/>
      <c r="IYE103" s="29"/>
      <c r="IYF103" s="29"/>
      <c r="IYG103" s="29"/>
      <c r="IYH103" s="29"/>
      <c r="IYI103" s="29"/>
      <c r="IYJ103" s="29"/>
      <c r="IYK103" s="29"/>
      <c r="IYL103" s="29"/>
      <c r="IYM103" s="29"/>
      <c r="IYN103" s="29"/>
      <c r="IYO103" s="29"/>
      <c r="IYP103" s="29"/>
      <c r="IYQ103" s="29"/>
      <c r="IYR103" s="29"/>
      <c r="IYS103" s="29"/>
      <c r="IYT103" s="29"/>
      <c r="IYU103" s="29"/>
      <c r="IYV103" s="29"/>
      <c r="IYW103" s="29"/>
      <c r="IYX103" s="29"/>
      <c r="IYY103" s="29"/>
      <c r="IYZ103" s="29"/>
      <c r="IZA103" s="29"/>
      <c r="IZB103" s="29"/>
      <c r="IZC103" s="29"/>
      <c r="IZD103" s="29"/>
      <c r="IZE103" s="29"/>
      <c r="IZF103" s="29"/>
      <c r="IZG103" s="29"/>
      <c r="IZH103" s="29"/>
      <c r="IZI103" s="29"/>
      <c r="IZJ103" s="29"/>
      <c r="IZK103" s="29"/>
      <c r="IZL103" s="29"/>
      <c r="IZM103" s="29"/>
      <c r="IZN103" s="29"/>
      <c r="IZO103" s="29"/>
      <c r="IZP103" s="29"/>
      <c r="IZQ103" s="29"/>
      <c r="IZR103" s="29"/>
      <c r="IZS103" s="29"/>
      <c r="IZT103" s="29"/>
      <c r="IZU103" s="29"/>
      <c r="IZV103" s="29"/>
      <c r="IZW103" s="29"/>
      <c r="IZX103" s="29"/>
      <c r="IZY103" s="29"/>
      <c r="IZZ103" s="29"/>
      <c r="JAA103" s="29"/>
      <c r="JAB103" s="29"/>
      <c r="JAC103" s="29"/>
      <c r="JAD103" s="29"/>
      <c r="JAE103" s="29"/>
      <c r="JAF103" s="29"/>
      <c r="JAG103" s="29"/>
      <c r="JAH103" s="29"/>
      <c r="JAI103" s="29"/>
      <c r="JAJ103" s="29"/>
      <c r="JAK103" s="29"/>
      <c r="JAL103" s="29"/>
      <c r="JAM103" s="29"/>
      <c r="JAN103" s="29"/>
      <c r="JAO103" s="29"/>
      <c r="JAP103" s="29"/>
      <c r="JAQ103" s="29"/>
      <c r="JAR103" s="29"/>
      <c r="JAS103" s="29"/>
      <c r="JAT103" s="29"/>
      <c r="JAU103" s="29"/>
      <c r="JAV103" s="29"/>
      <c r="JAW103" s="29"/>
      <c r="JAX103" s="29"/>
      <c r="JAY103" s="29"/>
      <c r="JAZ103" s="29"/>
      <c r="JBA103" s="29"/>
      <c r="JBB103" s="29"/>
      <c r="JBC103" s="29"/>
      <c r="JBD103" s="29"/>
      <c r="JBE103" s="29"/>
      <c r="JBF103" s="29"/>
      <c r="JBG103" s="29"/>
      <c r="JBH103" s="29"/>
      <c r="JBI103" s="29"/>
      <c r="JBJ103" s="29"/>
      <c r="JBK103" s="29"/>
      <c r="JBL103" s="29"/>
      <c r="JBM103" s="29"/>
      <c r="JBN103" s="29"/>
      <c r="JBO103" s="29"/>
      <c r="JBP103" s="29"/>
      <c r="JBQ103" s="29"/>
      <c r="JBR103" s="29"/>
      <c r="JBS103" s="29"/>
      <c r="JBT103" s="29"/>
      <c r="JBU103" s="29"/>
      <c r="JBV103" s="29"/>
      <c r="JBW103" s="29"/>
      <c r="JBX103" s="29"/>
      <c r="JBY103" s="29"/>
      <c r="JBZ103" s="29"/>
      <c r="JCA103" s="29"/>
      <c r="JCB103" s="29"/>
      <c r="JCC103" s="29"/>
      <c r="JCD103" s="29"/>
      <c r="JCE103" s="29"/>
      <c r="JCF103" s="29"/>
      <c r="JCG103" s="29"/>
      <c r="JCH103" s="29"/>
      <c r="JCI103" s="29"/>
      <c r="JCJ103" s="29"/>
      <c r="JCK103" s="29"/>
      <c r="JCL103" s="29"/>
      <c r="JCM103" s="29"/>
      <c r="JCN103" s="29"/>
      <c r="JCO103" s="29"/>
      <c r="JCP103" s="29"/>
      <c r="JCQ103" s="29"/>
      <c r="JCR103" s="29"/>
      <c r="JCS103" s="29"/>
      <c r="JCT103" s="29"/>
      <c r="JCU103" s="29"/>
      <c r="JCV103" s="29"/>
      <c r="JCW103" s="29"/>
      <c r="JCX103" s="29"/>
      <c r="JCY103" s="29"/>
      <c r="JCZ103" s="29"/>
      <c r="JDA103" s="29"/>
      <c r="JDB103" s="29"/>
      <c r="JDC103" s="29"/>
      <c r="JDD103" s="29"/>
      <c r="JDE103" s="29"/>
      <c r="JDF103" s="29"/>
      <c r="JDG103" s="29"/>
      <c r="JDH103" s="29"/>
      <c r="JDI103" s="29"/>
      <c r="JDJ103" s="29"/>
      <c r="JDK103" s="29"/>
      <c r="JDL103" s="29"/>
      <c r="JDM103" s="29"/>
      <c r="JDN103" s="29"/>
      <c r="JDO103" s="29"/>
      <c r="JDP103" s="29"/>
      <c r="JDQ103" s="29"/>
      <c r="JDR103" s="29"/>
      <c r="JDS103" s="29"/>
      <c r="JDT103" s="29"/>
      <c r="JDU103" s="29"/>
      <c r="JDV103" s="29"/>
      <c r="JDW103" s="29"/>
      <c r="JDX103" s="29"/>
      <c r="JDY103" s="29"/>
      <c r="JDZ103" s="29"/>
      <c r="JEA103" s="29"/>
      <c r="JEB103" s="29"/>
      <c r="JEC103" s="29"/>
      <c r="JED103" s="29"/>
      <c r="JEE103" s="29"/>
      <c r="JEF103" s="29"/>
      <c r="JEG103" s="29"/>
      <c r="JEH103" s="29"/>
      <c r="JEI103" s="29"/>
      <c r="JEJ103" s="29"/>
      <c r="JEK103" s="29"/>
      <c r="JEL103" s="29"/>
      <c r="JEM103" s="29"/>
      <c r="JEN103" s="29"/>
      <c r="JEO103" s="29"/>
      <c r="JEP103" s="29"/>
      <c r="JEQ103" s="29"/>
      <c r="JER103" s="29"/>
      <c r="JES103" s="29"/>
      <c r="JET103" s="29"/>
      <c r="JEU103" s="29"/>
      <c r="JEV103" s="29"/>
      <c r="JEW103" s="29"/>
      <c r="JEX103" s="29"/>
      <c r="JEY103" s="29"/>
      <c r="JEZ103" s="29"/>
      <c r="JFA103" s="29"/>
      <c r="JFB103" s="29"/>
      <c r="JFC103" s="29"/>
      <c r="JFD103" s="29"/>
      <c r="JFE103" s="29"/>
      <c r="JFF103" s="29"/>
      <c r="JFG103" s="29"/>
      <c r="JFH103" s="29"/>
      <c r="JFI103" s="29"/>
      <c r="JFJ103" s="29"/>
      <c r="JFK103" s="29"/>
      <c r="JFL103" s="29"/>
      <c r="JFM103" s="29"/>
      <c r="JFN103" s="29"/>
      <c r="JFO103" s="29"/>
      <c r="JFP103" s="29"/>
      <c r="JFQ103" s="29"/>
      <c r="JFR103" s="29"/>
      <c r="JFS103" s="29"/>
      <c r="JFT103" s="29"/>
      <c r="JFU103" s="29"/>
      <c r="JFV103" s="29"/>
      <c r="JFW103" s="29"/>
      <c r="JFX103" s="29"/>
      <c r="JFY103" s="29"/>
      <c r="JFZ103" s="29"/>
      <c r="JGA103" s="29"/>
      <c r="JGB103" s="29"/>
      <c r="JGC103" s="29"/>
      <c r="JGD103" s="29"/>
      <c r="JGE103" s="29"/>
      <c r="JGF103" s="29"/>
      <c r="JGG103" s="29"/>
      <c r="JGH103" s="29"/>
      <c r="JGI103" s="29"/>
      <c r="JGJ103" s="29"/>
      <c r="JGK103" s="29"/>
      <c r="JGL103" s="29"/>
      <c r="JGM103" s="29"/>
      <c r="JGN103" s="29"/>
      <c r="JGO103" s="29"/>
      <c r="JGP103" s="29"/>
      <c r="JGQ103" s="29"/>
      <c r="JGR103" s="29"/>
      <c r="JGS103" s="29"/>
      <c r="JGT103" s="29"/>
      <c r="JGU103" s="29"/>
      <c r="JGV103" s="29"/>
      <c r="JGW103" s="29"/>
      <c r="JGX103" s="29"/>
      <c r="JGY103" s="29"/>
      <c r="JGZ103" s="29"/>
      <c r="JHA103" s="29"/>
      <c r="JHB103" s="29"/>
      <c r="JHC103" s="29"/>
      <c r="JHD103" s="29"/>
      <c r="JHE103" s="29"/>
      <c r="JHF103" s="29"/>
      <c r="JHG103" s="29"/>
      <c r="JHH103" s="29"/>
      <c r="JHI103" s="29"/>
      <c r="JHJ103" s="29"/>
      <c r="JHK103" s="29"/>
      <c r="JHL103" s="29"/>
      <c r="JHM103" s="29"/>
      <c r="JHN103" s="29"/>
      <c r="JHO103" s="29"/>
      <c r="JHP103" s="29"/>
      <c r="JHQ103" s="29"/>
      <c r="JHR103" s="29"/>
      <c r="JHS103" s="29"/>
      <c r="JHT103" s="29"/>
      <c r="JHU103" s="29"/>
      <c r="JHV103" s="29"/>
      <c r="JHW103" s="29"/>
      <c r="JHX103" s="29"/>
      <c r="JHY103" s="29"/>
      <c r="JHZ103" s="29"/>
      <c r="JIA103" s="29"/>
      <c r="JIB103" s="29"/>
      <c r="JIC103" s="29"/>
      <c r="JID103" s="29"/>
      <c r="JIE103" s="29"/>
      <c r="JIF103" s="29"/>
      <c r="JIG103" s="29"/>
      <c r="JIH103" s="29"/>
      <c r="JII103" s="29"/>
      <c r="JIJ103" s="29"/>
      <c r="JIK103" s="29"/>
      <c r="JIL103" s="29"/>
      <c r="JIM103" s="29"/>
      <c r="JIN103" s="29"/>
      <c r="JIO103" s="29"/>
      <c r="JIP103" s="29"/>
      <c r="JIQ103" s="29"/>
      <c r="JIR103" s="29"/>
      <c r="JIS103" s="29"/>
      <c r="JIT103" s="29"/>
      <c r="JIU103" s="29"/>
      <c r="JIV103" s="29"/>
      <c r="JIW103" s="29"/>
      <c r="JIX103" s="29"/>
      <c r="JIY103" s="29"/>
      <c r="JIZ103" s="29"/>
      <c r="JJA103" s="29"/>
      <c r="JJB103" s="29"/>
      <c r="JJC103" s="29"/>
      <c r="JJD103" s="29"/>
      <c r="JJE103" s="29"/>
      <c r="JJF103" s="29"/>
      <c r="JJG103" s="29"/>
      <c r="JJH103" s="29"/>
      <c r="JJI103" s="29"/>
      <c r="JJJ103" s="29"/>
      <c r="JJK103" s="29"/>
      <c r="JJL103" s="29"/>
      <c r="JJM103" s="29"/>
      <c r="JJN103" s="29"/>
      <c r="JJO103" s="29"/>
      <c r="JJP103" s="29"/>
      <c r="JJQ103" s="29"/>
      <c r="JJR103" s="29"/>
      <c r="JJS103" s="29"/>
      <c r="JJT103" s="29"/>
      <c r="JJU103" s="29"/>
      <c r="JJV103" s="29"/>
      <c r="JJW103" s="29"/>
      <c r="JJX103" s="29"/>
      <c r="JJY103" s="29"/>
      <c r="JJZ103" s="29"/>
      <c r="JKA103" s="29"/>
      <c r="JKB103" s="29"/>
      <c r="JKC103" s="29"/>
      <c r="JKD103" s="29"/>
      <c r="JKE103" s="29"/>
      <c r="JKF103" s="29"/>
      <c r="JKG103" s="29"/>
      <c r="JKH103" s="29"/>
      <c r="JKI103" s="29"/>
      <c r="JKJ103" s="29"/>
      <c r="JKK103" s="29"/>
      <c r="JKL103" s="29"/>
      <c r="JKM103" s="29"/>
      <c r="JKN103" s="29"/>
      <c r="JKO103" s="29"/>
      <c r="JKP103" s="29"/>
      <c r="JKQ103" s="29"/>
      <c r="JKR103" s="29"/>
      <c r="JKS103" s="29"/>
      <c r="JKT103" s="29"/>
      <c r="JKU103" s="29"/>
      <c r="JKV103" s="29"/>
      <c r="JKW103" s="29"/>
      <c r="JKX103" s="29"/>
      <c r="JKY103" s="29"/>
      <c r="JKZ103" s="29"/>
      <c r="JLA103" s="29"/>
      <c r="JLB103" s="29"/>
      <c r="JLC103" s="29"/>
      <c r="JLD103" s="29"/>
      <c r="JLE103" s="29"/>
      <c r="JLF103" s="29"/>
      <c r="JLG103" s="29"/>
      <c r="JLH103" s="29"/>
      <c r="JLI103" s="29"/>
      <c r="JLJ103" s="29"/>
      <c r="JLK103" s="29"/>
      <c r="JLL103" s="29"/>
      <c r="JLM103" s="29"/>
      <c r="JLN103" s="29"/>
      <c r="JLO103" s="29"/>
      <c r="JLP103" s="29"/>
      <c r="JLQ103" s="29"/>
      <c r="JLR103" s="29"/>
      <c r="JLS103" s="29"/>
      <c r="JLT103" s="29"/>
      <c r="JLU103" s="29"/>
      <c r="JLV103" s="29"/>
      <c r="JLW103" s="29"/>
      <c r="JLX103" s="29"/>
      <c r="JLY103" s="29"/>
      <c r="JLZ103" s="29"/>
      <c r="JMA103" s="29"/>
      <c r="JMB103" s="29"/>
      <c r="JMC103" s="29"/>
      <c r="JMD103" s="29"/>
      <c r="JME103" s="29"/>
      <c r="JMF103" s="29"/>
      <c r="JMG103" s="29"/>
      <c r="JMH103" s="29"/>
      <c r="JMI103" s="29"/>
      <c r="JMJ103" s="29"/>
      <c r="JMK103" s="29"/>
      <c r="JML103" s="29"/>
      <c r="JMM103" s="29"/>
      <c r="JMN103" s="29"/>
      <c r="JMO103" s="29"/>
      <c r="JMP103" s="29"/>
      <c r="JMQ103" s="29"/>
      <c r="JMR103" s="29"/>
      <c r="JMS103" s="29"/>
      <c r="JMT103" s="29"/>
      <c r="JMU103" s="29"/>
      <c r="JMV103" s="29"/>
      <c r="JMW103" s="29"/>
      <c r="JMX103" s="29"/>
      <c r="JMY103" s="29"/>
      <c r="JMZ103" s="29"/>
      <c r="JNA103" s="29"/>
      <c r="JNB103" s="29"/>
      <c r="JNC103" s="29"/>
      <c r="JND103" s="29"/>
      <c r="JNE103" s="29"/>
      <c r="JNF103" s="29"/>
      <c r="JNG103" s="29"/>
      <c r="JNH103" s="29"/>
      <c r="JNI103" s="29"/>
      <c r="JNJ103" s="29"/>
      <c r="JNK103" s="29"/>
      <c r="JNL103" s="29"/>
      <c r="JNM103" s="29"/>
      <c r="JNN103" s="29"/>
      <c r="JNO103" s="29"/>
      <c r="JNP103" s="29"/>
      <c r="JNQ103" s="29"/>
      <c r="JNR103" s="29"/>
      <c r="JNS103" s="29"/>
      <c r="JNT103" s="29"/>
      <c r="JNU103" s="29"/>
      <c r="JNV103" s="29"/>
      <c r="JNW103" s="29"/>
      <c r="JNX103" s="29"/>
      <c r="JNY103" s="29"/>
      <c r="JNZ103" s="29"/>
      <c r="JOA103" s="29"/>
      <c r="JOB103" s="29"/>
      <c r="JOC103" s="29"/>
      <c r="JOD103" s="29"/>
      <c r="JOE103" s="29"/>
      <c r="JOF103" s="29"/>
      <c r="JOG103" s="29"/>
      <c r="JOH103" s="29"/>
      <c r="JOI103" s="29"/>
      <c r="JOJ103" s="29"/>
      <c r="JOK103" s="29"/>
      <c r="JOL103" s="29"/>
      <c r="JOM103" s="29"/>
      <c r="JON103" s="29"/>
      <c r="JOO103" s="29"/>
      <c r="JOP103" s="29"/>
      <c r="JOQ103" s="29"/>
      <c r="JOR103" s="29"/>
      <c r="JOS103" s="29"/>
      <c r="JOT103" s="29"/>
      <c r="JOU103" s="29"/>
      <c r="JOV103" s="29"/>
      <c r="JOW103" s="29"/>
      <c r="JOX103" s="29"/>
      <c r="JOY103" s="29"/>
      <c r="JOZ103" s="29"/>
      <c r="JPA103" s="29"/>
      <c r="JPB103" s="29"/>
      <c r="JPC103" s="29"/>
      <c r="JPD103" s="29"/>
      <c r="JPE103" s="29"/>
      <c r="JPF103" s="29"/>
      <c r="JPG103" s="29"/>
      <c r="JPH103" s="29"/>
      <c r="JPI103" s="29"/>
      <c r="JPJ103" s="29"/>
      <c r="JPK103" s="29"/>
      <c r="JPL103" s="29"/>
      <c r="JPM103" s="29"/>
      <c r="JPN103" s="29"/>
      <c r="JPO103" s="29"/>
      <c r="JPP103" s="29"/>
      <c r="JPQ103" s="29"/>
      <c r="JPR103" s="29"/>
      <c r="JPS103" s="29"/>
      <c r="JPT103" s="29"/>
      <c r="JPU103" s="29"/>
      <c r="JPV103" s="29"/>
      <c r="JPW103" s="29"/>
      <c r="JPX103" s="29"/>
      <c r="JPY103" s="29"/>
      <c r="JPZ103" s="29"/>
      <c r="JQA103" s="29"/>
      <c r="JQB103" s="29"/>
      <c r="JQC103" s="29"/>
      <c r="JQD103" s="29"/>
      <c r="JQE103" s="29"/>
      <c r="JQF103" s="29"/>
      <c r="JQG103" s="29"/>
      <c r="JQH103" s="29"/>
      <c r="JQI103" s="29"/>
      <c r="JQJ103" s="29"/>
      <c r="JQK103" s="29"/>
      <c r="JQL103" s="29"/>
      <c r="JQM103" s="29"/>
      <c r="JQN103" s="29"/>
      <c r="JQO103" s="29"/>
      <c r="JQP103" s="29"/>
      <c r="JQQ103" s="29"/>
      <c r="JQR103" s="29"/>
      <c r="JQS103" s="29"/>
      <c r="JQT103" s="29"/>
      <c r="JQU103" s="29"/>
      <c r="JQV103" s="29"/>
      <c r="JQW103" s="29"/>
      <c r="JQX103" s="29"/>
      <c r="JQY103" s="29"/>
      <c r="JQZ103" s="29"/>
      <c r="JRA103" s="29"/>
      <c r="JRB103" s="29"/>
      <c r="JRC103" s="29"/>
      <c r="JRD103" s="29"/>
      <c r="JRE103" s="29"/>
      <c r="JRF103" s="29"/>
      <c r="JRG103" s="29"/>
      <c r="JRH103" s="29"/>
      <c r="JRI103" s="29"/>
      <c r="JRJ103" s="29"/>
      <c r="JRK103" s="29"/>
      <c r="JRL103" s="29"/>
      <c r="JRM103" s="29"/>
      <c r="JRN103" s="29"/>
      <c r="JRO103" s="29"/>
      <c r="JRP103" s="29"/>
      <c r="JRQ103" s="29"/>
      <c r="JRR103" s="29"/>
      <c r="JRS103" s="29"/>
      <c r="JRT103" s="29"/>
      <c r="JRU103" s="29"/>
      <c r="JRV103" s="29"/>
      <c r="JRW103" s="29"/>
      <c r="JRX103" s="29"/>
      <c r="JRY103" s="29"/>
      <c r="JRZ103" s="29"/>
      <c r="JSA103" s="29"/>
      <c r="JSB103" s="29"/>
      <c r="JSC103" s="29"/>
      <c r="JSD103" s="29"/>
      <c r="JSE103" s="29"/>
      <c r="JSF103" s="29"/>
      <c r="JSG103" s="29"/>
      <c r="JSH103" s="29"/>
      <c r="JSI103" s="29"/>
      <c r="JSJ103" s="29"/>
      <c r="JSK103" s="29"/>
      <c r="JSL103" s="29"/>
      <c r="JSM103" s="29"/>
      <c r="JSN103" s="29"/>
      <c r="JSO103" s="29"/>
      <c r="JSP103" s="29"/>
      <c r="JSQ103" s="29"/>
      <c r="JSR103" s="29"/>
      <c r="JSS103" s="29"/>
      <c r="JST103" s="29"/>
      <c r="JSU103" s="29"/>
      <c r="JSV103" s="29"/>
      <c r="JSW103" s="29"/>
      <c r="JSX103" s="29"/>
      <c r="JSY103" s="29"/>
      <c r="JSZ103" s="29"/>
      <c r="JTA103" s="29"/>
      <c r="JTB103" s="29"/>
      <c r="JTC103" s="29"/>
      <c r="JTD103" s="29"/>
      <c r="JTE103" s="29"/>
      <c r="JTF103" s="29"/>
      <c r="JTG103" s="29"/>
      <c r="JTH103" s="29"/>
      <c r="JTI103" s="29"/>
      <c r="JTJ103" s="29"/>
      <c r="JTK103" s="29"/>
      <c r="JTL103" s="29"/>
      <c r="JTM103" s="29"/>
      <c r="JTN103" s="29"/>
      <c r="JTO103" s="29"/>
      <c r="JTP103" s="29"/>
      <c r="JTQ103" s="29"/>
      <c r="JTR103" s="29"/>
      <c r="JTS103" s="29"/>
      <c r="JTT103" s="29"/>
      <c r="JTU103" s="29"/>
      <c r="JTV103" s="29"/>
      <c r="JTW103" s="29"/>
      <c r="JTX103" s="29"/>
      <c r="JTY103" s="29"/>
      <c r="JTZ103" s="29"/>
      <c r="JUA103" s="29"/>
      <c r="JUB103" s="29"/>
      <c r="JUC103" s="29"/>
      <c r="JUD103" s="29"/>
      <c r="JUE103" s="29"/>
      <c r="JUF103" s="29"/>
      <c r="JUG103" s="29"/>
      <c r="JUH103" s="29"/>
      <c r="JUI103" s="29"/>
      <c r="JUJ103" s="29"/>
      <c r="JUK103" s="29"/>
      <c r="JUL103" s="29"/>
      <c r="JUM103" s="29"/>
      <c r="JUN103" s="29"/>
      <c r="JUO103" s="29"/>
      <c r="JUP103" s="29"/>
      <c r="JUQ103" s="29"/>
      <c r="JUR103" s="29"/>
      <c r="JUS103" s="29"/>
      <c r="JUT103" s="29"/>
      <c r="JUU103" s="29"/>
      <c r="JUV103" s="29"/>
      <c r="JUW103" s="29"/>
      <c r="JUX103" s="29"/>
      <c r="JUY103" s="29"/>
      <c r="JUZ103" s="29"/>
      <c r="JVA103" s="29"/>
      <c r="JVB103" s="29"/>
      <c r="JVC103" s="29"/>
      <c r="JVD103" s="29"/>
      <c r="JVE103" s="29"/>
      <c r="JVF103" s="29"/>
      <c r="JVG103" s="29"/>
      <c r="JVH103" s="29"/>
      <c r="JVI103" s="29"/>
      <c r="JVJ103" s="29"/>
      <c r="JVK103" s="29"/>
      <c r="JVL103" s="29"/>
      <c r="JVM103" s="29"/>
      <c r="JVN103" s="29"/>
      <c r="JVO103" s="29"/>
      <c r="JVP103" s="29"/>
      <c r="JVQ103" s="29"/>
      <c r="JVR103" s="29"/>
      <c r="JVS103" s="29"/>
      <c r="JVT103" s="29"/>
      <c r="JVU103" s="29"/>
      <c r="JVV103" s="29"/>
      <c r="JVW103" s="29"/>
      <c r="JVX103" s="29"/>
      <c r="JVY103" s="29"/>
      <c r="JVZ103" s="29"/>
      <c r="JWA103" s="29"/>
      <c r="JWB103" s="29"/>
      <c r="JWC103" s="29"/>
      <c r="JWD103" s="29"/>
      <c r="JWE103" s="29"/>
      <c r="JWF103" s="29"/>
      <c r="JWG103" s="29"/>
      <c r="JWH103" s="29"/>
      <c r="JWI103" s="29"/>
      <c r="JWJ103" s="29"/>
      <c r="JWK103" s="29"/>
      <c r="JWL103" s="29"/>
      <c r="JWM103" s="29"/>
      <c r="JWN103" s="29"/>
      <c r="JWO103" s="29"/>
      <c r="JWP103" s="29"/>
      <c r="JWQ103" s="29"/>
      <c r="JWR103" s="29"/>
      <c r="JWS103" s="29"/>
      <c r="JWT103" s="29"/>
      <c r="JWU103" s="29"/>
      <c r="JWV103" s="29"/>
      <c r="JWW103" s="29"/>
      <c r="JWX103" s="29"/>
      <c r="JWY103" s="29"/>
      <c r="JWZ103" s="29"/>
      <c r="JXA103" s="29"/>
      <c r="JXB103" s="29"/>
      <c r="JXC103" s="29"/>
      <c r="JXD103" s="29"/>
      <c r="JXE103" s="29"/>
      <c r="JXF103" s="29"/>
      <c r="JXG103" s="29"/>
      <c r="JXH103" s="29"/>
      <c r="JXI103" s="29"/>
      <c r="JXJ103" s="29"/>
      <c r="JXK103" s="29"/>
      <c r="JXL103" s="29"/>
      <c r="JXM103" s="29"/>
      <c r="JXN103" s="29"/>
      <c r="JXO103" s="29"/>
      <c r="JXP103" s="29"/>
      <c r="JXQ103" s="29"/>
      <c r="JXR103" s="29"/>
      <c r="JXS103" s="29"/>
      <c r="JXT103" s="29"/>
      <c r="JXU103" s="29"/>
      <c r="JXV103" s="29"/>
      <c r="JXW103" s="29"/>
      <c r="JXX103" s="29"/>
      <c r="JXY103" s="29"/>
      <c r="JXZ103" s="29"/>
      <c r="JYA103" s="29"/>
      <c r="JYB103" s="29"/>
      <c r="JYC103" s="29"/>
      <c r="JYD103" s="29"/>
      <c r="JYE103" s="29"/>
      <c r="JYF103" s="29"/>
      <c r="JYG103" s="29"/>
      <c r="JYH103" s="29"/>
      <c r="JYI103" s="29"/>
      <c r="JYJ103" s="29"/>
      <c r="JYK103" s="29"/>
      <c r="JYL103" s="29"/>
      <c r="JYM103" s="29"/>
      <c r="JYN103" s="29"/>
      <c r="JYO103" s="29"/>
      <c r="JYP103" s="29"/>
      <c r="JYQ103" s="29"/>
      <c r="JYR103" s="29"/>
      <c r="JYS103" s="29"/>
      <c r="JYT103" s="29"/>
      <c r="JYU103" s="29"/>
      <c r="JYV103" s="29"/>
      <c r="JYW103" s="29"/>
      <c r="JYX103" s="29"/>
      <c r="JYY103" s="29"/>
      <c r="JYZ103" s="29"/>
      <c r="JZA103" s="29"/>
      <c r="JZB103" s="29"/>
      <c r="JZC103" s="29"/>
      <c r="JZD103" s="29"/>
      <c r="JZE103" s="29"/>
      <c r="JZF103" s="29"/>
      <c r="JZG103" s="29"/>
      <c r="JZH103" s="29"/>
      <c r="JZI103" s="29"/>
      <c r="JZJ103" s="29"/>
      <c r="JZK103" s="29"/>
      <c r="JZL103" s="29"/>
      <c r="JZM103" s="29"/>
      <c r="JZN103" s="29"/>
      <c r="JZO103" s="29"/>
      <c r="JZP103" s="29"/>
      <c r="JZQ103" s="29"/>
      <c r="JZR103" s="29"/>
      <c r="JZS103" s="29"/>
      <c r="JZT103" s="29"/>
      <c r="JZU103" s="29"/>
      <c r="JZV103" s="29"/>
      <c r="JZW103" s="29"/>
      <c r="JZX103" s="29"/>
      <c r="JZY103" s="29"/>
      <c r="JZZ103" s="29"/>
      <c r="KAA103" s="29"/>
      <c r="KAB103" s="29"/>
      <c r="KAC103" s="29"/>
      <c r="KAD103" s="29"/>
      <c r="KAE103" s="29"/>
      <c r="KAF103" s="29"/>
      <c r="KAG103" s="29"/>
      <c r="KAH103" s="29"/>
      <c r="KAI103" s="29"/>
      <c r="KAJ103" s="29"/>
      <c r="KAK103" s="29"/>
      <c r="KAL103" s="29"/>
      <c r="KAM103" s="29"/>
      <c r="KAN103" s="29"/>
      <c r="KAO103" s="29"/>
      <c r="KAP103" s="29"/>
      <c r="KAQ103" s="29"/>
      <c r="KAR103" s="29"/>
      <c r="KAS103" s="29"/>
      <c r="KAT103" s="29"/>
      <c r="KAU103" s="29"/>
      <c r="KAV103" s="29"/>
      <c r="KAW103" s="29"/>
      <c r="KAX103" s="29"/>
      <c r="KAY103" s="29"/>
      <c r="KAZ103" s="29"/>
      <c r="KBA103" s="29"/>
      <c r="KBB103" s="29"/>
      <c r="KBC103" s="29"/>
      <c r="KBD103" s="29"/>
      <c r="KBE103" s="29"/>
      <c r="KBF103" s="29"/>
      <c r="KBG103" s="29"/>
      <c r="KBH103" s="29"/>
      <c r="KBI103" s="29"/>
      <c r="KBJ103" s="29"/>
      <c r="KBK103" s="29"/>
      <c r="KBL103" s="29"/>
      <c r="KBM103" s="29"/>
      <c r="KBN103" s="29"/>
      <c r="KBO103" s="29"/>
      <c r="KBP103" s="29"/>
      <c r="KBQ103" s="29"/>
      <c r="KBR103" s="29"/>
      <c r="KBS103" s="29"/>
      <c r="KBT103" s="29"/>
      <c r="KBU103" s="29"/>
      <c r="KBV103" s="29"/>
      <c r="KBW103" s="29"/>
      <c r="KBX103" s="29"/>
      <c r="KBY103" s="29"/>
      <c r="KBZ103" s="29"/>
      <c r="KCA103" s="29"/>
      <c r="KCB103" s="29"/>
      <c r="KCC103" s="29"/>
      <c r="KCD103" s="29"/>
      <c r="KCE103" s="29"/>
      <c r="KCF103" s="29"/>
      <c r="KCG103" s="29"/>
      <c r="KCH103" s="29"/>
      <c r="KCI103" s="29"/>
      <c r="KCJ103" s="29"/>
      <c r="KCK103" s="29"/>
      <c r="KCL103" s="29"/>
      <c r="KCM103" s="29"/>
      <c r="KCN103" s="29"/>
      <c r="KCO103" s="29"/>
      <c r="KCP103" s="29"/>
      <c r="KCQ103" s="29"/>
      <c r="KCR103" s="29"/>
      <c r="KCS103" s="29"/>
      <c r="KCT103" s="29"/>
      <c r="KCU103" s="29"/>
      <c r="KCV103" s="29"/>
      <c r="KCW103" s="29"/>
      <c r="KCX103" s="29"/>
      <c r="KCY103" s="29"/>
      <c r="KCZ103" s="29"/>
      <c r="KDA103" s="29"/>
      <c r="KDB103" s="29"/>
      <c r="KDC103" s="29"/>
      <c r="KDD103" s="29"/>
      <c r="KDE103" s="29"/>
      <c r="KDF103" s="29"/>
      <c r="KDG103" s="29"/>
      <c r="KDH103" s="29"/>
      <c r="KDI103" s="29"/>
      <c r="KDJ103" s="29"/>
      <c r="KDK103" s="29"/>
      <c r="KDL103" s="29"/>
      <c r="KDM103" s="29"/>
      <c r="KDN103" s="29"/>
      <c r="KDO103" s="29"/>
      <c r="KDP103" s="29"/>
      <c r="KDQ103" s="29"/>
      <c r="KDR103" s="29"/>
      <c r="KDS103" s="29"/>
      <c r="KDT103" s="29"/>
      <c r="KDU103" s="29"/>
      <c r="KDV103" s="29"/>
      <c r="KDW103" s="29"/>
      <c r="KDX103" s="29"/>
      <c r="KDY103" s="29"/>
      <c r="KDZ103" s="29"/>
      <c r="KEA103" s="29"/>
      <c r="KEB103" s="29"/>
      <c r="KEC103" s="29"/>
      <c r="KED103" s="29"/>
      <c r="KEE103" s="29"/>
      <c r="KEF103" s="29"/>
      <c r="KEG103" s="29"/>
      <c r="KEH103" s="29"/>
      <c r="KEI103" s="29"/>
      <c r="KEJ103" s="29"/>
      <c r="KEK103" s="29"/>
      <c r="KEL103" s="29"/>
      <c r="KEM103" s="29"/>
      <c r="KEN103" s="29"/>
      <c r="KEO103" s="29"/>
      <c r="KEP103" s="29"/>
      <c r="KEQ103" s="29"/>
      <c r="KER103" s="29"/>
      <c r="KES103" s="29"/>
      <c r="KET103" s="29"/>
      <c r="KEU103" s="29"/>
      <c r="KEV103" s="29"/>
      <c r="KEW103" s="29"/>
      <c r="KEX103" s="29"/>
      <c r="KEY103" s="29"/>
      <c r="KEZ103" s="29"/>
      <c r="KFA103" s="29"/>
      <c r="KFB103" s="29"/>
      <c r="KFC103" s="29"/>
      <c r="KFD103" s="29"/>
      <c r="KFE103" s="29"/>
      <c r="KFF103" s="29"/>
      <c r="KFG103" s="29"/>
      <c r="KFH103" s="29"/>
      <c r="KFI103" s="29"/>
      <c r="KFJ103" s="29"/>
      <c r="KFK103" s="29"/>
      <c r="KFL103" s="29"/>
      <c r="KFM103" s="29"/>
      <c r="KFN103" s="29"/>
      <c r="KFO103" s="29"/>
      <c r="KFP103" s="29"/>
      <c r="KFQ103" s="29"/>
      <c r="KFR103" s="29"/>
      <c r="KFS103" s="29"/>
      <c r="KFT103" s="29"/>
      <c r="KFU103" s="29"/>
      <c r="KFV103" s="29"/>
      <c r="KFW103" s="29"/>
      <c r="KFX103" s="29"/>
      <c r="KFY103" s="29"/>
      <c r="KFZ103" s="29"/>
      <c r="KGA103" s="29"/>
      <c r="KGB103" s="29"/>
      <c r="KGC103" s="29"/>
      <c r="KGD103" s="29"/>
      <c r="KGE103" s="29"/>
      <c r="KGF103" s="29"/>
      <c r="KGG103" s="29"/>
      <c r="KGH103" s="29"/>
      <c r="KGI103" s="29"/>
      <c r="KGJ103" s="29"/>
      <c r="KGK103" s="29"/>
      <c r="KGL103" s="29"/>
      <c r="KGM103" s="29"/>
      <c r="KGN103" s="29"/>
      <c r="KGO103" s="29"/>
      <c r="KGP103" s="29"/>
      <c r="KGQ103" s="29"/>
      <c r="KGR103" s="29"/>
      <c r="KGS103" s="29"/>
      <c r="KGT103" s="29"/>
      <c r="KGU103" s="29"/>
      <c r="KGV103" s="29"/>
      <c r="KGW103" s="29"/>
      <c r="KGX103" s="29"/>
      <c r="KGY103" s="29"/>
      <c r="KGZ103" s="29"/>
      <c r="KHA103" s="29"/>
      <c r="KHB103" s="29"/>
      <c r="KHC103" s="29"/>
      <c r="KHD103" s="29"/>
      <c r="KHE103" s="29"/>
      <c r="KHF103" s="29"/>
      <c r="KHG103" s="29"/>
      <c r="KHH103" s="29"/>
      <c r="KHI103" s="29"/>
      <c r="KHJ103" s="29"/>
      <c r="KHK103" s="29"/>
      <c r="KHL103" s="29"/>
      <c r="KHM103" s="29"/>
      <c r="KHN103" s="29"/>
      <c r="KHO103" s="29"/>
      <c r="KHP103" s="29"/>
      <c r="KHQ103" s="29"/>
      <c r="KHR103" s="29"/>
      <c r="KHS103" s="29"/>
      <c r="KHT103" s="29"/>
      <c r="KHU103" s="29"/>
      <c r="KHV103" s="29"/>
      <c r="KHW103" s="29"/>
      <c r="KHX103" s="29"/>
      <c r="KHY103" s="29"/>
      <c r="KHZ103" s="29"/>
      <c r="KIA103" s="29"/>
      <c r="KIB103" s="29"/>
      <c r="KIC103" s="29"/>
      <c r="KID103" s="29"/>
      <c r="KIE103" s="29"/>
      <c r="KIF103" s="29"/>
      <c r="KIG103" s="29"/>
      <c r="KIH103" s="29"/>
      <c r="KII103" s="29"/>
      <c r="KIJ103" s="29"/>
      <c r="KIK103" s="29"/>
      <c r="KIL103" s="29"/>
      <c r="KIM103" s="29"/>
      <c r="KIN103" s="29"/>
      <c r="KIO103" s="29"/>
      <c r="KIP103" s="29"/>
      <c r="KIQ103" s="29"/>
      <c r="KIR103" s="29"/>
      <c r="KIS103" s="29"/>
      <c r="KIT103" s="29"/>
      <c r="KIU103" s="29"/>
      <c r="KIV103" s="29"/>
      <c r="KIW103" s="29"/>
      <c r="KIX103" s="29"/>
      <c r="KIY103" s="29"/>
      <c r="KIZ103" s="29"/>
      <c r="KJA103" s="29"/>
      <c r="KJB103" s="29"/>
      <c r="KJC103" s="29"/>
      <c r="KJD103" s="29"/>
      <c r="KJE103" s="29"/>
      <c r="KJF103" s="29"/>
      <c r="KJG103" s="29"/>
      <c r="KJH103" s="29"/>
      <c r="KJI103" s="29"/>
      <c r="KJJ103" s="29"/>
      <c r="KJK103" s="29"/>
      <c r="KJL103" s="29"/>
      <c r="KJM103" s="29"/>
      <c r="KJN103" s="29"/>
      <c r="KJO103" s="29"/>
      <c r="KJP103" s="29"/>
      <c r="KJQ103" s="29"/>
      <c r="KJR103" s="29"/>
      <c r="KJS103" s="29"/>
      <c r="KJT103" s="29"/>
      <c r="KJU103" s="29"/>
      <c r="KJV103" s="29"/>
      <c r="KJW103" s="29"/>
      <c r="KJX103" s="29"/>
      <c r="KJY103" s="29"/>
      <c r="KJZ103" s="29"/>
      <c r="KKA103" s="29"/>
      <c r="KKB103" s="29"/>
      <c r="KKC103" s="29"/>
      <c r="KKD103" s="29"/>
      <c r="KKE103" s="29"/>
      <c r="KKF103" s="29"/>
      <c r="KKG103" s="29"/>
      <c r="KKH103" s="29"/>
      <c r="KKI103" s="29"/>
      <c r="KKJ103" s="29"/>
      <c r="KKK103" s="29"/>
      <c r="KKL103" s="29"/>
      <c r="KKM103" s="29"/>
      <c r="KKN103" s="29"/>
      <c r="KKO103" s="29"/>
      <c r="KKP103" s="29"/>
      <c r="KKQ103" s="29"/>
      <c r="KKR103" s="29"/>
      <c r="KKS103" s="29"/>
      <c r="KKT103" s="29"/>
      <c r="KKU103" s="29"/>
      <c r="KKV103" s="29"/>
      <c r="KKW103" s="29"/>
      <c r="KKX103" s="29"/>
      <c r="KKY103" s="29"/>
      <c r="KKZ103" s="29"/>
      <c r="KLA103" s="29"/>
      <c r="KLB103" s="29"/>
      <c r="KLC103" s="29"/>
      <c r="KLD103" s="29"/>
      <c r="KLE103" s="29"/>
      <c r="KLF103" s="29"/>
      <c r="KLG103" s="29"/>
      <c r="KLH103" s="29"/>
      <c r="KLI103" s="29"/>
      <c r="KLJ103" s="29"/>
      <c r="KLK103" s="29"/>
      <c r="KLL103" s="29"/>
      <c r="KLM103" s="29"/>
      <c r="KLN103" s="29"/>
      <c r="KLO103" s="29"/>
      <c r="KLP103" s="29"/>
      <c r="KLQ103" s="29"/>
      <c r="KLR103" s="29"/>
      <c r="KLS103" s="29"/>
      <c r="KLT103" s="29"/>
      <c r="KLU103" s="29"/>
      <c r="KLV103" s="29"/>
      <c r="KLW103" s="29"/>
      <c r="KLX103" s="29"/>
      <c r="KLY103" s="29"/>
      <c r="KLZ103" s="29"/>
      <c r="KMA103" s="29"/>
      <c r="KMB103" s="29"/>
      <c r="KMC103" s="29"/>
      <c r="KMD103" s="29"/>
      <c r="KME103" s="29"/>
      <c r="KMF103" s="29"/>
      <c r="KMG103" s="29"/>
      <c r="KMH103" s="29"/>
      <c r="KMI103" s="29"/>
      <c r="KMJ103" s="29"/>
      <c r="KMK103" s="29"/>
      <c r="KML103" s="29"/>
      <c r="KMM103" s="29"/>
      <c r="KMN103" s="29"/>
      <c r="KMO103" s="29"/>
      <c r="KMP103" s="29"/>
      <c r="KMQ103" s="29"/>
      <c r="KMR103" s="29"/>
      <c r="KMS103" s="29"/>
      <c r="KMT103" s="29"/>
      <c r="KMU103" s="29"/>
      <c r="KMV103" s="29"/>
      <c r="KMW103" s="29"/>
      <c r="KMX103" s="29"/>
      <c r="KMY103" s="29"/>
      <c r="KMZ103" s="29"/>
      <c r="KNA103" s="29"/>
      <c r="KNB103" s="29"/>
      <c r="KNC103" s="29"/>
      <c r="KND103" s="29"/>
      <c r="KNE103" s="29"/>
      <c r="KNF103" s="29"/>
      <c r="KNG103" s="29"/>
      <c r="KNH103" s="29"/>
      <c r="KNI103" s="29"/>
      <c r="KNJ103" s="29"/>
      <c r="KNK103" s="29"/>
      <c r="KNL103" s="29"/>
      <c r="KNM103" s="29"/>
      <c r="KNN103" s="29"/>
      <c r="KNO103" s="29"/>
      <c r="KNP103" s="29"/>
      <c r="KNQ103" s="29"/>
      <c r="KNR103" s="29"/>
      <c r="KNS103" s="29"/>
      <c r="KNT103" s="29"/>
      <c r="KNU103" s="29"/>
      <c r="KNV103" s="29"/>
      <c r="KNW103" s="29"/>
      <c r="KNX103" s="29"/>
      <c r="KNY103" s="29"/>
      <c r="KNZ103" s="29"/>
      <c r="KOA103" s="29"/>
      <c r="KOB103" s="29"/>
      <c r="KOC103" s="29"/>
      <c r="KOD103" s="29"/>
      <c r="KOE103" s="29"/>
      <c r="KOF103" s="29"/>
      <c r="KOG103" s="29"/>
      <c r="KOH103" s="29"/>
      <c r="KOI103" s="29"/>
      <c r="KOJ103" s="29"/>
      <c r="KOK103" s="29"/>
      <c r="KOL103" s="29"/>
      <c r="KOM103" s="29"/>
      <c r="KON103" s="29"/>
      <c r="KOO103" s="29"/>
      <c r="KOP103" s="29"/>
      <c r="KOQ103" s="29"/>
      <c r="KOR103" s="29"/>
      <c r="KOS103" s="29"/>
      <c r="KOT103" s="29"/>
      <c r="KOU103" s="29"/>
      <c r="KOV103" s="29"/>
      <c r="KOW103" s="29"/>
      <c r="KOX103" s="29"/>
      <c r="KOY103" s="29"/>
      <c r="KOZ103" s="29"/>
      <c r="KPA103" s="29"/>
      <c r="KPB103" s="29"/>
      <c r="KPC103" s="29"/>
      <c r="KPD103" s="29"/>
      <c r="KPE103" s="29"/>
      <c r="KPF103" s="29"/>
      <c r="KPG103" s="29"/>
      <c r="KPH103" s="29"/>
      <c r="KPI103" s="29"/>
      <c r="KPJ103" s="29"/>
      <c r="KPK103" s="29"/>
      <c r="KPL103" s="29"/>
      <c r="KPM103" s="29"/>
      <c r="KPN103" s="29"/>
      <c r="KPO103" s="29"/>
      <c r="KPP103" s="29"/>
      <c r="KPQ103" s="29"/>
      <c r="KPR103" s="29"/>
      <c r="KPS103" s="29"/>
      <c r="KPT103" s="29"/>
      <c r="KPU103" s="29"/>
      <c r="KPV103" s="29"/>
      <c r="KPW103" s="29"/>
      <c r="KPX103" s="29"/>
      <c r="KPY103" s="29"/>
      <c r="KPZ103" s="29"/>
      <c r="KQA103" s="29"/>
      <c r="KQB103" s="29"/>
      <c r="KQC103" s="29"/>
      <c r="KQD103" s="29"/>
      <c r="KQE103" s="29"/>
      <c r="KQF103" s="29"/>
      <c r="KQG103" s="29"/>
      <c r="KQH103" s="29"/>
      <c r="KQI103" s="29"/>
      <c r="KQJ103" s="29"/>
      <c r="KQK103" s="29"/>
      <c r="KQL103" s="29"/>
      <c r="KQM103" s="29"/>
      <c r="KQN103" s="29"/>
      <c r="KQO103" s="29"/>
      <c r="KQP103" s="29"/>
      <c r="KQQ103" s="29"/>
      <c r="KQR103" s="29"/>
      <c r="KQS103" s="29"/>
      <c r="KQT103" s="29"/>
      <c r="KQU103" s="29"/>
      <c r="KQV103" s="29"/>
      <c r="KQW103" s="29"/>
      <c r="KQX103" s="29"/>
      <c r="KQY103" s="29"/>
      <c r="KQZ103" s="29"/>
      <c r="KRA103" s="29"/>
      <c r="KRB103" s="29"/>
      <c r="KRC103" s="29"/>
      <c r="KRD103" s="29"/>
      <c r="KRE103" s="29"/>
      <c r="KRF103" s="29"/>
      <c r="KRG103" s="29"/>
      <c r="KRH103" s="29"/>
      <c r="KRI103" s="29"/>
      <c r="KRJ103" s="29"/>
      <c r="KRK103" s="29"/>
      <c r="KRL103" s="29"/>
      <c r="KRM103" s="29"/>
      <c r="KRN103" s="29"/>
      <c r="KRO103" s="29"/>
      <c r="KRP103" s="29"/>
      <c r="KRQ103" s="29"/>
      <c r="KRR103" s="29"/>
      <c r="KRS103" s="29"/>
      <c r="KRT103" s="29"/>
      <c r="KRU103" s="29"/>
      <c r="KRV103" s="29"/>
      <c r="KRW103" s="29"/>
      <c r="KRX103" s="29"/>
      <c r="KRY103" s="29"/>
      <c r="KRZ103" s="29"/>
      <c r="KSA103" s="29"/>
      <c r="KSB103" s="29"/>
      <c r="KSC103" s="29"/>
      <c r="KSD103" s="29"/>
      <c r="KSE103" s="29"/>
      <c r="KSF103" s="29"/>
      <c r="KSG103" s="29"/>
      <c r="KSH103" s="29"/>
      <c r="KSI103" s="29"/>
      <c r="KSJ103" s="29"/>
      <c r="KSK103" s="29"/>
      <c r="KSL103" s="29"/>
      <c r="KSM103" s="29"/>
      <c r="KSN103" s="29"/>
      <c r="KSO103" s="29"/>
      <c r="KSP103" s="29"/>
      <c r="KSQ103" s="29"/>
      <c r="KSR103" s="29"/>
      <c r="KSS103" s="29"/>
      <c r="KST103" s="29"/>
      <c r="KSU103" s="29"/>
      <c r="KSV103" s="29"/>
      <c r="KSW103" s="29"/>
      <c r="KSX103" s="29"/>
      <c r="KSY103" s="29"/>
      <c r="KSZ103" s="29"/>
      <c r="KTA103" s="29"/>
      <c r="KTB103" s="29"/>
      <c r="KTC103" s="29"/>
      <c r="KTD103" s="29"/>
      <c r="KTE103" s="29"/>
      <c r="KTF103" s="29"/>
      <c r="KTG103" s="29"/>
      <c r="KTH103" s="29"/>
      <c r="KTI103" s="29"/>
      <c r="KTJ103" s="29"/>
      <c r="KTK103" s="29"/>
      <c r="KTL103" s="29"/>
      <c r="KTM103" s="29"/>
      <c r="KTN103" s="29"/>
      <c r="KTO103" s="29"/>
      <c r="KTP103" s="29"/>
      <c r="KTQ103" s="29"/>
      <c r="KTR103" s="29"/>
      <c r="KTS103" s="29"/>
      <c r="KTT103" s="29"/>
      <c r="KTU103" s="29"/>
      <c r="KTV103" s="29"/>
      <c r="KTW103" s="29"/>
      <c r="KTX103" s="29"/>
      <c r="KTY103" s="29"/>
      <c r="KTZ103" s="29"/>
      <c r="KUA103" s="29"/>
      <c r="KUB103" s="29"/>
      <c r="KUC103" s="29"/>
      <c r="KUD103" s="29"/>
      <c r="KUE103" s="29"/>
      <c r="KUF103" s="29"/>
      <c r="KUG103" s="29"/>
      <c r="KUH103" s="29"/>
      <c r="KUI103" s="29"/>
      <c r="KUJ103" s="29"/>
      <c r="KUK103" s="29"/>
      <c r="KUL103" s="29"/>
      <c r="KUM103" s="29"/>
      <c r="KUN103" s="29"/>
      <c r="KUO103" s="29"/>
      <c r="KUP103" s="29"/>
      <c r="KUQ103" s="29"/>
      <c r="KUR103" s="29"/>
      <c r="KUS103" s="29"/>
      <c r="KUT103" s="29"/>
      <c r="KUU103" s="29"/>
      <c r="KUV103" s="29"/>
      <c r="KUW103" s="29"/>
      <c r="KUX103" s="29"/>
      <c r="KUY103" s="29"/>
      <c r="KUZ103" s="29"/>
      <c r="KVA103" s="29"/>
      <c r="KVB103" s="29"/>
      <c r="KVC103" s="29"/>
      <c r="KVD103" s="29"/>
      <c r="KVE103" s="29"/>
      <c r="KVF103" s="29"/>
      <c r="KVG103" s="29"/>
      <c r="KVH103" s="29"/>
      <c r="KVI103" s="29"/>
      <c r="KVJ103" s="29"/>
      <c r="KVK103" s="29"/>
      <c r="KVL103" s="29"/>
      <c r="KVM103" s="29"/>
      <c r="KVN103" s="29"/>
      <c r="KVO103" s="29"/>
      <c r="KVP103" s="29"/>
      <c r="KVQ103" s="29"/>
      <c r="KVR103" s="29"/>
      <c r="KVS103" s="29"/>
      <c r="KVT103" s="29"/>
      <c r="KVU103" s="29"/>
      <c r="KVV103" s="29"/>
      <c r="KVW103" s="29"/>
      <c r="KVX103" s="29"/>
      <c r="KVY103" s="29"/>
      <c r="KVZ103" s="29"/>
      <c r="KWA103" s="29"/>
      <c r="KWB103" s="29"/>
      <c r="KWC103" s="29"/>
      <c r="KWD103" s="29"/>
      <c r="KWE103" s="29"/>
      <c r="KWF103" s="29"/>
      <c r="KWG103" s="29"/>
      <c r="KWH103" s="29"/>
      <c r="KWI103" s="29"/>
      <c r="KWJ103" s="29"/>
      <c r="KWK103" s="29"/>
      <c r="KWL103" s="29"/>
      <c r="KWM103" s="29"/>
      <c r="KWN103" s="29"/>
      <c r="KWO103" s="29"/>
      <c r="KWP103" s="29"/>
      <c r="KWQ103" s="29"/>
      <c r="KWR103" s="29"/>
      <c r="KWS103" s="29"/>
      <c r="KWT103" s="29"/>
      <c r="KWU103" s="29"/>
      <c r="KWV103" s="29"/>
      <c r="KWW103" s="29"/>
      <c r="KWX103" s="29"/>
      <c r="KWY103" s="29"/>
      <c r="KWZ103" s="29"/>
      <c r="KXA103" s="29"/>
      <c r="KXB103" s="29"/>
      <c r="KXC103" s="29"/>
      <c r="KXD103" s="29"/>
      <c r="KXE103" s="29"/>
      <c r="KXF103" s="29"/>
      <c r="KXG103" s="29"/>
      <c r="KXH103" s="29"/>
      <c r="KXI103" s="29"/>
      <c r="KXJ103" s="29"/>
      <c r="KXK103" s="29"/>
      <c r="KXL103" s="29"/>
      <c r="KXM103" s="29"/>
      <c r="KXN103" s="29"/>
      <c r="KXO103" s="29"/>
      <c r="KXP103" s="29"/>
      <c r="KXQ103" s="29"/>
      <c r="KXR103" s="29"/>
      <c r="KXS103" s="29"/>
      <c r="KXT103" s="29"/>
      <c r="KXU103" s="29"/>
      <c r="KXV103" s="29"/>
      <c r="KXW103" s="29"/>
      <c r="KXX103" s="29"/>
      <c r="KXY103" s="29"/>
      <c r="KXZ103" s="29"/>
      <c r="KYA103" s="29"/>
      <c r="KYB103" s="29"/>
      <c r="KYC103" s="29"/>
      <c r="KYD103" s="29"/>
      <c r="KYE103" s="29"/>
      <c r="KYF103" s="29"/>
      <c r="KYG103" s="29"/>
      <c r="KYH103" s="29"/>
      <c r="KYI103" s="29"/>
      <c r="KYJ103" s="29"/>
      <c r="KYK103" s="29"/>
      <c r="KYL103" s="29"/>
      <c r="KYM103" s="29"/>
      <c r="KYN103" s="29"/>
      <c r="KYO103" s="29"/>
      <c r="KYP103" s="29"/>
      <c r="KYQ103" s="29"/>
      <c r="KYR103" s="29"/>
      <c r="KYS103" s="29"/>
      <c r="KYT103" s="29"/>
      <c r="KYU103" s="29"/>
      <c r="KYV103" s="29"/>
      <c r="KYW103" s="29"/>
      <c r="KYX103" s="29"/>
      <c r="KYY103" s="29"/>
      <c r="KYZ103" s="29"/>
      <c r="KZA103" s="29"/>
      <c r="KZB103" s="29"/>
      <c r="KZC103" s="29"/>
      <c r="KZD103" s="29"/>
      <c r="KZE103" s="29"/>
      <c r="KZF103" s="29"/>
      <c r="KZG103" s="29"/>
      <c r="KZH103" s="29"/>
      <c r="KZI103" s="29"/>
      <c r="KZJ103" s="29"/>
      <c r="KZK103" s="29"/>
      <c r="KZL103" s="29"/>
      <c r="KZM103" s="29"/>
      <c r="KZN103" s="29"/>
      <c r="KZO103" s="29"/>
      <c r="KZP103" s="29"/>
      <c r="KZQ103" s="29"/>
      <c r="KZR103" s="29"/>
      <c r="KZS103" s="29"/>
      <c r="KZT103" s="29"/>
      <c r="KZU103" s="29"/>
      <c r="KZV103" s="29"/>
      <c r="KZW103" s="29"/>
      <c r="KZX103" s="29"/>
      <c r="KZY103" s="29"/>
      <c r="KZZ103" s="29"/>
      <c r="LAA103" s="29"/>
      <c r="LAB103" s="29"/>
      <c r="LAC103" s="29"/>
      <c r="LAD103" s="29"/>
      <c r="LAE103" s="29"/>
      <c r="LAF103" s="29"/>
      <c r="LAG103" s="29"/>
      <c r="LAH103" s="29"/>
      <c r="LAI103" s="29"/>
      <c r="LAJ103" s="29"/>
      <c r="LAK103" s="29"/>
      <c r="LAL103" s="29"/>
      <c r="LAM103" s="29"/>
      <c r="LAN103" s="29"/>
      <c r="LAO103" s="29"/>
      <c r="LAP103" s="29"/>
      <c r="LAQ103" s="29"/>
      <c r="LAR103" s="29"/>
      <c r="LAS103" s="29"/>
      <c r="LAT103" s="29"/>
      <c r="LAU103" s="29"/>
      <c r="LAV103" s="29"/>
      <c r="LAW103" s="29"/>
      <c r="LAX103" s="29"/>
      <c r="LAY103" s="29"/>
      <c r="LAZ103" s="29"/>
      <c r="LBA103" s="29"/>
      <c r="LBB103" s="29"/>
      <c r="LBC103" s="29"/>
      <c r="LBD103" s="29"/>
      <c r="LBE103" s="29"/>
      <c r="LBF103" s="29"/>
      <c r="LBG103" s="29"/>
      <c r="LBH103" s="29"/>
      <c r="LBI103" s="29"/>
      <c r="LBJ103" s="29"/>
      <c r="LBK103" s="29"/>
      <c r="LBL103" s="29"/>
      <c r="LBM103" s="29"/>
      <c r="LBN103" s="29"/>
      <c r="LBO103" s="29"/>
      <c r="LBP103" s="29"/>
      <c r="LBQ103" s="29"/>
      <c r="LBR103" s="29"/>
      <c r="LBS103" s="29"/>
      <c r="LBT103" s="29"/>
      <c r="LBU103" s="29"/>
      <c r="LBV103" s="29"/>
      <c r="LBW103" s="29"/>
      <c r="LBX103" s="29"/>
      <c r="LBY103" s="29"/>
      <c r="LBZ103" s="29"/>
      <c r="LCA103" s="29"/>
      <c r="LCB103" s="29"/>
      <c r="LCC103" s="29"/>
      <c r="LCD103" s="29"/>
      <c r="LCE103" s="29"/>
      <c r="LCF103" s="29"/>
      <c r="LCG103" s="29"/>
      <c r="LCH103" s="29"/>
      <c r="LCI103" s="29"/>
      <c r="LCJ103" s="29"/>
      <c r="LCK103" s="29"/>
      <c r="LCL103" s="29"/>
      <c r="LCM103" s="29"/>
      <c r="LCN103" s="29"/>
      <c r="LCO103" s="29"/>
      <c r="LCP103" s="29"/>
      <c r="LCQ103" s="29"/>
      <c r="LCR103" s="29"/>
      <c r="LCS103" s="29"/>
      <c r="LCT103" s="29"/>
      <c r="LCU103" s="29"/>
      <c r="LCV103" s="29"/>
      <c r="LCW103" s="29"/>
      <c r="LCX103" s="29"/>
      <c r="LCY103" s="29"/>
      <c r="LCZ103" s="29"/>
      <c r="LDA103" s="29"/>
      <c r="LDB103" s="29"/>
      <c r="LDC103" s="29"/>
      <c r="LDD103" s="29"/>
      <c r="LDE103" s="29"/>
      <c r="LDF103" s="29"/>
      <c r="LDG103" s="29"/>
      <c r="LDH103" s="29"/>
      <c r="LDI103" s="29"/>
      <c r="LDJ103" s="29"/>
      <c r="LDK103" s="29"/>
      <c r="LDL103" s="29"/>
      <c r="LDM103" s="29"/>
      <c r="LDN103" s="29"/>
      <c r="LDO103" s="29"/>
      <c r="LDP103" s="29"/>
      <c r="LDQ103" s="29"/>
      <c r="LDR103" s="29"/>
      <c r="LDS103" s="29"/>
      <c r="LDT103" s="29"/>
      <c r="LDU103" s="29"/>
      <c r="LDV103" s="29"/>
      <c r="LDW103" s="29"/>
      <c r="LDX103" s="29"/>
      <c r="LDY103" s="29"/>
      <c r="LDZ103" s="29"/>
      <c r="LEA103" s="29"/>
      <c r="LEB103" s="29"/>
      <c r="LEC103" s="29"/>
      <c r="LED103" s="29"/>
      <c r="LEE103" s="29"/>
      <c r="LEF103" s="29"/>
      <c r="LEG103" s="29"/>
      <c r="LEH103" s="29"/>
      <c r="LEI103" s="29"/>
      <c r="LEJ103" s="29"/>
      <c r="LEK103" s="29"/>
      <c r="LEL103" s="29"/>
      <c r="LEM103" s="29"/>
      <c r="LEN103" s="29"/>
      <c r="LEO103" s="29"/>
      <c r="LEP103" s="29"/>
      <c r="LEQ103" s="29"/>
      <c r="LER103" s="29"/>
      <c r="LES103" s="29"/>
      <c r="LET103" s="29"/>
      <c r="LEU103" s="29"/>
      <c r="LEV103" s="29"/>
      <c r="LEW103" s="29"/>
      <c r="LEX103" s="29"/>
      <c r="LEY103" s="29"/>
      <c r="LEZ103" s="29"/>
      <c r="LFA103" s="29"/>
      <c r="LFB103" s="29"/>
      <c r="LFC103" s="29"/>
      <c r="LFD103" s="29"/>
      <c r="LFE103" s="29"/>
      <c r="LFF103" s="29"/>
      <c r="LFG103" s="29"/>
      <c r="LFH103" s="29"/>
      <c r="LFI103" s="29"/>
      <c r="LFJ103" s="29"/>
      <c r="LFK103" s="29"/>
      <c r="LFL103" s="29"/>
      <c r="LFM103" s="29"/>
      <c r="LFN103" s="29"/>
      <c r="LFO103" s="29"/>
      <c r="LFP103" s="29"/>
      <c r="LFQ103" s="29"/>
      <c r="LFR103" s="29"/>
      <c r="LFS103" s="29"/>
      <c r="LFT103" s="29"/>
      <c r="LFU103" s="29"/>
      <c r="LFV103" s="29"/>
      <c r="LFW103" s="29"/>
      <c r="LFX103" s="29"/>
      <c r="LFY103" s="29"/>
      <c r="LFZ103" s="29"/>
      <c r="LGA103" s="29"/>
      <c r="LGB103" s="29"/>
      <c r="LGC103" s="29"/>
      <c r="LGD103" s="29"/>
      <c r="LGE103" s="29"/>
      <c r="LGF103" s="29"/>
      <c r="LGG103" s="29"/>
      <c r="LGH103" s="29"/>
      <c r="LGI103" s="29"/>
      <c r="LGJ103" s="29"/>
      <c r="LGK103" s="29"/>
      <c r="LGL103" s="29"/>
      <c r="LGM103" s="29"/>
      <c r="LGN103" s="29"/>
      <c r="LGO103" s="29"/>
      <c r="LGP103" s="29"/>
      <c r="LGQ103" s="29"/>
      <c r="LGR103" s="29"/>
      <c r="LGS103" s="29"/>
      <c r="LGT103" s="29"/>
      <c r="LGU103" s="29"/>
      <c r="LGV103" s="29"/>
      <c r="LGW103" s="29"/>
      <c r="LGX103" s="29"/>
      <c r="LGY103" s="29"/>
      <c r="LGZ103" s="29"/>
      <c r="LHA103" s="29"/>
      <c r="LHB103" s="29"/>
      <c r="LHC103" s="29"/>
      <c r="LHD103" s="29"/>
      <c r="LHE103" s="29"/>
      <c r="LHF103" s="29"/>
      <c r="LHG103" s="29"/>
      <c r="LHH103" s="29"/>
      <c r="LHI103" s="29"/>
      <c r="LHJ103" s="29"/>
      <c r="LHK103" s="29"/>
      <c r="LHL103" s="29"/>
      <c r="LHM103" s="29"/>
      <c r="LHN103" s="29"/>
      <c r="LHO103" s="29"/>
      <c r="LHP103" s="29"/>
      <c r="LHQ103" s="29"/>
      <c r="LHR103" s="29"/>
      <c r="LHS103" s="29"/>
      <c r="LHT103" s="29"/>
      <c r="LHU103" s="29"/>
      <c r="LHV103" s="29"/>
      <c r="LHW103" s="29"/>
      <c r="LHX103" s="29"/>
      <c r="LHY103" s="29"/>
      <c r="LHZ103" s="29"/>
      <c r="LIA103" s="29"/>
      <c r="LIB103" s="29"/>
      <c r="LIC103" s="29"/>
      <c r="LID103" s="29"/>
      <c r="LIE103" s="29"/>
      <c r="LIF103" s="29"/>
      <c r="LIG103" s="29"/>
      <c r="LIH103" s="29"/>
      <c r="LII103" s="29"/>
      <c r="LIJ103" s="29"/>
      <c r="LIK103" s="29"/>
      <c r="LIL103" s="29"/>
      <c r="LIM103" s="29"/>
      <c r="LIN103" s="29"/>
      <c r="LIO103" s="29"/>
      <c r="LIP103" s="29"/>
      <c r="LIQ103" s="29"/>
      <c r="LIR103" s="29"/>
      <c r="LIS103" s="29"/>
      <c r="LIT103" s="29"/>
      <c r="LIU103" s="29"/>
      <c r="LIV103" s="29"/>
      <c r="LIW103" s="29"/>
      <c r="LIX103" s="29"/>
      <c r="LIY103" s="29"/>
      <c r="LIZ103" s="29"/>
      <c r="LJA103" s="29"/>
      <c r="LJB103" s="29"/>
      <c r="LJC103" s="29"/>
      <c r="LJD103" s="29"/>
      <c r="LJE103" s="29"/>
      <c r="LJF103" s="29"/>
      <c r="LJG103" s="29"/>
      <c r="LJH103" s="29"/>
      <c r="LJI103" s="29"/>
      <c r="LJJ103" s="29"/>
      <c r="LJK103" s="29"/>
      <c r="LJL103" s="29"/>
      <c r="LJM103" s="29"/>
      <c r="LJN103" s="29"/>
      <c r="LJO103" s="29"/>
      <c r="LJP103" s="29"/>
      <c r="LJQ103" s="29"/>
      <c r="LJR103" s="29"/>
      <c r="LJS103" s="29"/>
      <c r="LJT103" s="29"/>
      <c r="LJU103" s="29"/>
      <c r="LJV103" s="29"/>
      <c r="LJW103" s="29"/>
      <c r="LJX103" s="29"/>
      <c r="LJY103" s="29"/>
      <c r="LJZ103" s="29"/>
      <c r="LKA103" s="29"/>
      <c r="LKB103" s="29"/>
      <c r="LKC103" s="29"/>
      <c r="LKD103" s="29"/>
      <c r="LKE103" s="29"/>
      <c r="LKF103" s="29"/>
      <c r="LKG103" s="29"/>
      <c r="LKH103" s="29"/>
      <c r="LKI103" s="29"/>
      <c r="LKJ103" s="29"/>
      <c r="LKK103" s="29"/>
      <c r="LKL103" s="29"/>
      <c r="LKM103" s="29"/>
      <c r="LKN103" s="29"/>
      <c r="LKO103" s="29"/>
      <c r="LKP103" s="29"/>
      <c r="LKQ103" s="29"/>
      <c r="LKR103" s="29"/>
      <c r="LKS103" s="29"/>
      <c r="LKT103" s="29"/>
      <c r="LKU103" s="29"/>
      <c r="LKV103" s="29"/>
      <c r="LKW103" s="29"/>
      <c r="LKX103" s="29"/>
      <c r="LKY103" s="29"/>
      <c r="LKZ103" s="29"/>
      <c r="LLA103" s="29"/>
      <c r="LLB103" s="29"/>
      <c r="LLC103" s="29"/>
      <c r="LLD103" s="29"/>
      <c r="LLE103" s="29"/>
      <c r="LLF103" s="29"/>
      <c r="LLG103" s="29"/>
      <c r="LLH103" s="29"/>
      <c r="LLI103" s="29"/>
      <c r="LLJ103" s="29"/>
      <c r="LLK103" s="29"/>
      <c r="LLL103" s="29"/>
      <c r="LLM103" s="29"/>
      <c r="LLN103" s="29"/>
      <c r="LLO103" s="29"/>
      <c r="LLP103" s="29"/>
      <c r="LLQ103" s="29"/>
      <c r="LLR103" s="29"/>
      <c r="LLS103" s="29"/>
      <c r="LLT103" s="29"/>
      <c r="LLU103" s="29"/>
      <c r="LLV103" s="29"/>
      <c r="LLW103" s="29"/>
      <c r="LLX103" s="29"/>
      <c r="LLY103" s="29"/>
      <c r="LLZ103" s="29"/>
      <c r="LMA103" s="29"/>
      <c r="LMB103" s="29"/>
      <c r="LMC103" s="29"/>
      <c r="LMD103" s="29"/>
      <c r="LME103" s="29"/>
      <c r="LMF103" s="29"/>
      <c r="LMG103" s="29"/>
      <c r="LMH103" s="29"/>
      <c r="LMI103" s="29"/>
      <c r="LMJ103" s="29"/>
      <c r="LMK103" s="29"/>
      <c r="LML103" s="29"/>
      <c r="LMM103" s="29"/>
      <c r="LMN103" s="29"/>
      <c r="LMO103" s="29"/>
      <c r="LMP103" s="29"/>
      <c r="LMQ103" s="29"/>
      <c r="LMR103" s="29"/>
      <c r="LMS103" s="29"/>
      <c r="LMT103" s="29"/>
      <c r="LMU103" s="29"/>
      <c r="LMV103" s="29"/>
      <c r="LMW103" s="29"/>
      <c r="LMX103" s="29"/>
      <c r="LMY103" s="29"/>
      <c r="LMZ103" s="29"/>
      <c r="LNA103" s="29"/>
      <c r="LNB103" s="29"/>
      <c r="LNC103" s="29"/>
      <c r="LND103" s="29"/>
      <c r="LNE103" s="29"/>
      <c r="LNF103" s="29"/>
      <c r="LNG103" s="29"/>
      <c r="LNH103" s="29"/>
      <c r="LNI103" s="29"/>
      <c r="LNJ103" s="29"/>
      <c r="LNK103" s="29"/>
      <c r="LNL103" s="29"/>
      <c r="LNM103" s="29"/>
      <c r="LNN103" s="29"/>
      <c r="LNO103" s="29"/>
      <c r="LNP103" s="29"/>
      <c r="LNQ103" s="29"/>
      <c r="LNR103" s="29"/>
      <c r="LNS103" s="29"/>
      <c r="LNT103" s="29"/>
      <c r="LNU103" s="29"/>
      <c r="LNV103" s="29"/>
      <c r="LNW103" s="29"/>
      <c r="LNX103" s="29"/>
      <c r="LNY103" s="29"/>
      <c r="LNZ103" s="29"/>
      <c r="LOA103" s="29"/>
      <c r="LOB103" s="29"/>
      <c r="LOC103" s="29"/>
      <c r="LOD103" s="29"/>
      <c r="LOE103" s="29"/>
      <c r="LOF103" s="29"/>
      <c r="LOG103" s="29"/>
      <c r="LOH103" s="29"/>
      <c r="LOI103" s="29"/>
      <c r="LOJ103" s="29"/>
      <c r="LOK103" s="29"/>
      <c r="LOL103" s="29"/>
      <c r="LOM103" s="29"/>
      <c r="LON103" s="29"/>
      <c r="LOO103" s="29"/>
      <c r="LOP103" s="29"/>
      <c r="LOQ103" s="29"/>
      <c r="LOR103" s="29"/>
      <c r="LOS103" s="29"/>
      <c r="LOT103" s="29"/>
      <c r="LOU103" s="29"/>
      <c r="LOV103" s="29"/>
      <c r="LOW103" s="29"/>
      <c r="LOX103" s="29"/>
      <c r="LOY103" s="29"/>
      <c r="LOZ103" s="29"/>
      <c r="LPA103" s="29"/>
      <c r="LPB103" s="29"/>
      <c r="LPC103" s="29"/>
      <c r="LPD103" s="29"/>
      <c r="LPE103" s="29"/>
      <c r="LPF103" s="29"/>
      <c r="LPG103" s="29"/>
      <c r="LPH103" s="29"/>
      <c r="LPI103" s="29"/>
      <c r="LPJ103" s="29"/>
      <c r="LPK103" s="29"/>
      <c r="LPL103" s="29"/>
      <c r="LPM103" s="29"/>
      <c r="LPN103" s="29"/>
      <c r="LPO103" s="29"/>
      <c r="LPP103" s="29"/>
      <c r="LPQ103" s="29"/>
      <c r="LPR103" s="29"/>
      <c r="LPS103" s="29"/>
      <c r="LPT103" s="29"/>
      <c r="LPU103" s="29"/>
      <c r="LPV103" s="29"/>
      <c r="LPW103" s="29"/>
      <c r="LPX103" s="29"/>
      <c r="LPY103" s="29"/>
      <c r="LPZ103" s="29"/>
      <c r="LQA103" s="29"/>
      <c r="LQB103" s="29"/>
      <c r="LQC103" s="29"/>
      <c r="LQD103" s="29"/>
      <c r="LQE103" s="29"/>
      <c r="LQF103" s="29"/>
      <c r="LQG103" s="29"/>
      <c r="LQH103" s="29"/>
      <c r="LQI103" s="29"/>
      <c r="LQJ103" s="29"/>
      <c r="LQK103" s="29"/>
      <c r="LQL103" s="29"/>
      <c r="LQM103" s="29"/>
      <c r="LQN103" s="29"/>
      <c r="LQO103" s="29"/>
      <c r="LQP103" s="29"/>
      <c r="LQQ103" s="29"/>
      <c r="LQR103" s="29"/>
      <c r="LQS103" s="29"/>
      <c r="LQT103" s="29"/>
      <c r="LQU103" s="29"/>
      <c r="LQV103" s="29"/>
      <c r="LQW103" s="29"/>
      <c r="LQX103" s="29"/>
      <c r="LQY103" s="29"/>
      <c r="LQZ103" s="29"/>
      <c r="LRA103" s="29"/>
      <c r="LRB103" s="29"/>
      <c r="LRC103" s="29"/>
      <c r="LRD103" s="29"/>
      <c r="LRE103" s="29"/>
      <c r="LRF103" s="29"/>
      <c r="LRG103" s="29"/>
      <c r="LRH103" s="29"/>
      <c r="LRI103" s="29"/>
      <c r="LRJ103" s="29"/>
      <c r="LRK103" s="29"/>
      <c r="LRL103" s="29"/>
      <c r="LRM103" s="29"/>
      <c r="LRN103" s="29"/>
      <c r="LRO103" s="29"/>
      <c r="LRP103" s="29"/>
      <c r="LRQ103" s="29"/>
      <c r="LRR103" s="29"/>
      <c r="LRS103" s="29"/>
      <c r="LRT103" s="29"/>
      <c r="LRU103" s="29"/>
      <c r="LRV103" s="29"/>
      <c r="LRW103" s="29"/>
      <c r="LRX103" s="29"/>
      <c r="LRY103" s="29"/>
      <c r="LRZ103" s="29"/>
      <c r="LSA103" s="29"/>
      <c r="LSB103" s="29"/>
      <c r="LSC103" s="29"/>
      <c r="LSD103" s="29"/>
      <c r="LSE103" s="29"/>
      <c r="LSF103" s="29"/>
      <c r="LSG103" s="29"/>
      <c r="LSH103" s="29"/>
      <c r="LSI103" s="29"/>
      <c r="LSJ103" s="29"/>
      <c r="LSK103" s="29"/>
      <c r="LSL103" s="29"/>
      <c r="LSM103" s="29"/>
      <c r="LSN103" s="29"/>
      <c r="LSO103" s="29"/>
      <c r="LSP103" s="29"/>
      <c r="LSQ103" s="29"/>
      <c r="LSR103" s="29"/>
      <c r="LSS103" s="29"/>
      <c r="LST103" s="29"/>
      <c r="LSU103" s="29"/>
      <c r="LSV103" s="29"/>
      <c r="LSW103" s="29"/>
      <c r="LSX103" s="29"/>
      <c r="LSY103" s="29"/>
      <c r="LSZ103" s="29"/>
      <c r="LTA103" s="29"/>
      <c r="LTB103" s="29"/>
      <c r="LTC103" s="29"/>
      <c r="LTD103" s="29"/>
      <c r="LTE103" s="29"/>
      <c r="LTF103" s="29"/>
      <c r="LTG103" s="29"/>
      <c r="LTH103" s="29"/>
      <c r="LTI103" s="29"/>
      <c r="LTJ103" s="29"/>
      <c r="LTK103" s="29"/>
      <c r="LTL103" s="29"/>
      <c r="LTM103" s="29"/>
      <c r="LTN103" s="29"/>
      <c r="LTO103" s="29"/>
      <c r="LTP103" s="29"/>
      <c r="LTQ103" s="29"/>
      <c r="LTR103" s="29"/>
      <c r="LTS103" s="29"/>
      <c r="LTT103" s="29"/>
      <c r="LTU103" s="29"/>
      <c r="LTV103" s="29"/>
      <c r="LTW103" s="29"/>
      <c r="LTX103" s="29"/>
      <c r="LTY103" s="29"/>
      <c r="LTZ103" s="29"/>
      <c r="LUA103" s="29"/>
      <c r="LUB103" s="29"/>
      <c r="LUC103" s="29"/>
      <c r="LUD103" s="29"/>
      <c r="LUE103" s="29"/>
      <c r="LUF103" s="29"/>
      <c r="LUG103" s="29"/>
      <c r="LUH103" s="29"/>
      <c r="LUI103" s="29"/>
      <c r="LUJ103" s="29"/>
      <c r="LUK103" s="29"/>
      <c r="LUL103" s="29"/>
      <c r="LUM103" s="29"/>
      <c r="LUN103" s="29"/>
      <c r="LUO103" s="29"/>
      <c r="LUP103" s="29"/>
      <c r="LUQ103" s="29"/>
      <c r="LUR103" s="29"/>
      <c r="LUS103" s="29"/>
      <c r="LUT103" s="29"/>
      <c r="LUU103" s="29"/>
      <c r="LUV103" s="29"/>
      <c r="LUW103" s="29"/>
      <c r="LUX103" s="29"/>
      <c r="LUY103" s="29"/>
      <c r="LUZ103" s="29"/>
      <c r="LVA103" s="29"/>
      <c r="LVB103" s="29"/>
      <c r="LVC103" s="29"/>
      <c r="LVD103" s="29"/>
      <c r="LVE103" s="29"/>
      <c r="LVF103" s="29"/>
      <c r="LVG103" s="29"/>
      <c r="LVH103" s="29"/>
      <c r="LVI103" s="29"/>
      <c r="LVJ103" s="29"/>
      <c r="LVK103" s="29"/>
      <c r="LVL103" s="29"/>
      <c r="LVM103" s="29"/>
      <c r="LVN103" s="29"/>
      <c r="LVO103" s="29"/>
      <c r="LVP103" s="29"/>
      <c r="LVQ103" s="29"/>
      <c r="LVR103" s="29"/>
      <c r="LVS103" s="29"/>
      <c r="LVT103" s="29"/>
      <c r="LVU103" s="29"/>
      <c r="LVV103" s="29"/>
      <c r="LVW103" s="29"/>
      <c r="LVX103" s="29"/>
      <c r="LVY103" s="29"/>
      <c r="LVZ103" s="29"/>
      <c r="LWA103" s="29"/>
      <c r="LWB103" s="29"/>
      <c r="LWC103" s="29"/>
      <c r="LWD103" s="29"/>
      <c r="LWE103" s="29"/>
      <c r="LWF103" s="29"/>
      <c r="LWG103" s="29"/>
      <c r="LWH103" s="29"/>
      <c r="LWI103" s="29"/>
      <c r="LWJ103" s="29"/>
      <c r="LWK103" s="29"/>
      <c r="LWL103" s="29"/>
      <c r="LWM103" s="29"/>
      <c r="LWN103" s="29"/>
      <c r="LWO103" s="29"/>
      <c r="LWP103" s="29"/>
      <c r="LWQ103" s="29"/>
      <c r="LWR103" s="29"/>
      <c r="LWS103" s="29"/>
      <c r="LWT103" s="29"/>
      <c r="LWU103" s="29"/>
      <c r="LWV103" s="29"/>
      <c r="LWW103" s="29"/>
      <c r="LWX103" s="29"/>
      <c r="LWY103" s="29"/>
      <c r="LWZ103" s="29"/>
      <c r="LXA103" s="29"/>
      <c r="LXB103" s="29"/>
      <c r="LXC103" s="29"/>
      <c r="LXD103" s="29"/>
      <c r="LXE103" s="29"/>
      <c r="LXF103" s="29"/>
      <c r="LXG103" s="29"/>
      <c r="LXH103" s="29"/>
      <c r="LXI103" s="29"/>
      <c r="LXJ103" s="29"/>
      <c r="LXK103" s="29"/>
      <c r="LXL103" s="29"/>
      <c r="LXM103" s="29"/>
      <c r="LXN103" s="29"/>
      <c r="LXO103" s="29"/>
      <c r="LXP103" s="29"/>
      <c r="LXQ103" s="29"/>
      <c r="LXR103" s="29"/>
      <c r="LXS103" s="29"/>
      <c r="LXT103" s="29"/>
      <c r="LXU103" s="29"/>
      <c r="LXV103" s="29"/>
      <c r="LXW103" s="29"/>
      <c r="LXX103" s="29"/>
      <c r="LXY103" s="29"/>
      <c r="LXZ103" s="29"/>
      <c r="LYA103" s="29"/>
      <c r="LYB103" s="29"/>
      <c r="LYC103" s="29"/>
      <c r="LYD103" s="29"/>
      <c r="LYE103" s="29"/>
      <c r="LYF103" s="29"/>
      <c r="LYG103" s="29"/>
      <c r="LYH103" s="29"/>
      <c r="LYI103" s="29"/>
      <c r="LYJ103" s="29"/>
      <c r="LYK103" s="29"/>
      <c r="LYL103" s="29"/>
      <c r="LYM103" s="29"/>
      <c r="LYN103" s="29"/>
      <c r="LYO103" s="29"/>
      <c r="LYP103" s="29"/>
      <c r="LYQ103" s="29"/>
      <c r="LYR103" s="29"/>
      <c r="LYS103" s="29"/>
      <c r="LYT103" s="29"/>
      <c r="LYU103" s="29"/>
      <c r="LYV103" s="29"/>
      <c r="LYW103" s="29"/>
      <c r="LYX103" s="29"/>
      <c r="LYY103" s="29"/>
      <c r="LYZ103" s="29"/>
      <c r="LZA103" s="29"/>
      <c r="LZB103" s="29"/>
      <c r="LZC103" s="29"/>
      <c r="LZD103" s="29"/>
      <c r="LZE103" s="29"/>
      <c r="LZF103" s="29"/>
      <c r="LZG103" s="29"/>
      <c r="LZH103" s="29"/>
      <c r="LZI103" s="29"/>
      <c r="LZJ103" s="29"/>
      <c r="LZK103" s="29"/>
      <c r="LZL103" s="29"/>
      <c r="LZM103" s="29"/>
      <c r="LZN103" s="29"/>
      <c r="LZO103" s="29"/>
      <c r="LZP103" s="29"/>
      <c r="LZQ103" s="29"/>
      <c r="LZR103" s="29"/>
      <c r="LZS103" s="29"/>
      <c r="LZT103" s="29"/>
      <c r="LZU103" s="29"/>
      <c r="LZV103" s="29"/>
      <c r="LZW103" s="29"/>
      <c r="LZX103" s="29"/>
      <c r="LZY103" s="29"/>
      <c r="LZZ103" s="29"/>
      <c r="MAA103" s="29"/>
      <c r="MAB103" s="29"/>
      <c r="MAC103" s="29"/>
      <c r="MAD103" s="29"/>
      <c r="MAE103" s="29"/>
      <c r="MAF103" s="29"/>
      <c r="MAG103" s="29"/>
      <c r="MAH103" s="29"/>
      <c r="MAI103" s="29"/>
      <c r="MAJ103" s="29"/>
      <c r="MAK103" s="29"/>
      <c r="MAL103" s="29"/>
      <c r="MAM103" s="29"/>
      <c r="MAN103" s="29"/>
      <c r="MAO103" s="29"/>
      <c r="MAP103" s="29"/>
      <c r="MAQ103" s="29"/>
      <c r="MAR103" s="29"/>
      <c r="MAS103" s="29"/>
      <c r="MAT103" s="29"/>
      <c r="MAU103" s="29"/>
      <c r="MAV103" s="29"/>
      <c r="MAW103" s="29"/>
      <c r="MAX103" s="29"/>
      <c r="MAY103" s="29"/>
      <c r="MAZ103" s="29"/>
      <c r="MBA103" s="29"/>
      <c r="MBB103" s="29"/>
      <c r="MBC103" s="29"/>
      <c r="MBD103" s="29"/>
      <c r="MBE103" s="29"/>
      <c r="MBF103" s="29"/>
      <c r="MBG103" s="29"/>
      <c r="MBH103" s="29"/>
      <c r="MBI103" s="29"/>
      <c r="MBJ103" s="29"/>
      <c r="MBK103" s="29"/>
      <c r="MBL103" s="29"/>
      <c r="MBM103" s="29"/>
      <c r="MBN103" s="29"/>
      <c r="MBO103" s="29"/>
      <c r="MBP103" s="29"/>
      <c r="MBQ103" s="29"/>
      <c r="MBR103" s="29"/>
      <c r="MBS103" s="29"/>
      <c r="MBT103" s="29"/>
      <c r="MBU103" s="29"/>
      <c r="MBV103" s="29"/>
      <c r="MBW103" s="29"/>
      <c r="MBX103" s="29"/>
      <c r="MBY103" s="29"/>
      <c r="MBZ103" s="29"/>
      <c r="MCA103" s="29"/>
      <c r="MCB103" s="29"/>
      <c r="MCC103" s="29"/>
      <c r="MCD103" s="29"/>
      <c r="MCE103" s="29"/>
      <c r="MCF103" s="29"/>
      <c r="MCG103" s="29"/>
      <c r="MCH103" s="29"/>
      <c r="MCI103" s="29"/>
      <c r="MCJ103" s="29"/>
      <c r="MCK103" s="29"/>
      <c r="MCL103" s="29"/>
      <c r="MCM103" s="29"/>
      <c r="MCN103" s="29"/>
      <c r="MCO103" s="29"/>
      <c r="MCP103" s="29"/>
      <c r="MCQ103" s="29"/>
      <c r="MCR103" s="29"/>
      <c r="MCS103" s="29"/>
      <c r="MCT103" s="29"/>
      <c r="MCU103" s="29"/>
      <c r="MCV103" s="29"/>
      <c r="MCW103" s="29"/>
      <c r="MCX103" s="29"/>
      <c r="MCY103" s="29"/>
      <c r="MCZ103" s="29"/>
      <c r="MDA103" s="29"/>
      <c r="MDB103" s="29"/>
      <c r="MDC103" s="29"/>
      <c r="MDD103" s="29"/>
      <c r="MDE103" s="29"/>
      <c r="MDF103" s="29"/>
      <c r="MDG103" s="29"/>
      <c r="MDH103" s="29"/>
      <c r="MDI103" s="29"/>
      <c r="MDJ103" s="29"/>
      <c r="MDK103" s="29"/>
      <c r="MDL103" s="29"/>
      <c r="MDM103" s="29"/>
      <c r="MDN103" s="29"/>
      <c r="MDO103" s="29"/>
      <c r="MDP103" s="29"/>
      <c r="MDQ103" s="29"/>
      <c r="MDR103" s="29"/>
      <c r="MDS103" s="29"/>
      <c r="MDT103" s="29"/>
      <c r="MDU103" s="29"/>
      <c r="MDV103" s="29"/>
      <c r="MDW103" s="29"/>
      <c r="MDX103" s="29"/>
      <c r="MDY103" s="29"/>
      <c r="MDZ103" s="29"/>
      <c r="MEA103" s="29"/>
      <c r="MEB103" s="29"/>
      <c r="MEC103" s="29"/>
      <c r="MED103" s="29"/>
      <c r="MEE103" s="29"/>
      <c r="MEF103" s="29"/>
      <c r="MEG103" s="29"/>
      <c r="MEH103" s="29"/>
      <c r="MEI103" s="29"/>
      <c r="MEJ103" s="29"/>
      <c r="MEK103" s="29"/>
      <c r="MEL103" s="29"/>
      <c r="MEM103" s="29"/>
      <c r="MEN103" s="29"/>
      <c r="MEO103" s="29"/>
      <c r="MEP103" s="29"/>
      <c r="MEQ103" s="29"/>
      <c r="MER103" s="29"/>
      <c r="MES103" s="29"/>
      <c r="MET103" s="29"/>
      <c r="MEU103" s="29"/>
      <c r="MEV103" s="29"/>
      <c r="MEW103" s="29"/>
      <c r="MEX103" s="29"/>
      <c r="MEY103" s="29"/>
      <c r="MEZ103" s="29"/>
      <c r="MFA103" s="29"/>
      <c r="MFB103" s="29"/>
      <c r="MFC103" s="29"/>
      <c r="MFD103" s="29"/>
      <c r="MFE103" s="29"/>
      <c r="MFF103" s="29"/>
      <c r="MFG103" s="29"/>
      <c r="MFH103" s="29"/>
      <c r="MFI103" s="29"/>
      <c r="MFJ103" s="29"/>
      <c r="MFK103" s="29"/>
      <c r="MFL103" s="29"/>
      <c r="MFM103" s="29"/>
      <c r="MFN103" s="29"/>
      <c r="MFO103" s="29"/>
      <c r="MFP103" s="29"/>
      <c r="MFQ103" s="29"/>
      <c r="MFR103" s="29"/>
      <c r="MFS103" s="29"/>
      <c r="MFT103" s="29"/>
      <c r="MFU103" s="29"/>
      <c r="MFV103" s="29"/>
      <c r="MFW103" s="29"/>
      <c r="MFX103" s="29"/>
      <c r="MFY103" s="29"/>
      <c r="MFZ103" s="29"/>
      <c r="MGA103" s="29"/>
      <c r="MGB103" s="29"/>
      <c r="MGC103" s="29"/>
      <c r="MGD103" s="29"/>
      <c r="MGE103" s="29"/>
      <c r="MGF103" s="29"/>
      <c r="MGG103" s="29"/>
      <c r="MGH103" s="29"/>
      <c r="MGI103" s="29"/>
      <c r="MGJ103" s="29"/>
      <c r="MGK103" s="29"/>
      <c r="MGL103" s="29"/>
      <c r="MGM103" s="29"/>
      <c r="MGN103" s="29"/>
      <c r="MGO103" s="29"/>
      <c r="MGP103" s="29"/>
      <c r="MGQ103" s="29"/>
      <c r="MGR103" s="29"/>
      <c r="MGS103" s="29"/>
      <c r="MGT103" s="29"/>
      <c r="MGU103" s="29"/>
      <c r="MGV103" s="29"/>
      <c r="MGW103" s="29"/>
      <c r="MGX103" s="29"/>
      <c r="MGY103" s="29"/>
      <c r="MGZ103" s="29"/>
      <c r="MHA103" s="29"/>
      <c r="MHB103" s="29"/>
      <c r="MHC103" s="29"/>
      <c r="MHD103" s="29"/>
      <c r="MHE103" s="29"/>
      <c r="MHF103" s="29"/>
      <c r="MHG103" s="29"/>
      <c r="MHH103" s="29"/>
      <c r="MHI103" s="29"/>
      <c r="MHJ103" s="29"/>
      <c r="MHK103" s="29"/>
      <c r="MHL103" s="29"/>
      <c r="MHM103" s="29"/>
      <c r="MHN103" s="29"/>
      <c r="MHO103" s="29"/>
      <c r="MHP103" s="29"/>
      <c r="MHQ103" s="29"/>
      <c r="MHR103" s="29"/>
      <c r="MHS103" s="29"/>
      <c r="MHT103" s="29"/>
      <c r="MHU103" s="29"/>
      <c r="MHV103" s="29"/>
      <c r="MHW103" s="29"/>
      <c r="MHX103" s="29"/>
      <c r="MHY103" s="29"/>
      <c r="MHZ103" s="29"/>
      <c r="MIA103" s="29"/>
      <c r="MIB103" s="29"/>
      <c r="MIC103" s="29"/>
      <c r="MID103" s="29"/>
      <c r="MIE103" s="29"/>
      <c r="MIF103" s="29"/>
      <c r="MIG103" s="29"/>
      <c r="MIH103" s="29"/>
      <c r="MII103" s="29"/>
      <c r="MIJ103" s="29"/>
      <c r="MIK103" s="29"/>
      <c r="MIL103" s="29"/>
      <c r="MIM103" s="29"/>
      <c r="MIN103" s="29"/>
      <c r="MIO103" s="29"/>
      <c r="MIP103" s="29"/>
      <c r="MIQ103" s="29"/>
      <c r="MIR103" s="29"/>
      <c r="MIS103" s="29"/>
      <c r="MIT103" s="29"/>
      <c r="MIU103" s="29"/>
      <c r="MIV103" s="29"/>
      <c r="MIW103" s="29"/>
      <c r="MIX103" s="29"/>
      <c r="MIY103" s="29"/>
      <c r="MIZ103" s="29"/>
      <c r="MJA103" s="29"/>
      <c r="MJB103" s="29"/>
      <c r="MJC103" s="29"/>
      <c r="MJD103" s="29"/>
      <c r="MJE103" s="29"/>
      <c r="MJF103" s="29"/>
      <c r="MJG103" s="29"/>
      <c r="MJH103" s="29"/>
      <c r="MJI103" s="29"/>
      <c r="MJJ103" s="29"/>
      <c r="MJK103" s="29"/>
      <c r="MJL103" s="29"/>
      <c r="MJM103" s="29"/>
      <c r="MJN103" s="29"/>
      <c r="MJO103" s="29"/>
      <c r="MJP103" s="29"/>
      <c r="MJQ103" s="29"/>
      <c r="MJR103" s="29"/>
      <c r="MJS103" s="29"/>
      <c r="MJT103" s="29"/>
      <c r="MJU103" s="29"/>
      <c r="MJV103" s="29"/>
      <c r="MJW103" s="29"/>
      <c r="MJX103" s="29"/>
      <c r="MJY103" s="29"/>
      <c r="MJZ103" s="29"/>
      <c r="MKA103" s="29"/>
      <c r="MKB103" s="29"/>
      <c r="MKC103" s="29"/>
      <c r="MKD103" s="29"/>
      <c r="MKE103" s="29"/>
      <c r="MKF103" s="29"/>
      <c r="MKG103" s="29"/>
      <c r="MKH103" s="29"/>
      <c r="MKI103" s="29"/>
      <c r="MKJ103" s="29"/>
      <c r="MKK103" s="29"/>
      <c r="MKL103" s="29"/>
      <c r="MKM103" s="29"/>
      <c r="MKN103" s="29"/>
      <c r="MKO103" s="29"/>
      <c r="MKP103" s="29"/>
      <c r="MKQ103" s="29"/>
      <c r="MKR103" s="29"/>
      <c r="MKS103" s="29"/>
      <c r="MKT103" s="29"/>
      <c r="MKU103" s="29"/>
      <c r="MKV103" s="29"/>
      <c r="MKW103" s="29"/>
      <c r="MKX103" s="29"/>
      <c r="MKY103" s="29"/>
      <c r="MKZ103" s="29"/>
      <c r="MLA103" s="29"/>
      <c r="MLB103" s="29"/>
      <c r="MLC103" s="29"/>
      <c r="MLD103" s="29"/>
      <c r="MLE103" s="29"/>
      <c r="MLF103" s="29"/>
      <c r="MLG103" s="29"/>
      <c r="MLH103" s="29"/>
      <c r="MLI103" s="29"/>
      <c r="MLJ103" s="29"/>
      <c r="MLK103" s="29"/>
      <c r="MLL103" s="29"/>
      <c r="MLM103" s="29"/>
      <c r="MLN103" s="29"/>
      <c r="MLO103" s="29"/>
      <c r="MLP103" s="29"/>
      <c r="MLQ103" s="29"/>
      <c r="MLR103" s="29"/>
      <c r="MLS103" s="29"/>
      <c r="MLT103" s="29"/>
      <c r="MLU103" s="29"/>
      <c r="MLV103" s="29"/>
      <c r="MLW103" s="29"/>
      <c r="MLX103" s="29"/>
      <c r="MLY103" s="29"/>
      <c r="MLZ103" s="29"/>
      <c r="MMA103" s="29"/>
      <c r="MMB103" s="29"/>
      <c r="MMC103" s="29"/>
      <c r="MMD103" s="29"/>
      <c r="MME103" s="29"/>
      <c r="MMF103" s="29"/>
      <c r="MMG103" s="29"/>
      <c r="MMH103" s="29"/>
      <c r="MMI103" s="29"/>
      <c r="MMJ103" s="29"/>
      <c r="MMK103" s="29"/>
      <c r="MML103" s="29"/>
      <c r="MMM103" s="29"/>
      <c r="MMN103" s="29"/>
      <c r="MMO103" s="29"/>
      <c r="MMP103" s="29"/>
      <c r="MMQ103" s="29"/>
      <c r="MMR103" s="29"/>
      <c r="MMS103" s="29"/>
      <c r="MMT103" s="29"/>
      <c r="MMU103" s="29"/>
      <c r="MMV103" s="29"/>
      <c r="MMW103" s="29"/>
      <c r="MMX103" s="29"/>
      <c r="MMY103" s="29"/>
      <c r="MMZ103" s="29"/>
      <c r="MNA103" s="29"/>
      <c r="MNB103" s="29"/>
      <c r="MNC103" s="29"/>
      <c r="MND103" s="29"/>
      <c r="MNE103" s="29"/>
      <c r="MNF103" s="29"/>
      <c r="MNG103" s="29"/>
      <c r="MNH103" s="29"/>
      <c r="MNI103" s="29"/>
      <c r="MNJ103" s="29"/>
      <c r="MNK103" s="29"/>
      <c r="MNL103" s="29"/>
      <c r="MNM103" s="29"/>
      <c r="MNN103" s="29"/>
      <c r="MNO103" s="29"/>
      <c r="MNP103" s="29"/>
      <c r="MNQ103" s="29"/>
      <c r="MNR103" s="29"/>
      <c r="MNS103" s="29"/>
      <c r="MNT103" s="29"/>
      <c r="MNU103" s="29"/>
      <c r="MNV103" s="29"/>
      <c r="MNW103" s="29"/>
      <c r="MNX103" s="29"/>
      <c r="MNY103" s="29"/>
      <c r="MNZ103" s="29"/>
      <c r="MOA103" s="29"/>
      <c r="MOB103" s="29"/>
      <c r="MOC103" s="29"/>
      <c r="MOD103" s="29"/>
      <c r="MOE103" s="29"/>
      <c r="MOF103" s="29"/>
      <c r="MOG103" s="29"/>
      <c r="MOH103" s="29"/>
      <c r="MOI103" s="29"/>
      <c r="MOJ103" s="29"/>
      <c r="MOK103" s="29"/>
      <c r="MOL103" s="29"/>
      <c r="MOM103" s="29"/>
      <c r="MON103" s="29"/>
      <c r="MOO103" s="29"/>
      <c r="MOP103" s="29"/>
      <c r="MOQ103" s="29"/>
      <c r="MOR103" s="29"/>
      <c r="MOS103" s="29"/>
      <c r="MOT103" s="29"/>
      <c r="MOU103" s="29"/>
      <c r="MOV103" s="29"/>
      <c r="MOW103" s="29"/>
      <c r="MOX103" s="29"/>
      <c r="MOY103" s="29"/>
      <c r="MOZ103" s="29"/>
      <c r="MPA103" s="29"/>
      <c r="MPB103" s="29"/>
      <c r="MPC103" s="29"/>
      <c r="MPD103" s="29"/>
      <c r="MPE103" s="29"/>
      <c r="MPF103" s="29"/>
      <c r="MPG103" s="29"/>
      <c r="MPH103" s="29"/>
      <c r="MPI103" s="29"/>
      <c r="MPJ103" s="29"/>
      <c r="MPK103" s="29"/>
      <c r="MPL103" s="29"/>
      <c r="MPM103" s="29"/>
      <c r="MPN103" s="29"/>
      <c r="MPO103" s="29"/>
      <c r="MPP103" s="29"/>
      <c r="MPQ103" s="29"/>
      <c r="MPR103" s="29"/>
      <c r="MPS103" s="29"/>
      <c r="MPT103" s="29"/>
      <c r="MPU103" s="29"/>
      <c r="MPV103" s="29"/>
      <c r="MPW103" s="29"/>
      <c r="MPX103" s="29"/>
      <c r="MPY103" s="29"/>
      <c r="MPZ103" s="29"/>
      <c r="MQA103" s="29"/>
      <c r="MQB103" s="29"/>
      <c r="MQC103" s="29"/>
      <c r="MQD103" s="29"/>
      <c r="MQE103" s="29"/>
      <c r="MQF103" s="29"/>
      <c r="MQG103" s="29"/>
      <c r="MQH103" s="29"/>
      <c r="MQI103" s="29"/>
      <c r="MQJ103" s="29"/>
      <c r="MQK103" s="29"/>
      <c r="MQL103" s="29"/>
      <c r="MQM103" s="29"/>
      <c r="MQN103" s="29"/>
      <c r="MQO103" s="29"/>
      <c r="MQP103" s="29"/>
      <c r="MQQ103" s="29"/>
      <c r="MQR103" s="29"/>
      <c r="MQS103" s="29"/>
      <c r="MQT103" s="29"/>
      <c r="MQU103" s="29"/>
      <c r="MQV103" s="29"/>
      <c r="MQW103" s="29"/>
      <c r="MQX103" s="29"/>
      <c r="MQY103" s="29"/>
      <c r="MQZ103" s="29"/>
      <c r="MRA103" s="29"/>
      <c r="MRB103" s="29"/>
      <c r="MRC103" s="29"/>
      <c r="MRD103" s="29"/>
      <c r="MRE103" s="29"/>
      <c r="MRF103" s="29"/>
      <c r="MRG103" s="29"/>
      <c r="MRH103" s="29"/>
      <c r="MRI103" s="29"/>
      <c r="MRJ103" s="29"/>
      <c r="MRK103" s="29"/>
      <c r="MRL103" s="29"/>
      <c r="MRM103" s="29"/>
      <c r="MRN103" s="29"/>
      <c r="MRO103" s="29"/>
      <c r="MRP103" s="29"/>
      <c r="MRQ103" s="29"/>
      <c r="MRR103" s="29"/>
      <c r="MRS103" s="29"/>
      <c r="MRT103" s="29"/>
      <c r="MRU103" s="29"/>
      <c r="MRV103" s="29"/>
      <c r="MRW103" s="29"/>
      <c r="MRX103" s="29"/>
      <c r="MRY103" s="29"/>
      <c r="MRZ103" s="29"/>
      <c r="MSA103" s="29"/>
      <c r="MSB103" s="29"/>
      <c r="MSC103" s="29"/>
      <c r="MSD103" s="29"/>
      <c r="MSE103" s="29"/>
      <c r="MSF103" s="29"/>
      <c r="MSG103" s="29"/>
      <c r="MSH103" s="29"/>
      <c r="MSI103" s="29"/>
      <c r="MSJ103" s="29"/>
      <c r="MSK103" s="29"/>
      <c r="MSL103" s="29"/>
      <c r="MSM103" s="29"/>
      <c r="MSN103" s="29"/>
      <c r="MSO103" s="29"/>
      <c r="MSP103" s="29"/>
      <c r="MSQ103" s="29"/>
      <c r="MSR103" s="29"/>
      <c r="MSS103" s="29"/>
      <c r="MST103" s="29"/>
      <c r="MSU103" s="29"/>
      <c r="MSV103" s="29"/>
      <c r="MSW103" s="29"/>
      <c r="MSX103" s="29"/>
      <c r="MSY103" s="29"/>
      <c r="MSZ103" s="29"/>
      <c r="MTA103" s="29"/>
      <c r="MTB103" s="29"/>
      <c r="MTC103" s="29"/>
      <c r="MTD103" s="29"/>
      <c r="MTE103" s="29"/>
      <c r="MTF103" s="29"/>
      <c r="MTG103" s="29"/>
      <c r="MTH103" s="29"/>
      <c r="MTI103" s="29"/>
      <c r="MTJ103" s="29"/>
      <c r="MTK103" s="29"/>
      <c r="MTL103" s="29"/>
      <c r="MTM103" s="29"/>
      <c r="MTN103" s="29"/>
      <c r="MTO103" s="29"/>
      <c r="MTP103" s="29"/>
      <c r="MTQ103" s="29"/>
      <c r="MTR103" s="29"/>
      <c r="MTS103" s="29"/>
      <c r="MTT103" s="29"/>
      <c r="MTU103" s="29"/>
      <c r="MTV103" s="29"/>
      <c r="MTW103" s="29"/>
      <c r="MTX103" s="29"/>
      <c r="MTY103" s="29"/>
      <c r="MTZ103" s="29"/>
      <c r="MUA103" s="29"/>
      <c r="MUB103" s="29"/>
      <c r="MUC103" s="29"/>
      <c r="MUD103" s="29"/>
      <c r="MUE103" s="29"/>
      <c r="MUF103" s="29"/>
      <c r="MUG103" s="29"/>
      <c r="MUH103" s="29"/>
      <c r="MUI103" s="29"/>
      <c r="MUJ103" s="29"/>
      <c r="MUK103" s="29"/>
      <c r="MUL103" s="29"/>
      <c r="MUM103" s="29"/>
      <c r="MUN103" s="29"/>
      <c r="MUO103" s="29"/>
      <c r="MUP103" s="29"/>
      <c r="MUQ103" s="29"/>
      <c r="MUR103" s="29"/>
      <c r="MUS103" s="29"/>
      <c r="MUT103" s="29"/>
      <c r="MUU103" s="29"/>
      <c r="MUV103" s="29"/>
      <c r="MUW103" s="29"/>
      <c r="MUX103" s="29"/>
      <c r="MUY103" s="29"/>
      <c r="MUZ103" s="29"/>
      <c r="MVA103" s="29"/>
      <c r="MVB103" s="29"/>
      <c r="MVC103" s="29"/>
      <c r="MVD103" s="29"/>
      <c r="MVE103" s="29"/>
      <c r="MVF103" s="29"/>
      <c r="MVG103" s="29"/>
      <c r="MVH103" s="29"/>
      <c r="MVI103" s="29"/>
      <c r="MVJ103" s="29"/>
      <c r="MVK103" s="29"/>
      <c r="MVL103" s="29"/>
      <c r="MVM103" s="29"/>
      <c r="MVN103" s="29"/>
      <c r="MVO103" s="29"/>
      <c r="MVP103" s="29"/>
      <c r="MVQ103" s="29"/>
      <c r="MVR103" s="29"/>
      <c r="MVS103" s="29"/>
      <c r="MVT103" s="29"/>
      <c r="MVU103" s="29"/>
      <c r="MVV103" s="29"/>
      <c r="MVW103" s="29"/>
      <c r="MVX103" s="29"/>
      <c r="MVY103" s="29"/>
      <c r="MVZ103" s="29"/>
      <c r="MWA103" s="29"/>
      <c r="MWB103" s="29"/>
      <c r="MWC103" s="29"/>
      <c r="MWD103" s="29"/>
      <c r="MWE103" s="29"/>
      <c r="MWF103" s="29"/>
      <c r="MWG103" s="29"/>
      <c r="MWH103" s="29"/>
      <c r="MWI103" s="29"/>
      <c r="MWJ103" s="29"/>
      <c r="MWK103" s="29"/>
      <c r="MWL103" s="29"/>
      <c r="MWM103" s="29"/>
      <c r="MWN103" s="29"/>
      <c r="MWO103" s="29"/>
      <c r="MWP103" s="29"/>
      <c r="MWQ103" s="29"/>
      <c r="MWR103" s="29"/>
      <c r="MWS103" s="29"/>
      <c r="MWT103" s="29"/>
      <c r="MWU103" s="29"/>
      <c r="MWV103" s="29"/>
      <c r="MWW103" s="29"/>
      <c r="MWX103" s="29"/>
      <c r="MWY103" s="29"/>
      <c r="MWZ103" s="29"/>
      <c r="MXA103" s="29"/>
      <c r="MXB103" s="29"/>
      <c r="MXC103" s="29"/>
      <c r="MXD103" s="29"/>
      <c r="MXE103" s="29"/>
      <c r="MXF103" s="29"/>
      <c r="MXG103" s="29"/>
      <c r="MXH103" s="29"/>
      <c r="MXI103" s="29"/>
      <c r="MXJ103" s="29"/>
      <c r="MXK103" s="29"/>
      <c r="MXL103" s="29"/>
      <c r="MXM103" s="29"/>
      <c r="MXN103" s="29"/>
      <c r="MXO103" s="29"/>
      <c r="MXP103" s="29"/>
      <c r="MXQ103" s="29"/>
      <c r="MXR103" s="29"/>
      <c r="MXS103" s="29"/>
      <c r="MXT103" s="29"/>
      <c r="MXU103" s="29"/>
      <c r="MXV103" s="29"/>
      <c r="MXW103" s="29"/>
      <c r="MXX103" s="29"/>
      <c r="MXY103" s="29"/>
      <c r="MXZ103" s="29"/>
      <c r="MYA103" s="29"/>
      <c r="MYB103" s="29"/>
      <c r="MYC103" s="29"/>
      <c r="MYD103" s="29"/>
      <c r="MYE103" s="29"/>
      <c r="MYF103" s="29"/>
      <c r="MYG103" s="29"/>
      <c r="MYH103" s="29"/>
      <c r="MYI103" s="29"/>
      <c r="MYJ103" s="29"/>
      <c r="MYK103" s="29"/>
      <c r="MYL103" s="29"/>
      <c r="MYM103" s="29"/>
      <c r="MYN103" s="29"/>
      <c r="MYO103" s="29"/>
      <c r="MYP103" s="29"/>
      <c r="MYQ103" s="29"/>
      <c r="MYR103" s="29"/>
      <c r="MYS103" s="29"/>
      <c r="MYT103" s="29"/>
      <c r="MYU103" s="29"/>
      <c r="MYV103" s="29"/>
      <c r="MYW103" s="29"/>
      <c r="MYX103" s="29"/>
      <c r="MYY103" s="29"/>
      <c r="MYZ103" s="29"/>
      <c r="MZA103" s="29"/>
      <c r="MZB103" s="29"/>
      <c r="MZC103" s="29"/>
      <c r="MZD103" s="29"/>
      <c r="MZE103" s="29"/>
      <c r="MZF103" s="29"/>
      <c r="MZG103" s="29"/>
      <c r="MZH103" s="29"/>
      <c r="MZI103" s="29"/>
      <c r="MZJ103" s="29"/>
      <c r="MZK103" s="29"/>
      <c r="MZL103" s="29"/>
      <c r="MZM103" s="29"/>
      <c r="MZN103" s="29"/>
      <c r="MZO103" s="29"/>
      <c r="MZP103" s="29"/>
      <c r="MZQ103" s="29"/>
      <c r="MZR103" s="29"/>
      <c r="MZS103" s="29"/>
      <c r="MZT103" s="29"/>
      <c r="MZU103" s="29"/>
      <c r="MZV103" s="29"/>
      <c r="MZW103" s="29"/>
      <c r="MZX103" s="29"/>
      <c r="MZY103" s="29"/>
      <c r="MZZ103" s="29"/>
      <c r="NAA103" s="29"/>
      <c r="NAB103" s="29"/>
      <c r="NAC103" s="29"/>
      <c r="NAD103" s="29"/>
      <c r="NAE103" s="29"/>
      <c r="NAF103" s="29"/>
      <c r="NAG103" s="29"/>
      <c r="NAH103" s="29"/>
      <c r="NAI103" s="29"/>
      <c r="NAJ103" s="29"/>
      <c r="NAK103" s="29"/>
      <c r="NAL103" s="29"/>
      <c r="NAM103" s="29"/>
      <c r="NAN103" s="29"/>
      <c r="NAO103" s="29"/>
      <c r="NAP103" s="29"/>
      <c r="NAQ103" s="29"/>
      <c r="NAR103" s="29"/>
      <c r="NAS103" s="29"/>
      <c r="NAT103" s="29"/>
      <c r="NAU103" s="29"/>
      <c r="NAV103" s="29"/>
      <c r="NAW103" s="29"/>
      <c r="NAX103" s="29"/>
      <c r="NAY103" s="29"/>
      <c r="NAZ103" s="29"/>
      <c r="NBA103" s="29"/>
      <c r="NBB103" s="29"/>
      <c r="NBC103" s="29"/>
      <c r="NBD103" s="29"/>
      <c r="NBE103" s="29"/>
      <c r="NBF103" s="29"/>
      <c r="NBG103" s="29"/>
      <c r="NBH103" s="29"/>
      <c r="NBI103" s="29"/>
      <c r="NBJ103" s="29"/>
      <c r="NBK103" s="29"/>
      <c r="NBL103" s="29"/>
      <c r="NBM103" s="29"/>
      <c r="NBN103" s="29"/>
      <c r="NBO103" s="29"/>
      <c r="NBP103" s="29"/>
      <c r="NBQ103" s="29"/>
      <c r="NBR103" s="29"/>
      <c r="NBS103" s="29"/>
      <c r="NBT103" s="29"/>
      <c r="NBU103" s="29"/>
      <c r="NBV103" s="29"/>
      <c r="NBW103" s="29"/>
      <c r="NBX103" s="29"/>
      <c r="NBY103" s="29"/>
      <c r="NBZ103" s="29"/>
      <c r="NCA103" s="29"/>
      <c r="NCB103" s="29"/>
      <c r="NCC103" s="29"/>
      <c r="NCD103" s="29"/>
      <c r="NCE103" s="29"/>
      <c r="NCF103" s="29"/>
      <c r="NCG103" s="29"/>
      <c r="NCH103" s="29"/>
      <c r="NCI103" s="29"/>
      <c r="NCJ103" s="29"/>
      <c r="NCK103" s="29"/>
      <c r="NCL103" s="29"/>
      <c r="NCM103" s="29"/>
      <c r="NCN103" s="29"/>
      <c r="NCO103" s="29"/>
      <c r="NCP103" s="29"/>
      <c r="NCQ103" s="29"/>
      <c r="NCR103" s="29"/>
      <c r="NCS103" s="29"/>
      <c r="NCT103" s="29"/>
      <c r="NCU103" s="29"/>
      <c r="NCV103" s="29"/>
      <c r="NCW103" s="29"/>
      <c r="NCX103" s="29"/>
      <c r="NCY103" s="29"/>
      <c r="NCZ103" s="29"/>
      <c r="NDA103" s="29"/>
      <c r="NDB103" s="29"/>
      <c r="NDC103" s="29"/>
      <c r="NDD103" s="29"/>
      <c r="NDE103" s="29"/>
      <c r="NDF103" s="29"/>
      <c r="NDG103" s="29"/>
      <c r="NDH103" s="29"/>
      <c r="NDI103" s="29"/>
      <c r="NDJ103" s="29"/>
      <c r="NDK103" s="29"/>
      <c r="NDL103" s="29"/>
      <c r="NDM103" s="29"/>
      <c r="NDN103" s="29"/>
      <c r="NDO103" s="29"/>
      <c r="NDP103" s="29"/>
      <c r="NDQ103" s="29"/>
      <c r="NDR103" s="29"/>
      <c r="NDS103" s="29"/>
      <c r="NDT103" s="29"/>
      <c r="NDU103" s="29"/>
      <c r="NDV103" s="29"/>
      <c r="NDW103" s="29"/>
      <c r="NDX103" s="29"/>
      <c r="NDY103" s="29"/>
      <c r="NDZ103" s="29"/>
      <c r="NEA103" s="29"/>
      <c r="NEB103" s="29"/>
      <c r="NEC103" s="29"/>
      <c r="NED103" s="29"/>
      <c r="NEE103" s="29"/>
      <c r="NEF103" s="29"/>
      <c r="NEG103" s="29"/>
      <c r="NEH103" s="29"/>
      <c r="NEI103" s="29"/>
      <c r="NEJ103" s="29"/>
      <c r="NEK103" s="29"/>
      <c r="NEL103" s="29"/>
      <c r="NEM103" s="29"/>
      <c r="NEN103" s="29"/>
      <c r="NEO103" s="29"/>
      <c r="NEP103" s="29"/>
      <c r="NEQ103" s="29"/>
      <c r="NER103" s="29"/>
      <c r="NES103" s="29"/>
      <c r="NET103" s="29"/>
      <c r="NEU103" s="29"/>
      <c r="NEV103" s="29"/>
      <c r="NEW103" s="29"/>
      <c r="NEX103" s="29"/>
      <c r="NEY103" s="29"/>
      <c r="NEZ103" s="29"/>
      <c r="NFA103" s="29"/>
      <c r="NFB103" s="29"/>
      <c r="NFC103" s="29"/>
      <c r="NFD103" s="29"/>
      <c r="NFE103" s="29"/>
      <c r="NFF103" s="29"/>
      <c r="NFG103" s="29"/>
      <c r="NFH103" s="29"/>
      <c r="NFI103" s="29"/>
      <c r="NFJ103" s="29"/>
      <c r="NFK103" s="29"/>
      <c r="NFL103" s="29"/>
      <c r="NFM103" s="29"/>
      <c r="NFN103" s="29"/>
      <c r="NFO103" s="29"/>
      <c r="NFP103" s="29"/>
      <c r="NFQ103" s="29"/>
      <c r="NFR103" s="29"/>
      <c r="NFS103" s="29"/>
      <c r="NFT103" s="29"/>
      <c r="NFU103" s="29"/>
      <c r="NFV103" s="29"/>
      <c r="NFW103" s="29"/>
      <c r="NFX103" s="29"/>
      <c r="NFY103" s="29"/>
      <c r="NFZ103" s="29"/>
      <c r="NGA103" s="29"/>
      <c r="NGB103" s="29"/>
      <c r="NGC103" s="29"/>
      <c r="NGD103" s="29"/>
      <c r="NGE103" s="29"/>
      <c r="NGF103" s="29"/>
      <c r="NGG103" s="29"/>
      <c r="NGH103" s="29"/>
      <c r="NGI103" s="29"/>
      <c r="NGJ103" s="29"/>
      <c r="NGK103" s="29"/>
      <c r="NGL103" s="29"/>
      <c r="NGM103" s="29"/>
      <c r="NGN103" s="29"/>
      <c r="NGO103" s="29"/>
      <c r="NGP103" s="29"/>
      <c r="NGQ103" s="29"/>
      <c r="NGR103" s="29"/>
      <c r="NGS103" s="29"/>
      <c r="NGT103" s="29"/>
      <c r="NGU103" s="29"/>
      <c r="NGV103" s="29"/>
      <c r="NGW103" s="29"/>
      <c r="NGX103" s="29"/>
      <c r="NGY103" s="29"/>
      <c r="NGZ103" s="29"/>
      <c r="NHA103" s="29"/>
      <c r="NHB103" s="29"/>
      <c r="NHC103" s="29"/>
      <c r="NHD103" s="29"/>
      <c r="NHE103" s="29"/>
      <c r="NHF103" s="29"/>
      <c r="NHG103" s="29"/>
      <c r="NHH103" s="29"/>
      <c r="NHI103" s="29"/>
      <c r="NHJ103" s="29"/>
      <c r="NHK103" s="29"/>
      <c r="NHL103" s="29"/>
      <c r="NHM103" s="29"/>
      <c r="NHN103" s="29"/>
      <c r="NHO103" s="29"/>
      <c r="NHP103" s="29"/>
      <c r="NHQ103" s="29"/>
      <c r="NHR103" s="29"/>
      <c r="NHS103" s="29"/>
      <c r="NHT103" s="29"/>
      <c r="NHU103" s="29"/>
      <c r="NHV103" s="29"/>
      <c r="NHW103" s="29"/>
      <c r="NHX103" s="29"/>
      <c r="NHY103" s="29"/>
      <c r="NHZ103" s="29"/>
      <c r="NIA103" s="29"/>
      <c r="NIB103" s="29"/>
      <c r="NIC103" s="29"/>
      <c r="NID103" s="29"/>
      <c r="NIE103" s="29"/>
      <c r="NIF103" s="29"/>
      <c r="NIG103" s="29"/>
      <c r="NIH103" s="29"/>
      <c r="NII103" s="29"/>
      <c r="NIJ103" s="29"/>
      <c r="NIK103" s="29"/>
      <c r="NIL103" s="29"/>
      <c r="NIM103" s="29"/>
      <c r="NIN103" s="29"/>
      <c r="NIO103" s="29"/>
      <c r="NIP103" s="29"/>
      <c r="NIQ103" s="29"/>
      <c r="NIR103" s="29"/>
      <c r="NIS103" s="29"/>
      <c r="NIT103" s="29"/>
      <c r="NIU103" s="29"/>
      <c r="NIV103" s="29"/>
      <c r="NIW103" s="29"/>
      <c r="NIX103" s="29"/>
      <c r="NIY103" s="29"/>
      <c r="NIZ103" s="29"/>
      <c r="NJA103" s="29"/>
      <c r="NJB103" s="29"/>
      <c r="NJC103" s="29"/>
      <c r="NJD103" s="29"/>
      <c r="NJE103" s="29"/>
      <c r="NJF103" s="29"/>
      <c r="NJG103" s="29"/>
      <c r="NJH103" s="29"/>
      <c r="NJI103" s="29"/>
      <c r="NJJ103" s="29"/>
      <c r="NJK103" s="29"/>
      <c r="NJL103" s="29"/>
      <c r="NJM103" s="29"/>
      <c r="NJN103" s="29"/>
      <c r="NJO103" s="29"/>
      <c r="NJP103" s="29"/>
      <c r="NJQ103" s="29"/>
      <c r="NJR103" s="29"/>
      <c r="NJS103" s="29"/>
      <c r="NJT103" s="29"/>
      <c r="NJU103" s="29"/>
      <c r="NJV103" s="29"/>
      <c r="NJW103" s="29"/>
      <c r="NJX103" s="29"/>
      <c r="NJY103" s="29"/>
      <c r="NJZ103" s="29"/>
      <c r="NKA103" s="29"/>
      <c r="NKB103" s="29"/>
      <c r="NKC103" s="29"/>
      <c r="NKD103" s="29"/>
      <c r="NKE103" s="29"/>
      <c r="NKF103" s="29"/>
      <c r="NKG103" s="29"/>
      <c r="NKH103" s="29"/>
      <c r="NKI103" s="29"/>
      <c r="NKJ103" s="29"/>
      <c r="NKK103" s="29"/>
      <c r="NKL103" s="29"/>
      <c r="NKM103" s="29"/>
      <c r="NKN103" s="29"/>
      <c r="NKO103" s="29"/>
      <c r="NKP103" s="29"/>
      <c r="NKQ103" s="29"/>
      <c r="NKR103" s="29"/>
      <c r="NKS103" s="29"/>
      <c r="NKT103" s="29"/>
      <c r="NKU103" s="29"/>
      <c r="NKV103" s="29"/>
      <c r="NKW103" s="29"/>
      <c r="NKX103" s="29"/>
      <c r="NKY103" s="29"/>
      <c r="NKZ103" s="29"/>
      <c r="NLA103" s="29"/>
      <c r="NLB103" s="29"/>
      <c r="NLC103" s="29"/>
      <c r="NLD103" s="29"/>
      <c r="NLE103" s="29"/>
      <c r="NLF103" s="29"/>
      <c r="NLG103" s="29"/>
      <c r="NLH103" s="29"/>
      <c r="NLI103" s="29"/>
      <c r="NLJ103" s="29"/>
      <c r="NLK103" s="29"/>
      <c r="NLL103" s="29"/>
      <c r="NLM103" s="29"/>
      <c r="NLN103" s="29"/>
      <c r="NLO103" s="29"/>
      <c r="NLP103" s="29"/>
      <c r="NLQ103" s="29"/>
      <c r="NLR103" s="29"/>
      <c r="NLS103" s="29"/>
      <c r="NLT103" s="29"/>
      <c r="NLU103" s="29"/>
      <c r="NLV103" s="29"/>
      <c r="NLW103" s="29"/>
      <c r="NLX103" s="29"/>
      <c r="NLY103" s="29"/>
      <c r="NLZ103" s="29"/>
      <c r="NMA103" s="29"/>
      <c r="NMB103" s="29"/>
      <c r="NMC103" s="29"/>
      <c r="NMD103" s="29"/>
      <c r="NME103" s="29"/>
      <c r="NMF103" s="29"/>
      <c r="NMG103" s="29"/>
      <c r="NMH103" s="29"/>
      <c r="NMI103" s="29"/>
      <c r="NMJ103" s="29"/>
      <c r="NMK103" s="29"/>
      <c r="NML103" s="29"/>
      <c r="NMM103" s="29"/>
      <c r="NMN103" s="29"/>
      <c r="NMO103" s="29"/>
      <c r="NMP103" s="29"/>
      <c r="NMQ103" s="29"/>
      <c r="NMR103" s="29"/>
      <c r="NMS103" s="29"/>
      <c r="NMT103" s="29"/>
      <c r="NMU103" s="29"/>
      <c r="NMV103" s="29"/>
      <c r="NMW103" s="29"/>
      <c r="NMX103" s="29"/>
      <c r="NMY103" s="29"/>
      <c r="NMZ103" s="29"/>
      <c r="NNA103" s="29"/>
      <c r="NNB103" s="29"/>
      <c r="NNC103" s="29"/>
      <c r="NND103" s="29"/>
      <c r="NNE103" s="29"/>
      <c r="NNF103" s="29"/>
      <c r="NNG103" s="29"/>
      <c r="NNH103" s="29"/>
      <c r="NNI103" s="29"/>
      <c r="NNJ103" s="29"/>
      <c r="NNK103" s="29"/>
      <c r="NNL103" s="29"/>
      <c r="NNM103" s="29"/>
      <c r="NNN103" s="29"/>
      <c r="NNO103" s="29"/>
      <c r="NNP103" s="29"/>
      <c r="NNQ103" s="29"/>
      <c r="NNR103" s="29"/>
      <c r="NNS103" s="29"/>
      <c r="NNT103" s="29"/>
      <c r="NNU103" s="29"/>
      <c r="NNV103" s="29"/>
      <c r="NNW103" s="29"/>
      <c r="NNX103" s="29"/>
      <c r="NNY103" s="29"/>
      <c r="NNZ103" s="29"/>
      <c r="NOA103" s="29"/>
      <c r="NOB103" s="29"/>
      <c r="NOC103" s="29"/>
      <c r="NOD103" s="29"/>
      <c r="NOE103" s="29"/>
      <c r="NOF103" s="29"/>
      <c r="NOG103" s="29"/>
      <c r="NOH103" s="29"/>
      <c r="NOI103" s="29"/>
      <c r="NOJ103" s="29"/>
      <c r="NOK103" s="29"/>
      <c r="NOL103" s="29"/>
      <c r="NOM103" s="29"/>
      <c r="NON103" s="29"/>
      <c r="NOO103" s="29"/>
      <c r="NOP103" s="29"/>
      <c r="NOQ103" s="29"/>
      <c r="NOR103" s="29"/>
      <c r="NOS103" s="29"/>
      <c r="NOT103" s="29"/>
      <c r="NOU103" s="29"/>
      <c r="NOV103" s="29"/>
      <c r="NOW103" s="29"/>
      <c r="NOX103" s="29"/>
      <c r="NOY103" s="29"/>
      <c r="NOZ103" s="29"/>
      <c r="NPA103" s="29"/>
      <c r="NPB103" s="29"/>
      <c r="NPC103" s="29"/>
      <c r="NPD103" s="29"/>
      <c r="NPE103" s="29"/>
      <c r="NPF103" s="29"/>
      <c r="NPG103" s="29"/>
      <c r="NPH103" s="29"/>
      <c r="NPI103" s="29"/>
      <c r="NPJ103" s="29"/>
      <c r="NPK103" s="29"/>
      <c r="NPL103" s="29"/>
      <c r="NPM103" s="29"/>
      <c r="NPN103" s="29"/>
      <c r="NPO103" s="29"/>
      <c r="NPP103" s="29"/>
      <c r="NPQ103" s="29"/>
      <c r="NPR103" s="29"/>
      <c r="NPS103" s="29"/>
      <c r="NPT103" s="29"/>
      <c r="NPU103" s="29"/>
      <c r="NPV103" s="29"/>
      <c r="NPW103" s="29"/>
      <c r="NPX103" s="29"/>
      <c r="NPY103" s="29"/>
      <c r="NPZ103" s="29"/>
      <c r="NQA103" s="29"/>
      <c r="NQB103" s="29"/>
      <c r="NQC103" s="29"/>
      <c r="NQD103" s="29"/>
      <c r="NQE103" s="29"/>
      <c r="NQF103" s="29"/>
      <c r="NQG103" s="29"/>
      <c r="NQH103" s="29"/>
      <c r="NQI103" s="29"/>
      <c r="NQJ103" s="29"/>
      <c r="NQK103" s="29"/>
      <c r="NQL103" s="29"/>
      <c r="NQM103" s="29"/>
      <c r="NQN103" s="29"/>
      <c r="NQO103" s="29"/>
      <c r="NQP103" s="29"/>
      <c r="NQQ103" s="29"/>
      <c r="NQR103" s="29"/>
      <c r="NQS103" s="29"/>
      <c r="NQT103" s="29"/>
      <c r="NQU103" s="29"/>
      <c r="NQV103" s="29"/>
      <c r="NQW103" s="29"/>
      <c r="NQX103" s="29"/>
      <c r="NQY103" s="29"/>
      <c r="NQZ103" s="29"/>
      <c r="NRA103" s="29"/>
      <c r="NRB103" s="29"/>
      <c r="NRC103" s="29"/>
      <c r="NRD103" s="29"/>
      <c r="NRE103" s="29"/>
      <c r="NRF103" s="29"/>
      <c r="NRG103" s="29"/>
      <c r="NRH103" s="29"/>
      <c r="NRI103" s="29"/>
      <c r="NRJ103" s="29"/>
      <c r="NRK103" s="29"/>
      <c r="NRL103" s="29"/>
      <c r="NRM103" s="29"/>
      <c r="NRN103" s="29"/>
      <c r="NRO103" s="29"/>
      <c r="NRP103" s="29"/>
      <c r="NRQ103" s="29"/>
      <c r="NRR103" s="29"/>
      <c r="NRS103" s="29"/>
      <c r="NRT103" s="29"/>
      <c r="NRU103" s="29"/>
      <c r="NRV103" s="29"/>
      <c r="NRW103" s="29"/>
      <c r="NRX103" s="29"/>
      <c r="NRY103" s="29"/>
      <c r="NRZ103" s="29"/>
      <c r="NSA103" s="29"/>
      <c r="NSB103" s="29"/>
      <c r="NSC103" s="29"/>
      <c r="NSD103" s="29"/>
      <c r="NSE103" s="29"/>
      <c r="NSF103" s="29"/>
      <c r="NSG103" s="29"/>
      <c r="NSH103" s="29"/>
      <c r="NSI103" s="29"/>
      <c r="NSJ103" s="29"/>
      <c r="NSK103" s="29"/>
      <c r="NSL103" s="29"/>
      <c r="NSM103" s="29"/>
      <c r="NSN103" s="29"/>
      <c r="NSO103" s="29"/>
      <c r="NSP103" s="29"/>
      <c r="NSQ103" s="29"/>
      <c r="NSR103" s="29"/>
      <c r="NSS103" s="29"/>
      <c r="NST103" s="29"/>
      <c r="NSU103" s="29"/>
      <c r="NSV103" s="29"/>
      <c r="NSW103" s="29"/>
      <c r="NSX103" s="29"/>
      <c r="NSY103" s="29"/>
      <c r="NSZ103" s="29"/>
      <c r="NTA103" s="29"/>
      <c r="NTB103" s="29"/>
      <c r="NTC103" s="29"/>
      <c r="NTD103" s="29"/>
      <c r="NTE103" s="29"/>
      <c r="NTF103" s="29"/>
      <c r="NTG103" s="29"/>
      <c r="NTH103" s="29"/>
      <c r="NTI103" s="29"/>
      <c r="NTJ103" s="29"/>
      <c r="NTK103" s="29"/>
      <c r="NTL103" s="29"/>
      <c r="NTM103" s="29"/>
      <c r="NTN103" s="29"/>
      <c r="NTO103" s="29"/>
      <c r="NTP103" s="29"/>
      <c r="NTQ103" s="29"/>
      <c r="NTR103" s="29"/>
      <c r="NTS103" s="29"/>
      <c r="NTT103" s="29"/>
      <c r="NTU103" s="29"/>
      <c r="NTV103" s="29"/>
      <c r="NTW103" s="29"/>
      <c r="NTX103" s="29"/>
      <c r="NTY103" s="29"/>
      <c r="NTZ103" s="29"/>
      <c r="NUA103" s="29"/>
      <c r="NUB103" s="29"/>
      <c r="NUC103" s="29"/>
      <c r="NUD103" s="29"/>
      <c r="NUE103" s="29"/>
      <c r="NUF103" s="29"/>
      <c r="NUG103" s="29"/>
      <c r="NUH103" s="29"/>
      <c r="NUI103" s="29"/>
      <c r="NUJ103" s="29"/>
      <c r="NUK103" s="29"/>
      <c r="NUL103" s="29"/>
      <c r="NUM103" s="29"/>
      <c r="NUN103" s="29"/>
      <c r="NUO103" s="29"/>
      <c r="NUP103" s="29"/>
      <c r="NUQ103" s="29"/>
      <c r="NUR103" s="29"/>
      <c r="NUS103" s="29"/>
      <c r="NUT103" s="29"/>
      <c r="NUU103" s="29"/>
      <c r="NUV103" s="29"/>
      <c r="NUW103" s="29"/>
      <c r="NUX103" s="29"/>
      <c r="NUY103" s="29"/>
      <c r="NUZ103" s="29"/>
      <c r="NVA103" s="29"/>
      <c r="NVB103" s="29"/>
      <c r="NVC103" s="29"/>
      <c r="NVD103" s="29"/>
      <c r="NVE103" s="29"/>
      <c r="NVF103" s="29"/>
      <c r="NVG103" s="29"/>
      <c r="NVH103" s="29"/>
      <c r="NVI103" s="29"/>
      <c r="NVJ103" s="29"/>
      <c r="NVK103" s="29"/>
      <c r="NVL103" s="29"/>
      <c r="NVM103" s="29"/>
      <c r="NVN103" s="29"/>
      <c r="NVO103" s="29"/>
      <c r="NVP103" s="29"/>
      <c r="NVQ103" s="29"/>
      <c r="NVR103" s="29"/>
      <c r="NVS103" s="29"/>
      <c r="NVT103" s="29"/>
      <c r="NVU103" s="29"/>
      <c r="NVV103" s="29"/>
      <c r="NVW103" s="29"/>
      <c r="NVX103" s="29"/>
      <c r="NVY103" s="29"/>
      <c r="NVZ103" s="29"/>
      <c r="NWA103" s="29"/>
      <c r="NWB103" s="29"/>
      <c r="NWC103" s="29"/>
      <c r="NWD103" s="29"/>
      <c r="NWE103" s="29"/>
      <c r="NWF103" s="29"/>
      <c r="NWG103" s="29"/>
      <c r="NWH103" s="29"/>
      <c r="NWI103" s="29"/>
      <c r="NWJ103" s="29"/>
      <c r="NWK103" s="29"/>
      <c r="NWL103" s="29"/>
      <c r="NWM103" s="29"/>
      <c r="NWN103" s="29"/>
      <c r="NWO103" s="29"/>
      <c r="NWP103" s="29"/>
      <c r="NWQ103" s="29"/>
      <c r="NWR103" s="29"/>
      <c r="NWS103" s="29"/>
      <c r="NWT103" s="29"/>
      <c r="NWU103" s="29"/>
      <c r="NWV103" s="29"/>
      <c r="NWW103" s="29"/>
      <c r="NWX103" s="29"/>
      <c r="NWY103" s="29"/>
      <c r="NWZ103" s="29"/>
      <c r="NXA103" s="29"/>
      <c r="NXB103" s="29"/>
      <c r="NXC103" s="29"/>
      <c r="NXD103" s="29"/>
      <c r="NXE103" s="29"/>
      <c r="NXF103" s="29"/>
      <c r="NXG103" s="29"/>
      <c r="NXH103" s="29"/>
      <c r="NXI103" s="29"/>
      <c r="NXJ103" s="29"/>
      <c r="NXK103" s="29"/>
      <c r="NXL103" s="29"/>
      <c r="NXM103" s="29"/>
      <c r="NXN103" s="29"/>
      <c r="NXO103" s="29"/>
      <c r="NXP103" s="29"/>
      <c r="NXQ103" s="29"/>
      <c r="NXR103" s="29"/>
      <c r="NXS103" s="29"/>
      <c r="NXT103" s="29"/>
      <c r="NXU103" s="29"/>
      <c r="NXV103" s="29"/>
      <c r="NXW103" s="29"/>
      <c r="NXX103" s="29"/>
      <c r="NXY103" s="29"/>
      <c r="NXZ103" s="29"/>
      <c r="NYA103" s="29"/>
      <c r="NYB103" s="29"/>
      <c r="NYC103" s="29"/>
      <c r="NYD103" s="29"/>
      <c r="NYE103" s="29"/>
      <c r="NYF103" s="29"/>
      <c r="NYG103" s="29"/>
      <c r="NYH103" s="29"/>
      <c r="NYI103" s="29"/>
      <c r="NYJ103" s="29"/>
      <c r="NYK103" s="29"/>
      <c r="NYL103" s="29"/>
      <c r="NYM103" s="29"/>
      <c r="NYN103" s="29"/>
      <c r="NYO103" s="29"/>
      <c r="NYP103" s="29"/>
      <c r="NYQ103" s="29"/>
      <c r="NYR103" s="29"/>
      <c r="NYS103" s="29"/>
      <c r="NYT103" s="29"/>
      <c r="NYU103" s="29"/>
      <c r="NYV103" s="29"/>
      <c r="NYW103" s="29"/>
      <c r="NYX103" s="29"/>
      <c r="NYY103" s="29"/>
      <c r="NYZ103" s="29"/>
      <c r="NZA103" s="29"/>
      <c r="NZB103" s="29"/>
      <c r="NZC103" s="29"/>
      <c r="NZD103" s="29"/>
      <c r="NZE103" s="29"/>
      <c r="NZF103" s="29"/>
      <c r="NZG103" s="29"/>
      <c r="NZH103" s="29"/>
      <c r="NZI103" s="29"/>
      <c r="NZJ103" s="29"/>
      <c r="NZK103" s="29"/>
      <c r="NZL103" s="29"/>
      <c r="NZM103" s="29"/>
      <c r="NZN103" s="29"/>
      <c r="NZO103" s="29"/>
      <c r="NZP103" s="29"/>
      <c r="NZQ103" s="29"/>
      <c r="NZR103" s="29"/>
      <c r="NZS103" s="29"/>
      <c r="NZT103" s="29"/>
      <c r="NZU103" s="29"/>
      <c r="NZV103" s="29"/>
      <c r="NZW103" s="29"/>
      <c r="NZX103" s="29"/>
      <c r="NZY103" s="29"/>
      <c r="NZZ103" s="29"/>
      <c r="OAA103" s="29"/>
      <c r="OAB103" s="29"/>
      <c r="OAC103" s="29"/>
      <c r="OAD103" s="29"/>
      <c r="OAE103" s="29"/>
      <c r="OAF103" s="29"/>
      <c r="OAG103" s="29"/>
      <c r="OAH103" s="29"/>
      <c r="OAI103" s="29"/>
      <c r="OAJ103" s="29"/>
      <c r="OAK103" s="29"/>
      <c r="OAL103" s="29"/>
      <c r="OAM103" s="29"/>
      <c r="OAN103" s="29"/>
      <c r="OAO103" s="29"/>
      <c r="OAP103" s="29"/>
      <c r="OAQ103" s="29"/>
      <c r="OAR103" s="29"/>
      <c r="OAS103" s="29"/>
      <c r="OAT103" s="29"/>
      <c r="OAU103" s="29"/>
      <c r="OAV103" s="29"/>
      <c r="OAW103" s="29"/>
      <c r="OAX103" s="29"/>
      <c r="OAY103" s="29"/>
      <c r="OAZ103" s="29"/>
      <c r="OBA103" s="29"/>
      <c r="OBB103" s="29"/>
      <c r="OBC103" s="29"/>
      <c r="OBD103" s="29"/>
      <c r="OBE103" s="29"/>
      <c r="OBF103" s="29"/>
      <c r="OBG103" s="29"/>
      <c r="OBH103" s="29"/>
      <c r="OBI103" s="29"/>
      <c r="OBJ103" s="29"/>
      <c r="OBK103" s="29"/>
      <c r="OBL103" s="29"/>
      <c r="OBM103" s="29"/>
      <c r="OBN103" s="29"/>
      <c r="OBO103" s="29"/>
      <c r="OBP103" s="29"/>
      <c r="OBQ103" s="29"/>
      <c r="OBR103" s="29"/>
      <c r="OBS103" s="29"/>
      <c r="OBT103" s="29"/>
      <c r="OBU103" s="29"/>
      <c r="OBV103" s="29"/>
      <c r="OBW103" s="29"/>
      <c r="OBX103" s="29"/>
      <c r="OBY103" s="29"/>
      <c r="OBZ103" s="29"/>
      <c r="OCA103" s="29"/>
      <c r="OCB103" s="29"/>
      <c r="OCC103" s="29"/>
      <c r="OCD103" s="29"/>
      <c r="OCE103" s="29"/>
      <c r="OCF103" s="29"/>
      <c r="OCG103" s="29"/>
      <c r="OCH103" s="29"/>
      <c r="OCI103" s="29"/>
      <c r="OCJ103" s="29"/>
      <c r="OCK103" s="29"/>
      <c r="OCL103" s="29"/>
      <c r="OCM103" s="29"/>
      <c r="OCN103" s="29"/>
      <c r="OCO103" s="29"/>
      <c r="OCP103" s="29"/>
      <c r="OCQ103" s="29"/>
      <c r="OCR103" s="29"/>
      <c r="OCS103" s="29"/>
      <c r="OCT103" s="29"/>
      <c r="OCU103" s="29"/>
      <c r="OCV103" s="29"/>
      <c r="OCW103" s="29"/>
      <c r="OCX103" s="29"/>
      <c r="OCY103" s="29"/>
      <c r="OCZ103" s="29"/>
      <c r="ODA103" s="29"/>
      <c r="ODB103" s="29"/>
      <c r="ODC103" s="29"/>
      <c r="ODD103" s="29"/>
      <c r="ODE103" s="29"/>
      <c r="ODF103" s="29"/>
      <c r="ODG103" s="29"/>
      <c r="ODH103" s="29"/>
      <c r="ODI103" s="29"/>
      <c r="ODJ103" s="29"/>
      <c r="ODK103" s="29"/>
      <c r="ODL103" s="29"/>
      <c r="ODM103" s="29"/>
      <c r="ODN103" s="29"/>
      <c r="ODO103" s="29"/>
      <c r="ODP103" s="29"/>
      <c r="ODQ103" s="29"/>
      <c r="ODR103" s="29"/>
      <c r="ODS103" s="29"/>
      <c r="ODT103" s="29"/>
      <c r="ODU103" s="29"/>
      <c r="ODV103" s="29"/>
      <c r="ODW103" s="29"/>
      <c r="ODX103" s="29"/>
      <c r="ODY103" s="29"/>
      <c r="ODZ103" s="29"/>
      <c r="OEA103" s="29"/>
      <c r="OEB103" s="29"/>
      <c r="OEC103" s="29"/>
      <c r="OED103" s="29"/>
      <c r="OEE103" s="29"/>
      <c r="OEF103" s="29"/>
      <c r="OEG103" s="29"/>
      <c r="OEH103" s="29"/>
      <c r="OEI103" s="29"/>
      <c r="OEJ103" s="29"/>
      <c r="OEK103" s="29"/>
      <c r="OEL103" s="29"/>
      <c r="OEM103" s="29"/>
      <c r="OEN103" s="29"/>
      <c r="OEO103" s="29"/>
      <c r="OEP103" s="29"/>
      <c r="OEQ103" s="29"/>
      <c r="OER103" s="29"/>
      <c r="OES103" s="29"/>
      <c r="OET103" s="29"/>
      <c r="OEU103" s="29"/>
      <c r="OEV103" s="29"/>
      <c r="OEW103" s="29"/>
      <c r="OEX103" s="29"/>
      <c r="OEY103" s="29"/>
      <c r="OEZ103" s="29"/>
      <c r="OFA103" s="29"/>
      <c r="OFB103" s="29"/>
      <c r="OFC103" s="29"/>
      <c r="OFD103" s="29"/>
      <c r="OFE103" s="29"/>
      <c r="OFF103" s="29"/>
      <c r="OFG103" s="29"/>
      <c r="OFH103" s="29"/>
      <c r="OFI103" s="29"/>
      <c r="OFJ103" s="29"/>
      <c r="OFK103" s="29"/>
      <c r="OFL103" s="29"/>
      <c r="OFM103" s="29"/>
      <c r="OFN103" s="29"/>
      <c r="OFO103" s="29"/>
      <c r="OFP103" s="29"/>
      <c r="OFQ103" s="29"/>
      <c r="OFR103" s="29"/>
      <c r="OFS103" s="29"/>
      <c r="OFT103" s="29"/>
      <c r="OFU103" s="29"/>
      <c r="OFV103" s="29"/>
      <c r="OFW103" s="29"/>
      <c r="OFX103" s="29"/>
      <c r="OFY103" s="29"/>
      <c r="OFZ103" s="29"/>
      <c r="OGA103" s="29"/>
      <c r="OGB103" s="29"/>
      <c r="OGC103" s="29"/>
      <c r="OGD103" s="29"/>
      <c r="OGE103" s="29"/>
      <c r="OGF103" s="29"/>
      <c r="OGG103" s="29"/>
      <c r="OGH103" s="29"/>
      <c r="OGI103" s="29"/>
      <c r="OGJ103" s="29"/>
      <c r="OGK103" s="29"/>
      <c r="OGL103" s="29"/>
      <c r="OGM103" s="29"/>
      <c r="OGN103" s="29"/>
      <c r="OGO103" s="29"/>
      <c r="OGP103" s="29"/>
      <c r="OGQ103" s="29"/>
      <c r="OGR103" s="29"/>
      <c r="OGS103" s="29"/>
      <c r="OGT103" s="29"/>
      <c r="OGU103" s="29"/>
      <c r="OGV103" s="29"/>
      <c r="OGW103" s="29"/>
      <c r="OGX103" s="29"/>
      <c r="OGY103" s="29"/>
      <c r="OGZ103" s="29"/>
      <c r="OHA103" s="29"/>
      <c r="OHB103" s="29"/>
      <c r="OHC103" s="29"/>
      <c r="OHD103" s="29"/>
      <c r="OHE103" s="29"/>
      <c r="OHF103" s="29"/>
      <c r="OHG103" s="29"/>
      <c r="OHH103" s="29"/>
      <c r="OHI103" s="29"/>
      <c r="OHJ103" s="29"/>
      <c r="OHK103" s="29"/>
      <c r="OHL103" s="29"/>
      <c r="OHM103" s="29"/>
      <c r="OHN103" s="29"/>
      <c r="OHO103" s="29"/>
      <c r="OHP103" s="29"/>
      <c r="OHQ103" s="29"/>
      <c r="OHR103" s="29"/>
      <c r="OHS103" s="29"/>
      <c r="OHT103" s="29"/>
      <c r="OHU103" s="29"/>
      <c r="OHV103" s="29"/>
      <c r="OHW103" s="29"/>
      <c r="OHX103" s="29"/>
      <c r="OHY103" s="29"/>
      <c r="OHZ103" s="29"/>
      <c r="OIA103" s="29"/>
      <c r="OIB103" s="29"/>
      <c r="OIC103" s="29"/>
      <c r="OID103" s="29"/>
      <c r="OIE103" s="29"/>
      <c r="OIF103" s="29"/>
      <c r="OIG103" s="29"/>
      <c r="OIH103" s="29"/>
      <c r="OII103" s="29"/>
      <c r="OIJ103" s="29"/>
      <c r="OIK103" s="29"/>
      <c r="OIL103" s="29"/>
      <c r="OIM103" s="29"/>
      <c r="OIN103" s="29"/>
      <c r="OIO103" s="29"/>
      <c r="OIP103" s="29"/>
      <c r="OIQ103" s="29"/>
      <c r="OIR103" s="29"/>
      <c r="OIS103" s="29"/>
      <c r="OIT103" s="29"/>
      <c r="OIU103" s="29"/>
      <c r="OIV103" s="29"/>
      <c r="OIW103" s="29"/>
      <c r="OIX103" s="29"/>
      <c r="OIY103" s="29"/>
      <c r="OIZ103" s="29"/>
      <c r="OJA103" s="29"/>
      <c r="OJB103" s="29"/>
      <c r="OJC103" s="29"/>
      <c r="OJD103" s="29"/>
      <c r="OJE103" s="29"/>
      <c r="OJF103" s="29"/>
      <c r="OJG103" s="29"/>
      <c r="OJH103" s="29"/>
      <c r="OJI103" s="29"/>
      <c r="OJJ103" s="29"/>
      <c r="OJK103" s="29"/>
      <c r="OJL103" s="29"/>
      <c r="OJM103" s="29"/>
      <c r="OJN103" s="29"/>
      <c r="OJO103" s="29"/>
      <c r="OJP103" s="29"/>
      <c r="OJQ103" s="29"/>
      <c r="OJR103" s="29"/>
      <c r="OJS103" s="29"/>
      <c r="OJT103" s="29"/>
      <c r="OJU103" s="29"/>
      <c r="OJV103" s="29"/>
      <c r="OJW103" s="29"/>
      <c r="OJX103" s="29"/>
      <c r="OJY103" s="29"/>
      <c r="OJZ103" s="29"/>
      <c r="OKA103" s="29"/>
      <c r="OKB103" s="29"/>
      <c r="OKC103" s="29"/>
      <c r="OKD103" s="29"/>
      <c r="OKE103" s="29"/>
      <c r="OKF103" s="29"/>
      <c r="OKG103" s="29"/>
      <c r="OKH103" s="29"/>
      <c r="OKI103" s="29"/>
      <c r="OKJ103" s="29"/>
      <c r="OKK103" s="29"/>
      <c r="OKL103" s="29"/>
      <c r="OKM103" s="29"/>
      <c r="OKN103" s="29"/>
      <c r="OKO103" s="29"/>
      <c r="OKP103" s="29"/>
      <c r="OKQ103" s="29"/>
      <c r="OKR103" s="29"/>
      <c r="OKS103" s="29"/>
      <c r="OKT103" s="29"/>
      <c r="OKU103" s="29"/>
      <c r="OKV103" s="29"/>
      <c r="OKW103" s="29"/>
      <c r="OKX103" s="29"/>
      <c r="OKY103" s="29"/>
      <c r="OKZ103" s="29"/>
      <c r="OLA103" s="29"/>
      <c r="OLB103" s="29"/>
      <c r="OLC103" s="29"/>
      <c r="OLD103" s="29"/>
      <c r="OLE103" s="29"/>
      <c r="OLF103" s="29"/>
      <c r="OLG103" s="29"/>
      <c r="OLH103" s="29"/>
      <c r="OLI103" s="29"/>
      <c r="OLJ103" s="29"/>
      <c r="OLK103" s="29"/>
      <c r="OLL103" s="29"/>
      <c r="OLM103" s="29"/>
      <c r="OLN103" s="29"/>
      <c r="OLO103" s="29"/>
      <c r="OLP103" s="29"/>
      <c r="OLQ103" s="29"/>
      <c r="OLR103" s="29"/>
      <c r="OLS103" s="29"/>
      <c r="OLT103" s="29"/>
      <c r="OLU103" s="29"/>
      <c r="OLV103" s="29"/>
      <c r="OLW103" s="29"/>
      <c r="OLX103" s="29"/>
      <c r="OLY103" s="29"/>
      <c r="OLZ103" s="29"/>
      <c r="OMA103" s="29"/>
      <c r="OMB103" s="29"/>
      <c r="OMC103" s="29"/>
      <c r="OMD103" s="29"/>
      <c r="OME103" s="29"/>
      <c r="OMF103" s="29"/>
      <c r="OMG103" s="29"/>
      <c r="OMH103" s="29"/>
      <c r="OMI103" s="29"/>
      <c r="OMJ103" s="29"/>
      <c r="OMK103" s="29"/>
      <c r="OML103" s="29"/>
      <c r="OMM103" s="29"/>
      <c r="OMN103" s="29"/>
      <c r="OMO103" s="29"/>
      <c r="OMP103" s="29"/>
      <c r="OMQ103" s="29"/>
      <c r="OMR103" s="29"/>
      <c r="OMS103" s="29"/>
      <c r="OMT103" s="29"/>
      <c r="OMU103" s="29"/>
      <c r="OMV103" s="29"/>
      <c r="OMW103" s="29"/>
      <c r="OMX103" s="29"/>
      <c r="OMY103" s="29"/>
      <c r="OMZ103" s="29"/>
      <c r="ONA103" s="29"/>
      <c r="ONB103" s="29"/>
      <c r="ONC103" s="29"/>
      <c r="OND103" s="29"/>
      <c r="ONE103" s="29"/>
      <c r="ONF103" s="29"/>
      <c r="ONG103" s="29"/>
      <c r="ONH103" s="29"/>
      <c r="ONI103" s="29"/>
      <c r="ONJ103" s="29"/>
      <c r="ONK103" s="29"/>
      <c r="ONL103" s="29"/>
      <c r="ONM103" s="29"/>
      <c r="ONN103" s="29"/>
      <c r="ONO103" s="29"/>
      <c r="ONP103" s="29"/>
      <c r="ONQ103" s="29"/>
      <c r="ONR103" s="29"/>
      <c r="ONS103" s="29"/>
      <c r="ONT103" s="29"/>
      <c r="ONU103" s="29"/>
      <c r="ONV103" s="29"/>
      <c r="ONW103" s="29"/>
      <c r="ONX103" s="29"/>
      <c r="ONY103" s="29"/>
      <c r="ONZ103" s="29"/>
      <c r="OOA103" s="29"/>
      <c r="OOB103" s="29"/>
      <c r="OOC103" s="29"/>
      <c r="OOD103" s="29"/>
      <c r="OOE103" s="29"/>
      <c r="OOF103" s="29"/>
      <c r="OOG103" s="29"/>
      <c r="OOH103" s="29"/>
      <c r="OOI103" s="29"/>
      <c r="OOJ103" s="29"/>
      <c r="OOK103" s="29"/>
      <c r="OOL103" s="29"/>
      <c r="OOM103" s="29"/>
      <c r="OON103" s="29"/>
      <c r="OOO103" s="29"/>
      <c r="OOP103" s="29"/>
      <c r="OOQ103" s="29"/>
      <c r="OOR103" s="29"/>
      <c r="OOS103" s="29"/>
      <c r="OOT103" s="29"/>
      <c r="OOU103" s="29"/>
      <c r="OOV103" s="29"/>
      <c r="OOW103" s="29"/>
      <c r="OOX103" s="29"/>
      <c r="OOY103" s="29"/>
      <c r="OOZ103" s="29"/>
      <c r="OPA103" s="29"/>
      <c r="OPB103" s="29"/>
      <c r="OPC103" s="29"/>
      <c r="OPD103" s="29"/>
      <c r="OPE103" s="29"/>
      <c r="OPF103" s="29"/>
      <c r="OPG103" s="29"/>
      <c r="OPH103" s="29"/>
      <c r="OPI103" s="29"/>
      <c r="OPJ103" s="29"/>
      <c r="OPK103" s="29"/>
      <c r="OPL103" s="29"/>
      <c r="OPM103" s="29"/>
      <c r="OPN103" s="29"/>
      <c r="OPO103" s="29"/>
      <c r="OPP103" s="29"/>
      <c r="OPQ103" s="29"/>
      <c r="OPR103" s="29"/>
      <c r="OPS103" s="29"/>
      <c r="OPT103" s="29"/>
      <c r="OPU103" s="29"/>
      <c r="OPV103" s="29"/>
      <c r="OPW103" s="29"/>
      <c r="OPX103" s="29"/>
      <c r="OPY103" s="29"/>
      <c r="OPZ103" s="29"/>
      <c r="OQA103" s="29"/>
      <c r="OQB103" s="29"/>
      <c r="OQC103" s="29"/>
      <c r="OQD103" s="29"/>
      <c r="OQE103" s="29"/>
      <c r="OQF103" s="29"/>
      <c r="OQG103" s="29"/>
      <c r="OQH103" s="29"/>
      <c r="OQI103" s="29"/>
      <c r="OQJ103" s="29"/>
      <c r="OQK103" s="29"/>
      <c r="OQL103" s="29"/>
      <c r="OQM103" s="29"/>
      <c r="OQN103" s="29"/>
      <c r="OQO103" s="29"/>
      <c r="OQP103" s="29"/>
      <c r="OQQ103" s="29"/>
      <c r="OQR103" s="29"/>
      <c r="OQS103" s="29"/>
      <c r="OQT103" s="29"/>
      <c r="OQU103" s="29"/>
      <c r="OQV103" s="29"/>
      <c r="OQW103" s="29"/>
      <c r="OQX103" s="29"/>
      <c r="OQY103" s="29"/>
      <c r="OQZ103" s="29"/>
      <c r="ORA103" s="29"/>
      <c r="ORB103" s="29"/>
      <c r="ORC103" s="29"/>
      <c r="ORD103" s="29"/>
      <c r="ORE103" s="29"/>
      <c r="ORF103" s="29"/>
      <c r="ORG103" s="29"/>
      <c r="ORH103" s="29"/>
      <c r="ORI103" s="29"/>
      <c r="ORJ103" s="29"/>
      <c r="ORK103" s="29"/>
      <c r="ORL103" s="29"/>
      <c r="ORM103" s="29"/>
      <c r="ORN103" s="29"/>
      <c r="ORO103" s="29"/>
      <c r="ORP103" s="29"/>
      <c r="ORQ103" s="29"/>
      <c r="ORR103" s="29"/>
      <c r="ORS103" s="29"/>
      <c r="ORT103" s="29"/>
      <c r="ORU103" s="29"/>
      <c r="ORV103" s="29"/>
      <c r="ORW103" s="29"/>
      <c r="ORX103" s="29"/>
      <c r="ORY103" s="29"/>
      <c r="ORZ103" s="29"/>
      <c r="OSA103" s="29"/>
      <c r="OSB103" s="29"/>
      <c r="OSC103" s="29"/>
      <c r="OSD103" s="29"/>
      <c r="OSE103" s="29"/>
      <c r="OSF103" s="29"/>
      <c r="OSG103" s="29"/>
      <c r="OSH103" s="29"/>
      <c r="OSI103" s="29"/>
      <c r="OSJ103" s="29"/>
      <c r="OSK103" s="29"/>
      <c r="OSL103" s="29"/>
      <c r="OSM103" s="29"/>
      <c r="OSN103" s="29"/>
      <c r="OSO103" s="29"/>
      <c r="OSP103" s="29"/>
      <c r="OSQ103" s="29"/>
      <c r="OSR103" s="29"/>
      <c r="OSS103" s="29"/>
      <c r="OST103" s="29"/>
      <c r="OSU103" s="29"/>
      <c r="OSV103" s="29"/>
      <c r="OSW103" s="29"/>
      <c r="OSX103" s="29"/>
      <c r="OSY103" s="29"/>
      <c r="OSZ103" s="29"/>
      <c r="OTA103" s="29"/>
      <c r="OTB103" s="29"/>
      <c r="OTC103" s="29"/>
      <c r="OTD103" s="29"/>
      <c r="OTE103" s="29"/>
      <c r="OTF103" s="29"/>
      <c r="OTG103" s="29"/>
      <c r="OTH103" s="29"/>
      <c r="OTI103" s="29"/>
      <c r="OTJ103" s="29"/>
      <c r="OTK103" s="29"/>
      <c r="OTL103" s="29"/>
      <c r="OTM103" s="29"/>
      <c r="OTN103" s="29"/>
      <c r="OTO103" s="29"/>
      <c r="OTP103" s="29"/>
      <c r="OTQ103" s="29"/>
      <c r="OTR103" s="29"/>
      <c r="OTS103" s="29"/>
      <c r="OTT103" s="29"/>
      <c r="OTU103" s="29"/>
      <c r="OTV103" s="29"/>
      <c r="OTW103" s="29"/>
      <c r="OTX103" s="29"/>
      <c r="OTY103" s="29"/>
      <c r="OTZ103" s="29"/>
      <c r="OUA103" s="29"/>
      <c r="OUB103" s="29"/>
      <c r="OUC103" s="29"/>
      <c r="OUD103" s="29"/>
      <c r="OUE103" s="29"/>
      <c r="OUF103" s="29"/>
      <c r="OUG103" s="29"/>
      <c r="OUH103" s="29"/>
      <c r="OUI103" s="29"/>
      <c r="OUJ103" s="29"/>
      <c r="OUK103" s="29"/>
      <c r="OUL103" s="29"/>
      <c r="OUM103" s="29"/>
      <c r="OUN103" s="29"/>
      <c r="OUO103" s="29"/>
      <c r="OUP103" s="29"/>
      <c r="OUQ103" s="29"/>
      <c r="OUR103" s="29"/>
      <c r="OUS103" s="29"/>
      <c r="OUT103" s="29"/>
      <c r="OUU103" s="29"/>
      <c r="OUV103" s="29"/>
      <c r="OUW103" s="29"/>
      <c r="OUX103" s="29"/>
      <c r="OUY103" s="29"/>
      <c r="OUZ103" s="29"/>
      <c r="OVA103" s="29"/>
      <c r="OVB103" s="29"/>
      <c r="OVC103" s="29"/>
      <c r="OVD103" s="29"/>
      <c r="OVE103" s="29"/>
      <c r="OVF103" s="29"/>
      <c r="OVG103" s="29"/>
      <c r="OVH103" s="29"/>
      <c r="OVI103" s="29"/>
      <c r="OVJ103" s="29"/>
      <c r="OVK103" s="29"/>
      <c r="OVL103" s="29"/>
      <c r="OVM103" s="29"/>
      <c r="OVN103" s="29"/>
      <c r="OVO103" s="29"/>
      <c r="OVP103" s="29"/>
      <c r="OVQ103" s="29"/>
      <c r="OVR103" s="29"/>
      <c r="OVS103" s="29"/>
      <c r="OVT103" s="29"/>
      <c r="OVU103" s="29"/>
      <c r="OVV103" s="29"/>
      <c r="OVW103" s="29"/>
      <c r="OVX103" s="29"/>
      <c r="OVY103" s="29"/>
      <c r="OVZ103" s="29"/>
      <c r="OWA103" s="29"/>
      <c r="OWB103" s="29"/>
      <c r="OWC103" s="29"/>
      <c r="OWD103" s="29"/>
      <c r="OWE103" s="29"/>
      <c r="OWF103" s="29"/>
      <c r="OWG103" s="29"/>
      <c r="OWH103" s="29"/>
      <c r="OWI103" s="29"/>
      <c r="OWJ103" s="29"/>
      <c r="OWK103" s="29"/>
      <c r="OWL103" s="29"/>
      <c r="OWM103" s="29"/>
      <c r="OWN103" s="29"/>
      <c r="OWO103" s="29"/>
      <c r="OWP103" s="29"/>
      <c r="OWQ103" s="29"/>
      <c r="OWR103" s="29"/>
      <c r="OWS103" s="29"/>
      <c r="OWT103" s="29"/>
      <c r="OWU103" s="29"/>
      <c r="OWV103" s="29"/>
      <c r="OWW103" s="29"/>
      <c r="OWX103" s="29"/>
      <c r="OWY103" s="29"/>
      <c r="OWZ103" s="29"/>
      <c r="OXA103" s="29"/>
      <c r="OXB103" s="29"/>
      <c r="OXC103" s="29"/>
      <c r="OXD103" s="29"/>
      <c r="OXE103" s="29"/>
      <c r="OXF103" s="29"/>
      <c r="OXG103" s="29"/>
      <c r="OXH103" s="29"/>
      <c r="OXI103" s="29"/>
      <c r="OXJ103" s="29"/>
      <c r="OXK103" s="29"/>
      <c r="OXL103" s="29"/>
      <c r="OXM103" s="29"/>
      <c r="OXN103" s="29"/>
      <c r="OXO103" s="29"/>
      <c r="OXP103" s="29"/>
      <c r="OXQ103" s="29"/>
      <c r="OXR103" s="29"/>
      <c r="OXS103" s="29"/>
      <c r="OXT103" s="29"/>
      <c r="OXU103" s="29"/>
      <c r="OXV103" s="29"/>
      <c r="OXW103" s="29"/>
      <c r="OXX103" s="29"/>
      <c r="OXY103" s="29"/>
      <c r="OXZ103" s="29"/>
      <c r="OYA103" s="29"/>
      <c r="OYB103" s="29"/>
      <c r="OYC103" s="29"/>
      <c r="OYD103" s="29"/>
      <c r="OYE103" s="29"/>
      <c r="OYF103" s="29"/>
      <c r="OYG103" s="29"/>
      <c r="OYH103" s="29"/>
      <c r="OYI103" s="29"/>
      <c r="OYJ103" s="29"/>
      <c r="OYK103" s="29"/>
      <c r="OYL103" s="29"/>
      <c r="OYM103" s="29"/>
      <c r="OYN103" s="29"/>
      <c r="OYO103" s="29"/>
      <c r="OYP103" s="29"/>
      <c r="OYQ103" s="29"/>
      <c r="OYR103" s="29"/>
      <c r="OYS103" s="29"/>
      <c r="OYT103" s="29"/>
      <c r="OYU103" s="29"/>
      <c r="OYV103" s="29"/>
      <c r="OYW103" s="29"/>
      <c r="OYX103" s="29"/>
      <c r="OYY103" s="29"/>
      <c r="OYZ103" s="29"/>
      <c r="OZA103" s="29"/>
      <c r="OZB103" s="29"/>
      <c r="OZC103" s="29"/>
      <c r="OZD103" s="29"/>
      <c r="OZE103" s="29"/>
      <c r="OZF103" s="29"/>
      <c r="OZG103" s="29"/>
      <c r="OZH103" s="29"/>
      <c r="OZI103" s="29"/>
      <c r="OZJ103" s="29"/>
      <c r="OZK103" s="29"/>
      <c r="OZL103" s="29"/>
      <c r="OZM103" s="29"/>
      <c r="OZN103" s="29"/>
      <c r="OZO103" s="29"/>
      <c r="OZP103" s="29"/>
      <c r="OZQ103" s="29"/>
      <c r="OZR103" s="29"/>
      <c r="OZS103" s="29"/>
      <c r="OZT103" s="29"/>
      <c r="OZU103" s="29"/>
      <c r="OZV103" s="29"/>
      <c r="OZW103" s="29"/>
      <c r="OZX103" s="29"/>
      <c r="OZY103" s="29"/>
      <c r="OZZ103" s="29"/>
      <c r="PAA103" s="29"/>
      <c r="PAB103" s="29"/>
      <c r="PAC103" s="29"/>
      <c r="PAD103" s="29"/>
      <c r="PAE103" s="29"/>
      <c r="PAF103" s="29"/>
      <c r="PAG103" s="29"/>
      <c r="PAH103" s="29"/>
      <c r="PAI103" s="29"/>
      <c r="PAJ103" s="29"/>
      <c r="PAK103" s="29"/>
      <c r="PAL103" s="29"/>
      <c r="PAM103" s="29"/>
      <c r="PAN103" s="29"/>
      <c r="PAO103" s="29"/>
      <c r="PAP103" s="29"/>
      <c r="PAQ103" s="29"/>
      <c r="PAR103" s="29"/>
      <c r="PAS103" s="29"/>
      <c r="PAT103" s="29"/>
      <c r="PAU103" s="29"/>
      <c r="PAV103" s="29"/>
      <c r="PAW103" s="29"/>
      <c r="PAX103" s="29"/>
      <c r="PAY103" s="29"/>
      <c r="PAZ103" s="29"/>
      <c r="PBA103" s="29"/>
      <c r="PBB103" s="29"/>
      <c r="PBC103" s="29"/>
      <c r="PBD103" s="29"/>
      <c r="PBE103" s="29"/>
      <c r="PBF103" s="29"/>
      <c r="PBG103" s="29"/>
      <c r="PBH103" s="29"/>
      <c r="PBI103" s="29"/>
      <c r="PBJ103" s="29"/>
      <c r="PBK103" s="29"/>
      <c r="PBL103" s="29"/>
      <c r="PBM103" s="29"/>
      <c r="PBN103" s="29"/>
      <c r="PBO103" s="29"/>
      <c r="PBP103" s="29"/>
      <c r="PBQ103" s="29"/>
      <c r="PBR103" s="29"/>
      <c r="PBS103" s="29"/>
      <c r="PBT103" s="29"/>
      <c r="PBU103" s="29"/>
      <c r="PBV103" s="29"/>
      <c r="PBW103" s="29"/>
      <c r="PBX103" s="29"/>
      <c r="PBY103" s="29"/>
      <c r="PBZ103" s="29"/>
      <c r="PCA103" s="29"/>
      <c r="PCB103" s="29"/>
      <c r="PCC103" s="29"/>
      <c r="PCD103" s="29"/>
      <c r="PCE103" s="29"/>
      <c r="PCF103" s="29"/>
      <c r="PCG103" s="29"/>
      <c r="PCH103" s="29"/>
      <c r="PCI103" s="29"/>
      <c r="PCJ103" s="29"/>
      <c r="PCK103" s="29"/>
      <c r="PCL103" s="29"/>
      <c r="PCM103" s="29"/>
      <c r="PCN103" s="29"/>
      <c r="PCO103" s="29"/>
      <c r="PCP103" s="29"/>
      <c r="PCQ103" s="29"/>
      <c r="PCR103" s="29"/>
      <c r="PCS103" s="29"/>
      <c r="PCT103" s="29"/>
      <c r="PCU103" s="29"/>
      <c r="PCV103" s="29"/>
      <c r="PCW103" s="29"/>
      <c r="PCX103" s="29"/>
      <c r="PCY103" s="29"/>
      <c r="PCZ103" s="29"/>
      <c r="PDA103" s="29"/>
      <c r="PDB103" s="29"/>
      <c r="PDC103" s="29"/>
      <c r="PDD103" s="29"/>
      <c r="PDE103" s="29"/>
      <c r="PDF103" s="29"/>
      <c r="PDG103" s="29"/>
      <c r="PDH103" s="29"/>
      <c r="PDI103" s="29"/>
      <c r="PDJ103" s="29"/>
      <c r="PDK103" s="29"/>
      <c r="PDL103" s="29"/>
      <c r="PDM103" s="29"/>
      <c r="PDN103" s="29"/>
      <c r="PDO103" s="29"/>
      <c r="PDP103" s="29"/>
      <c r="PDQ103" s="29"/>
      <c r="PDR103" s="29"/>
      <c r="PDS103" s="29"/>
      <c r="PDT103" s="29"/>
      <c r="PDU103" s="29"/>
      <c r="PDV103" s="29"/>
      <c r="PDW103" s="29"/>
      <c r="PDX103" s="29"/>
      <c r="PDY103" s="29"/>
      <c r="PDZ103" s="29"/>
      <c r="PEA103" s="29"/>
      <c r="PEB103" s="29"/>
      <c r="PEC103" s="29"/>
      <c r="PED103" s="29"/>
      <c r="PEE103" s="29"/>
      <c r="PEF103" s="29"/>
      <c r="PEG103" s="29"/>
      <c r="PEH103" s="29"/>
      <c r="PEI103" s="29"/>
      <c r="PEJ103" s="29"/>
      <c r="PEK103" s="29"/>
      <c r="PEL103" s="29"/>
      <c r="PEM103" s="29"/>
      <c r="PEN103" s="29"/>
      <c r="PEO103" s="29"/>
      <c r="PEP103" s="29"/>
      <c r="PEQ103" s="29"/>
      <c r="PER103" s="29"/>
      <c r="PES103" s="29"/>
      <c r="PET103" s="29"/>
      <c r="PEU103" s="29"/>
      <c r="PEV103" s="29"/>
      <c r="PEW103" s="29"/>
      <c r="PEX103" s="29"/>
      <c r="PEY103" s="29"/>
      <c r="PEZ103" s="29"/>
      <c r="PFA103" s="29"/>
      <c r="PFB103" s="29"/>
      <c r="PFC103" s="29"/>
      <c r="PFD103" s="29"/>
      <c r="PFE103" s="29"/>
      <c r="PFF103" s="29"/>
      <c r="PFG103" s="29"/>
      <c r="PFH103" s="29"/>
      <c r="PFI103" s="29"/>
      <c r="PFJ103" s="29"/>
      <c r="PFK103" s="29"/>
      <c r="PFL103" s="29"/>
      <c r="PFM103" s="29"/>
      <c r="PFN103" s="29"/>
      <c r="PFO103" s="29"/>
      <c r="PFP103" s="29"/>
      <c r="PFQ103" s="29"/>
      <c r="PFR103" s="29"/>
      <c r="PFS103" s="29"/>
      <c r="PFT103" s="29"/>
      <c r="PFU103" s="29"/>
      <c r="PFV103" s="29"/>
      <c r="PFW103" s="29"/>
      <c r="PFX103" s="29"/>
      <c r="PFY103" s="29"/>
      <c r="PFZ103" s="29"/>
      <c r="PGA103" s="29"/>
      <c r="PGB103" s="29"/>
      <c r="PGC103" s="29"/>
      <c r="PGD103" s="29"/>
      <c r="PGE103" s="29"/>
      <c r="PGF103" s="29"/>
      <c r="PGG103" s="29"/>
      <c r="PGH103" s="29"/>
      <c r="PGI103" s="29"/>
      <c r="PGJ103" s="29"/>
      <c r="PGK103" s="29"/>
      <c r="PGL103" s="29"/>
      <c r="PGM103" s="29"/>
      <c r="PGN103" s="29"/>
      <c r="PGO103" s="29"/>
      <c r="PGP103" s="29"/>
      <c r="PGQ103" s="29"/>
      <c r="PGR103" s="29"/>
      <c r="PGS103" s="29"/>
      <c r="PGT103" s="29"/>
      <c r="PGU103" s="29"/>
      <c r="PGV103" s="29"/>
      <c r="PGW103" s="29"/>
      <c r="PGX103" s="29"/>
      <c r="PGY103" s="29"/>
      <c r="PGZ103" s="29"/>
      <c r="PHA103" s="29"/>
      <c r="PHB103" s="29"/>
      <c r="PHC103" s="29"/>
      <c r="PHD103" s="29"/>
      <c r="PHE103" s="29"/>
      <c r="PHF103" s="29"/>
      <c r="PHG103" s="29"/>
      <c r="PHH103" s="29"/>
      <c r="PHI103" s="29"/>
      <c r="PHJ103" s="29"/>
      <c r="PHK103" s="29"/>
      <c r="PHL103" s="29"/>
      <c r="PHM103" s="29"/>
      <c r="PHN103" s="29"/>
      <c r="PHO103" s="29"/>
      <c r="PHP103" s="29"/>
      <c r="PHQ103" s="29"/>
      <c r="PHR103" s="29"/>
      <c r="PHS103" s="29"/>
      <c r="PHT103" s="29"/>
      <c r="PHU103" s="29"/>
      <c r="PHV103" s="29"/>
      <c r="PHW103" s="29"/>
      <c r="PHX103" s="29"/>
      <c r="PHY103" s="29"/>
      <c r="PHZ103" s="29"/>
      <c r="PIA103" s="29"/>
      <c r="PIB103" s="29"/>
      <c r="PIC103" s="29"/>
      <c r="PID103" s="29"/>
      <c r="PIE103" s="29"/>
      <c r="PIF103" s="29"/>
      <c r="PIG103" s="29"/>
      <c r="PIH103" s="29"/>
      <c r="PII103" s="29"/>
      <c r="PIJ103" s="29"/>
      <c r="PIK103" s="29"/>
      <c r="PIL103" s="29"/>
      <c r="PIM103" s="29"/>
      <c r="PIN103" s="29"/>
      <c r="PIO103" s="29"/>
      <c r="PIP103" s="29"/>
      <c r="PIQ103" s="29"/>
      <c r="PIR103" s="29"/>
      <c r="PIS103" s="29"/>
      <c r="PIT103" s="29"/>
      <c r="PIU103" s="29"/>
      <c r="PIV103" s="29"/>
      <c r="PIW103" s="29"/>
      <c r="PIX103" s="29"/>
      <c r="PIY103" s="29"/>
      <c r="PIZ103" s="29"/>
      <c r="PJA103" s="29"/>
      <c r="PJB103" s="29"/>
      <c r="PJC103" s="29"/>
      <c r="PJD103" s="29"/>
      <c r="PJE103" s="29"/>
      <c r="PJF103" s="29"/>
      <c r="PJG103" s="29"/>
      <c r="PJH103" s="29"/>
      <c r="PJI103" s="29"/>
      <c r="PJJ103" s="29"/>
      <c r="PJK103" s="29"/>
      <c r="PJL103" s="29"/>
      <c r="PJM103" s="29"/>
      <c r="PJN103" s="29"/>
      <c r="PJO103" s="29"/>
      <c r="PJP103" s="29"/>
      <c r="PJQ103" s="29"/>
      <c r="PJR103" s="29"/>
      <c r="PJS103" s="29"/>
      <c r="PJT103" s="29"/>
      <c r="PJU103" s="29"/>
      <c r="PJV103" s="29"/>
      <c r="PJW103" s="29"/>
      <c r="PJX103" s="29"/>
      <c r="PJY103" s="29"/>
      <c r="PJZ103" s="29"/>
      <c r="PKA103" s="29"/>
      <c r="PKB103" s="29"/>
      <c r="PKC103" s="29"/>
      <c r="PKD103" s="29"/>
      <c r="PKE103" s="29"/>
      <c r="PKF103" s="29"/>
      <c r="PKG103" s="29"/>
      <c r="PKH103" s="29"/>
      <c r="PKI103" s="29"/>
      <c r="PKJ103" s="29"/>
      <c r="PKK103" s="29"/>
      <c r="PKL103" s="29"/>
      <c r="PKM103" s="29"/>
      <c r="PKN103" s="29"/>
      <c r="PKO103" s="29"/>
      <c r="PKP103" s="29"/>
      <c r="PKQ103" s="29"/>
      <c r="PKR103" s="29"/>
      <c r="PKS103" s="29"/>
      <c r="PKT103" s="29"/>
      <c r="PKU103" s="29"/>
      <c r="PKV103" s="29"/>
      <c r="PKW103" s="29"/>
      <c r="PKX103" s="29"/>
      <c r="PKY103" s="29"/>
      <c r="PKZ103" s="29"/>
      <c r="PLA103" s="29"/>
      <c r="PLB103" s="29"/>
      <c r="PLC103" s="29"/>
      <c r="PLD103" s="29"/>
      <c r="PLE103" s="29"/>
      <c r="PLF103" s="29"/>
      <c r="PLG103" s="29"/>
      <c r="PLH103" s="29"/>
      <c r="PLI103" s="29"/>
      <c r="PLJ103" s="29"/>
      <c r="PLK103" s="29"/>
      <c r="PLL103" s="29"/>
      <c r="PLM103" s="29"/>
      <c r="PLN103" s="29"/>
      <c r="PLO103" s="29"/>
      <c r="PLP103" s="29"/>
      <c r="PLQ103" s="29"/>
      <c r="PLR103" s="29"/>
      <c r="PLS103" s="29"/>
      <c r="PLT103" s="29"/>
      <c r="PLU103" s="29"/>
      <c r="PLV103" s="29"/>
      <c r="PLW103" s="29"/>
      <c r="PLX103" s="29"/>
      <c r="PLY103" s="29"/>
      <c r="PLZ103" s="29"/>
      <c r="PMA103" s="29"/>
      <c r="PMB103" s="29"/>
      <c r="PMC103" s="29"/>
      <c r="PMD103" s="29"/>
      <c r="PME103" s="29"/>
      <c r="PMF103" s="29"/>
      <c r="PMG103" s="29"/>
      <c r="PMH103" s="29"/>
      <c r="PMI103" s="29"/>
      <c r="PMJ103" s="29"/>
      <c r="PMK103" s="29"/>
      <c r="PML103" s="29"/>
      <c r="PMM103" s="29"/>
      <c r="PMN103" s="29"/>
      <c r="PMO103" s="29"/>
      <c r="PMP103" s="29"/>
      <c r="PMQ103" s="29"/>
      <c r="PMR103" s="29"/>
      <c r="PMS103" s="29"/>
      <c r="PMT103" s="29"/>
      <c r="PMU103" s="29"/>
      <c r="PMV103" s="29"/>
      <c r="PMW103" s="29"/>
      <c r="PMX103" s="29"/>
      <c r="PMY103" s="29"/>
      <c r="PMZ103" s="29"/>
      <c r="PNA103" s="29"/>
      <c r="PNB103" s="29"/>
      <c r="PNC103" s="29"/>
      <c r="PND103" s="29"/>
      <c r="PNE103" s="29"/>
      <c r="PNF103" s="29"/>
      <c r="PNG103" s="29"/>
      <c r="PNH103" s="29"/>
      <c r="PNI103" s="29"/>
      <c r="PNJ103" s="29"/>
      <c r="PNK103" s="29"/>
      <c r="PNL103" s="29"/>
      <c r="PNM103" s="29"/>
      <c r="PNN103" s="29"/>
      <c r="PNO103" s="29"/>
      <c r="PNP103" s="29"/>
      <c r="PNQ103" s="29"/>
      <c r="PNR103" s="29"/>
      <c r="PNS103" s="29"/>
      <c r="PNT103" s="29"/>
      <c r="PNU103" s="29"/>
      <c r="PNV103" s="29"/>
      <c r="PNW103" s="29"/>
      <c r="PNX103" s="29"/>
      <c r="PNY103" s="29"/>
      <c r="PNZ103" s="29"/>
      <c r="POA103" s="29"/>
      <c r="POB103" s="29"/>
      <c r="POC103" s="29"/>
      <c r="POD103" s="29"/>
      <c r="POE103" s="29"/>
      <c r="POF103" s="29"/>
      <c r="POG103" s="29"/>
      <c r="POH103" s="29"/>
      <c r="POI103" s="29"/>
      <c r="POJ103" s="29"/>
      <c r="POK103" s="29"/>
      <c r="POL103" s="29"/>
      <c r="POM103" s="29"/>
      <c r="PON103" s="29"/>
      <c r="POO103" s="29"/>
      <c r="POP103" s="29"/>
      <c r="POQ103" s="29"/>
      <c r="POR103" s="29"/>
      <c r="POS103" s="29"/>
      <c r="POT103" s="29"/>
      <c r="POU103" s="29"/>
      <c r="POV103" s="29"/>
      <c r="POW103" s="29"/>
      <c r="POX103" s="29"/>
      <c r="POY103" s="29"/>
      <c r="POZ103" s="29"/>
      <c r="PPA103" s="29"/>
      <c r="PPB103" s="29"/>
      <c r="PPC103" s="29"/>
      <c r="PPD103" s="29"/>
      <c r="PPE103" s="29"/>
      <c r="PPF103" s="29"/>
      <c r="PPG103" s="29"/>
      <c r="PPH103" s="29"/>
      <c r="PPI103" s="29"/>
      <c r="PPJ103" s="29"/>
      <c r="PPK103" s="29"/>
      <c r="PPL103" s="29"/>
      <c r="PPM103" s="29"/>
      <c r="PPN103" s="29"/>
      <c r="PPO103" s="29"/>
      <c r="PPP103" s="29"/>
      <c r="PPQ103" s="29"/>
      <c r="PPR103" s="29"/>
      <c r="PPS103" s="29"/>
      <c r="PPT103" s="29"/>
      <c r="PPU103" s="29"/>
      <c r="PPV103" s="29"/>
      <c r="PPW103" s="29"/>
      <c r="PPX103" s="29"/>
      <c r="PPY103" s="29"/>
      <c r="PPZ103" s="29"/>
      <c r="PQA103" s="29"/>
      <c r="PQB103" s="29"/>
      <c r="PQC103" s="29"/>
      <c r="PQD103" s="29"/>
      <c r="PQE103" s="29"/>
      <c r="PQF103" s="29"/>
      <c r="PQG103" s="29"/>
      <c r="PQH103" s="29"/>
      <c r="PQI103" s="29"/>
      <c r="PQJ103" s="29"/>
      <c r="PQK103" s="29"/>
      <c r="PQL103" s="29"/>
      <c r="PQM103" s="29"/>
      <c r="PQN103" s="29"/>
      <c r="PQO103" s="29"/>
      <c r="PQP103" s="29"/>
      <c r="PQQ103" s="29"/>
      <c r="PQR103" s="29"/>
      <c r="PQS103" s="29"/>
      <c r="PQT103" s="29"/>
      <c r="PQU103" s="29"/>
      <c r="PQV103" s="29"/>
      <c r="PQW103" s="29"/>
      <c r="PQX103" s="29"/>
      <c r="PQY103" s="29"/>
      <c r="PQZ103" s="29"/>
      <c r="PRA103" s="29"/>
      <c r="PRB103" s="29"/>
      <c r="PRC103" s="29"/>
      <c r="PRD103" s="29"/>
      <c r="PRE103" s="29"/>
      <c r="PRF103" s="29"/>
      <c r="PRG103" s="29"/>
      <c r="PRH103" s="29"/>
      <c r="PRI103" s="29"/>
      <c r="PRJ103" s="29"/>
      <c r="PRK103" s="29"/>
      <c r="PRL103" s="29"/>
      <c r="PRM103" s="29"/>
      <c r="PRN103" s="29"/>
      <c r="PRO103" s="29"/>
      <c r="PRP103" s="29"/>
      <c r="PRQ103" s="29"/>
      <c r="PRR103" s="29"/>
      <c r="PRS103" s="29"/>
      <c r="PRT103" s="29"/>
      <c r="PRU103" s="29"/>
      <c r="PRV103" s="29"/>
      <c r="PRW103" s="29"/>
      <c r="PRX103" s="29"/>
      <c r="PRY103" s="29"/>
      <c r="PRZ103" s="29"/>
      <c r="PSA103" s="29"/>
      <c r="PSB103" s="29"/>
      <c r="PSC103" s="29"/>
      <c r="PSD103" s="29"/>
      <c r="PSE103" s="29"/>
      <c r="PSF103" s="29"/>
      <c r="PSG103" s="29"/>
      <c r="PSH103" s="29"/>
      <c r="PSI103" s="29"/>
      <c r="PSJ103" s="29"/>
      <c r="PSK103" s="29"/>
      <c r="PSL103" s="29"/>
      <c r="PSM103" s="29"/>
      <c r="PSN103" s="29"/>
      <c r="PSO103" s="29"/>
      <c r="PSP103" s="29"/>
      <c r="PSQ103" s="29"/>
      <c r="PSR103" s="29"/>
      <c r="PSS103" s="29"/>
      <c r="PST103" s="29"/>
      <c r="PSU103" s="29"/>
      <c r="PSV103" s="29"/>
      <c r="PSW103" s="29"/>
      <c r="PSX103" s="29"/>
      <c r="PSY103" s="29"/>
      <c r="PSZ103" s="29"/>
      <c r="PTA103" s="29"/>
      <c r="PTB103" s="29"/>
      <c r="PTC103" s="29"/>
      <c r="PTD103" s="29"/>
      <c r="PTE103" s="29"/>
      <c r="PTF103" s="29"/>
      <c r="PTG103" s="29"/>
      <c r="PTH103" s="29"/>
      <c r="PTI103" s="29"/>
      <c r="PTJ103" s="29"/>
      <c r="PTK103" s="29"/>
      <c r="PTL103" s="29"/>
      <c r="PTM103" s="29"/>
      <c r="PTN103" s="29"/>
      <c r="PTO103" s="29"/>
      <c r="PTP103" s="29"/>
      <c r="PTQ103" s="29"/>
      <c r="PTR103" s="29"/>
      <c r="PTS103" s="29"/>
      <c r="PTT103" s="29"/>
      <c r="PTU103" s="29"/>
      <c r="PTV103" s="29"/>
      <c r="PTW103" s="29"/>
      <c r="PTX103" s="29"/>
      <c r="PTY103" s="29"/>
      <c r="PTZ103" s="29"/>
      <c r="PUA103" s="29"/>
      <c r="PUB103" s="29"/>
      <c r="PUC103" s="29"/>
      <c r="PUD103" s="29"/>
      <c r="PUE103" s="29"/>
      <c r="PUF103" s="29"/>
      <c r="PUG103" s="29"/>
      <c r="PUH103" s="29"/>
      <c r="PUI103" s="29"/>
      <c r="PUJ103" s="29"/>
      <c r="PUK103" s="29"/>
      <c r="PUL103" s="29"/>
      <c r="PUM103" s="29"/>
      <c r="PUN103" s="29"/>
      <c r="PUO103" s="29"/>
      <c r="PUP103" s="29"/>
      <c r="PUQ103" s="29"/>
      <c r="PUR103" s="29"/>
      <c r="PUS103" s="29"/>
      <c r="PUT103" s="29"/>
      <c r="PUU103" s="29"/>
      <c r="PUV103" s="29"/>
      <c r="PUW103" s="29"/>
      <c r="PUX103" s="29"/>
      <c r="PUY103" s="29"/>
      <c r="PUZ103" s="29"/>
      <c r="PVA103" s="29"/>
      <c r="PVB103" s="29"/>
      <c r="PVC103" s="29"/>
      <c r="PVD103" s="29"/>
      <c r="PVE103" s="29"/>
      <c r="PVF103" s="29"/>
      <c r="PVG103" s="29"/>
      <c r="PVH103" s="29"/>
      <c r="PVI103" s="29"/>
      <c r="PVJ103" s="29"/>
      <c r="PVK103" s="29"/>
      <c r="PVL103" s="29"/>
      <c r="PVM103" s="29"/>
      <c r="PVN103" s="29"/>
      <c r="PVO103" s="29"/>
      <c r="PVP103" s="29"/>
      <c r="PVQ103" s="29"/>
      <c r="PVR103" s="29"/>
      <c r="PVS103" s="29"/>
      <c r="PVT103" s="29"/>
      <c r="PVU103" s="29"/>
      <c r="PVV103" s="29"/>
      <c r="PVW103" s="29"/>
      <c r="PVX103" s="29"/>
      <c r="PVY103" s="29"/>
      <c r="PVZ103" s="29"/>
      <c r="PWA103" s="29"/>
      <c r="PWB103" s="29"/>
      <c r="PWC103" s="29"/>
      <c r="PWD103" s="29"/>
      <c r="PWE103" s="29"/>
      <c r="PWF103" s="29"/>
      <c r="PWG103" s="29"/>
      <c r="PWH103" s="29"/>
      <c r="PWI103" s="29"/>
      <c r="PWJ103" s="29"/>
      <c r="PWK103" s="29"/>
      <c r="PWL103" s="29"/>
      <c r="PWM103" s="29"/>
      <c r="PWN103" s="29"/>
      <c r="PWO103" s="29"/>
      <c r="PWP103" s="29"/>
      <c r="PWQ103" s="29"/>
      <c r="PWR103" s="29"/>
      <c r="PWS103" s="29"/>
      <c r="PWT103" s="29"/>
      <c r="PWU103" s="29"/>
      <c r="PWV103" s="29"/>
      <c r="PWW103" s="29"/>
      <c r="PWX103" s="29"/>
      <c r="PWY103" s="29"/>
      <c r="PWZ103" s="29"/>
      <c r="PXA103" s="29"/>
      <c r="PXB103" s="29"/>
      <c r="PXC103" s="29"/>
      <c r="PXD103" s="29"/>
      <c r="PXE103" s="29"/>
      <c r="PXF103" s="29"/>
      <c r="PXG103" s="29"/>
      <c r="PXH103" s="29"/>
      <c r="PXI103" s="29"/>
      <c r="PXJ103" s="29"/>
      <c r="PXK103" s="29"/>
      <c r="PXL103" s="29"/>
      <c r="PXM103" s="29"/>
      <c r="PXN103" s="29"/>
      <c r="PXO103" s="29"/>
      <c r="PXP103" s="29"/>
      <c r="PXQ103" s="29"/>
      <c r="PXR103" s="29"/>
      <c r="PXS103" s="29"/>
      <c r="PXT103" s="29"/>
      <c r="PXU103" s="29"/>
      <c r="PXV103" s="29"/>
      <c r="PXW103" s="29"/>
      <c r="PXX103" s="29"/>
      <c r="PXY103" s="29"/>
      <c r="PXZ103" s="29"/>
      <c r="PYA103" s="29"/>
      <c r="PYB103" s="29"/>
      <c r="PYC103" s="29"/>
      <c r="PYD103" s="29"/>
      <c r="PYE103" s="29"/>
      <c r="PYF103" s="29"/>
      <c r="PYG103" s="29"/>
      <c r="PYH103" s="29"/>
      <c r="PYI103" s="29"/>
      <c r="PYJ103" s="29"/>
      <c r="PYK103" s="29"/>
      <c r="PYL103" s="29"/>
      <c r="PYM103" s="29"/>
      <c r="PYN103" s="29"/>
      <c r="PYO103" s="29"/>
      <c r="PYP103" s="29"/>
      <c r="PYQ103" s="29"/>
      <c r="PYR103" s="29"/>
      <c r="PYS103" s="29"/>
      <c r="PYT103" s="29"/>
      <c r="PYU103" s="29"/>
      <c r="PYV103" s="29"/>
      <c r="PYW103" s="29"/>
      <c r="PYX103" s="29"/>
      <c r="PYY103" s="29"/>
      <c r="PYZ103" s="29"/>
      <c r="PZA103" s="29"/>
      <c r="PZB103" s="29"/>
      <c r="PZC103" s="29"/>
      <c r="PZD103" s="29"/>
      <c r="PZE103" s="29"/>
      <c r="PZF103" s="29"/>
      <c r="PZG103" s="29"/>
      <c r="PZH103" s="29"/>
      <c r="PZI103" s="29"/>
      <c r="PZJ103" s="29"/>
      <c r="PZK103" s="29"/>
      <c r="PZL103" s="29"/>
      <c r="PZM103" s="29"/>
      <c r="PZN103" s="29"/>
      <c r="PZO103" s="29"/>
      <c r="PZP103" s="29"/>
      <c r="PZQ103" s="29"/>
      <c r="PZR103" s="29"/>
      <c r="PZS103" s="29"/>
      <c r="PZT103" s="29"/>
      <c r="PZU103" s="29"/>
      <c r="PZV103" s="29"/>
      <c r="PZW103" s="29"/>
      <c r="PZX103" s="29"/>
      <c r="PZY103" s="29"/>
      <c r="PZZ103" s="29"/>
      <c r="QAA103" s="29"/>
      <c r="QAB103" s="29"/>
      <c r="QAC103" s="29"/>
      <c r="QAD103" s="29"/>
      <c r="QAE103" s="29"/>
      <c r="QAF103" s="29"/>
      <c r="QAG103" s="29"/>
      <c r="QAH103" s="29"/>
      <c r="QAI103" s="29"/>
      <c r="QAJ103" s="29"/>
      <c r="QAK103" s="29"/>
      <c r="QAL103" s="29"/>
      <c r="QAM103" s="29"/>
      <c r="QAN103" s="29"/>
      <c r="QAO103" s="29"/>
      <c r="QAP103" s="29"/>
      <c r="QAQ103" s="29"/>
      <c r="QAR103" s="29"/>
      <c r="QAS103" s="29"/>
      <c r="QAT103" s="29"/>
      <c r="QAU103" s="29"/>
      <c r="QAV103" s="29"/>
      <c r="QAW103" s="29"/>
      <c r="QAX103" s="29"/>
      <c r="QAY103" s="29"/>
      <c r="QAZ103" s="29"/>
      <c r="QBA103" s="29"/>
      <c r="QBB103" s="29"/>
      <c r="QBC103" s="29"/>
      <c r="QBD103" s="29"/>
      <c r="QBE103" s="29"/>
      <c r="QBF103" s="29"/>
      <c r="QBG103" s="29"/>
      <c r="QBH103" s="29"/>
      <c r="QBI103" s="29"/>
      <c r="QBJ103" s="29"/>
      <c r="QBK103" s="29"/>
      <c r="QBL103" s="29"/>
      <c r="QBM103" s="29"/>
      <c r="QBN103" s="29"/>
      <c r="QBO103" s="29"/>
      <c r="QBP103" s="29"/>
      <c r="QBQ103" s="29"/>
      <c r="QBR103" s="29"/>
      <c r="QBS103" s="29"/>
      <c r="QBT103" s="29"/>
      <c r="QBU103" s="29"/>
      <c r="QBV103" s="29"/>
      <c r="QBW103" s="29"/>
      <c r="QBX103" s="29"/>
      <c r="QBY103" s="29"/>
      <c r="QBZ103" s="29"/>
      <c r="QCA103" s="29"/>
      <c r="QCB103" s="29"/>
      <c r="QCC103" s="29"/>
      <c r="QCD103" s="29"/>
      <c r="QCE103" s="29"/>
      <c r="QCF103" s="29"/>
      <c r="QCG103" s="29"/>
      <c r="QCH103" s="29"/>
      <c r="QCI103" s="29"/>
      <c r="QCJ103" s="29"/>
      <c r="QCK103" s="29"/>
      <c r="QCL103" s="29"/>
      <c r="QCM103" s="29"/>
      <c r="QCN103" s="29"/>
      <c r="QCO103" s="29"/>
      <c r="QCP103" s="29"/>
      <c r="QCQ103" s="29"/>
      <c r="QCR103" s="29"/>
      <c r="QCS103" s="29"/>
      <c r="QCT103" s="29"/>
      <c r="QCU103" s="29"/>
      <c r="QCV103" s="29"/>
      <c r="QCW103" s="29"/>
      <c r="QCX103" s="29"/>
      <c r="QCY103" s="29"/>
      <c r="QCZ103" s="29"/>
      <c r="QDA103" s="29"/>
      <c r="QDB103" s="29"/>
      <c r="QDC103" s="29"/>
      <c r="QDD103" s="29"/>
      <c r="QDE103" s="29"/>
      <c r="QDF103" s="29"/>
      <c r="QDG103" s="29"/>
      <c r="QDH103" s="29"/>
      <c r="QDI103" s="29"/>
      <c r="QDJ103" s="29"/>
      <c r="QDK103" s="29"/>
      <c r="QDL103" s="29"/>
      <c r="QDM103" s="29"/>
      <c r="QDN103" s="29"/>
      <c r="QDO103" s="29"/>
      <c r="QDP103" s="29"/>
      <c r="QDQ103" s="29"/>
      <c r="QDR103" s="29"/>
      <c r="QDS103" s="29"/>
      <c r="QDT103" s="29"/>
      <c r="QDU103" s="29"/>
      <c r="QDV103" s="29"/>
      <c r="QDW103" s="29"/>
      <c r="QDX103" s="29"/>
      <c r="QDY103" s="29"/>
      <c r="QDZ103" s="29"/>
      <c r="QEA103" s="29"/>
      <c r="QEB103" s="29"/>
      <c r="QEC103" s="29"/>
      <c r="QED103" s="29"/>
      <c r="QEE103" s="29"/>
      <c r="QEF103" s="29"/>
      <c r="QEG103" s="29"/>
      <c r="QEH103" s="29"/>
      <c r="QEI103" s="29"/>
      <c r="QEJ103" s="29"/>
      <c r="QEK103" s="29"/>
      <c r="QEL103" s="29"/>
      <c r="QEM103" s="29"/>
      <c r="QEN103" s="29"/>
      <c r="QEO103" s="29"/>
      <c r="QEP103" s="29"/>
      <c r="QEQ103" s="29"/>
      <c r="QER103" s="29"/>
      <c r="QES103" s="29"/>
      <c r="QET103" s="29"/>
      <c r="QEU103" s="29"/>
      <c r="QEV103" s="29"/>
      <c r="QEW103" s="29"/>
      <c r="QEX103" s="29"/>
      <c r="QEY103" s="29"/>
      <c r="QEZ103" s="29"/>
      <c r="QFA103" s="29"/>
      <c r="QFB103" s="29"/>
      <c r="QFC103" s="29"/>
      <c r="QFD103" s="29"/>
      <c r="QFE103" s="29"/>
      <c r="QFF103" s="29"/>
      <c r="QFG103" s="29"/>
      <c r="QFH103" s="29"/>
      <c r="QFI103" s="29"/>
      <c r="QFJ103" s="29"/>
      <c r="QFK103" s="29"/>
      <c r="QFL103" s="29"/>
      <c r="QFM103" s="29"/>
      <c r="QFN103" s="29"/>
      <c r="QFO103" s="29"/>
      <c r="QFP103" s="29"/>
      <c r="QFQ103" s="29"/>
      <c r="QFR103" s="29"/>
      <c r="QFS103" s="29"/>
      <c r="QFT103" s="29"/>
      <c r="QFU103" s="29"/>
      <c r="QFV103" s="29"/>
      <c r="QFW103" s="29"/>
      <c r="QFX103" s="29"/>
      <c r="QFY103" s="29"/>
      <c r="QFZ103" s="29"/>
      <c r="QGA103" s="29"/>
      <c r="QGB103" s="29"/>
      <c r="QGC103" s="29"/>
      <c r="QGD103" s="29"/>
      <c r="QGE103" s="29"/>
      <c r="QGF103" s="29"/>
      <c r="QGG103" s="29"/>
      <c r="QGH103" s="29"/>
      <c r="QGI103" s="29"/>
      <c r="QGJ103" s="29"/>
      <c r="QGK103" s="29"/>
      <c r="QGL103" s="29"/>
      <c r="QGM103" s="29"/>
      <c r="QGN103" s="29"/>
      <c r="QGO103" s="29"/>
      <c r="QGP103" s="29"/>
      <c r="QGQ103" s="29"/>
      <c r="QGR103" s="29"/>
      <c r="QGS103" s="29"/>
      <c r="QGT103" s="29"/>
      <c r="QGU103" s="29"/>
      <c r="QGV103" s="29"/>
      <c r="QGW103" s="29"/>
      <c r="QGX103" s="29"/>
      <c r="QGY103" s="29"/>
      <c r="QGZ103" s="29"/>
      <c r="QHA103" s="29"/>
      <c r="QHB103" s="29"/>
      <c r="QHC103" s="29"/>
      <c r="QHD103" s="29"/>
      <c r="QHE103" s="29"/>
      <c r="QHF103" s="29"/>
      <c r="QHG103" s="29"/>
      <c r="QHH103" s="29"/>
      <c r="QHI103" s="29"/>
      <c r="QHJ103" s="29"/>
      <c r="QHK103" s="29"/>
      <c r="QHL103" s="29"/>
      <c r="QHM103" s="29"/>
      <c r="QHN103" s="29"/>
      <c r="QHO103" s="29"/>
      <c r="QHP103" s="29"/>
      <c r="QHQ103" s="29"/>
      <c r="QHR103" s="29"/>
      <c r="QHS103" s="29"/>
      <c r="QHT103" s="29"/>
      <c r="QHU103" s="29"/>
      <c r="QHV103" s="29"/>
      <c r="QHW103" s="29"/>
      <c r="QHX103" s="29"/>
      <c r="QHY103" s="29"/>
      <c r="QHZ103" s="29"/>
      <c r="QIA103" s="29"/>
      <c r="QIB103" s="29"/>
      <c r="QIC103" s="29"/>
      <c r="QID103" s="29"/>
      <c r="QIE103" s="29"/>
      <c r="QIF103" s="29"/>
      <c r="QIG103" s="29"/>
      <c r="QIH103" s="29"/>
      <c r="QII103" s="29"/>
      <c r="QIJ103" s="29"/>
      <c r="QIK103" s="29"/>
      <c r="QIL103" s="29"/>
      <c r="QIM103" s="29"/>
      <c r="QIN103" s="29"/>
      <c r="QIO103" s="29"/>
      <c r="QIP103" s="29"/>
      <c r="QIQ103" s="29"/>
      <c r="QIR103" s="29"/>
      <c r="QIS103" s="29"/>
      <c r="QIT103" s="29"/>
      <c r="QIU103" s="29"/>
      <c r="QIV103" s="29"/>
      <c r="QIW103" s="29"/>
      <c r="QIX103" s="29"/>
      <c r="QIY103" s="29"/>
      <c r="QIZ103" s="29"/>
      <c r="QJA103" s="29"/>
      <c r="QJB103" s="29"/>
      <c r="QJC103" s="29"/>
      <c r="QJD103" s="29"/>
      <c r="QJE103" s="29"/>
      <c r="QJF103" s="29"/>
      <c r="QJG103" s="29"/>
      <c r="QJH103" s="29"/>
      <c r="QJI103" s="29"/>
      <c r="QJJ103" s="29"/>
      <c r="QJK103" s="29"/>
      <c r="QJL103" s="29"/>
      <c r="QJM103" s="29"/>
      <c r="QJN103" s="29"/>
      <c r="QJO103" s="29"/>
      <c r="QJP103" s="29"/>
      <c r="QJQ103" s="29"/>
      <c r="QJR103" s="29"/>
      <c r="QJS103" s="29"/>
      <c r="QJT103" s="29"/>
      <c r="QJU103" s="29"/>
      <c r="QJV103" s="29"/>
      <c r="QJW103" s="29"/>
      <c r="QJX103" s="29"/>
      <c r="QJY103" s="29"/>
      <c r="QJZ103" s="29"/>
      <c r="QKA103" s="29"/>
      <c r="QKB103" s="29"/>
      <c r="QKC103" s="29"/>
      <c r="QKD103" s="29"/>
      <c r="QKE103" s="29"/>
      <c r="QKF103" s="29"/>
      <c r="QKG103" s="29"/>
      <c r="QKH103" s="29"/>
      <c r="QKI103" s="29"/>
      <c r="QKJ103" s="29"/>
      <c r="QKK103" s="29"/>
      <c r="QKL103" s="29"/>
      <c r="QKM103" s="29"/>
      <c r="QKN103" s="29"/>
      <c r="QKO103" s="29"/>
      <c r="QKP103" s="29"/>
      <c r="QKQ103" s="29"/>
      <c r="QKR103" s="29"/>
      <c r="QKS103" s="29"/>
      <c r="QKT103" s="29"/>
      <c r="QKU103" s="29"/>
      <c r="QKV103" s="29"/>
      <c r="QKW103" s="29"/>
      <c r="QKX103" s="29"/>
      <c r="QKY103" s="29"/>
      <c r="QKZ103" s="29"/>
      <c r="QLA103" s="29"/>
      <c r="QLB103" s="29"/>
      <c r="QLC103" s="29"/>
      <c r="QLD103" s="29"/>
      <c r="QLE103" s="29"/>
      <c r="QLF103" s="29"/>
      <c r="QLG103" s="29"/>
      <c r="QLH103" s="29"/>
      <c r="QLI103" s="29"/>
      <c r="QLJ103" s="29"/>
      <c r="QLK103" s="29"/>
      <c r="QLL103" s="29"/>
      <c r="QLM103" s="29"/>
      <c r="QLN103" s="29"/>
      <c r="QLO103" s="29"/>
      <c r="QLP103" s="29"/>
      <c r="QLQ103" s="29"/>
      <c r="QLR103" s="29"/>
      <c r="QLS103" s="29"/>
      <c r="QLT103" s="29"/>
      <c r="QLU103" s="29"/>
      <c r="QLV103" s="29"/>
      <c r="QLW103" s="29"/>
      <c r="QLX103" s="29"/>
      <c r="QLY103" s="29"/>
      <c r="QLZ103" s="29"/>
      <c r="QMA103" s="29"/>
      <c r="QMB103" s="29"/>
      <c r="QMC103" s="29"/>
      <c r="QMD103" s="29"/>
      <c r="QME103" s="29"/>
      <c r="QMF103" s="29"/>
      <c r="QMG103" s="29"/>
      <c r="QMH103" s="29"/>
      <c r="QMI103" s="29"/>
      <c r="QMJ103" s="29"/>
      <c r="QMK103" s="29"/>
      <c r="QML103" s="29"/>
      <c r="QMM103" s="29"/>
      <c r="QMN103" s="29"/>
      <c r="QMO103" s="29"/>
      <c r="QMP103" s="29"/>
      <c r="QMQ103" s="29"/>
      <c r="QMR103" s="29"/>
      <c r="QMS103" s="29"/>
      <c r="QMT103" s="29"/>
      <c r="QMU103" s="29"/>
      <c r="QMV103" s="29"/>
      <c r="QMW103" s="29"/>
      <c r="QMX103" s="29"/>
      <c r="QMY103" s="29"/>
      <c r="QMZ103" s="29"/>
      <c r="QNA103" s="29"/>
      <c r="QNB103" s="29"/>
      <c r="QNC103" s="29"/>
      <c r="QND103" s="29"/>
      <c r="QNE103" s="29"/>
      <c r="QNF103" s="29"/>
      <c r="QNG103" s="29"/>
      <c r="QNH103" s="29"/>
      <c r="QNI103" s="29"/>
      <c r="QNJ103" s="29"/>
      <c r="QNK103" s="29"/>
      <c r="QNL103" s="29"/>
      <c r="QNM103" s="29"/>
      <c r="QNN103" s="29"/>
      <c r="QNO103" s="29"/>
      <c r="QNP103" s="29"/>
      <c r="QNQ103" s="29"/>
      <c r="QNR103" s="29"/>
      <c r="QNS103" s="29"/>
      <c r="QNT103" s="29"/>
      <c r="QNU103" s="29"/>
      <c r="QNV103" s="29"/>
      <c r="QNW103" s="29"/>
      <c r="QNX103" s="29"/>
      <c r="QNY103" s="29"/>
      <c r="QNZ103" s="29"/>
      <c r="QOA103" s="29"/>
      <c r="QOB103" s="29"/>
      <c r="QOC103" s="29"/>
      <c r="QOD103" s="29"/>
      <c r="QOE103" s="29"/>
      <c r="QOF103" s="29"/>
      <c r="QOG103" s="29"/>
      <c r="QOH103" s="29"/>
      <c r="QOI103" s="29"/>
      <c r="QOJ103" s="29"/>
      <c r="QOK103" s="29"/>
      <c r="QOL103" s="29"/>
      <c r="QOM103" s="29"/>
      <c r="QON103" s="29"/>
      <c r="QOO103" s="29"/>
      <c r="QOP103" s="29"/>
      <c r="QOQ103" s="29"/>
      <c r="QOR103" s="29"/>
      <c r="QOS103" s="29"/>
      <c r="QOT103" s="29"/>
      <c r="QOU103" s="29"/>
      <c r="QOV103" s="29"/>
      <c r="QOW103" s="29"/>
      <c r="QOX103" s="29"/>
      <c r="QOY103" s="29"/>
      <c r="QOZ103" s="29"/>
      <c r="QPA103" s="29"/>
      <c r="QPB103" s="29"/>
      <c r="QPC103" s="29"/>
      <c r="QPD103" s="29"/>
      <c r="QPE103" s="29"/>
      <c r="QPF103" s="29"/>
      <c r="QPG103" s="29"/>
      <c r="QPH103" s="29"/>
      <c r="QPI103" s="29"/>
      <c r="QPJ103" s="29"/>
      <c r="QPK103" s="29"/>
      <c r="QPL103" s="29"/>
      <c r="QPM103" s="29"/>
      <c r="QPN103" s="29"/>
      <c r="QPO103" s="29"/>
      <c r="QPP103" s="29"/>
      <c r="QPQ103" s="29"/>
      <c r="QPR103" s="29"/>
      <c r="QPS103" s="29"/>
      <c r="QPT103" s="29"/>
      <c r="QPU103" s="29"/>
      <c r="QPV103" s="29"/>
      <c r="QPW103" s="29"/>
      <c r="QPX103" s="29"/>
      <c r="QPY103" s="29"/>
      <c r="QPZ103" s="29"/>
      <c r="QQA103" s="29"/>
      <c r="QQB103" s="29"/>
      <c r="QQC103" s="29"/>
      <c r="QQD103" s="29"/>
      <c r="QQE103" s="29"/>
      <c r="QQF103" s="29"/>
      <c r="QQG103" s="29"/>
      <c r="QQH103" s="29"/>
      <c r="QQI103" s="29"/>
      <c r="QQJ103" s="29"/>
      <c r="QQK103" s="29"/>
      <c r="QQL103" s="29"/>
      <c r="QQM103" s="29"/>
      <c r="QQN103" s="29"/>
      <c r="QQO103" s="29"/>
      <c r="QQP103" s="29"/>
      <c r="QQQ103" s="29"/>
      <c r="QQR103" s="29"/>
      <c r="QQS103" s="29"/>
      <c r="QQT103" s="29"/>
      <c r="QQU103" s="29"/>
      <c r="QQV103" s="29"/>
      <c r="QQW103" s="29"/>
      <c r="QQX103" s="29"/>
      <c r="QQY103" s="29"/>
      <c r="QQZ103" s="29"/>
      <c r="QRA103" s="29"/>
      <c r="QRB103" s="29"/>
      <c r="QRC103" s="29"/>
      <c r="QRD103" s="29"/>
      <c r="QRE103" s="29"/>
      <c r="QRF103" s="29"/>
      <c r="QRG103" s="29"/>
      <c r="QRH103" s="29"/>
      <c r="QRI103" s="29"/>
      <c r="QRJ103" s="29"/>
      <c r="QRK103" s="29"/>
      <c r="QRL103" s="29"/>
      <c r="QRM103" s="29"/>
      <c r="QRN103" s="29"/>
      <c r="QRO103" s="29"/>
      <c r="QRP103" s="29"/>
      <c r="QRQ103" s="29"/>
      <c r="QRR103" s="29"/>
      <c r="QRS103" s="29"/>
      <c r="QRT103" s="29"/>
      <c r="QRU103" s="29"/>
      <c r="QRV103" s="29"/>
      <c r="QRW103" s="29"/>
      <c r="QRX103" s="29"/>
      <c r="QRY103" s="29"/>
      <c r="QRZ103" s="29"/>
      <c r="QSA103" s="29"/>
      <c r="QSB103" s="29"/>
      <c r="QSC103" s="29"/>
      <c r="QSD103" s="29"/>
      <c r="QSE103" s="29"/>
      <c r="QSF103" s="29"/>
      <c r="QSG103" s="29"/>
      <c r="QSH103" s="29"/>
      <c r="QSI103" s="29"/>
      <c r="QSJ103" s="29"/>
      <c r="QSK103" s="29"/>
      <c r="QSL103" s="29"/>
      <c r="QSM103" s="29"/>
      <c r="QSN103" s="29"/>
      <c r="QSO103" s="29"/>
      <c r="QSP103" s="29"/>
      <c r="QSQ103" s="29"/>
      <c r="QSR103" s="29"/>
      <c r="QSS103" s="29"/>
      <c r="QST103" s="29"/>
      <c r="QSU103" s="29"/>
      <c r="QSV103" s="29"/>
      <c r="QSW103" s="29"/>
      <c r="QSX103" s="29"/>
      <c r="QSY103" s="29"/>
      <c r="QSZ103" s="29"/>
      <c r="QTA103" s="29"/>
      <c r="QTB103" s="29"/>
      <c r="QTC103" s="29"/>
      <c r="QTD103" s="29"/>
      <c r="QTE103" s="29"/>
      <c r="QTF103" s="29"/>
      <c r="QTG103" s="29"/>
      <c r="QTH103" s="29"/>
      <c r="QTI103" s="29"/>
      <c r="QTJ103" s="29"/>
      <c r="QTK103" s="29"/>
      <c r="QTL103" s="29"/>
      <c r="QTM103" s="29"/>
      <c r="QTN103" s="29"/>
      <c r="QTO103" s="29"/>
      <c r="QTP103" s="29"/>
      <c r="QTQ103" s="29"/>
      <c r="QTR103" s="29"/>
      <c r="QTS103" s="29"/>
      <c r="QTT103" s="29"/>
      <c r="QTU103" s="29"/>
      <c r="QTV103" s="29"/>
      <c r="QTW103" s="29"/>
      <c r="QTX103" s="29"/>
      <c r="QTY103" s="29"/>
      <c r="QTZ103" s="29"/>
      <c r="QUA103" s="29"/>
      <c r="QUB103" s="29"/>
      <c r="QUC103" s="29"/>
      <c r="QUD103" s="29"/>
      <c r="QUE103" s="29"/>
      <c r="QUF103" s="29"/>
      <c r="QUG103" s="29"/>
      <c r="QUH103" s="29"/>
      <c r="QUI103" s="29"/>
      <c r="QUJ103" s="29"/>
      <c r="QUK103" s="29"/>
      <c r="QUL103" s="29"/>
      <c r="QUM103" s="29"/>
      <c r="QUN103" s="29"/>
      <c r="QUO103" s="29"/>
      <c r="QUP103" s="29"/>
      <c r="QUQ103" s="29"/>
      <c r="QUR103" s="29"/>
      <c r="QUS103" s="29"/>
      <c r="QUT103" s="29"/>
      <c r="QUU103" s="29"/>
      <c r="QUV103" s="29"/>
      <c r="QUW103" s="29"/>
      <c r="QUX103" s="29"/>
      <c r="QUY103" s="29"/>
      <c r="QUZ103" s="29"/>
      <c r="QVA103" s="29"/>
      <c r="QVB103" s="29"/>
      <c r="QVC103" s="29"/>
      <c r="QVD103" s="29"/>
      <c r="QVE103" s="29"/>
      <c r="QVF103" s="29"/>
      <c r="QVG103" s="29"/>
      <c r="QVH103" s="29"/>
      <c r="QVI103" s="29"/>
      <c r="QVJ103" s="29"/>
      <c r="QVK103" s="29"/>
      <c r="QVL103" s="29"/>
      <c r="QVM103" s="29"/>
      <c r="QVN103" s="29"/>
      <c r="QVO103" s="29"/>
      <c r="QVP103" s="29"/>
      <c r="QVQ103" s="29"/>
      <c r="QVR103" s="29"/>
      <c r="QVS103" s="29"/>
      <c r="QVT103" s="29"/>
      <c r="QVU103" s="29"/>
      <c r="QVV103" s="29"/>
      <c r="QVW103" s="29"/>
      <c r="QVX103" s="29"/>
      <c r="QVY103" s="29"/>
      <c r="QVZ103" s="29"/>
      <c r="QWA103" s="29"/>
      <c r="QWB103" s="29"/>
      <c r="QWC103" s="29"/>
      <c r="QWD103" s="29"/>
      <c r="QWE103" s="29"/>
      <c r="QWF103" s="29"/>
      <c r="QWG103" s="29"/>
      <c r="QWH103" s="29"/>
      <c r="QWI103" s="29"/>
      <c r="QWJ103" s="29"/>
      <c r="QWK103" s="29"/>
      <c r="QWL103" s="29"/>
      <c r="QWM103" s="29"/>
      <c r="QWN103" s="29"/>
      <c r="QWO103" s="29"/>
      <c r="QWP103" s="29"/>
      <c r="QWQ103" s="29"/>
      <c r="QWR103" s="29"/>
      <c r="QWS103" s="29"/>
      <c r="QWT103" s="29"/>
      <c r="QWU103" s="29"/>
      <c r="QWV103" s="29"/>
      <c r="QWW103" s="29"/>
      <c r="QWX103" s="29"/>
      <c r="QWY103" s="29"/>
      <c r="QWZ103" s="29"/>
      <c r="QXA103" s="29"/>
      <c r="QXB103" s="29"/>
      <c r="QXC103" s="29"/>
      <c r="QXD103" s="29"/>
      <c r="QXE103" s="29"/>
      <c r="QXF103" s="29"/>
      <c r="QXG103" s="29"/>
      <c r="QXH103" s="29"/>
      <c r="QXI103" s="29"/>
      <c r="QXJ103" s="29"/>
      <c r="QXK103" s="29"/>
      <c r="QXL103" s="29"/>
      <c r="QXM103" s="29"/>
      <c r="QXN103" s="29"/>
      <c r="QXO103" s="29"/>
      <c r="QXP103" s="29"/>
      <c r="QXQ103" s="29"/>
      <c r="QXR103" s="29"/>
      <c r="QXS103" s="29"/>
      <c r="QXT103" s="29"/>
      <c r="QXU103" s="29"/>
      <c r="QXV103" s="29"/>
      <c r="QXW103" s="29"/>
      <c r="QXX103" s="29"/>
      <c r="QXY103" s="29"/>
      <c r="QXZ103" s="29"/>
      <c r="QYA103" s="29"/>
      <c r="QYB103" s="29"/>
      <c r="QYC103" s="29"/>
      <c r="QYD103" s="29"/>
      <c r="QYE103" s="29"/>
      <c r="QYF103" s="29"/>
      <c r="QYG103" s="29"/>
      <c r="QYH103" s="29"/>
      <c r="QYI103" s="29"/>
      <c r="QYJ103" s="29"/>
      <c r="QYK103" s="29"/>
      <c r="QYL103" s="29"/>
      <c r="QYM103" s="29"/>
      <c r="QYN103" s="29"/>
      <c r="QYO103" s="29"/>
      <c r="QYP103" s="29"/>
      <c r="QYQ103" s="29"/>
      <c r="QYR103" s="29"/>
      <c r="QYS103" s="29"/>
      <c r="QYT103" s="29"/>
      <c r="QYU103" s="29"/>
      <c r="QYV103" s="29"/>
      <c r="QYW103" s="29"/>
      <c r="QYX103" s="29"/>
      <c r="QYY103" s="29"/>
      <c r="QYZ103" s="29"/>
      <c r="QZA103" s="29"/>
      <c r="QZB103" s="29"/>
      <c r="QZC103" s="29"/>
      <c r="QZD103" s="29"/>
      <c r="QZE103" s="29"/>
      <c r="QZF103" s="29"/>
      <c r="QZG103" s="29"/>
      <c r="QZH103" s="29"/>
      <c r="QZI103" s="29"/>
      <c r="QZJ103" s="29"/>
      <c r="QZK103" s="29"/>
      <c r="QZL103" s="29"/>
      <c r="QZM103" s="29"/>
      <c r="QZN103" s="29"/>
      <c r="QZO103" s="29"/>
      <c r="QZP103" s="29"/>
      <c r="QZQ103" s="29"/>
      <c r="QZR103" s="29"/>
      <c r="QZS103" s="29"/>
      <c r="QZT103" s="29"/>
      <c r="QZU103" s="29"/>
      <c r="QZV103" s="29"/>
      <c r="QZW103" s="29"/>
      <c r="QZX103" s="29"/>
      <c r="QZY103" s="29"/>
      <c r="QZZ103" s="29"/>
      <c r="RAA103" s="29"/>
      <c r="RAB103" s="29"/>
      <c r="RAC103" s="29"/>
      <c r="RAD103" s="29"/>
      <c r="RAE103" s="29"/>
      <c r="RAF103" s="29"/>
      <c r="RAG103" s="29"/>
      <c r="RAH103" s="29"/>
      <c r="RAI103" s="29"/>
      <c r="RAJ103" s="29"/>
      <c r="RAK103" s="29"/>
      <c r="RAL103" s="29"/>
      <c r="RAM103" s="29"/>
      <c r="RAN103" s="29"/>
      <c r="RAO103" s="29"/>
      <c r="RAP103" s="29"/>
      <c r="RAQ103" s="29"/>
      <c r="RAR103" s="29"/>
      <c r="RAS103" s="29"/>
      <c r="RAT103" s="29"/>
      <c r="RAU103" s="29"/>
      <c r="RAV103" s="29"/>
      <c r="RAW103" s="29"/>
      <c r="RAX103" s="29"/>
      <c r="RAY103" s="29"/>
      <c r="RAZ103" s="29"/>
      <c r="RBA103" s="29"/>
      <c r="RBB103" s="29"/>
      <c r="RBC103" s="29"/>
      <c r="RBD103" s="29"/>
      <c r="RBE103" s="29"/>
      <c r="RBF103" s="29"/>
      <c r="RBG103" s="29"/>
      <c r="RBH103" s="29"/>
      <c r="RBI103" s="29"/>
      <c r="RBJ103" s="29"/>
      <c r="RBK103" s="29"/>
      <c r="RBL103" s="29"/>
      <c r="RBM103" s="29"/>
      <c r="RBN103" s="29"/>
      <c r="RBO103" s="29"/>
      <c r="RBP103" s="29"/>
      <c r="RBQ103" s="29"/>
      <c r="RBR103" s="29"/>
      <c r="RBS103" s="29"/>
      <c r="RBT103" s="29"/>
      <c r="RBU103" s="29"/>
      <c r="RBV103" s="29"/>
      <c r="RBW103" s="29"/>
      <c r="RBX103" s="29"/>
      <c r="RBY103" s="29"/>
      <c r="RBZ103" s="29"/>
      <c r="RCA103" s="29"/>
      <c r="RCB103" s="29"/>
      <c r="RCC103" s="29"/>
      <c r="RCD103" s="29"/>
      <c r="RCE103" s="29"/>
      <c r="RCF103" s="29"/>
      <c r="RCG103" s="29"/>
      <c r="RCH103" s="29"/>
      <c r="RCI103" s="29"/>
      <c r="RCJ103" s="29"/>
      <c r="RCK103" s="29"/>
      <c r="RCL103" s="29"/>
      <c r="RCM103" s="29"/>
      <c r="RCN103" s="29"/>
      <c r="RCO103" s="29"/>
      <c r="RCP103" s="29"/>
      <c r="RCQ103" s="29"/>
      <c r="RCR103" s="29"/>
      <c r="RCS103" s="29"/>
      <c r="RCT103" s="29"/>
      <c r="RCU103" s="29"/>
      <c r="RCV103" s="29"/>
      <c r="RCW103" s="29"/>
      <c r="RCX103" s="29"/>
      <c r="RCY103" s="29"/>
      <c r="RCZ103" s="29"/>
      <c r="RDA103" s="29"/>
      <c r="RDB103" s="29"/>
      <c r="RDC103" s="29"/>
      <c r="RDD103" s="29"/>
      <c r="RDE103" s="29"/>
      <c r="RDF103" s="29"/>
      <c r="RDG103" s="29"/>
      <c r="RDH103" s="29"/>
      <c r="RDI103" s="29"/>
      <c r="RDJ103" s="29"/>
      <c r="RDK103" s="29"/>
      <c r="RDL103" s="29"/>
      <c r="RDM103" s="29"/>
      <c r="RDN103" s="29"/>
      <c r="RDO103" s="29"/>
      <c r="RDP103" s="29"/>
      <c r="RDQ103" s="29"/>
      <c r="RDR103" s="29"/>
      <c r="RDS103" s="29"/>
      <c r="RDT103" s="29"/>
      <c r="RDU103" s="29"/>
      <c r="RDV103" s="29"/>
      <c r="RDW103" s="29"/>
      <c r="RDX103" s="29"/>
      <c r="RDY103" s="29"/>
      <c r="RDZ103" s="29"/>
      <c r="REA103" s="29"/>
      <c r="REB103" s="29"/>
      <c r="REC103" s="29"/>
      <c r="RED103" s="29"/>
      <c r="REE103" s="29"/>
      <c r="REF103" s="29"/>
      <c r="REG103" s="29"/>
      <c r="REH103" s="29"/>
      <c r="REI103" s="29"/>
      <c r="REJ103" s="29"/>
      <c r="REK103" s="29"/>
      <c r="REL103" s="29"/>
      <c r="REM103" s="29"/>
      <c r="REN103" s="29"/>
      <c r="REO103" s="29"/>
      <c r="REP103" s="29"/>
      <c r="REQ103" s="29"/>
      <c r="RER103" s="29"/>
      <c r="RES103" s="29"/>
      <c r="RET103" s="29"/>
      <c r="REU103" s="29"/>
      <c r="REV103" s="29"/>
      <c r="REW103" s="29"/>
      <c r="REX103" s="29"/>
      <c r="REY103" s="29"/>
      <c r="REZ103" s="29"/>
      <c r="RFA103" s="29"/>
      <c r="RFB103" s="29"/>
      <c r="RFC103" s="29"/>
      <c r="RFD103" s="29"/>
      <c r="RFE103" s="29"/>
      <c r="RFF103" s="29"/>
      <c r="RFG103" s="29"/>
      <c r="RFH103" s="29"/>
      <c r="RFI103" s="29"/>
      <c r="RFJ103" s="29"/>
      <c r="RFK103" s="29"/>
      <c r="RFL103" s="29"/>
      <c r="RFM103" s="29"/>
      <c r="RFN103" s="29"/>
      <c r="RFO103" s="29"/>
      <c r="RFP103" s="29"/>
      <c r="RFQ103" s="29"/>
      <c r="RFR103" s="29"/>
      <c r="RFS103" s="29"/>
      <c r="RFT103" s="29"/>
      <c r="RFU103" s="29"/>
      <c r="RFV103" s="29"/>
      <c r="RFW103" s="29"/>
      <c r="RFX103" s="29"/>
      <c r="RFY103" s="29"/>
      <c r="RFZ103" s="29"/>
      <c r="RGA103" s="29"/>
      <c r="RGB103" s="29"/>
      <c r="RGC103" s="29"/>
      <c r="RGD103" s="29"/>
      <c r="RGE103" s="29"/>
      <c r="RGF103" s="29"/>
      <c r="RGG103" s="29"/>
      <c r="RGH103" s="29"/>
      <c r="RGI103" s="29"/>
      <c r="RGJ103" s="29"/>
      <c r="RGK103" s="29"/>
      <c r="RGL103" s="29"/>
      <c r="RGM103" s="29"/>
      <c r="RGN103" s="29"/>
      <c r="RGO103" s="29"/>
      <c r="RGP103" s="29"/>
      <c r="RGQ103" s="29"/>
      <c r="RGR103" s="29"/>
      <c r="RGS103" s="29"/>
      <c r="RGT103" s="29"/>
      <c r="RGU103" s="29"/>
      <c r="RGV103" s="29"/>
      <c r="RGW103" s="29"/>
      <c r="RGX103" s="29"/>
      <c r="RGY103" s="29"/>
      <c r="RGZ103" s="29"/>
      <c r="RHA103" s="29"/>
      <c r="RHB103" s="29"/>
      <c r="RHC103" s="29"/>
      <c r="RHD103" s="29"/>
      <c r="RHE103" s="29"/>
      <c r="RHF103" s="29"/>
      <c r="RHG103" s="29"/>
      <c r="RHH103" s="29"/>
      <c r="RHI103" s="29"/>
      <c r="RHJ103" s="29"/>
      <c r="RHK103" s="29"/>
      <c r="RHL103" s="29"/>
      <c r="RHM103" s="29"/>
      <c r="RHN103" s="29"/>
      <c r="RHO103" s="29"/>
      <c r="RHP103" s="29"/>
      <c r="RHQ103" s="29"/>
      <c r="RHR103" s="29"/>
      <c r="RHS103" s="29"/>
      <c r="RHT103" s="29"/>
      <c r="RHU103" s="29"/>
      <c r="RHV103" s="29"/>
      <c r="RHW103" s="29"/>
      <c r="RHX103" s="29"/>
      <c r="RHY103" s="29"/>
      <c r="RHZ103" s="29"/>
      <c r="RIA103" s="29"/>
      <c r="RIB103" s="29"/>
      <c r="RIC103" s="29"/>
      <c r="RID103" s="29"/>
      <c r="RIE103" s="29"/>
      <c r="RIF103" s="29"/>
      <c r="RIG103" s="29"/>
      <c r="RIH103" s="29"/>
      <c r="RII103" s="29"/>
      <c r="RIJ103" s="29"/>
      <c r="RIK103" s="29"/>
      <c r="RIL103" s="29"/>
      <c r="RIM103" s="29"/>
      <c r="RIN103" s="29"/>
      <c r="RIO103" s="29"/>
      <c r="RIP103" s="29"/>
      <c r="RIQ103" s="29"/>
      <c r="RIR103" s="29"/>
      <c r="RIS103" s="29"/>
      <c r="RIT103" s="29"/>
      <c r="RIU103" s="29"/>
      <c r="RIV103" s="29"/>
      <c r="RIW103" s="29"/>
      <c r="RIX103" s="29"/>
      <c r="RIY103" s="29"/>
      <c r="RIZ103" s="29"/>
      <c r="RJA103" s="29"/>
      <c r="RJB103" s="29"/>
      <c r="RJC103" s="29"/>
      <c r="RJD103" s="29"/>
      <c r="RJE103" s="29"/>
      <c r="RJF103" s="29"/>
      <c r="RJG103" s="29"/>
      <c r="RJH103" s="29"/>
      <c r="RJI103" s="29"/>
      <c r="RJJ103" s="29"/>
      <c r="RJK103" s="29"/>
      <c r="RJL103" s="29"/>
      <c r="RJM103" s="29"/>
      <c r="RJN103" s="29"/>
      <c r="RJO103" s="29"/>
      <c r="RJP103" s="29"/>
      <c r="RJQ103" s="29"/>
      <c r="RJR103" s="29"/>
      <c r="RJS103" s="29"/>
      <c r="RJT103" s="29"/>
      <c r="RJU103" s="29"/>
      <c r="RJV103" s="29"/>
      <c r="RJW103" s="29"/>
      <c r="RJX103" s="29"/>
      <c r="RJY103" s="29"/>
      <c r="RJZ103" s="29"/>
      <c r="RKA103" s="29"/>
      <c r="RKB103" s="29"/>
      <c r="RKC103" s="29"/>
      <c r="RKD103" s="29"/>
      <c r="RKE103" s="29"/>
      <c r="RKF103" s="29"/>
      <c r="RKG103" s="29"/>
      <c r="RKH103" s="29"/>
      <c r="RKI103" s="29"/>
      <c r="RKJ103" s="29"/>
      <c r="RKK103" s="29"/>
      <c r="RKL103" s="29"/>
      <c r="RKM103" s="29"/>
      <c r="RKN103" s="29"/>
      <c r="RKO103" s="29"/>
      <c r="RKP103" s="29"/>
      <c r="RKQ103" s="29"/>
      <c r="RKR103" s="29"/>
      <c r="RKS103" s="29"/>
      <c r="RKT103" s="29"/>
      <c r="RKU103" s="29"/>
      <c r="RKV103" s="29"/>
      <c r="RKW103" s="29"/>
      <c r="RKX103" s="29"/>
      <c r="RKY103" s="29"/>
      <c r="RKZ103" s="29"/>
      <c r="RLA103" s="29"/>
      <c r="RLB103" s="29"/>
      <c r="RLC103" s="29"/>
      <c r="RLD103" s="29"/>
      <c r="RLE103" s="29"/>
      <c r="RLF103" s="29"/>
      <c r="RLG103" s="29"/>
      <c r="RLH103" s="29"/>
      <c r="RLI103" s="29"/>
      <c r="RLJ103" s="29"/>
      <c r="RLK103" s="29"/>
      <c r="RLL103" s="29"/>
      <c r="RLM103" s="29"/>
      <c r="RLN103" s="29"/>
      <c r="RLO103" s="29"/>
      <c r="RLP103" s="29"/>
      <c r="RLQ103" s="29"/>
      <c r="RLR103" s="29"/>
      <c r="RLS103" s="29"/>
      <c r="RLT103" s="29"/>
      <c r="RLU103" s="29"/>
      <c r="RLV103" s="29"/>
      <c r="RLW103" s="29"/>
      <c r="RLX103" s="29"/>
      <c r="RLY103" s="29"/>
      <c r="RLZ103" s="29"/>
      <c r="RMA103" s="29"/>
      <c r="RMB103" s="29"/>
      <c r="RMC103" s="29"/>
      <c r="RMD103" s="29"/>
      <c r="RME103" s="29"/>
      <c r="RMF103" s="29"/>
      <c r="RMG103" s="29"/>
      <c r="RMH103" s="29"/>
      <c r="RMI103" s="29"/>
      <c r="RMJ103" s="29"/>
      <c r="RMK103" s="29"/>
      <c r="RML103" s="29"/>
      <c r="RMM103" s="29"/>
      <c r="RMN103" s="29"/>
      <c r="RMO103" s="29"/>
      <c r="RMP103" s="29"/>
      <c r="RMQ103" s="29"/>
      <c r="RMR103" s="29"/>
      <c r="RMS103" s="29"/>
      <c r="RMT103" s="29"/>
      <c r="RMU103" s="29"/>
      <c r="RMV103" s="29"/>
      <c r="RMW103" s="29"/>
      <c r="RMX103" s="29"/>
      <c r="RMY103" s="29"/>
      <c r="RMZ103" s="29"/>
      <c r="RNA103" s="29"/>
      <c r="RNB103" s="29"/>
      <c r="RNC103" s="29"/>
      <c r="RND103" s="29"/>
      <c r="RNE103" s="29"/>
      <c r="RNF103" s="29"/>
      <c r="RNG103" s="29"/>
      <c r="RNH103" s="29"/>
      <c r="RNI103" s="29"/>
      <c r="RNJ103" s="29"/>
      <c r="RNK103" s="29"/>
      <c r="RNL103" s="29"/>
      <c r="RNM103" s="29"/>
      <c r="RNN103" s="29"/>
      <c r="RNO103" s="29"/>
      <c r="RNP103" s="29"/>
      <c r="RNQ103" s="29"/>
      <c r="RNR103" s="29"/>
      <c r="RNS103" s="29"/>
      <c r="RNT103" s="29"/>
      <c r="RNU103" s="29"/>
      <c r="RNV103" s="29"/>
      <c r="RNW103" s="29"/>
      <c r="RNX103" s="29"/>
      <c r="RNY103" s="29"/>
      <c r="RNZ103" s="29"/>
      <c r="ROA103" s="29"/>
      <c r="ROB103" s="29"/>
      <c r="ROC103" s="29"/>
      <c r="ROD103" s="29"/>
      <c r="ROE103" s="29"/>
      <c r="ROF103" s="29"/>
      <c r="ROG103" s="29"/>
      <c r="ROH103" s="29"/>
      <c r="ROI103" s="29"/>
      <c r="ROJ103" s="29"/>
      <c r="ROK103" s="29"/>
      <c r="ROL103" s="29"/>
      <c r="ROM103" s="29"/>
      <c r="RON103" s="29"/>
      <c r="ROO103" s="29"/>
      <c r="ROP103" s="29"/>
      <c r="ROQ103" s="29"/>
      <c r="ROR103" s="29"/>
      <c r="ROS103" s="29"/>
      <c r="ROT103" s="29"/>
      <c r="ROU103" s="29"/>
      <c r="ROV103" s="29"/>
      <c r="ROW103" s="29"/>
      <c r="ROX103" s="29"/>
      <c r="ROY103" s="29"/>
      <c r="ROZ103" s="29"/>
      <c r="RPA103" s="29"/>
      <c r="RPB103" s="29"/>
      <c r="RPC103" s="29"/>
      <c r="RPD103" s="29"/>
      <c r="RPE103" s="29"/>
      <c r="RPF103" s="29"/>
      <c r="RPG103" s="29"/>
      <c r="RPH103" s="29"/>
      <c r="RPI103" s="29"/>
      <c r="RPJ103" s="29"/>
      <c r="RPK103" s="29"/>
      <c r="RPL103" s="29"/>
      <c r="RPM103" s="29"/>
      <c r="RPN103" s="29"/>
      <c r="RPO103" s="29"/>
      <c r="RPP103" s="29"/>
      <c r="RPQ103" s="29"/>
      <c r="RPR103" s="29"/>
      <c r="RPS103" s="29"/>
      <c r="RPT103" s="29"/>
      <c r="RPU103" s="29"/>
      <c r="RPV103" s="29"/>
      <c r="RPW103" s="29"/>
      <c r="RPX103" s="29"/>
      <c r="RPY103" s="29"/>
      <c r="RPZ103" s="29"/>
      <c r="RQA103" s="29"/>
      <c r="RQB103" s="29"/>
      <c r="RQC103" s="29"/>
      <c r="RQD103" s="29"/>
      <c r="RQE103" s="29"/>
      <c r="RQF103" s="29"/>
      <c r="RQG103" s="29"/>
      <c r="RQH103" s="29"/>
      <c r="RQI103" s="29"/>
      <c r="RQJ103" s="29"/>
      <c r="RQK103" s="29"/>
      <c r="RQL103" s="29"/>
      <c r="RQM103" s="29"/>
      <c r="RQN103" s="29"/>
      <c r="RQO103" s="29"/>
      <c r="RQP103" s="29"/>
      <c r="RQQ103" s="29"/>
      <c r="RQR103" s="29"/>
      <c r="RQS103" s="29"/>
      <c r="RQT103" s="29"/>
      <c r="RQU103" s="29"/>
      <c r="RQV103" s="29"/>
      <c r="RQW103" s="29"/>
      <c r="RQX103" s="29"/>
      <c r="RQY103" s="29"/>
      <c r="RQZ103" s="29"/>
      <c r="RRA103" s="29"/>
      <c r="RRB103" s="29"/>
      <c r="RRC103" s="29"/>
      <c r="RRD103" s="29"/>
      <c r="RRE103" s="29"/>
      <c r="RRF103" s="29"/>
      <c r="RRG103" s="29"/>
      <c r="RRH103" s="29"/>
      <c r="RRI103" s="29"/>
      <c r="RRJ103" s="29"/>
      <c r="RRK103" s="29"/>
      <c r="RRL103" s="29"/>
      <c r="RRM103" s="29"/>
      <c r="RRN103" s="29"/>
      <c r="RRO103" s="29"/>
      <c r="RRP103" s="29"/>
      <c r="RRQ103" s="29"/>
      <c r="RRR103" s="29"/>
      <c r="RRS103" s="29"/>
      <c r="RRT103" s="29"/>
      <c r="RRU103" s="29"/>
      <c r="RRV103" s="29"/>
      <c r="RRW103" s="29"/>
      <c r="RRX103" s="29"/>
      <c r="RRY103" s="29"/>
      <c r="RRZ103" s="29"/>
      <c r="RSA103" s="29"/>
      <c r="RSB103" s="29"/>
      <c r="RSC103" s="29"/>
      <c r="RSD103" s="29"/>
      <c r="RSE103" s="29"/>
      <c r="RSF103" s="29"/>
      <c r="RSG103" s="29"/>
      <c r="RSH103" s="29"/>
      <c r="RSI103" s="29"/>
      <c r="RSJ103" s="29"/>
      <c r="RSK103" s="29"/>
      <c r="RSL103" s="29"/>
      <c r="RSM103" s="29"/>
      <c r="RSN103" s="29"/>
      <c r="RSO103" s="29"/>
      <c r="RSP103" s="29"/>
      <c r="RSQ103" s="29"/>
      <c r="RSR103" s="29"/>
      <c r="RSS103" s="29"/>
      <c r="RST103" s="29"/>
      <c r="RSU103" s="29"/>
      <c r="RSV103" s="29"/>
      <c r="RSW103" s="29"/>
      <c r="RSX103" s="29"/>
      <c r="RSY103" s="29"/>
      <c r="RSZ103" s="29"/>
      <c r="RTA103" s="29"/>
      <c r="RTB103" s="29"/>
      <c r="RTC103" s="29"/>
      <c r="RTD103" s="29"/>
      <c r="RTE103" s="29"/>
      <c r="RTF103" s="29"/>
      <c r="RTG103" s="29"/>
      <c r="RTH103" s="29"/>
      <c r="RTI103" s="29"/>
      <c r="RTJ103" s="29"/>
      <c r="RTK103" s="29"/>
      <c r="RTL103" s="29"/>
      <c r="RTM103" s="29"/>
      <c r="RTN103" s="29"/>
      <c r="RTO103" s="29"/>
      <c r="RTP103" s="29"/>
      <c r="RTQ103" s="29"/>
      <c r="RTR103" s="29"/>
      <c r="RTS103" s="29"/>
      <c r="RTT103" s="29"/>
      <c r="RTU103" s="29"/>
      <c r="RTV103" s="29"/>
      <c r="RTW103" s="29"/>
      <c r="RTX103" s="29"/>
      <c r="RTY103" s="29"/>
      <c r="RTZ103" s="29"/>
      <c r="RUA103" s="29"/>
      <c r="RUB103" s="29"/>
      <c r="RUC103" s="29"/>
      <c r="RUD103" s="29"/>
      <c r="RUE103" s="29"/>
      <c r="RUF103" s="29"/>
      <c r="RUG103" s="29"/>
      <c r="RUH103" s="29"/>
      <c r="RUI103" s="29"/>
      <c r="RUJ103" s="29"/>
      <c r="RUK103" s="29"/>
      <c r="RUL103" s="29"/>
      <c r="RUM103" s="29"/>
      <c r="RUN103" s="29"/>
      <c r="RUO103" s="29"/>
      <c r="RUP103" s="29"/>
      <c r="RUQ103" s="29"/>
      <c r="RUR103" s="29"/>
      <c r="RUS103" s="29"/>
      <c r="RUT103" s="29"/>
      <c r="RUU103" s="29"/>
      <c r="RUV103" s="29"/>
      <c r="RUW103" s="29"/>
      <c r="RUX103" s="29"/>
      <c r="RUY103" s="29"/>
      <c r="RUZ103" s="29"/>
      <c r="RVA103" s="29"/>
      <c r="RVB103" s="29"/>
      <c r="RVC103" s="29"/>
      <c r="RVD103" s="29"/>
      <c r="RVE103" s="29"/>
      <c r="RVF103" s="29"/>
      <c r="RVG103" s="29"/>
      <c r="RVH103" s="29"/>
      <c r="RVI103" s="29"/>
      <c r="RVJ103" s="29"/>
      <c r="RVK103" s="29"/>
      <c r="RVL103" s="29"/>
      <c r="RVM103" s="29"/>
      <c r="RVN103" s="29"/>
      <c r="RVO103" s="29"/>
      <c r="RVP103" s="29"/>
      <c r="RVQ103" s="29"/>
      <c r="RVR103" s="29"/>
      <c r="RVS103" s="29"/>
      <c r="RVT103" s="29"/>
      <c r="RVU103" s="29"/>
      <c r="RVV103" s="29"/>
      <c r="RVW103" s="29"/>
      <c r="RVX103" s="29"/>
      <c r="RVY103" s="29"/>
      <c r="RVZ103" s="29"/>
      <c r="RWA103" s="29"/>
      <c r="RWB103" s="29"/>
      <c r="RWC103" s="29"/>
      <c r="RWD103" s="29"/>
      <c r="RWE103" s="29"/>
      <c r="RWF103" s="29"/>
      <c r="RWG103" s="29"/>
      <c r="RWH103" s="29"/>
      <c r="RWI103" s="29"/>
      <c r="RWJ103" s="29"/>
      <c r="RWK103" s="29"/>
      <c r="RWL103" s="29"/>
      <c r="RWM103" s="29"/>
      <c r="RWN103" s="29"/>
      <c r="RWO103" s="29"/>
      <c r="RWP103" s="29"/>
      <c r="RWQ103" s="29"/>
      <c r="RWR103" s="29"/>
      <c r="RWS103" s="29"/>
      <c r="RWT103" s="29"/>
      <c r="RWU103" s="29"/>
      <c r="RWV103" s="29"/>
      <c r="RWW103" s="29"/>
      <c r="RWX103" s="29"/>
      <c r="RWY103" s="29"/>
      <c r="RWZ103" s="29"/>
      <c r="RXA103" s="29"/>
      <c r="RXB103" s="29"/>
      <c r="RXC103" s="29"/>
      <c r="RXD103" s="29"/>
      <c r="RXE103" s="29"/>
      <c r="RXF103" s="29"/>
      <c r="RXG103" s="29"/>
      <c r="RXH103" s="29"/>
      <c r="RXI103" s="29"/>
      <c r="RXJ103" s="29"/>
      <c r="RXK103" s="29"/>
      <c r="RXL103" s="29"/>
      <c r="RXM103" s="29"/>
      <c r="RXN103" s="29"/>
      <c r="RXO103" s="29"/>
      <c r="RXP103" s="29"/>
      <c r="RXQ103" s="29"/>
      <c r="RXR103" s="29"/>
      <c r="RXS103" s="29"/>
      <c r="RXT103" s="29"/>
      <c r="RXU103" s="29"/>
      <c r="RXV103" s="29"/>
      <c r="RXW103" s="29"/>
      <c r="RXX103" s="29"/>
      <c r="RXY103" s="29"/>
      <c r="RXZ103" s="29"/>
      <c r="RYA103" s="29"/>
      <c r="RYB103" s="29"/>
      <c r="RYC103" s="29"/>
      <c r="RYD103" s="29"/>
      <c r="RYE103" s="29"/>
      <c r="RYF103" s="29"/>
      <c r="RYG103" s="29"/>
      <c r="RYH103" s="29"/>
      <c r="RYI103" s="29"/>
      <c r="RYJ103" s="29"/>
      <c r="RYK103" s="29"/>
      <c r="RYL103" s="29"/>
      <c r="RYM103" s="29"/>
      <c r="RYN103" s="29"/>
      <c r="RYO103" s="29"/>
      <c r="RYP103" s="29"/>
      <c r="RYQ103" s="29"/>
      <c r="RYR103" s="29"/>
      <c r="RYS103" s="29"/>
      <c r="RYT103" s="29"/>
      <c r="RYU103" s="29"/>
      <c r="RYV103" s="29"/>
      <c r="RYW103" s="29"/>
      <c r="RYX103" s="29"/>
      <c r="RYY103" s="29"/>
      <c r="RYZ103" s="29"/>
      <c r="RZA103" s="29"/>
      <c r="RZB103" s="29"/>
      <c r="RZC103" s="29"/>
      <c r="RZD103" s="29"/>
      <c r="RZE103" s="29"/>
      <c r="RZF103" s="29"/>
      <c r="RZG103" s="29"/>
      <c r="RZH103" s="29"/>
      <c r="RZI103" s="29"/>
      <c r="RZJ103" s="29"/>
      <c r="RZK103" s="29"/>
      <c r="RZL103" s="29"/>
      <c r="RZM103" s="29"/>
      <c r="RZN103" s="29"/>
      <c r="RZO103" s="29"/>
      <c r="RZP103" s="29"/>
      <c r="RZQ103" s="29"/>
      <c r="RZR103" s="29"/>
      <c r="RZS103" s="29"/>
      <c r="RZT103" s="29"/>
      <c r="RZU103" s="29"/>
      <c r="RZV103" s="29"/>
      <c r="RZW103" s="29"/>
      <c r="RZX103" s="29"/>
      <c r="RZY103" s="29"/>
      <c r="RZZ103" s="29"/>
      <c r="SAA103" s="29"/>
      <c r="SAB103" s="29"/>
      <c r="SAC103" s="29"/>
      <c r="SAD103" s="29"/>
      <c r="SAE103" s="29"/>
      <c r="SAF103" s="29"/>
      <c r="SAG103" s="29"/>
      <c r="SAH103" s="29"/>
      <c r="SAI103" s="29"/>
      <c r="SAJ103" s="29"/>
      <c r="SAK103" s="29"/>
      <c r="SAL103" s="29"/>
      <c r="SAM103" s="29"/>
      <c r="SAN103" s="29"/>
      <c r="SAO103" s="29"/>
      <c r="SAP103" s="29"/>
      <c r="SAQ103" s="29"/>
      <c r="SAR103" s="29"/>
      <c r="SAS103" s="29"/>
      <c r="SAT103" s="29"/>
      <c r="SAU103" s="29"/>
      <c r="SAV103" s="29"/>
      <c r="SAW103" s="29"/>
      <c r="SAX103" s="29"/>
      <c r="SAY103" s="29"/>
      <c r="SAZ103" s="29"/>
      <c r="SBA103" s="29"/>
      <c r="SBB103" s="29"/>
      <c r="SBC103" s="29"/>
      <c r="SBD103" s="29"/>
      <c r="SBE103" s="29"/>
      <c r="SBF103" s="29"/>
      <c r="SBG103" s="29"/>
      <c r="SBH103" s="29"/>
      <c r="SBI103" s="29"/>
      <c r="SBJ103" s="29"/>
      <c r="SBK103" s="29"/>
      <c r="SBL103" s="29"/>
      <c r="SBM103" s="29"/>
      <c r="SBN103" s="29"/>
      <c r="SBO103" s="29"/>
      <c r="SBP103" s="29"/>
      <c r="SBQ103" s="29"/>
      <c r="SBR103" s="29"/>
      <c r="SBS103" s="29"/>
      <c r="SBT103" s="29"/>
      <c r="SBU103" s="29"/>
      <c r="SBV103" s="29"/>
      <c r="SBW103" s="29"/>
      <c r="SBX103" s="29"/>
      <c r="SBY103" s="29"/>
      <c r="SBZ103" s="29"/>
      <c r="SCA103" s="29"/>
      <c r="SCB103" s="29"/>
      <c r="SCC103" s="29"/>
      <c r="SCD103" s="29"/>
      <c r="SCE103" s="29"/>
      <c r="SCF103" s="29"/>
      <c r="SCG103" s="29"/>
      <c r="SCH103" s="29"/>
      <c r="SCI103" s="29"/>
      <c r="SCJ103" s="29"/>
      <c r="SCK103" s="29"/>
      <c r="SCL103" s="29"/>
      <c r="SCM103" s="29"/>
      <c r="SCN103" s="29"/>
      <c r="SCO103" s="29"/>
      <c r="SCP103" s="29"/>
      <c r="SCQ103" s="29"/>
      <c r="SCR103" s="29"/>
      <c r="SCS103" s="29"/>
      <c r="SCT103" s="29"/>
      <c r="SCU103" s="29"/>
      <c r="SCV103" s="29"/>
      <c r="SCW103" s="29"/>
      <c r="SCX103" s="29"/>
      <c r="SCY103" s="29"/>
      <c r="SCZ103" s="29"/>
      <c r="SDA103" s="29"/>
      <c r="SDB103" s="29"/>
      <c r="SDC103" s="29"/>
      <c r="SDD103" s="29"/>
      <c r="SDE103" s="29"/>
      <c r="SDF103" s="29"/>
      <c r="SDG103" s="29"/>
      <c r="SDH103" s="29"/>
      <c r="SDI103" s="29"/>
      <c r="SDJ103" s="29"/>
      <c r="SDK103" s="29"/>
      <c r="SDL103" s="29"/>
      <c r="SDM103" s="29"/>
      <c r="SDN103" s="29"/>
      <c r="SDO103" s="29"/>
      <c r="SDP103" s="29"/>
      <c r="SDQ103" s="29"/>
      <c r="SDR103" s="29"/>
      <c r="SDS103" s="29"/>
      <c r="SDT103" s="29"/>
      <c r="SDU103" s="29"/>
      <c r="SDV103" s="29"/>
      <c r="SDW103" s="29"/>
      <c r="SDX103" s="29"/>
      <c r="SDY103" s="29"/>
      <c r="SDZ103" s="29"/>
      <c r="SEA103" s="29"/>
      <c r="SEB103" s="29"/>
      <c r="SEC103" s="29"/>
      <c r="SED103" s="29"/>
      <c r="SEE103" s="29"/>
      <c r="SEF103" s="29"/>
      <c r="SEG103" s="29"/>
      <c r="SEH103" s="29"/>
      <c r="SEI103" s="29"/>
      <c r="SEJ103" s="29"/>
      <c r="SEK103" s="29"/>
      <c r="SEL103" s="29"/>
      <c r="SEM103" s="29"/>
      <c r="SEN103" s="29"/>
      <c r="SEO103" s="29"/>
      <c r="SEP103" s="29"/>
      <c r="SEQ103" s="29"/>
      <c r="SER103" s="29"/>
      <c r="SES103" s="29"/>
      <c r="SET103" s="29"/>
      <c r="SEU103" s="29"/>
      <c r="SEV103" s="29"/>
      <c r="SEW103" s="29"/>
      <c r="SEX103" s="29"/>
      <c r="SEY103" s="29"/>
      <c r="SEZ103" s="29"/>
      <c r="SFA103" s="29"/>
      <c r="SFB103" s="29"/>
      <c r="SFC103" s="29"/>
      <c r="SFD103" s="29"/>
      <c r="SFE103" s="29"/>
      <c r="SFF103" s="29"/>
      <c r="SFG103" s="29"/>
      <c r="SFH103" s="29"/>
      <c r="SFI103" s="29"/>
      <c r="SFJ103" s="29"/>
      <c r="SFK103" s="29"/>
      <c r="SFL103" s="29"/>
      <c r="SFM103" s="29"/>
      <c r="SFN103" s="29"/>
      <c r="SFO103" s="29"/>
      <c r="SFP103" s="29"/>
      <c r="SFQ103" s="29"/>
      <c r="SFR103" s="29"/>
      <c r="SFS103" s="29"/>
      <c r="SFT103" s="29"/>
      <c r="SFU103" s="29"/>
      <c r="SFV103" s="29"/>
      <c r="SFW103" s="29"/>
      <c r="SFX103" s="29"/>
      <c r="SFY103" s="29"/>
      <c r="SFZ103" s="29"/>
      <c r="SGA103" s="29"/>
      <c r="SGB103" s="29"/>
      <c r="SGC103" s="29"/>
      <c r="SGD103" s="29"/>
      <c r="SGE103" s="29"/>
      <c r="SGF103" s="29"/>
      <c r="SGG103" s="29"/>
      <c r="SGH103" s="29"/>
      <c r="SGI103" s="29"/>
      <c r="SGJ103" s="29"/>
      <c r="SGK103" s="29"/>
      <c r="SGL103" s="29"/>
      <c r="SGM103" s="29"/>
      <c r="SGN103" s="29"/>
      <c r="SGO103" s="29"/>
      <c r="SGP103" s="29"/>
      <c r="SGQ103" s="29"/>
      <c r="SGR103" s="29"/>
      <c r="SGS103" s="29"/>
      <c r="SGT103" s="29"/>
      <c r="SGU103" s="29"/>
      <c r="SGV103" s="29"/>
      <c r="SGW103" s="29"/>
      <c r="SGX103" s="29"/>
      <c r="SGY103" s="29"/>
      <c r="SGZ103" s="29"/>
      <c r="SHA103" s="29"/>
      <c r="SHB103" s="29"/>
      <c r="SHC103" s="29"/>
      <c r="SHD103" s="29"/>
      <c r="SHE103" s="29"/>
      <c r="SHF103" s="29"/>
      <c r="SHG103" s="29"/>
      <c r="SHH103" s="29"/>
      <c r="SHI103" s="29"/>
      <c r="SHJ103" s="29"/>
      <c r="SHK103" s="29"/>
      <c r="SHL103" s="29"/>
      <c r="SHM103" s="29"/>
      <c r="SHN103" s="29"/>
      <c r="SHO103" s="29"/>
      <c r="SHP103" s="29"/>
      <c r="SHQ103" s="29"/>
      <c r="SHR103" s="29"/>
      <c r="SHS103" s="29"/>
      <c r="SHT103" s="29"/>
      <c r="SHU103" s="29"/>
      <c r="SHV103" s="29"/>
      <c r="SHW103" s="29"/>
      <c r="SHX103" s="29"/>
      <c r="SHY103" s="29"/>
      <c r="SHZ103" s="29"/>
      <c r="SIA103" s="29"/>
      <c r="SIB103" s="29"/>
      <c r="SIC103" s="29"/>
      <c r="SID103" s="29"/>
      <c r="SIE103" s="29"/>
      <c r="SIF103" s="29"/>
      <c r="SIG103" s="29"/>
      <c r="SIH103" s="29"/>
      <c r="SII103" s="29"/>
      <c r="SIJ103" s="29"/>
      <c r="SIK103" s="29"/>
      <c r="SIL103" s="29"/>
      <c r="SIM103" s="29"/>
      <c r="SIN103" s="29"/>
      <c r="SIO103" s="29"/>
      <c r="SIP103" s="29"/>
      <c r="SIQ103" s="29"/>
      <c r="SIR103" s="29"/>
      <c r="SIS103" s="29"/>
      <c r="SIT103" s="29"/>
      <c r="SIU103" s="29"/>
      <c r="SIV103" s="29"/>
      <c r="SIW103" s="29"/>
      <c r="SIX103" s="29"/>
      <c r="SIY103" s="29"/>
      <c r="SIZ103" s="29"/>
      <c r="SJA103" s="29"/>
      <c r="SJB103" s="29"/>
      <c r="SJC103" s="29"/>
      <c r="SJD103" s="29"/>
      <c r="SJE103" s="29"/>
      <c r="SJF103" s="29"/>
      <c r="SJG103" s="29"/>
      <c r="SJH103" s="29"/>
      <c r="SJI103" s="29"/>
      <c r="SJJ103" s="29"/>
      <c r="SJK103" s="29"/>
      <c r="SJL103" s="29"/>
      <c r="SJM103" s="29"/>
      <c r="SJN103" s="29"/>
      <c r="SJO103" s="29"/>
      <c r="SJP103" s="29"/>
      <c r="SJQ103" s="29"/>
      <c r="SJR103" s="29"/>
      <c r="SJS103" s="29"/>
      <c r="SJT103" s="29"/>
      <c r="SJU103" s="29"/>
      <c r="SJV103" s="29"/>
      <c r="SJW103" s="29"/>
      <c r="SJX103" s="29"/>
      <c r="SJY103" s="29"/>
      <c r="SJZ103" s="29"/>
      <c r="SKA103" s="29"/>
      <c r="SKB103" s="29"/>
      <c r="SKC103" s="29"/>
      <c r="SKD103" s="29"/>
      <c r="SKE103" s="29"/>
      <c r="SKF103" s="29"/>
      <c r="SKG103" s="29"/>
      <c r="SKH103" s="29"/>
      <c r="SKI103" s="29"/>
      <c r="SKJ103" s="29"/>
      <c r="SKK103" s="29"/>
      <c r="SKL103" s="29"/>
      <c r="SKM103" s="29"/>
      <c r="SKN103" s="29"/>
      <c r="SKO103" s="29"/>
      <c r="SKP103" s="29"/>
      <c r="SKQ103" s="29"/>
      <c r="SKR103" s="29"/>
      <c r="SKS103" s="29"/>
      <c r="SKT103" s="29"/>
      <c r="SKU103" s="29"/>
      <c r="SKV103" s="29"/>
      <c r="SKW103" s="29"/>
      <c r="SKX103" s="29"/>
      <c r="SKY103" s="29"/>
      <c r="SKZ103" s="29"/>
      <c r="SLA103" s="29"/>
      <c r="SLB103" s="29"/>
      <c r="SLC103" s="29"/>
      <c r="SLD103" s="29"/>
      <c r="SLE103" s="29"/>
      <c r="SLF103" s="29"/>
      <c r="SLG103" s="29"/>
      <c r="SLH103" s="29"/>
      <c r="SLI103" s="29"/>
      <c r="SLJ103" s="29"/>
      <c r="SLK103" s="29"/>
      <c r="SLL103" s="29"/>
      <c r="SLM103" s="29"/>
      <c r="SLN103" s="29"/>
      <c r="SLO103" s="29"/>
      <c r="SLP103" s="29"/>
      <c r="SLQ103" s="29"/>
      <c r="SLR103" s="29"/>
      <c r="SLS103" s="29"/>
      <c r="SLT103" s="29"/>
      <c r="SLU103" s="29"/>
      <c r="SLV103" s="29"/>
      <c r="SLW103" s="29"/>
      <c r="SLX103" s="29"/>
      <c r="SLY103" s="29"/>
      <c r="SLZ103" s="29"/>
      <c r="SMA103" s="29"/>
      <c r="SMB103" s="29"/>
      <c r="SMC103" s="29"/>
      <c r="SMD103" s="29"/>
      <c r="SME103" s="29"/>
      <c r="SMF103" s="29"/>
      <c r="SMG103" s="29"/>
      <c r="SMH103" s="29"/>
      <c r="SMI103" s="29"/>
      <c r="SMJ103" s="29"/>
      <c r="SMK103" s="29"/>
      <c r="SML103" s="29"/>
      <c r="SMM103" s="29"/>
      <c r="SMN103" s="29"/>
      <c r="SMO103" s="29"/>
      <c r="SMP103" s="29"/>
      <c r="SMQ103" s="29"/>
      <c r="SMR103" s="29"/>
      <c r="SMS103" s="29"/>
      <c r="SMT103" s="29"/>
      <c r="SMU103" s="29"/>
      <c r="SMV103" s="29"/>
      <c r="SMW103" s="29"/>
      <c r="SMX103" s="29"/>
      <c r="SMY103" s="29"/>
      <c r="SMZ103" s="29"/>
      <c r="SNA103" s="29"/>
      <c r="SNB103" s="29"/>
      <c r="SNC103" s="29"/>
      <c r="SND103" s="29"/>
      <c r="SNE103" s="29"/>
      <c r="SNF103" s="29"/>
      <c r="SNG103" s="29"/>
      <c r="SNH103" s="29"/>
      <c r="SNI103" s="29"/>
      <c r="SNJ103" s="29"/>
      <c r="SNK103" s="29"/>
      <c r="SNL103" s="29"/>
      <c r="SNM103" s="29"/>
      <c r="SNN103" s="29"/>
      <c r="SNO103" s="29"/>
      <c r="SNP103" s="29"/>
      <c r="SNQ103" s="29"/>
      <c r="SNR103" s="29"/>
      <c r="SNS103" s="29"/>
      <c r="SNT103" s="29"/>
      <c r="SNU103" s="29"/>
      <c r="SNV103" s="29"/>
      <c r="SNW103" s="29"/>
      <c r="SNX103" s="29"/>
      <c r="SNY103" s="29"/>
      <c r="SNZ103" s="29"/>
      <c r="SOA103" s="29"/>
      <c r="SOB103" s="29"/>
      <c r="SOC103" s="29"/>
      <c r="SOD103" s="29"/>
      <c r="SOE103" s="29"/>
      <c r="SOF103" s="29"/>
      <c r="SOG103" s="29"/>
      <c r="SOH103" s="29"/>
      <c r="SOI103" s="29"/>
      <c r="SOJ103" s="29"/>
      <c r="SOK103" s="29"/>
      <c r="SOL103" s="29"/>
      <c r="SOM103" s="29"/>
      <c r="SON103" s="29"/>
      <c r="SOO103" s="29"/>
      <c r="SOP103" s="29"/>
      <c r="SOQ103" s="29"/>
      <c r="SOR103" s="29"/>
      <c r="SOS103" s="29"/>
      <c r="SOT103" s="29"/>
      <c r="SOU103" s="29"/>
      <c r="SOV103" s="29"/>
      <c r="SOW103" s="29"/>
      <c r="SOX103" s="29"/>
      <c r="SOY103" s="29"/>
      <c r="SOZ103" s="29"/>
      <c r="SPA103" s="29"/>
      <c r="SPB103" s="29"/>
      <c r="SPC103" s="29"/>
      <c r="SPD103" s="29"/>
      <c r="SPE103" s="29"/>
      <c r="SPF103" s="29"/>
      <c r="SPG103" s="29"/>
      <c r="SPH103" s="29"/>
      <c r="SPI103" s="29"/>
      <c r="SPJ103" s="29"/>
      <c r="SPK103" s="29"/>
      <c r="SPL103" s="29"/>
      <c r="SPM103" s="29"/>
      <c r="SPN103" s="29"/>
      <c r="SPO103" s="29"/>
      <c r="SPP103" s="29"/>
      <c r="SPQ103" s="29"/>
      <c r="SPR103" s="29"/>
      <c r="SPS103" s="29"/>
      <c r="SPT103" s="29"/>
      <c r="SPU103" s="29"/>
      <c r="SPV103" s="29"/>
      <c r="SPW103" s="29"/>
      <c r="SPX103" s="29"/>
      <c r="SPY103" s="29"/>
      <c r="SPZ103" s="29"/>
      <c r="SQA103" s="29"/>
      <c r="SQB103" s="29"/>
      <c r="SQC103" s="29"/>
      <c r="SQD103" s="29"/>
      <c r="SQE103" s="29"/>
      <c r="SQF103" s="29"/>
      <c r="SQG103" s="29"/>
      <c r="SQH103" s="29"/>
      <c r="SQI103" s="29"/>
      <c r="SQJ103" s="29"/>
      <c r="SQK103" s="29"/>
      <c r="SQL103" s="29"/>
      <c r="SQM103" s="29"/>
      <c r="SQN103" s="29"/>
      <c r="SQO103" s="29"/>
      <c r="SQP103" s="29"/>
      <c r="SQQ103" s="29"/>
      <c r="SQR103" s="29"/>
      <c r="SQS103" s="29"/>
      <c r="SQT103" s="29"/>
      <c r="SQU103" s="29"/>
      <c r="SQV103" s="29"/>
      <c r="SQW103" s="29"/>
      <c r="SQX103" s="29"/>
      <c r="SQY103" s="29"/>
      <c r="SQZ103" s="29"/>
      <c r="SRA103" s="29"/>
      <c r="SRB103" s="29"/>
      <c r="SRC103" s="29"/>
      <c r="SRD103" s="29"/>
      <c r="SRE103" s="29"/>
      <c r="SRF103" s="29"/>
      <c r="SRG103" s="29"/>
      <c r="SRH103" s="29"/>
      <c r="SRI103" s="29"/>
      <c r="SRJ103" s="29"/>
      <c r="SRK103" s="29"/>
      <c r="SRL103" s="29"/>
      <c r="SRM103" s="29"/>
      <c r="SRN103" s="29"/>
      <c r="SRO103" s="29"/>
      <c r="SRP103" s="29"/>
      <c r="SRQ103" s="29"/>
      <c r="SRR103" s="29"/>
      <c r="SRS103" s="29"/>
      <c r="SRT103" s="29"/>
      <c r="SRU103" s="29"/>
      <c r="SRV103" s="29"/>
      <c r="SRW103" s="29"/>
      <c r="SRX103" s="29"/>
      <c r="SRY103" s="29"/>
      <c r="SRZ103" s="29"/>
      <c r="SSA103" s="29"/>
      <c r="SSB103" s="29"/>
      <c r="SSC103" s="29"/>
      <c r="SSD103" s="29"/>
      <c r="SSE103" s="29"/>
      <c r="SSF103" s="29"/>
      <c r="SSG103" s="29"/>
      <c r="SSH103" s="29"/>
      <c r="SSI103" s="29"/>
      <c r="SSJ103" s="29"/>
      <c r="SSK103" s="29"/>
      <c r="SSL103" s="29"/>
      <c r="SSM103" s="29"/>
      <c r="SSN103" s="29"/>
      <c r="SSO103" s="29"/>
      <c r="SSP103" s="29"/>
      <c r="SSQ103" s="29"/>
      <c r="SSR103" s="29"/>
      <c r="SSS103" s="29"/>
      <c r="SST103" s="29"/>
      <c r="SSU103" s="29"/>
      <c r="SSV103" s="29"/>
      <c r="SSW103" s="29"/>
      <c r="SSX103" s="29"/>
      <c r="SSY103" s="29"/>
      <c r="SSZ103" s="29"/>
      <c r="STA103" s="29"/>
      <c r="STB103" s="29"/>
      <c r="STC103" s="29"/>
      <c r="STD103" s="29"/>
      <c r="STE103" s="29"/>
      <c r="STF103" s="29"/>
      <c r="STG103" s="29"/>
      <c r="STH103" s="29"/>
      <c r="STI103" s="29"/>
      <c r="STJ103" s="29"/>
      <c r="STK103" s="29"/>
      <c r="STL103" s="29"/>
      <c r="STM103" s="29"/>
      <c r="STN103" s="29"/>
      <c r="STO103" s="29"/>
      <c r="STP103" s="29"/>
      <c r="STQ103" s="29"/>
      <c r="STR103" s="29"/>
      <c r="STS103" s="29"/>
      <c r="STT103" s="29"/>
      <c r="STU103" s="29"/>
      <c r="STV103" s="29"/>
      <c r="STW103" s="29"/>
      <c r="STX103" s="29"/>
      <c r="STY103" s="29"/>
      <c r="STZ103" s="29"/>
      <c r="SUA103" s="29"/>
      <c r="SUB103" s="29"/>
      <c r="SUC103" s="29"/>
      <c r="SUD103" s="29"/>
      <c r="SUE103" s="29"/>
      <c r="SUF103" s="29"/>
      <c r="SUG103" s="29"/>
      <c r="SUH103" s="29"/>
      <c r="SUI103" s="29"/>
      <c r="SUJ103" s="29"/>
      <c r="SUK103" s="29"/>
      <c r="SUL103" s="29"/>
      <c r="SUM103" s="29"/>
      <c r="SUN103" s="29"/>
      <c r="SUO103" s="29"/>
      <c r="SUP103" s="29"/>
      <c r="SUQ103" s="29"/>
      <c r="SUR103" s="29"/>
      <c r="SUS103" s="29"/>
      <c r="SUT103" s="29"/>
      <c r="SUU103" s="29"/>
      <c r="SUV103" s="29"/>
      <c r="SUW103" s="29"/>
      <c r="SUX103" s="29"/>
      <c r="SUY103" s="29"/>
      <c r="SUZ103" s="29"/>
      <c r="SVA103" s="29"/>
      <c r="SVB103" s="29"/>
      <c r="SVC103" s="29"/>
      <c r="SVD103" s="29"/>
      <c r="SVE103" s="29"/>
      <c r="SVF103" s="29"/>
      <c r="SVG103" s="29"/>
      <c r="SVH103" s="29"/>
      <c r="SVI103" s="29"/>
      <c r="SVJ103" s="29"/>
      <c r="SVK103" s="29"/>
      <c r="SVL103" s="29"/>
      <c r="SVM103" s="29"/>
      <c r="SVN103" s="29"/>
      <c r="SVO103" s="29"/>
      <c r="SVP103" s="29"/>
      <c r="SVQ103" s="29"/>
      <c r="SVR103" s="29"/>
      <c r="SVS103" s="29"/>
      <c r="SVT103" s="29"/>
      <c r="SVU103" s="29"/>
      <c r="SVV103" s="29"/>
      <c r="SVW103" s="29"/>
      <c r="SVX103" s="29"/>
      <c r="SVY103" s="29"/>
      <c r="SVZ103" s="29"/>
      <c r="SWA103" s="29"/>
      <c r="SWB103" s="29"/>
      <c r="SWC103" s="29"/>
      <c r="SWD103" s="29"/>
      <c r="SWE103" s="29"/>
      <c r="SWF103" s="29"/>
      <c r="SWG103" s="29"/>
      <c r="SWH103" s="29"/>
      <c r="SWI103" s="29"/>
      <c r="SWJ103" s="29"/>
      <c r="SWK103" s="29"/>
      <c r="SWL103" s="29"/>
      <c r="SWM103" s="29"/>
      <c r="SWN103" s="29"/>
      <c r="SWO103" s="29"/>
      <c r="SWP103" s="29"/>
      <c r="SWQ103" s="29"/>
      <c r="SWR103" s="29"/>
      <c r="SWS103" s="29"/>
      <c r="SWT103" s="29"/>
      <c r="SWU103" s="29"/>
      <c r="SWV103" s="29"/>
      <c r="SWW103" s="29"/>
      <c r="SWX103" s="29"/>
      <c r="SWY103" s="29"/>
      <c r="SWZ103" s="29"/>
      <c r="SXA103" s="29"/>
      <c r="SXB103" s="29"/>
      <c r="SXC103" s="29"/>
      <c r="SXD103" s="29"/>
      <c r="SXE103" s="29"/>
      <c r="SXF103" s="29"/>
      <c r="SXG103" s="29"/>
      <c r="SXH103" s="29"/>
      <c r="SXI103" s="29"/>
      <c r="SXJ103" s="29"/>
      <c r="SXK103" s="29"/>
      <c r="SXL103" s="29"/>
      <c r="SXM103" s="29"/>
      <c r="SXN103" s="29"/>
      <c r="SXO103" s="29"/>
      <c r="SXP103" s="29"/>
      <c r="SXQ103" s="29"/>
      <c r="SXR103" s="29"/>
      <c r="SXS103" s="29"/>
      <c r="SXT103" s="29"/>
      <c r="SXU103" s="29"/>
      <c r="SXV103" s="29"/>
      <c r="SXW103" s="29"/>
      <c r="SXX103" s="29"/>
      <c r="SXY103" s="29"/>
      <c r="SXZ103" s="29"/>
      <c r="SYA103" s="29"/>
      <c r="SYB103" s="29"/>
      <c r="SYC103" s="29"/>
      <c r="SYD103" s="29"/>
      <c r="SYE103" s="29"/>
      <c r="SYF103" s="29"/>
      <c r="SYG103" s="29"/>
      <c r="SYH103" s="29"/>
      <c r="SYI103" s="29"/>
      <c r="SYJ103" s="29"/>
      <c r="SYK103" s="29"/>
      <c r="SYL103" s="29"/>
      <c r="SYM103" s="29"/>
      <c r="SYN103" s="29"/>
      <c r="SYO103" s="29"/>
      <c r="SYP103" s="29"/>
      <c r="SYQ103" s="29"/>
      <c r="SYR103" s="29"/>
      <c r="SYS103" s="29"/>
      <c r="SYT103" s="29"/>
      <c r="SYU103" s="29"/>
      <c r="SYV103" s="29"/>
      <c r="SYW103" s="29"/>
      <c r="SYX103" s="29"/>
      <c r="SYY103" s="29"/>
      <c r="SYZ103" s="29"/>
      <c r="SZA103" s="29"/>
      <c r="SZB103" s="29"/>
      <c r="SZC103" s="29"/>
      <c r="SZD103" s="29"/>
      <c r="SZE103" s="29"/>
      <c r="SZF103" s="29"/>
      <c r="SZG103" s="29"/>
      <c r="SZH103" s="29"/>
      <c r="SZI103" s="29"/>
      <c r="SZJ103" s="29"/>
      <c r="SZK103" s="29"/>
      <c r="SZL103" s="29"/>
      <c r="SZM103" s="29"/>
      <c r="SZN103" s="29"/>
      <c r="SZO103" s="29"/>
      <c r="SZP103" s="29"/>
      <c r="SZQ103" s="29"/>
      <c r="SZR103" s="29"/>
      <c r="SZS103" s="29"/>
      <c r="SZT103" s="29"/>
      <c r="SZU103" s="29"/>
      <c r="SZV103" s="29"/>
      <c r="SZW103" s="29"/>
      <c r="SZX103" s="29"/>
      <c r="SZY103" s="29"/>
      <c r="SZZ103" s="29"/>
      <c r="TAA103" s="29"/>
      <c r="TAB103" s="29"/>
      <c r="TAC103" s="29"/>
      <c r="TAD103" s="29"/>
      <c r="TAE103" s="29"/>
      <c r="TAF103" s="29"/>
      <c r="TAG103" s="29"/>
      <c r="TAH103" s="29"/>
      <c r="TAI103" s="29"/>
      <c r="TAJ103" s="29"/>
      <c r="TAK103" s="29"/>
      <c r="TAL103" s="29"/>
      <c r="TAM103" s="29"/>
      <c r="TAN103" s="29"/>
      <c r="TAO103" s="29"/>
      <c r="TAP103" s="29"/>
      <c r="TAQ103" s="29"/>
      <c r="TAR103" s="29"/>
      <c r="TAS103" s="29"/>
      <c r="TAT103" s="29"/>
      <c r="TAU103" s="29"/>
      <c r="TAV103" s="29"/>
      <c r="TAW103" s="29"/>
      <c r="TAX103" s="29"/>
      <c r="TAY103" s="29"/>
      <c r="TAZ103" s="29"/>
      <c r="TBA103" s="29"/>
      <c r="TBB103" s="29"/>
      <c r="TBC103" s="29"/>
      <c r="TBD103" s="29"/>
      <c r="TBE103" s="29"/>
      <c r="TBF103" s="29"/>
      <c r="TBG103" s="29"/>
      <c r="TBH103" s="29"/>
      <c r="TBI103" s="29"/>
      <c r="TBJ103" s="29"/>
      <c r="TBK103" s="29"/>
      <c r="TBL103" s="29"/>
      <c r="TBM103" s="29"/>
      <c r="TBN103" s="29"/>
      <c r="TBO103" s="29"/>
      <c r="TBP103" s="29"/>
      <c r="TBQ103" s="29"/>
      <c r="TBR103" s="29"/>
      <c r="TBS103" s="29"/>
      <c r="TBT103" s="29"/>
      <c r="TBU103" s="29"/>
      <c r="TBV103" s="29"/>
      <c r="TBW103" s="29"/>
      <c r="TBX103" s="29"/>
      <c r="TBY103" s="29"/>
      <c r="TBZ103" s="29"/>
      <c r="TCA103" s="29"/>
      <c r="TCB103" s="29"/>
      <c r="TCC103" s="29"/>
      <c r="TCD103" s="29"/>
      <c r="TCE103" s="29"/>
      <c r="TCF103" s="29"/>
      <c r="TCG103" s="29"/>
      <c r="TCH103" s="29"/>
      <c r="TCI103" s="29"/>
      <c r="TCJ103" s="29"/>
      <c r="TCK103" s="29"/>
      <c r="TCL103" s="29"/>
      <c r="TCM103" s="29"/>
      <c r="TCN103" s="29"/>
      <c r="TCO103" s="29"/>
      <c r="TCP103" s="29"/>
      <c r="TCQ103" s="29"/>
      <c r="TCR103" s="29"/>
      <c r="TCS103" s="29"/>
      <c r="TCT103" s="29"/>
      <c r="TCU103" s="29"/>
      <c r="TCV103" s="29"/>
      <c r="TCW103" s="29"/>
      <c r="TCX103" s="29"/>
      <c r="TCY103" s="29"/>
      <c r="TCZ103" s="29"/>
      <c r="TDA103" s="29"/>
      <c r="TDB103" s="29"/>
      <c r="TDC103" s="29"/>
      <c r="TDD103" s="29"/>
      <c r="TDE103" s="29"/>
      <c r="TDF103" s="29"/>
      <c r="TDG103" s="29"/>
      <c r="TDH103" s="29"/>
      <c r="TDI103" s="29"/>
      <c r="TDJ103" s="29"/>
      <c r="TDK103" s="29"/>
      <c r="TDL103" s="29"/>
      <c r="TDM103" s="29"/>
      <c r="TDN103" s="29"/>
      <c r="TDO103" s="29"/>
      <c r="TDP103" s="29"/>
      <c r="TDQ103" s="29"/>
      <c r="TDR103" s="29"/>
      <c r="TDS103" s="29"/>
      <c r="TDT103" s="29"/>
      <c r="TDU103" s="29"/>
      <c r="TDV103" s="29"/>
      <c r="TDW103" s="29"/>
      <c r="TDX103" s="29"/>
      <c r="TDY103" s="29"/>
      <c r="TDZ103" s="29"/>
      <c r="TEA103" s="29"/>
      <c r="TEB103" s="29"/>
      <c r="TEC103" s="29"/>
      <c r="TED103" s="29"/>
      <c r="TEE103" s="29"/>
      <c r="TEF103" s="29"/>
      <c r="TEG103" s="29"/>
      <c r="TEH103" s="29"/>
      <c r="TEI103" s="29"/>
      <c r="TEJ103" s="29"/>
      <c r="TEK103" s="29"/>
      <c r="TEL103" s="29"/>
      <c r="TEM103" s="29"/>
      <c r="TEN103" s="29"/>
      <c r="TEO103" s="29"/>
      <c r="TEP103" s="29"/>
      <c r="TEQ103" s="29"/>
      <c r="TER103" s="29"/>
      <c r="TES103" s="29"/>
      <c r="TET103" s="29"/>
      <c r="TEU103" s="29"/>
      <c r="TEV103" s="29"/>
      <c r="TEW103" s="29"/>
      <c r="TEX103" s="29"/>
      <c r="TEY103" s="29"/>
      <c r="TEZ103" s="29"/>
      <c r="TFA103" s="29"/>
      <c r="TFB103" s="29"/>
      <c r="TFC103" s="29"/>
      <c r="TFD103" s="29"/>
      <c r="TFE103" s="29"/>
      <c r="TFF103" s="29"/>
      <c r="TFG103" s="29"/>
      <c r="TFH103" s="29"/>
      <c r="TFI103" s="29"/>
      <c r="TFJ103" s="29"/>
      <c r="TFK103" s="29"/>
      <c r="TFL103" s="29"/>
      <c r="TFM103" s="29"/>
      <c r="TFN103" s="29"/>
      <c r="TFO103" s="29"/>
      <c r="TFP103" s="29"/>
      <c r="TFQ103" s="29"/>
      <c r="TFR103" s="29"/>
      <c r="TFS103" s="29"/>
      <c r="TFT103" s="29"/>
      <c r="TFU103" s="29"/>
      <c r="TFV103" s="29"/>
      <c r="TFW103" s="29"/>
      <c r="TFX103" s="29"/>
      <c r="TFY103" s="29"/>
      <c r="TFZ103" s="29"/>
      <c r="TGA103" s="29"/>
      <c r="TGB103" s="29"/>
      <c r="TGC103" s="29"/>
      <c r="TGD103" s="29"/>
      <c r="TGE103" s="29"/>
      <c r="TGF103" s="29"/>
      <c r="TGG103" s="29"/>
      <c r="TGH103" s="29"/>
      <c r="TGI103" s="29"/>
      <c r="TGJ103" s="29"/>
      <c r="TGK103" s="29"/>
      <c r="TGL103" s="29"/>
      <c r="TGM103" s="29"/>
      <c r="TGN103" s="29"/>
      <c r="TGO103" s="29"/>
      <c r="TGP103" s="29"/>
      <c r="TGQ103" s="29"/>
      <c r="TGR103" s="29"/>
      <c r="TGS103" s="29"/>
      <c r="TGT103" s="29"/>
      <c r="TGU103" s="29"/>
      <c r="TGV103" s="29"/>
      <c r="TGW103" s="29"/>
      <c r="TGX103" s="29"/>
      <c r="TGY103" s="29"/>
      <c r="TGZ103" s="29"/>
      <c r="THA103" s="29"/>
      <c r="THB103" s="29"/>
      <c r="THC103" s="29"/>
      <c r="THD103" s="29"/>
      <c r="THE103" s="29"/>
      <c r="THF103" s="29"/>
      <c r="THG103" s="29"/>
      <c r="THH103" s="29"/>
      <c r="THI103" s="29"/>
      <c r="THJ103" s="29"/>
      <c r="THK103" s="29"/>
      <c r="THL103" s="29"/>
      <c r="THM103" s="29"/>
      <c r="THN103" s="29"/>
      <c r="THO103" s="29"/>
      <c r="THP103" s="29"/>
      <c r="THQ103" s="29"/>
      <c r="THR103" s="29"/>
      <c r="THS103" s="29"/>
      <c r="THT103" s="29"/>
      <c r="THU103" s="29"/>
      <c r="THV103" s="29"/>
      <c r="THW103" s="29"/>
      <c r="THX103" s="29"/>
      <c r="THY103" s="29"/>
      <c r="THZ103" s="29"/>
      <c r="TIA103" s="29"/>
      <c r="TIB103" s="29"/>
      <c r="TIC103" s="29"/>
      <c r="TID103" s="29"/>
      <c r="TIE103" s="29"/>
      <c r="TIF103" s="29"/>
      <c r="TIG103" s="29"/>
      <c r="TIH103" s="29"/>
      <c r="TII103" s="29"/>
      <c r="TIJ103" s="29"/>
      <c r="TIK103" s="29"/>
      <c r="TIL103" s="29"/>
      <c r="TIM103" s="29"/>
      <c r="TIN103" s="29"/>
      <c r="TIO103" s="29"/>
      <c r="TIP103" s="29"/>
      <c r="TIQ103" s="29"/>
      <c r="TIR103" s="29"/>
      <c r="TIS103" s="29"/>
      <c r="TIT103" s="29"/>
      <c r="TIU103" s="29"/>
      <c r="TIV103" s="29"/>
      <c r="TIW103" s="29"/>
      <c r="TIX103" s="29"/>
      <c r="TIY103" s="29"/>
      <c r="TIZ103" s="29"/>
      <c r="TJA103" s="29"/>
      <c r="TJB103" s="29"/>
      <c r="TJC103" s="29"/>
      <c r="TJD103" s="29"/>
      <c r="TJE103" s="29"/>
      <c r="TJF103" s="29"/>
      <c r="TJG103" s="29"/>
      <c r="TJH103" s="29"/>
      <c r="TJI103" s="29"/>
      <c r="TJJ103" s="29"/>
      <c r="TJK103" s="29"/>
      <c r="TJL103" s="29"/>
      <c r="TJM103" s="29"/>
      <c r="TJN103" s="29"/>
      <c r="TJO103" s="29"/>
      <c r="TJP103" s="29"/>
      <c r="TJQ103" s="29"/>
      <c r="TJR103" s="29"/>
      <c r="TJS103" s="29"/>
      <c r="TJT103" s="29"/>
      <c r="TJU103" s="29"/>
      <c r="TJV103" s="29"/>
      <c r="TJW103" s="29"/>
      <c r="TJX103" s="29"/>
      <c r="TJY103" s="29"/>
      <c r="TJZ103" s="29"/>
      <c r="TKA103" s="29"/>
      <c r="TKB103" s="29"/>
      <c r="TKC103" s="29"/>
      <c r="TKD103" s="29"/>
      <c r="TKE103" s="29"/>
      <c r="TKF103" s="29"/>
      <c r="TKG103" s="29"/>
      <c r="TKH103" s="29"/>
      <c r="TKI103" s="29"/>
      <c r="TKJ103" s="29"/>
      <c r="TKK103" s="29"/>
      <c r="TKL103" s="29"/>
      <c r="TKM103" s="29"/>
      <c r="TKN103" s="29"/>
      <c r="TKO103" s="29"/>
      <c r="TKP103" s="29"/>
      <c r="TKQ103" s="29"/>
      <c r="TKR103" s="29"/>
      <c r="TKS103" s="29"/>
      <c r="TKT103" s="29"/>
      <c r="TKU103" s="29"/>
      <c r="TKV103" s="29"/>
      <c r="TKW103" s="29"/>
      <c r="TKX103" s="29"/>
      <c r="TKY103" s="29"/>
      <c r="TKZ103" s="29"/>
      <c r="TLA103" s="29"/>
      <c r="TLB103" s="29"/>
      <c r="TLC103" s="29"/>
      <c r="TLD103" s="29"/>
      <c r="TLE103" s="29"/>
      <c r="TLF103" s="29"/>
      <c r="TLG103" s="29"/>
      <c r="TLH103" s="29"/>
      <c r="TLI103" s="29"/>
      <c r="TLJ103" s="29"/>
      <c r="TLK103" s="29"/>
      <c r="TLL103" s="29"/>
      <c r="TLM103" s="29"/>
      <c r="TLN103" s="29"/>
      <c r="TLO103" s="29"/>
      <c r="TLP103" s="29"/>
      <c r="TLQ103" s="29"/>
      <c r="TLR103" s="29"/>
      <c r="TLS103" s="29"/>
      <c r="TLT103" s="29"/>
      <c r="TLU103" s="29"/>
      <c r="TLV103" s="29"/>
      <c r="TLW103" s="29"/>
      <c r="TLX103" s="29"/>
      <c r="TLY103" s="29"/>
      <c r="TLZ103" s="29"/>
      <c r="TMA103" s="29"/>
      <c r="TMB103" s="29"/>
      <c r="TMC103" s="29"/>
      <c r="TMD103" s="29"/>
      <c r="TME103" s="29"/>
      <c r="TMF103" s="29"/>
      <c r="TMG103" s="29"/>
      <c r="TMH103" s="29"/>
      <c r="TMI103" s="29"/>
      <c r="TMJ103" s="29"/>
      <c r="TMK103" s="29"/>
      <c r="TML103" s="29"/>
      <c r="TMM103" s="29"/>
      <c r="TMN103" s="29"/>
      <c r="TMO103" s="29"/>
      <c r="TMP103" s="29"/>
      <c r="TMQ103" s="29"/>
      <c r="TMR103" s="29"/>
      <c r="TMS103" s="29"/>
      <c r="TMT103" s="29"/>
      <c r="TMU103" s="29"/>
      <c r="TMV103" s="29"/>
      <c r="TMW103" s="29"/>
      <c r="TMX103" s="29"/>
      <c r="TMY103" s="29"/>
      <c r="TMZ103" s="29"/>
      <c r="TNA103" s="29"/>
      <c r="TNB103" s="29"/>
      <c r="TNC103" s="29"/>
      <c r="TND103" s="29"/>
      <c r="TNE103" s="29"/>
      <c r="TNF103" s="29"/>
      <c r="TNG103" s="29"/>
      <c r="TNH103" s="29"/>
      <c r="TNI103" s="29"/>
      <c r="TNJ103" s="29"/>
      <c r="TNK103" s="29"/>
      <c r="TNL103" s="29"/>
      <c r="TNM103" s="29"/>
      <c r="TNN103" s="29"/>
      <c r="TNO103" s="29"/>
      <c r="TNP103" s="29"/>
      <c r="TNQ103" s="29"/>
      <c r="TNR103" s="29"/>
      <c r="TNS103" s="29"/>
      <c r="TNT103" s="29"/>
      <c r="TNU103" s="29"/>
      <c r="TNV103" s="29"/>
      <c r="TNW103" s="29"/>
      <c r="TNX103" s="29"/>
      <c r="TNY103" s="29"/>
      <c r="TNZ103" s="29"/>
      <c r="TOA103" s="29"/>
      <c r="TOB103" s="29"/>
      <c r="TOC103" s="29"/>
      <c r="TOD103" s="29"/>
      <c r="TOE103" s="29"/>
      <c r="TOF103" s="29"/>
      <c r="TOG103" s="29"/>
      <c r="TOH103" s="29"/>
      <c r="TOI103" s="29"/>
      <c r="TOJ103" s="29"/>
      <c r="TOK103" s="29"/>
      <c r="TOL103" s="29"/>
      <c r="TOM103" s="29"/>
      <c r="TON103" s="29"/>
      <c r="TOO103" s="29"/>
      <c r="TOP103" s="29"/>
      <c r="TOQ103" s="29"/>
      <c r="TOR103" s="29"/>
      <c r="TOS103" s="29"/>
      <c r="TOT103" s="29"/>
      <c r="TOU103" s="29"/>
      <c r="TOV103" s="29"/>
      <c r="TOW103" s="29"/>
      <c r="TOX103" s="29"/>
      <c r="TOY103" s="29"/>
      <c r="TOZ103" s="29"/>
      <c r="TPA103" s="29"/>
      <c r="TPB103" s="29"/>
      <c r="TPC103" s="29"/>
      <c r="TPD103" s="29"/>
      <c r="TPE103" s="29"/>
      <c r="TPF103" s="29"/>
      <c r="TPG103" s="29"/>
      <c r="TPH103" s="29"/>
      <c r="TPI103" s="29"/>
      <c r="TPJ103" s="29"/>
      <c r="TPK103" s="29"/>
      <c r="TPL103" s="29"/>
      <c r="TPM103" s="29"/>
      <c r="TPN103" s="29"/>
      <c r="TPO103" s="29"/>
      <c r="TPP103" s="29"/>
      <c r="TPQ103" s="29"/>
      <c r="TPR103" s="29"/>
      <c r="TPS103" s="29"/>
      <c r="TPT103" s="29"/>
      <c r="TPU103" s="29"/>
      <c r="TPV103" s="29"/>
      <c r="TPW103" s="29"/>
      <c r="TPX103" s="29"/>
      <c r="TPY103" s="29"/>
      <c r="TPZ103" s="29"/>
      <c r="TQA103" s="29"/>
      <c r="TQB103" s="29"/>
      <c r="TQC103" s="29"/>
      <c r="TQD103" s="29"/>
      <c r="TQE103" s="29"/>
      <c r="TQF103" s="29"/>
      <c r="TQG103" s="29"/>
      <c r="TQH103" s="29"/>
      <c r="TQI103" s="29"/>
      <c r="TQJ103" s="29"/>
      <c r="TQK103" s="29"/>
      <c r="TQL103" s="29"/>
      <c r="TQM103" s="29"/>
      <c r="TQN103" s="29"/>
      <c r="TQO103" s="29"/>
      <c r="TQP103" s="29"/>
      <c r="TQQ103" s="29"/>
      <c r="TQR103" s="29"/>
      <c r="TQS103" s="29"/>
      <c r="TQT103" s="29"/>
      <c r="TQU103" s="29"/>
      <c r="TQV103" s="29"/>
      <c r="TQW103" s="29"/>
      <c r="TQX103" s="29"/>
      <c r="TQY103" s="29"/>
      <c r="TQZ103" s="29"/>
      <c r="TRA103" s="29"/>
      <c r="TRB103" s="29"/>
      <c r="TRC103" s="29"/>
      <c r="TRD103" s="29"/>
      <c r="TRE103" s="29"/>
      <c r="TRF103" s="29"/>
      <c r="TRG103" s="29"/>
      <c r="TRH103" s="29"/>
      <c r="TRI103" s="29"/>
      <c r="TRJ103" s="29"/>
      <c r="TRK103" s="29"/>
      <c r="TRL103" s="29"/>
      <c r="TRM103" s="29"/>
      <c r="TRN103" s="29"/>
      <c r="TRO103" s="29"/>
      <c r="TRP103" s="29"/>
      <c r="TRQ103" s="29"/>
      <c r="TRR103" s="29"/>
      <c r="TRS103" s="29"/>
      <c r="TRT103" s="29"/>
      <c r="TRU103" s="29"/>
      <c r="TRV103" s="29"/>
      <c r="TRW103" s="29"/>
      <c r="TRX103" s="29"/>
      <c r="TRY103" s="29"/>
      <c r="TRZ103" s="29"/>
      <c r="TSA103" s="29"/>
      <c r="TSB103" s="29"/>
      <c r="TSC103" s="29"/>
      <c r="TSD103" s="29"/>
      <c r="TSE103" s="29"/>
      <c r="TSF103" s="29"/>
      <c r="TSG103" s="29"/>
      <c r="TSH103" s="29"/>
      <c r="TSI103" s="29"/>
      <c r="TSJ103" s="29"/>
      <c r="TSK103" s="29"/>
      <c r="TSL103" s="29"/>
      <c r="TSM103" s="29"/>
      <c r="TSN103" s="29"/>
      <c r="TSO103" s="29"/>
      <c r="TSP103" s="29"/>
      <c r="TSQ103" s="29"/>
      <c r="TSR103" s="29"/>
      <c r="TSS103" s="29"/>
      <c r="TST103" s="29"/>
      <c r="TSU103" s="29"/>
      <c r="TSV103" s="29"/>
      <c r="TSW103" s="29"/>
      <c r="TSX103" s="29"/>
      <c r="TSY103" s="29"/>
      <c r="TSZ103" s="29"/>
      <c r="TTA103" s="29"/>
      <c r="TTB103" s="29"/>
      <c r="TTC103" s="29"/>
      <c r="TTD103" s="29"/>
      <c r="TTE103" s="29"/>
      <c r="TTF103" s="29"/>
      <c r="TTG103" s="29"/>
      <c r="TTH103" s="29"/>
      <c r="TTI103" s="29"/>
      <c r="TTJ103" s="29"/>
      <c r="TTK103" s="29"/>
      <c r="TTL103" s="29"/>
      <c r="TTM103" s="29"/>
      <c r="TTN103" s="29"/>
      <c r="TTO103" s="29"/>
      <c r="TTP103" s="29"/>
      <c r="TTQ103" s="29"/>
      <c r="TTR103" s="29"/>
      <c r="TTS103" s="29"/>
      <c r="TTT103" s="29"/>
      <c r="TTU103" s="29"/>
      <c r="TTV103" s="29"/>
      <c r="TTW103" s="29"/>
      <c r="TTX103" s="29"/>
      <c r="TTY103" s="29"/>
      <c r="TTZ103" s="29"/>
      <c r="TUA103" s="29"/>
      <c r="TUB103" s="29"/>
      <c r="TUC103" s="29"/>
      <c r="TUD103" s="29"/>
      <c r="TUE103" s="29"/>
      <c r="TUF103" s="29"/>
      <c r="TUG103" s="29"/>
      <c r="TUH103" s="29"/>
      <c r="TUI103" s="29"/>
      <c r="TUJ103" s="29"/>
      <c r="TUK103" s="29"/>
      <c r="TUL103" s="29"/>
      <c r="TUM103" s="29"/>
      <c r="TUN103" s="29"/>
      <c r="TUO103" s="29"/>
      <c r="TUP103" s="29"/>
      <c r="TUQ103" s="29"/>
      <c r="TUR103" s="29"/>
      <c r="TUS103" s="29"/>
      <c r="TUT103" s="29"/>
      <c r="TUU103" s="29"/>
      <c r="TUV103" s="29"/>
      <c r="TUW103" s="29"/>
      <c r="TUX103" s="29"/>
      <c r="TUY103" s="29"/>
      <c r="TUZ103" s="29"/>
      <c r="TVA103" s="29"/>
      <c r="TVB103" s="29"/>
      <c r="TVC103" s="29"/>
      <c r="TVD103" s="29"/>
      <c r="TVE103" s="29"/>
      <c r="TVF103" s="29"/>
      <c r="TVG103" s="29"/>
      <c r="TVH103" s="29"/>
      <c r="TVI103" s="29"/>
      <c r="TVJ103" s="29"/>
      <c r="TVK103" s="29"/>
      <c r="TVL103" s="29"/>
      <c r="TVM103" s="29"/>
      <c r="TVN103" s="29"/>
      <c r="TVO103" s="29"/>
      <c r="TVP103" s="29"/>
      <c r="TVQ103" s="29"/>
      <c r="TVR103" s="29"/>
      <c r="TVS103" s="29"/>
      <c r="TVT103" s="29"/>
      <c r="TVU103" s="29"/>
      <c r="TVV103" s="29"/>
      <c r="TVW103" s="29"/>
      <c r="TVX103" s="29"/>
      <c r="TVY103" s="29"/>
      <c r="TVZ103" s="29"/>
      <c r="TWA103" s="29"/>
      <c r="TWB103" s="29"/>
      <c r="TWC103" s="29"/>
      <c r="TWD103" s="29"/>
      <c r="TWE103" s="29"/>
      <c r="TWF103" s="29"/>
      <c r="TWG103" s="29"/>
      <c r="TWH103" s="29"/>
      <c r="TWI103" s="29"/>
      <c r="TWJ103" s="29"/>
      <c r="TWK103" s="29"/>
      <c r="TWL103" s="29"/>
      <c r="TWM103" s="29"/>
      <c r="TWN103" s="29"/>
      <c r="TWO103" s="29"/>
      <c r="TWP103" s="29"/>
      <c r="TWQ103" s="29"/>
      <c r="TWR103" s="29"/>
      <c r="TWS103" s="29"/>
      <c r="TWT103" s="29"/>
      <c r="TWU103" s="29"/>
      <c r="TWV103" s="29"/>
      <c r="TWW103" s="29"/>
      <c r="TWX103" s="29"/>
      <c r="TWY103" s="29"/>
      <c r="TWZ103" s="29"/>
      <c r="TXA103" s="29"/>
      <c r="TXB103" s="29"/>
      <c r="TXC103" s="29"/>
      <c r="TXD103" s="29"/>
      <c r="TXE103" s="29"/>
      <c r="TXF103" s="29"/>
      <c r="TXG103" s="29"/>
      <c r="TXH103" s="29"/>
      <c r="TXI103" s="29"/>
      <c r="TXJ103" s="29"/>
      <c r="TXK103" s="29"/>
      <c r="TXL103" s="29"/>
      <c r="TXM103" s="29"/>
      <c r="TXN103" s="29"/>
      <c r="TXO103" s="29"/>
      <c r="TXP103" s="29"/>
      <c r="TXQ103" s="29"/>
      <c r="TXR103" s="29"/>
      <c r="TXS103" s="29"/>
      <c r="TXT103" s="29"/>
      <c r="TXU103" s="29"/>
      <c r="TXV103" s="29"/>
      <c r="TXW103" s="29"/>
      <c r="TXX103" s="29"/>
      <c r="TXY103" s="29"/>
      <c r="TXZ103" s="29"/>
      <c r="TYA103" s="29"/>
      <c r="TYB103" s="29"/>
      <c r="TYC103" s="29"/>
      <c r="TYD103" s="29"/>
      <c r="TYE103" s="29"/>
      <c r="TYF103" s="29"/>
      <c r="TYG103" s="29"/>
      <c r="TYH103" s="29"/>
      <c r="TYI103" s="29"/>
      <c r="TYJ103" s="29"/>
      <c r="TYK103" s="29"/>
      <c r="TYL103" s="29"/>
      <c r="TYM103" s="29"/>
      <c r="TYN103" s="29"/>
      <c r="TYO103" s="29"/>
      <c r="TYP103" s="29"/>
      <c r="TYQ103" s="29"/>
      <c r="TYR103" s="29"/>
      <c r="TYS103" s="29"/>
      <c r="TYT103" s="29"/>
      <c r="TYU103" s="29"/>
      <c r="TYV103" s="29"/>
      <c r="TYW103" s="29"/>
      <c r="TYX103" s="29"/>
      <c r="TYY103" s="29"/>
      <c r="TYZ103" s="29"/>
      <c r="TZA103" s="29"/>
      <c r="TZB103" s="29"/>
      <c r="TZC103" s="29"/>
      <c r="TZD103" s="29"/>
      <c r="TZE103" s="29"/>
      <c r="TZF103" s="29"/>
      <c r="TZG103" s="29"/>
      <c r="TZH103" s="29"/>
      <c r="TZI103" s="29"/>
      <c r="TZJ103" s="29"/>
      <c r="TZK103" s="29"/>
      <c r="TZL103" s="29"/>
      <c r="TZM103" s="29"/>
      <c r="TZN103" s="29"/>
      <c r="TZO103" s="29"/>
      <c r="TZP103" s="29"/>
      <c r="TZQ103" s="29"/>
      <c r="TZR103" s="29"/>
      <c r="TZS103" s="29"/>
      <c r="TZT103" s="29"/>
      <c r="TZU103" s="29"/>
      <c r="TZV103" s="29"/>
      <c r="TZW103" s="29"/>
      <c r="TZX103" s="29"/>
      <c r="TZY103" s="29"/>
      <c r="TZZ103" s="29"/>
      <c r="UAA103" s="29"/>
      <c r="UAB103" s="29"/>
      <c r="UAC103" s="29"/>
      <c r="UAD103" s="29"/>
      <c r="UAE103" s="29"/>
      <c r="UAF103" s="29"/>
      <c r="UAG103" s="29"/>
      <c r="UAH103" s="29"/>
      <c r="UAI103" s="29"/>
      <c r="UAJ103" s="29"/>
      <c r="UAK103" s="29"/>
      <c r="UAL103" s="29"/>
      <c r="UAM103" s="29"/>
      <c r="UAN103" s="29"/>
      <c r="UAO103" s="29"/>
      <c r="UAP103" s="29"/>
      <c r="UAQ103" s="29"/>
      <c r="UAR103" s="29"/>
      <c r="UAS103" s="29"/>
      <c r="UAT103" s="29"/>
      <c r="UAU103" s="29"/>
      <c r="UAV103" s="29"/>
      <c r="UAW103" s="29"/>
      <c r="UAX103" s="29"/>
      <c r="UAY103" s="29"/>
      <c r="UAZ103" s="29"/>
      <c r="UBA103" s="29"/>
      <c r="UBB103" s="29"/>
      <c r="UBC103" s="29"/>
      <c r="UBD103" s="29"/>
      <c r="UBE103" s="29"/>
      <c r="UBF103" s="29"/>
      <c r="UBG103" s="29"/>
      <c r="UBH103" s="29"/>
      <c r="UBI103" s="29"/>
      <c r="UBJ103" s="29"/>
      <c r="UBK103" s="29"/>
      <c r="UBL103" s="29"/>
      <c r="UBM103" s="29"/>
      <c r="UBN103" s="29"/>
      <c r="UBO103" s="29"/>
      <c r="UBP103" s="29"/>
      <c r="UBQ103" s="29"/>
      <c r="UBR103" s="29"/>
      <c r="UBS103" s="29"/>
      <c r="UBT103" s="29"/>
      <c r="UBU103" s="29"/>
      <c r="UBV103" s="29"/>
      <c r="UBW103" s="29"/>
      <c r="UBX103" s="29"/>
      <c r="UBY103" s="29"/>
      <c r="UBZ103" s="29"/>
      <c r="UCA103" s="29"/>
      <c r="UCB103" s="29"/>
      <c r="UCC103" s="29"/>
      <c r="UCD103" s="29"/>
      <c r="UCE103" s="29"/>
      <c r="UCF103" s="29"/>
      <c r="UCG103" s="29"/>
      <c r="UCH103" s="29"/>
      <c r="UCI103" s="29"/>
      <c r="UCJ103" s="29"/>
      <c r="UCK103" s="29"/>
      <c r="UCL103" s="29"/>
      <c r="UCM103" s="29"/>
      <c r="UCN103" s="29"/>
      <c r="UCO103" s="29"/>
      <c r="UCP103" s="29"/>
      <c r="UCQ103" s="29"/>
      <c r="UCR103" s="29"/>
      <c r="UCS103" s="29"/>
      <c r="UCT103" s="29"/>
      <c r="UCU103" s="29"/>
      <c r="UCV103" s="29"/>
      <c r="UCW103" s="29"/>
      <c r="UCX103" s="29"/>
      <c r="UCY103" s="29"/>
      <c r="UCZ103" s="29"/>
      <c r="UDA103" s="29"/>
      <c r="UDB103" s="29"/>
      <c r="UDC103" s="29"/>
      <c r="UDD103" s="29"/>
      <c r="UDE103" s="29"/>
      <c r="UDF103" s="29"/>
      <c r="UDG103" s="29"/>
      <c r="UDH103" s="29"/>
      <c r="UDI103" s="29"/>
      <c r="UDJ103" s="29"/>
      <c r="UDK103" s="29"/>
      <c r="UDL103" s="29"/>
      <c r="UDM103" s="29"/>
      <c r="UDN103" s="29"/>
      <c r="UDO103" s="29"/>
      <c r="UDP103" s="29"/>
      <c r="UDQ103" s="29"/>
      <c r="UDR103" s="29"/>
      <c r="UDS103" s="29"/>
      <c r="UDT103" s="29"/>
      <c r="UDU103" s="29"/>
      <c r="UDV103" s="29"/>
      <c r="UDW103" s="29"/>
      <c r="UDX103" s="29"/>
      <c r="UDY103" s="29"/>
      <c r="UDZ103" s="29"/>
      <c r="UEA103" s="29"/>
      <c r="UEB103" s="29"/>
      <c r="UEC103" s="29"/>
      <c r="UED103" s="29"/>
      <c r="UEE103" s="29"/>
      <c r="UEF103" s="29"/>
      <c r="UEG103" s="29"/>
      <c r="UEH103" s="29"/>
      <c r="UEI103" s="29"/>
      <c r="UEJ103" s="29"/>
      <c r="UEK103" s="29"/>
      <c r="UEL103" s="29"/>
      <c r="UEM103" s="29"/>
      <c r="UEN103" s="29"/>
      <c r="UEO103" s="29"/>
      <c r="UEP103" s="29"/>
      <c r="UEQ103" s="29"/>
      <c r="UER103" s="29"/>
      <c r="UES103" s="29"/>
      <c r="UET103" s="29"/>
      <c r="UEU103" s="29"/>
      <c r="UEV103" s="29"/>
      <c r="UEW103" s="29"/>
      <c r="UEX103" s="29"/>
      <c r="UEY103" s="29"/>
      <c r="UEZ103" s="29"/>
      <c r="UFA103" s="29"/>
      <c r="UFB103" s="29"/>
      <c r="UFC103" s="29"/>
      <c r="UFD103" s="29"/>
      <c r="UFE103" s="29"/>
      <c r="UFF103" s="29"/>
      <c r="UFG103" s="29"/>
      <c r="UFH103" s="29"/>
      <c r="UFI103" s="29"/>
      <c r="UFJ103" s="29"/>
      <c r="UFK103" s="29"/>
      <c r="UFL103" s="29"/>
      <c r="UFM103" s="29"/>
      <c r="UFN103" s="29"/>
      <c r="UFO103" s="29"/>
      <c r="UFP103" s="29"/>
      <c r="UFQ103" s="29"/>
      <c r="UFR103" s="29"/>
      <c r="UFS103" s="29"/>
      <c r="UFT103" s="29"/>
      <c r="UFU103" s="29"/>
      <c r="UFV103" s="29"/>
      <c r="UFW103" s="29"/>
      <c r="UFX103" s="29"/>
      <c r="UFY103" s="29"/>
      <c r="UFZ103" s="29"/>
      <c r="UGA103" s="29"/>
      <c r="UGB103" s="29"/>
      <c r="UGC103" s="29"/>
      <c r="UGD103" s="29"/>
      <c r="UGE103" s="29"/>
      <c r="UGF103" s="29"/>
      <c r="UGG103" s="29"/>
      <c r="UGH103" s="29"/>
      <c r="UGI103" s="29"/>
      <c r="UGJ103" s="29"/>
      <c r="UGK103" s="29"/>
      <c r="UGL103" s="29"/>
      <c r="UGM103" s="29"/>
      <c r="UGN103" s="29"/>
      <c r="UGO103" s="29"/>
      <c r="UGP103" s="29"/>
      <c r="UGQ103" s="29"/>
      <c r="UGR103" s="29"/>
      <c r="UGS103" s="29"/>
      <c r="UGT103" s="29"/>
      <c r="UGU103" s="29"/>
      <c r="UGV103" s="29"/>
      <c r="UGW103" s="29"/>
      <c r="UGX103" s="29"/>
      <c r="UGY103" s="29"/>
      <c r="UGZ103" s="29"/>
      <c r="UHA103" s="29"/>
      <c r="UHB103" s="29"/>
      <c r="UHC103" s="29"/>
      <c r="UHD103" s="29"/>
      <c r="UHE103" s="29"/>
      <c r="UHF103" s="29"/>
      <c r="UHG103" s="29"/>
      <c r="UHH103" s="29"/>
      <c r="UHI103" s="29"/>
      <c r="UHJ103" s="29"/>
      <c r="UHK103" s="29"/>
      <c r="UHL103" s="29"/>
      <c r="UHM103" s="29"/>
      <c r="UHN103" s="29"/>
      <c r="UHO103" s="29"/>
      <c r="UHP103" s="29"/>
      <c r="UHQ103" s="29"/>
      <c r="UHR103" s="29"/>
      <c r="UHS103" s="29"/>
      <c r="UHT103" s="29"/>
      <c r="UHU103" s="29"/>
      <c r="UHV103" s="29"/>
      <c r="UHW103" s="29"/>
      <c r="UHX103" s="29"/>
      <c r="UHY103" s="29"/>
      <c r="UHZ103" s="29"/>
      <c r="UIA103" s="29"/>
      <c r="UIB103" s="29"/>
      <c r="UIC103" s="29"/>
      <c r="UID103" s="29"/>
      <c r="UIE103" s="29"/>
      <c r="UIF103" s="29"/>
      <c r="UIG103" s="29"/>
      <c r="UIH103" s="29"/>
      <c r="UII103" s="29"/>
      <c r="UIJ103" s="29"/>
      <c r="UIK103" s="29"/>
      <c r="UIL103" s="29"/>
      <c r="UIM103" s="29"/>
      <c r="UIN103" s="29"/>
      <c r="UIO103" s="29"/>
      <c r="UIP103" s="29"/>
      <c r="UIQ103" s="29"/>
      <c r="UIR103" s="29"/>
      <c r="UIS103" s="29"/>
      <c r="UIT103" s="29"/>
      <c r="UIU103" s="29"/>
      <c r="UIV103" s="29"/>
      <c r="UIW103" s="29"/>
      <c r="UIX103" s="29"/>
      <c r="UIY103" s="29"/>
      <c r="UIZ103" s="29"/>
      <c r="UJA103" s="29"/>
      <c r="UJB103" s="29"/>
      <c r="UJC103" s="29"/>
      <c r="UJD103" s="29"/>
      <c r="UJE103" s="29"/>
      <c r="UJF103" s="29"/>
      <c r="UJG103" s="29"/>
      <c r="UJH103" s="29"/>
      <c r="UJI103" s="29"/>
      <c r="UJJ103" s="29"/>
      <c r="UJK103" s="29"/>
      <c r="UJL103" s="29"/>
      <c r="UJM103" s="29"/>
      <c r="UJN103" s="29"/>
      <c r="UJO103" s="29"/>
      <c r="UJP103" s="29"/>
      <c r="UJQ103" s="29"/>
      <c r="UJR103" s="29"/>
      <c r="UJS103" s="29"/>
      <c r="UJT103" s="29"/>
      <c r="UJU103" s="29"/>
      <c r="UJV103" s="29"/>
      <c r="UJW103" s="29"/>
      <c r="UJX103" s="29"/>
      <c r="UJY103" s="29"/>
      <c r="UJZ103" s="29"/>
      <c r="UKA103" s="29"/>
      <c r="UKB103" s="29"/>
      <c r="UKC103" s="29"/>
      <c r="UKD103" s="29"/>
      <c r="UKE103" s="29"/>
      <c r="UKF103" s="29"/>
      <c r="UKG103" s="29"/>
      <c r="UKH103" s="29"/>
      <c r="UKI103" s="29"/>
      <c r="UKJ103" s="29"/>
      <c r="UKK103" s="29"/>
      <c r="UKL103" s="29"/>
      <c r="UKM103" s="29"/>
      <c r="UKN103" s="29"/>
      <c r="UKO103" s="29"/>
      <c r="UKP103" s="29"/>
      <c r="UKQ103" s="29"/>
      <c r="UKR103" s="29"/>
      <c r="UKS103" s="29"/>
      <c r="UKT103" s="29"/>
      <c r="UKU103" s="29"/>
      <c r="UKV103" s="29"/>
      <c r="UKW103" s="29"/>
      <c r="UKX103" s="29"/>
      <c r="UKY103" s="29"/>
      <c r="UKZ103" s="29"/>
      <c r="ULA103" s="29"/>
      <c r="ULB103" s="29"/>
      <c r="ULC103" s="29"/>
      <c r="ULD103" s="29"/>
      <c r="ULE103" s="29"/>
      <c r="ULF103" s="29"/>
      <c r="ULG103" s="29"/>
      <c r="ULH103" s="29"/>
      <c r="ULI103" s="29"/>
      <c r="ULJ103" s="29"/>
      <c r="ULK103" s="29"/>
      <c r="ULL103" s="29"/>
      <c r="ULM103" s="29"/>
      <c r="ULN103" s="29"/>
      <c r="ULO103" s="29"/>
      <c r="ULP103" s="29"/>
      <c r="ULQ103" s="29"/>
      <c r="ULR103" s="29"/>
      <c r="ULS103" s="29"/>
      <c r="ULT103" s="29"/>
      <c r="ULU103" s="29"/>
      <c r="ULV103" s="29"/>
      <c r="ULW103" s="29"/>
      <c r="ULX103" s="29"/>
      <c r="ULY103" s="29"/>
      <c r="ULZ103" s="29"/>
      <c r="UMA103" s="29"/>
      <c r="UMB103" s="29"/>
      <c r="UMC103" s="29"/>
      <c r="UMD103" s="29"/>
      <c r="UME103" s="29"/>
      <c r="UMF103" s="29"/>
      <c r="UMG103" s="29"/>
      <c r="UMH103" s="29"/>
      <c r="UMI103" s="29"/>
      <c r="UMJ103" s="29"/>
      <c r="UMK103" s="29"/>
      <c r="UML103" s="29"/>
      <c r="UMM103" s="29"/>
      <c r="UMN103" s="29"/>
      <c r="UMO103" s="29"/>
      <c r="UMP103" s="29"/>
      <c r="UMQ103" s="29"/>
      <c r="UMR103" s="29"/>
      <c r="UMS103" s="29"/>
      <c r="UMT103" s="29"/>
      <c r="UMU103" s="29"/>
      <c r="UMV103" s="29"/>
      <c r="UMW103" s="29"/>
      <c r="UMX103" s="29"/>
      <c r="UMY103" s="29"/>
      <c r="UMZ103" s="29"/>
      <c r="UNA103" s="29"/>
      <c r="UNB103" s="29"/>
      <c r="UNC103" s="29"/>
      <c r="UND103" s="29"/>
      <c r="UNE103" s="29"/>
      <c r="UNF103" s="29"/>
      <c r="UNG103" s="29"/>
      <c r="UNH103" s="29"/>
      <c r="UNI103" s="29"/>
      <c r="UNJ103" s="29"/>
      <c r="UNK103" s="29"/>
      <c r="UNL103" s="29"/>
      <c r="UNM103" s="29"/>
      <c r="UNN103" s="29"/>
      <c r="UNO103" s="29"/>
      <c r="UNP103" s="29"/>
      <c r="UNQ103" s="29"/>
      <c r="UNR103" s="29"/>
      <c r="UNS103" s="29"/>
      <c r="UNT103" s="29"/>
      <c r="UNU103" s="29"/>
      <c r="UNV103" s="29"/>
      <c r="UNW103" s="29"/>
      <c r="UNX103" s="29"/>
      <c r="UNY103" s="29"/>
      <c r="UNZ103" s="29"/>
      <c r="UOA103" s="29"/>
      <c r="UOB103" s="29"/>
      <c r="UOC103" s="29"/>
      <c r="UOD103" s="29"/>
      <c r="UOE103" s="29"/>
      <c r="UOF103" s="29"/>
      <c r="UOG103" s="29"/>
      <c r="UOH103" s="29"/>
      <c r="UOI103" s="29"/>
      <c r="UOJ103" s="29"/>
      <c r="UOK103" s="29"/>
      <c r="UOL103" s="29"/>
      <c r="UOM103" s="29"/>
      <c r="UON103" s="29"/>
      <c r="UOO103" s="29"/>
      <c r="UOP103" s="29"/>
      <c r="UOQ103" s="29"/>
      <c r="UOR103" s="29"/>
      <c r="UOS103" s="29"/>
      <c r="UOT103" s="29"/>
      <c r="UOU103" s="29"/>
      <c r="UOV103" s="29"/>
      <c r="UOW103" s="29"/>
      <c r="UOX103" s="29"/>
      <c r="UOY103" s="29"/>
      <c r="UOZ103" s="29"/>
      <c r="UPA103" s="29"/>
      <c r="UPB103" s="29"/>
      <c r="UPC103" s="29"/>
      <c r="UPD103" s="29"/>
      <c r="UPE103" s="29"/>
      <c r="UPF103" s="29"/>
      <c r="UPG103" s="29"/>
      <c r="UPH103" s="29"/>
      <c r="UPI103" s="29"/>
      <c r="UPJ103" s="29"/>
      <c r="UPK103" s="29"/>
      <c r="UPL103" s="29"/>
      <c r="UPM103" s="29"/>
      <c r="UPN103" s="29"/>
      <c r="UPO103" s="29"/>
      <c r="UPP103" s="29"/>
      <c r="UPQ103" s="29"/>
      <c r="UPR103" s="29"/>
      <c r="UPS103" s="29"/>
      <c r="UPT103" s="29"/>
      <c r="UPU103" s="29"/>
      <c r="UPV103" s="29"/>
      <c r="UPW103" s="29"/>
      <c r="UPX103" s="29"/>
      <c r="UPY103" s="29"/>
      <c r="UPZ103" s="29"/>
      <c r="UQA103" s="29"/>
      <c r="UQB103" s="29"/>
      <c r="UQC103" s="29"/>
      <c r="UQD103" s="29"/>
      <c r="UQE103" s="29"/>
      <c r="UQF103" s="29"/>
      <c r="UQG103" s="29"/>
      <c r="UQH103" s="29"/>
      <c r="UQI103" s="29"/>
      <c r="UQJ103" s="29"/>
      <c r="UQK103" s="29"/>
      <c r="UQL103" s="29"/>
      <c r="UQM103" s="29"/>
      <c r="UQN103" s="29"/>
      <c r="UQO103" s="29"/>
      <c r="UQP103" s="29"/>
      <c r="UQQ103" s="29"/>
      <c r="UQR103" s="29"/>
      <c r="UQS103" s="29"/>
      <c r="UQT103" s="29"/>
      <c r="UQU103" s="29"/>
      <c r="UQV103" s="29"/>
      <c r="UQW103" s="29"/>
      <c r="UQX103" s="29"/>
      <c r="UQY103" s="29"/>
      <c r="UQZ103" s="29"/>
      <c r="URA103" s="29"/>
      <c r="URB103" s="29"/>
      <c r="URC103" s="29"/>
      <c r="URD103" s="29"/>
      <c r="URE103" s="29"/>
      <c r="URF103" s="29"/>
      <c r="URG103" s="29"/>
      <c r="URH103" s="29"/>
      <c r="URI103" s="29"/>
      <c r="URJ103" s="29"/>
      <c r="URK103" s="29"/>
      <c r="URL103" s="29"/>
      <c r="URM103" s="29"/>
      <c r="URN103" s="29"/>
      <c r="URO103" s="29"/>
      <c r="URP103" s="29"/>
      <c r="URQ103" s="29"/>
      <c r="URR103" s="29"/>
      <c r="URS103" s="29"/>
      <c r="URT103" s="29"/>
      <c r="URU103" s="29"/>
      <c r="URV103" s="29"/>
      <c r="URW103" s="29"/>
      <c r="URX103" s="29"/>
      <c r="URY103" s="29"/>
      <c r="URZ103" s="29"/>
      <c r="USA103" s="29"/>
      <c r="USB103" s="29"/>
      <c r="USC103" s="29"/>
      <c r="USD103" s="29"/>
      <c r="USE103" s="29"/>
      <c r="USF103" s="29"/>
      <c r="USG103" s="29"/>
      <c r="USH103" s="29"/>
      <c r="USI103" s="29"/>
      <c r="USJ103" s="29"/>
      <c r="USK103" s="29"/>
      <c r="USL103" s="29"/>
      <c r="USM103" s="29"/>
      <c r="USN103" s="29"/>
      <c r="USO103" s="29"/>
      <c r="USP103" s="29"/>
      <c r="USQ103" s="29"/>
      <c r="USR103" s="29"/>
      <c r="USS103" s="29"/>
      <c r="UST103" s="29"/>
      <c r="USU103" s="29"/>
      <c r="USV103" s="29"/>
      <c r="USW103" s="29"/>
      <c r="USX103" s="29"/>
      <c r="USY103" s="29"/>
      <c r="USZ103" s="29"/>
      <c r="UTA103" s="29"/>
      <c r="UTB103" s="29"/>
      <c r="UTC103" s="29"/>
      <c r="UTD103" s="29"/>
      <c r="UTE103" s="29"/>
      <c r="UTF103" s="29"/>
      <c r="UTG103" s="29"/>
      <c r="UTH103" s="29"/>
      <c r="UTI103" s="29"/>
      <c r="UTJ103" s="29"/>
      <c r="UTK103" s="29"/>
      <c r="UTL103" s="29"/>
      <c r="UTM103" s="29"/>
      <c r="UTN103" s="29"/>
      <c r="UTO103" s="29"/>
      <c r="UTP103" s="29"/>
      <c r="UTQ103" s="29"/>
      <c r="UTR103" s="29"/>
      <c r="UTS103" s="29"/>
      <c r="UTT103" s="29"/>
      <c r="UTU103" s="29"/>
      <c r="UTV103" s="29"/>
      <c r="UTW103" s="29"/>
      <c r="UTX103" s="29"/>
      <c r="UTY103" s="29"/>
      <c r="UTZ103" s="29"/>
      <c r="UUA103" s="29"/>
      <c r="UUB103" s="29"/>
      <c r="UUC103" s="29"/>
      <c r="UUD103" s="29"/>
      <c r="UUE103" s="29"/>
      <c r="UUF103" s="29"/>
      <c r="UUG103" s="29"/>
      <c r="UUH103" s="29"/>
      <c r="UUI103" s="29"/>
      <c r="UUJ103" s="29"/>
      <c r="UUK103" s="29"/>
      <c r="UUL103" s="29"/>
      <c r="UUM103" s="29"/>
      <c r="UUN103" s="29"/>
      <c r="UUO103" s="29"/>
      <c r="UUP103" s="29"/>
      <c r="UUQ103" s="29"/>
      <c r="UUR103" s="29"/>
      <c r="UUS103" s="29"/>
      <c r="UUT103" s="29"/>
      <c r="UUU103" s="29"/>
      <c r="UUV103" s="29"/>
      <c r="UUW103" s="29"/>
      <c r="UUX103" s="29"/>
      <c r="UUY103" s="29"/>
      <c r="UUZ103" s="29"/>
      <c r="UVA103" s="29"/>
      <c r="UVB103" s="29"/>
      <c r="UVC103" s="29"/>
      <c r="UVD103" s="29"/>
      <c r="UVE103" s="29"/>
      <c r="UVF103" s="29"/>
      <c r="UVG103" s="29"/>
      <c r="UVH103" s="29"/>
      <c r="UVI103" s="29"/>
      <c r="UVJ103" s="29"/>
      <c r="UVK103" s="29"/>
      <c r="UVL103" s="29"/>
      <c r="UVM103" s="29"/>
      <c r="UVN103" s="29"/>
      <c r="UVO103" s="29"/>
      <c r="UVP103" s="29"/>
      <c r="UVQ103" s="29"/>
      <c r="UVR103" s="29"/>
      <c r="UVS103" s="29"/>
      <c r="UVT103" s="29"/>
      <c r="UVU103" s="29"/>
      <c r="UVV103" s="29"/>
      <c r="UVW103" s="29"/>
      <c r="UVX103" s="29"/>
      <c r="UVY103" s="29"/>
      <c r="UVZ103" s="29"/>
      <c r="UWA103" s="29"/>
      <c r="UWB103" s="29"/>
      <c r="UWC103" s="29"/>
      <c r="UWD103" s="29"/>
      <c r="UWE103" s="29"/>
      <c r="UWF103" s="29"/>
      <c r="UWG103" s="29"/>
      <c r="UWH103" s="29"/>
      <c r="UWI103" s="29"/>
      <c r="UWJ103" s="29"/>
      <c r="UWK103" s="29"/>
      <c r="UWL103" s="29"/>
      <c r="UWM103" s="29"/>
      <c r="UWN103" s="29"/>
      <c r="UWO103" s="29"/>
      <c r="UWP103" s="29"/>
      <c r="UWQ103" s="29"/>
      <c r="UWR103" s="29"/>
      <c r="UWS103" s="29"/>
      <c r="UWT103" s="29"/>
      <c r="UWU103" s="29"/>
      <c r="UWV103" s="29"/>
      <c r="UWW103" s="29"/>
      <c r="UWX103" s="29"/>
      <c r="UWY103" s="29"/>
      <c r="UWZ103" s="29"/>
      <c r="UXA103" s="29"/>
      <c r="UXB103" s="29"/>
      <c r="UXC103" s="29"/>
      <c r="UXD103" s="29"/>
      <c r="UXE103" s="29"/>
      <c r="UXF103" s="29"/>
      <c r="UXG103" s="29"/>
      <c r="UXH103" s="29"/>
      <c r="UXI103" s="29"/>
      <c r="UXJ103" s="29"/>
      <c r="UXK103" s="29"/>
      <c r="UXL103" s="29"/>
      <c r="UXM103" s="29"/>
      <c r="UXN103" s="29"/>
      <c r="UXO103" s="29"/>
      <c r="UXP103" s="29"/>
      <c r="UXQ103" s="29"/>
      <c r="UXR103" s="29"/>
      <c r="UXS103" s="29"/>
      <c r="UXT103" s="29"/>
      <c r="UXU103" s="29"/>
      <c r="UXV103" s="29"/>
      <c r="UXW103" s="29"/>
      <c r="UXX103" s="29"/>
      <c r="UXY103" s="29"/>
      <c r="UXZ103" s="29"/>
      <c r="UYA103" s="29"/>
      <c r="UYB103" s="29"/>
      <c r="UYC103" s="29"/>
      <c r="UYD103" s="29"/>
      <c r="UYE103" s="29"/>
      <c r="UYF103" s="29"/>
      <c r="UYG103" s="29"/>
      <c r="UYH103" s="29"/>
      <c r="UYI103" s="29"/>
      <c r="UYJ103" s="29"/>
      <c r="UYK103" s="29"/>
      <c r="UYL103" s="29"/>
      <c r="UYM103" s="29"/>
      <c r="UYN103" s="29"/>
      <c r="UYO103" s="29"/>
      <c r="UYP103" s="29"/>
      <c r="UYQ103" s="29"/>
      <c r="UYR103" s="29"/>
      <c r="UYS103" s="29"/>
      <c r="UYT103" s="29"/>
      <c r="UYU103" s="29"/>
      <c r="UYV103" s="29"/>
      <c r="UYW103" s="29"/>
      <c r="UYX103" s="29"/>
      <c r="UYY103" s="29"/>
      <c r="UYZ103" s="29"/>
      <c r="UZA103" s="29"/>
      <c r="UZB103" s="29"/>
      <c r="UZC103" s="29"/>
      <c r="UZD103" s="29"/>
      <c r="UZE103" s="29"/>
      <c r="UZF103" s="29"/>
      <c r="UZG103" s="29"/>
      <c r="UZH103" s="29"/>
      <c r="UZI103" s="29"/>
      <c r="UZJ103" s="29"/>
      <c r="UZK103" s="29"/>
      <c r="UZL103" s="29"/>
      <c r="UZM103" s="29"/>
      <c r="UZN103" s="29"/>
      <c r="UZO103" s="29"/>
      <c r="UZP103" s="29"/>
      <c r="UZQ103" s="29"/>
      <c r="UZR103" s="29"/>
      <c r="UZS103" s="29"/>
      <c r="UZT103" s="29"/>
      <c r="UZU103" s="29"/>
      <c r="UZV103" s="29"/>
      <c r="UZW103" s="29"/>
      <c r="UZX103" s="29"/>
      <c r="UZY103" s="29"/>
      <c r="UZZ103" s="29"/>
      <c r="VAA103" s="29"/>
      <c r="VAB103" s="29"/>
      <c r="VAC103" s="29"/>
      <c r="VAD103" s="29"/>
      <c r="VAE103" s="29"/>
      <c r="VAF103" s="29"/>
      <c r="VAG103" s="29"/>
      <c r="VAH103" s="29"/>
      <c r="VAI103" s="29"/>
      <c r="VAJ103" s="29"/>
      <c r="VAK103" s="29"/>
      <c r="VAL103" s="29"/>
      <c r="VAM103" s="29"/>
      <c r="VAN103" s="29"/>
      <c r="VAO103" s="29"/>
      <c r="VAP103" s="29"/>
      <c r="VAQ103" s="29"/>
      <c r="VAR103" s="29"/>
      <c r="VAS103" s="29"/>
      <c r="VAT103" s="29"/>
      <c r="VAU103" s="29"/>
      <c r="VAV103" s="29"/>
      <c r="VAW103" s="29"/>
      <c r="VAX103" s="29"/>
      <c r="VAY103" s="29"/>
      <c r="VAZ103" s="29"/>
      <c r="VBA103" s="29"/>
      <c r="VBB103" s="29"/>
      <c r="VBC103" s="29"/>
      <c r="VBD103" s="29"/>
      <c r="VBE103" s="29"/>
      <c r="VBF103" s="29"/>
      <c r="VBG103" s="29"/>
      <c r="VBH103" s="29"/>
      <c r="VBI103" s="29"/>
      <c r="VBJ103" s="29"/>
      <c r="VBK103" s="29"/>
      <c r="VBL103" s="29"/>
      <c r="VBM103" s="29"/>
      <c r="VBN103" s="29"/>
      <c r="VBO103" s="29"/>
      <c r="VBP103" s="29"/>
      <c r="VBQ103" s="29"/>
      <c r="VBR103" s="29"/>
      <c r="VBS103" s="29"/>
      <c r="VBT103" s="29"/>
      <c r="VBU103" s="29"/>
      <c r="VBV103" s="29"/>
      <c r="VBW103" s="29"/>
      <c r="VBX103" s="29"/>
      <c r="VBY103" s="29"/>
      <c r="VBZ103" s="29"/>
      <c r="VCA103" s="29"/>
      <c r="VCB103" s="29"/>
      <c r="VCC103" s="29"/>
      <c r="VCD103" s="29"/>
      <c r="VCE103" s="29"/>
      <c r="VCF103" s="29"/>
      <c r="VCG103" s="29"/>
      <c r="VCH103" s="29"/>
      <c r="VCI103" s="29"/>
      <c r="VCJ103" s="29"/>
      <c r="VCK103" s="29"/>
      <c r="VCL103" s="29"/>
      <c r="VCM103" s="29"/>
      <c r="VCN103" s="29"/>
      <c r="VCO103" s="29"/>
      <c r="VCP103" s="29"/>
      <c r="VCQ103" s="29"/>
      <c r="VCR103" s="29"/>
      <c r="VCS103" s="29"/>
      <c r="VCT103" s="29"/>
      <c r="VCU103" s="29"/>
      <c r="VCV103" s="29"/>
      <c r="VCW103" s="29"/>
      <c r="VCX103" s="29"/>
      <c r="VCY103" s="29"/>
      <c r="VCZ103" s="29"/>
      <c r="VDA103" s="29"/>
      <c r="VDB103" s="29"/>
      <c r="VDC103" s="29"/>
      <c r="VDD103" s="29"/>
      <c r="VDE103" s="29"/>
      <c r="VDF103" s="29"/>
      <c r="VDG103" s="29"/>
      <c r="VDH103" s="29"/>
      <c r="VDI103" s="29"/>
      <c r="VDJ103" s="29"/>
      <c r="VDK103" s="29"/>
      <c r="VDL103" s="29"/>
      <c r="VDM103" s="29"/>
      <c r="VDN103" s="29"/>
      <c r="VDO103" s="29"/>
      <c r="VDP103" s="29"/>
      <c r="VDQ103" s="29"/>
      <c r="VDR103" s="29"/>
      <c r="VDS103" s="29"/>
      <c r="VDT103" s="29"/>
      <c r="VDU103" s="29"/>
      <c r="VDV103" s="29"/>
      <c r="VDW103" s="29"/>
      <c r="VDX103" s="29"/>
      <c r="VDY103" s="29"/>
      <c r="VDZ103" s="29"/>
      <c r="VEA103" s="29"/>
      <c r="VEB103" s="29"/>
      <c r="VEC103" s="29"/>
      <c r="VED103" s="29"/>
      <c r="VEE103" s="29"/>
      <c r="VEF103" s="29"/>
      <c r="VEG103" s="29"/>
      <c r="VEH103" s="29"/>
      <c r="VEI103" s="29"/>
      <c r="VEJ103" s="29"/>
      <c r="VEK103" s="29"/>
      <c r="VEL103" s="29"/>
      <c r="VEM103" s="29"/>
      <c r="VEN103" s="29"/>
      <c r="VEO103" s="29"/>
      <c r="VEP103" s="29"/>
      <c r="VEQ103" s="29"/>
      <c r="VER103" s="29"/>
      <c r="VES103" s="29"/>
      <c r="VET103" s="29"/>
      <c r="VEU103" s="29"/>
      <c r="VEV103" s="29"/>
      <c r="VEW103" s="29"/>
      <c r="VEX103" s="29"/>
      <c r="VEY103" s="29"/>
      <c r="VEZ103" s="29"/>
      <c r="VFA103" s="29"/>
      <c r="VFB103" s="29"/>
      <c r="VFC103" s="29"/>
      <c r="VFD103" s="29"/>
      <c r="VFE103" s="29"/>
      <c r="VFF103" s="29"/>
      <c r="VFG103" s="29"/>
      <c r="VFH103" s="29"/>
      <c r="VFI103" s="29"/>
      <c r="VFJ103" s="29"/>
      <c r="VFK103" s="29"/>
      <c r="VFL103" s="29"/>
      <c r="VFM103" s="29"/>
      <c r="VFN103" s="29"/>
      <c r="VFO103" s="29"/>
      <c r="VFP103" s="29"/>
      <c r="VFQ103" s="29"/>
      <c r="VFR103" s="29"/>
      <c r="VFS103" s="29"/>
      <c r="VFT103" s="29"/>
      <c r="VFU103" s="29"/>
      <c r="VFV103" s="29"/>
      <c r="VFW103" s="29"/>
      <c r="VFX103" s="29"/>
      <c r="VFY103" s="29"/>
      <c r="VFZ103" s="29"/>
      <c r="VGA103" s="29"/>
      <c r="VGB103" s="29"/>
      <c r="VGC103" s="29"/>
      <c r="VGD103" s="29"/>
      <c r="VGE103" s="29"/>
      <c r="VGF103" s="29"/>
      <c r="VGG103" s="29"/>
      <c r="VGH103" s="29"/>
      <c r="VGI103" s="29"/>
      <c r="VGJ103" s="29"/>
      <c r="VGK103" s="29"/>
      <c r="VGL103" s="29"/>
      <c r="VGM103" s="29"/>
      <c r="VGN103" s="29"/>
      <c r="VGO103" s="29"/>
      <c r="VGP103" s="29"/>
      <c r="VGQ103" s="29"/>
      <c r="VGR103" s="29"/>
      <c r="VGS103" s="29"/>
      <c r="VGT103" s="29"/>
      <c r="VGU103" s="29"/>
      <c r="VGV103" s="29"/>
      <c r="VGW103" s="29"/>
      <c r="VGX103" s="29"/>
      <c r="VGY103" s="29"/>
      <c r="VGZ103" s="29"/>
      <c r="VHA103" s="29"/>
      <c r="VHB103" s="29"/>
      <c r="VHC103" s="29"/>
      <c r="VHD103" s="29"/>
      <c r="VHE103" s="29"/>
      <c r="VHF103" s="29"/>
      <c r="VHG103" s="29"/>
      <c r="VHH103" s="29"/>
      <c r="VHI103" s="29"/>
      <c r="VHJ103" s="29"/>
      <c r="VHK103" s="29"/>
      <c r="VHL103" s="29"/>
      <c r="VHM103" s="29"/>
      <c r="VHN103" s="29"/>
      <c r="VHO103" s="29"/>
      <c r="VHP103" s="29"/>
      <c r="VHQ103" s="29"/>
      <c r="VHR103" s="29"/>
      <c r="VHS103" s="29"/>
      <c r="VHT103" s="29"/>
      <c r="VHU103" s="29"/>
      <c r="VHV103" s="29"/>
      <c r="VHW103" s="29"/>
      <c r="VHX103" s="29"/>
      <c r="VHY103" s="29"/>
      <c r="VHZ103" s="29"/>
      <c r="VIA103" s="29"/>
      <c r="VIB103" s="29"/>
      <c r="VIC103" s="29"/>
      <c r="VID103" s="29"/>
      <c r="VIE103" s="29"/>
      <c r="VIF103" s="29"/>
      <c r="VIG103" s="29"/>
      <c r="VIH103" s="29"/>
      <c r="VII103" s="29"/>
      <c r="VIJ103" s="29"/>
      <c r="VIK103" s="29"/>
      <c r="VIL103" s="29"/>
      <c r="VIM103" s="29"/>
      <c r="VIN103" s="29"/>
      <c r="VIO103" s="29"/>
      <c r="VIP103" s="29"/>
      <c r="VIQ103" s="29"/>
      <c r="VIR103" s="29"/>
      <c r="VIS103" s="29"/>
      <c r="VIT103" s="29"/>
      <c r="VIU103" s="29"/>
      <c r="VIV103" s="29"/>
      <c r="VIW103" s="29"/>
      <c r="VIX103" s="29"/>
      <c r="VIY103" s="29"/>
      <c r="VIZ103" s="29"/>
      <c r="VJA103" s="29"/>
      <c r="VJB103" s="29"/>
      <c r="VJC103" s="29"/>
      <c r="VJD103" s="29"/>
      <c r="VJE103" s="29"/>
      <c r="VJF103" s="29"/>
      <c r="VJG103" s="29"/>
      <c r="VJH103" s="29"/>
      <c r="VJI103" s="29"/>
      <c r="VJJ103" s="29"/>
      <c r="VJK103" s="29"/>
      <c r="VJL103" s="29"/>
      <c r="VJM103" s="29"/>
      <c r="VJN103" s="29"/>
      <c r="VJO103" s="29"/>
      <c r="VJP103" s="29"/>
      <c r="VJQ103" s="29"/>
      <c r="VJR103" s="29"/>
      <c r="VJS103" s="29"/>
      <c r="VJT103" s="29"/>
      <c r="VJU103" s="29"/>
      <c r="VJV103" s="29"/>
      <c r="VJW103" s="29"/>
      <c r="VJX103" s="29"/>
      <c r="VJY103" s="29"/>
      <c r="VJZ103" s="29"/>
      <c r="VKA103" s="29"/>
      <c r="VKB103" s="29"/>
      <c r="VKC103" s="29"/>
      <c r="VKD103" s="29"/>
      <c r="VKE103" s="29"/>
      <c r="VKF103" s="29"/>
      <c r="VKG103" s="29"/>
      <c r="VKH103" s="29"/>
      <c r="VKI103" s="29"/>
      <c r="VKJ103" s="29"/>
      <c r="VKK103" s="29"/>
      <c r="VKL103" s="29"/>
      <c r="VKM103" s="29"/>
      <c r="VKN103" s="29"/>
      <c r="VKO103" s="29"/>
      <c r="VKP103" s="29"/>
      <c r="VKQ103" s="29"/>
      <c r="VKR103" s="29"/>
      <c r="VKS103" s="29"/>
      <c r="VKT103" s="29"/>
      <c r="VKU103" s="29"/>
      <c r="VKV103" s="29"/>
      <c r="VKW103" s="29"/>
      <c r="VKX103" s="29"/>
      <c r="VKY103" s="29"/>
      <c r="VKZ103" s="29"/>
      <c r="VLA103" s="29"/>
      <c r="VLB103" s="29"/>
      <c r="VLC103" s="29"/>
      <c r="VLD103" s="29"/>
      <c r="VLE103" s="29"/>
      <c r="VLF103" s="29"/>
      <c r="VLG103" s="29"/>
      <c r="VLH103" s="29"/>
      <c r="VLI103" s="29"/>
      <c r="VLJ103" s="29"/>
      <c r="VLK103" s="29"/>
      <c r="VLL103" s="29"/>
      <c r="VLM103" s="29"/>
      <c r="VLN103" s="29"/>
      <c r="VLO103" s="29"/>
      <c r="VLP103" s="29"/>
      <c r="VLQ103" s="29"/>
      <c r="VLR103" s="29"/>
      <c r="VLS103" s="29"/>
      <c r="VLT103" s="29"/>
      <c r="VLU103" s="29"/>
      <c r="VLV103" s="29"/>
      <c r="VLW103" s="29"/>
      <c r="VLX103" s="29"/>
      <c r="VLY103" s="29"/>
      <c r="VLZ103" s="29"/>
      <c r="VMA103" s="29"/>
      <c r="VMB103" s="29"/>
      <c r="VMC103" s="29"/>
      <c r="VMD103" s="29"/>
      <c r="VME103" s="29"/>
      <c r="VMF103" s="29"/>
      <c r="VMG103" s="29"/>
      <c r="VMH103" s="29"/>
      <c r="VMI103" s="29"/>
      <c r="VMJ103" s="29"/>
      <c r="VMK103" s="29"/>
      <c r="VML103" s="29"/>
      <c r="VMM103" s="29"/>
      <c r="VMN103" s="29"/>
      <c r="VMO103" s="29"/>
      <c r="VMP103" s="29"/>
      <c r="VMQ103" s="29"/>
      <c r="VMR103" s="29"/>
      <c r="VMS103" s="29"/>
      <c r="VMT103" s="29"/>
      <c r="VMU103" s="29"/>
      <c r="VMV103" s="29"/>
      <c r="VMW103" s="29"/>
      <c r="VMX103" s="29"/>
      <c r="VMY103" s="29"/>
      <c r="VMZ103" s="29"/>
      <c r="VNA103" s="29"/>
      <c r="VNB103" s="29"/>
      <c r="VNC103" s="29"/>
      <c r="VND103" s="29"/>
      <c r="VNE103" s="29"/>
      <c r="VNF103" s="29"/>
      <c r="VNG103" s="29"/>
      <c r="VNH103" s="29"/>
      <c r="VNI103" s="29"/>
      <c r="VNJ103" s="29"/>
      <c r="VNK103" s="29"/>
      <c r="VNL103" s="29"/>
      <c r="VNM103" s="29"/>
      <c r="VNN103" s="29"/>
      <c r="VNO103" s="29"/>
      <c r="VNP103" s="29"/>
      <c r="VNQ103" s="29"/>
      <c r="VNR103" s="29"/>
      <c r="VNS103" s="29"/>
      <c r="VNT103" s="29"/>
      <c r="VNU103" s="29"/>
      <c r="VNV103" s="29"/>
      <c r="VNW103" s="29"/>
      <c r="VNX103" s="29"/>
      <c r="VNY103" s="29"/>
      <c r="VNZ103" s="29"/>
      <c r="VOA103" s="29"/>
      <c r="VOB103" s="29"/>
      <c r="VOC103" s="29"/>
      <c r="VOD103" s="29"/>
      <c r="VOE103" s="29"/>
      <c r="VOF103" s="29"/>
      <c r="VOG103" s="29"/>
      <c r="VOH103" s="29"/>
      <c r="VOI103" s="29"/>
      <c r="VOJ103" s="29"/>
      <c r="VOK103" s="29"/>
      <c r="VOL103" s="29"/>
      <c r="VOM103" s="29"/>
      <c r="VON103" s="29"/>
      <c r="VOO103" s="29"/>
      <c r="VOP103" s="29"/>
      <c r="VOQ103" s="29"/>
      <c r="VOR103" s="29"/>
      <c r="VOS103" s="29"/>
      <c r="VOT103" s="29"/>
      <c r="VOU103" s="29"/>
      <c r="VOV103" s="29"/>
      <c r="VOW103" s="29"/>
      <c r="VOX103" s="29"/>
      <c r="VOY103" s="29"/>
      <c r="VOZ103" s="29"/>
      <c r="VPA103" s="29"/>
      <c r="VPB103" s="29"/>
      <c r="VPC103" s="29"/>
      <c r="VPD103" s="29"/>
      <c r="VPE103" s="29"/>
      <c r="VPF103" s="29"/>
      <c r="VPG103" s="29"/>
      <c r="VPH103" s="29"/>
      <c r="VPI103" s="29"/>
      <c r="VPJ103" s="29"/>
      <c r="VPK103" s="29"/>
      <c r="VPL103" s="29"/>
      <c r="VPM103" s="29"/>
      <c r="VPN103" s="29"/>
      <c r="VPO103" s="29"/>
      <c r="VPP103" s="29"/>
      <c r="VPQ103" s="29"/>
      <c r="VPR103" s="29"/>
      <c r="VPS103" s="29"/>
      <c r="VPT103" s="29"/>
      <c r="VPU103" s="29"/>
      <c r="VPV103" s="29"/>
      <c r="VPW103" s="29"/>
      <c r="VPX103" s="29"/>
      <c r="VPY103" s="29"/>
      <c r="VPZ103" s="29"/>
      <c r="VQA103" s="29"/>
      <c r="VQB103" s="29"/>
      <c r="VQC103" s="29"/>
      <c r="VQD103" s="29"/>
      <c r="VQE103" s="29"/>
      <c r="VQF103" s="29"/>
      <c r="VQG103" s="29"/>
      <c r="VQH103" s="29"/>
      <c r="VQI103" s="29"/>
      <c r="VQJ103" s="29"/>
      <c r="VQK103" s="29"/>
      <c r="VQL103" s="29"/>
      <c r="VQM103" s="29"/>
      <c r="VQN103" s="29"/>
      <c r="VQO103" s="29"/>
      <c r="VQP103" s="29"/>
      <c r="VQQ103" s="29"/>
      <c r="VQR103" s="29"/>
      <c r="VQS103" s="29"/>
      <c r="VQT103" s="29"/>
      <c r="VQU103" s="29"/>
      <c r="VQV103" s="29"/>
      <c r="VQW103" s="29"/>
      <c r="VQX103" s="29"/>
      <c r="VQY103" s="29"/>
      <c r="VQZ103" s="29"/>
      <c r="VRA103" s="29"/>
      <c r="VRB103" s="29"/>
      <c r="VRC103" s="29"/>
      <c r="VRD103" s="29"/>
      <c r="VRE103" s="29"/>
      <c r="VRF103" s="29"/>
      <c r="VRG103" s="29"/>
      <c r="VRH103" s="29"/>
      <c r="VRI103" s="29"/>
      <c r="VRJ103" s="29"/>
      <c r="VRK103" s="29"/>
      <c r="VRL103" s="29"/>
      <c r="VRM103" s="29"/>
      <c r="VRN103" s="29"/>
      <c r="VRO103" s="29"/>
      <c r="VRP103" s="29"/>
      <c r="VRQ103" s="29"/>
      <c r="VRR103" s="29"/>
      <c r="VRS103" s="29"/>
      <c r="VRT103" s="29"/>
      <c r="VRU103" s="29"/>
      <c r="VRV103" s="29"/>
      <c r="VRW103" s="29"/>
      <c r="VRX103" s="29"/>
      <c r="VRY103" s="29"/>
      <c r="VRZ103" s="29"/>
      <c r="VSA103" s="29"/>
      <c r="VSB103" s="29"/>
      <c r="VSC103" s="29"/>
      <c r="VSD103" s="29"/>
      <c r="VSE103" s="29"/>
      <c r="VSF103" s="29"/>
      <c r="VSG103" s="29"/>
      <c r="VSH103" s="29"/>
      <c r="VSI103" s="29"/>
      <c r="VSJ103" s="29"/>
      <c r="VSK103" s="29"/>
      <c r="VSL103" s="29"/>
      <c r="VSM103" s="29"/>
      <c r="VSN103" s="29"/>
      <c r="VSO103" s="29"/>
      <c r="VSP103" s="29"/>
      <c r="VSQ103" s="29"/>
      <c r="VSR103" s="29"/>
      <c r="VSS103" s="29"/>
      <c r="VST103" s="29"/>
      <c r="VSU103" s="29"/>
      <c r="VSV103" s="29"/>
      <c r="VSW103" s="29"/>
      <c r="VSX103" s="29"/>
      <c r="VSY103" s="29"/>
      <c r="VSZ103" s="29"/>
      <c r="VTA103" s="29"/>
      <c r="VTB103" s="29"/>
      <c r="VTC103" s="29"/>
      <c r="VTD103" s="29"/>
      <c r="VTE103" s="29"/>
      <c r="VTF103" s="29"/>
      <c r="VTG103" s="29"/>
      <c r="VTH103" s="29"/>
      <c r="VTI103" s="29"/>
      <c r="VTJ103" s="29"/>
      <c r="VTK103" s="29"/>
      <c r="VTL103" s="29"/>
      <c r="VTM103" s="29"/>
      <c r="VTN103" s="29"/>
      <c r="VTO103" s="29"/>
      <c r="VTP103" s="29"/>
      <c r="VTQ103" s="29"/>
      <c r="VTR103" s="29"/>
      <c r="VTS103" s="29"/>
      <c r="VTT103" s="29"/>
      <c r="VTU103" s="29"/>
      <c r="VTV103" s="29"/>
      <c r="VTW103" s="29"/>
      <c r="VTX103" s="29"/>
      <c r="VTY103" s="29"/>
      <c r="VTZ103" s="29"/>
      <c r="VUA103" s="29"/>
      <c r="VUB103" s="29"/>
      <c r="VUC103" s="29"/>
      <c r="VUD103" s="29"/>
      <c r="VUE103" s="29"/>
      <c r="VUF103" s="29"/>
      <c r="VUG103" s="29"/>
      <c r="VUH103" s="29"/>
      <c r="VUI103" s="29"/>
      <c r="VUJ103" s="29"/>
      <c r="VUK103" s="29"/>
      <c r="VUL103" s="29"/>
      <c r="VUM103" s="29"/>
      <c r="VUN103" s="29"/>
      <c r="VUO103" s="29"/>
      <c r="VUP103" s="29"/>
      <c r="VUQ103" s="29"/>
      <c r="VUR103" s="29"/>
      <c r="VUS103" s="29"/>
      <c r="VUT103" s="29"/>
      <c r="VUU103" s="29"/>
      <c r="VUV103" s="29"/>
      <c r="VUW103" s="29"/>
      <c r="VUX103" s="29"/>
      <c r="VUY103" s="29"/>
      <c r="VUZ103" s="29"/>
      <c r="VVA103" s="29"/>
      <c r="VVB103" s="29"/>
      <c r="VVC103" s="29"/>
      <c r="VVD103" s="29"/>
      <c r="VVE103" s="29"/>
      <c r="VVF103" s="29"/>
      <c r="VVG103" s="29"/>
      <c r="VVH103" s="29"/>
      <c r="VVI103" s="29"/>
      <c r="VVJ103" s="29"/>
      <c r="VVK103" s="29"/>
      <c r="VVL103" s="29"/>
      <c r="VVM103" s="29"/>
      <c r="VVN103" s="29"/>
      <c r="VVO103" s="29"/>
      <c r="VVP103" s="29"/>
      <c r="VVQ103" s="29"/>
      <c r="VVR103" s="29"/>
      <c r="VVS103" s="29"/>
      <c r="VVT103" s="29"/>
      <c r="VVU103" s="29"/>
      <c r="VVV103" s="29"/>
      <c r="VVW103" s="29"/>
      <c r="VVX103" s="29"/>
      <c r="VVY103" s="29"/>
      <c r="VVZ103" s="29"/>
      <c r="VWA103" s="29"/>
      <c r="VWB103" s="29"/>
      <c r="VWC103" s="29"/>
      <c r="VWD103" s="29"/>
      <c r="VWE103" s="29"/>
      <c r="VWF103" s="29"/>
      <c r="VWG103" s="29"/>
      <c r="VWH103" s="29"/>
      <c r="VWI103" s="29"/>
      <c r="VWJ103" s="29"/>
      <c r="VWK103" s="29"/>
      <c r="VWL103" s="29"/>
      <c r="VWM103" s="29"/>
      <c r="VWN103" s="29"/>
      <c r="VWO103" s="29"/>
      <c r="VWP103" s="29"/>
      <c r="VWQ103" s="29"/>
      <c r="VWR103" s="29"/>
      <c r="VWS103" s="29"/>
      <c r="VWT103" s="29"/>
      <c r="VWU103" s="29"/>
      <c r="VWV103" s="29"/>
      <c r="VWW103" s="29"/>
      <c r="VWX103" s="29"/>
      <c r="VWY103" s="29"/>
      <c r="VWZ103" s="29"/>
      <c r="VXA103" s="29"/>
      <c r="VXB103" s="29"/>
      <c r="VXC103" s="29"/>
      <c r="VXD103" s="29"/>
      <c r="VXE103" s="29"/>
      <c r="VXF103" s="29"/>
      <c r="VXG103" s="29"/>
      <c r="VXH103" s="29"/>
      <c r="VXI103" s="29"/>
      <c r="VXJ103" s="29"/>
      <c r="VXK103" s="29"/>
      <c r="VXL103" s="29"/>
      <c r="VXM103" s="29"/>
      <c r="VXN103" s="29"/>
      <c r="VXO103" s="29"/>
      <c r="VXP103" s="29"/>
      <c r="VXQ103" s="29"/>
      <c r="VXR103" s="29"/>
      <c r="VXS103" s="29"/>
      <c r="VXT103" s="29"/>
      <c r="VXU103" s="29"/>
      <c r="VXV103" s="29"/>
      <c r="VXW103" s="29"/>
      <c r="VXX103" s="29"/>
      <c r="VXY103" s="29"/>
      <c r="VXZ103" s="29"/>
      <c r="VYA103" s="29"/>
      <c r="VYB103" s="29"/>
      <c r="VYC103" s="29"/>
      <c r="VYD103" s="29"/>
      <c r="VYE103" s="29"/>
      <c r="VYF103" s="29"/>
      <c r="VYG103" s="29"/>
      <c r="VYH103" s="29"/>
      <c r="VYI103" s="29"/>
      <c r="VYJ103" s="29"/>
      <c r="VYK103" s="29"/>
      <c r="VYL103" s="29"/>
      <c r="VYM103" s="29"/>
      <c r="VYN103" s="29"/>
      <c r="VYO103" s="29"/>
      <c r="VYP103" s="29"/>
      <c r="VYQ103" s="29"/>
      <c r="VYR103" s="29"/>
      <c r="VYS103" s="29"/>
      <c r="VYT103" s="29"/>
      <c r="VYU103" s="29"/>
      <c r="VYV103" s="29"/>
      <c r="VYW103" s="29"/>
      <c r="VYX103" s="29"/>
      <c r="VYY103" s="29"/>
      <c r="VYZ103" s="29"/>
      <c r="VZA103" s="29"/>
      <c r="VZB103" s="29"/>
      <c r="VZC103" s="29"/>
      <c r="VZD103" s="29"/>
      <c r="VZE103" s="29"/>
      <c r="VZF103" s="29"/>
      <c r="VZG103" s="29"/>
      <c r="VZH103" s="29"/>
      <c r="VZI103" s="29"/>
      <c r="VZJ103" s="29"/>
      <c r="VZK103" s="29"/>
      <c r="VZL103" s="29"/>
      <c r="VZM103" s="29"/>
      <c r="VZN103" s="29"/>
      <c r="VZO103" s="29"/>
      <c r="VZP103" s="29"/>
      <c r="VZQ103" s="29"/>
      <c r="VZR103" s="29"/>
      <c r="VZS103" s="29"/>
      <c r="VZT103" s="29"/>
      <c r="VZU103" s="29"/>
      <c r="VZV103" s="29"/>
      <c r="VZW103" s="29"/>
      <c r="VZX103" s="29"/>
      <c r="VZY103" s="29"/>
      <c r="VZZ103" s="29"/>
      <c r="WAA103" s="29"/>
      <c r="WAB103" s="29"/>
      <c r="WAC103" s="29"/>
      <c r="WAD103" s="29"/>
      <c r="WAE103" s="29"/>
      <c r="WAF103" s="29"/>
      <c r="WAG103" s="29"/>
      <c r="WAH103" s="29"/>
      <c r="WAI103" s="29"/>
      <c r="WAJ103" s="29"/>
      <c r="WAK103" s="29"/>
      <c r="WAL103" s="29"/>
      <c r="WAM103" s="29"/>
      <c r="WAN103" s="29"/>
      <c r="WAO103" s="29"/>
      <c r="WAP103" s="29"/>
      <c r="WAQ103" s="29"/>
      <c r="WAR103" s="29"/>
      <c r="WAS103" s="29"/>
      <c r="WAT103" s="29"/>
      <c r="WAU103" s="29"/>
      <c r="WAV103" s="29"/>
      <c r="WAW103" s="29"/>
      <c r="WAX103" s="29"/>
      <c r="WAY103" s="29"/>
      <c r="WAZ103" s="29"/>
      <c r="WBA103" s="29"/>
      <c r="WBB103" s="29"/>
      <c r="WBC103" s="29"/>
      <c r="WBD103" s="29"/>
      <c r="WBE103" s="29"/>
      <c r="WBF103" s="29"/>
      <c r="WBG103" s="29"/>
      <c r="WBH103" s="29"/>
      <c r="WBI103" s="29"/>
      <c r="WBJ103" s="29"/>
      <c r="WBK103" s="29"/>
      <c r="WBL103" s="29"/>
      <c r="WBM103" s="29"/>
      <c r="WBN103" s="29"/>
      <c r="WBO103" s="29"/>
      <c r="WBP103" s="29"/>
      <c r="WBQ103" s="29"/>
      <c r="WBR103" s="29"/>
      <c r="WBS103" s="29"/>
      <c r="WBT103" s="29"/>
      <c r="WBU103" s="29"/>
      <c r="WBV103" s="29"/>
      <c r="WBW103" s="29"/>
      <c r="WBX103" s="29"/>
      <c r="WBY103" s="29"/>
      <c r="WBZ103" s="29"/>
      <c r="WCA103" s="29"/>
      <c r="WCB103" s="29"/>
      <c r="WCC103" s="29"/>
      <c r="WCD103" s="29"/>
      <c r="WCE103" s="29"/>
      <c r="WCF103" s="29"/>
      <c r="WCG103" s="29"/>
      <c r="WCH103" s="29"/>
      <c r="WCI103" s="29"/>
      <c r="WCJ103" s="29"/>
      <c r="WCK103" s="29"/>
      <c r="WCL103" s="29"/>
      <c r="WCM103" s="29"/>
      <c r="WCN103" s="29"/>
      <c r="WCO103" s="29"/>
      <c r="WCP103" s="29"/>
      <c r="WCQ103" s="29"/>
      <c r="WCR103" s="29"/>
      <c r="WCS103" s="29"/>
      <c r="WCT103" s="29"/>
      <c r="WCU103" s="29"/>
      <c r="WCV103" s="29"/>
      <c r="WCW103" s="29"/>
      <c r="WCX103" s="29"/>
      <c r="WCY103" s="29"/>
      <c r="WCZ103" s="29"/>
      <c r="WDA103" s="29"/>
      <c r="WDB103" s="29"/>
      <c r="WDC103" s="29"/>
      <c r="WDD103" s="29"/>
      <c r="WDE103" s="29"/>
      <c r="WDF103" s="29"/>
      <c r="WDG103" s="29"/>
      <c r="WDH103" s="29"/>
      <c r="WDI103" s="29"/>
      <c r="WDJ103" s="29"/>
      <c r="WDK103" s="29"/>
      <c r="WDL103" s="29"/>
      <c r="WDM103" s="29"/>
      <c r="WDN103" s="29"/>
      <c r="WDO103" s="29"/>
      <c r="WDP103" s="29"/>
      <c r="WDQ103" s="29"/>
      <c r="WDR103" s="29"/>
      <c r="WDS103" s="29"/>
      <c r="WDT103" s="29"/>
      <c r="WDU103" s="29"/>
      <c r="WDV103" s="29"/>
      <c r="WDW103" s="29"/>
      <c r="WDX103" s="29"/>
      <c r="WDY103" s="29"/>
      <c r="WDZ103" s="29"/>
      <c r="WEA103" s="29"/>
      <c r="WEB103" s="29"/>
      <c r="WEC103" s="29"/>
      <c r="WED103" s="29"/>
      <c r="WEE103" s="29"/>
      <c r="WEF103" s="29"/>
      <c r="WEG103" s="29"/>
      <c r="WEH103" s="29"/>
      <c r="WEI103" s="29"/>
      <c r="WEJ103" s="29"/>
      <c r="WEK103" s="29"/>
      <c r="WEL103" s="29"/>
      <c r="WEM103" s="29"/>
      <c r="WEN103" s="29"/>
      <c r="WEO103" s="29"/>
      <c r="WEP103" s="29"/>
      <c r="WEQ103" s="29"/>
      <c r="WER103" s="29"/>
      <c r="WES103" s="29"/>
      <c r="WET103" s="29"/>
      <c r="WEU103" s="29"/>
      <c r="WEV103" s="29"/>
      <c r="WEW103" s="29"/>
      <c r="WEX103" s="29"/>
      <c r="WEY103" s="29"/>
      <c r="WEZ103" s="29"/>
      <c r="WFA103" s="29"/>
      <c r="WFB103" s="29"/>
      <c r="WFC103" s="29"/>
      <c r="WFD103" s="29"/>
      <c r="WFE103" s="29"/>
      <c r="WFF103" s="29"/>
      <c r="WFG103" s="29"/>
      <c r="WFH103" s="29"/>
      <c r="WFI103" s="29"/>
      <c r="WFJ103" s="29"/>
      <c r="WFK103" s="29"/>
      <c r="WFL103" s="29"/>
      <c r="WFM103" s="29"/>
      <c r="WFN103" s="29"/>
      <c r="WFO103" s="29"/>
      <c r="WFP103" s="29"/>
      <c r="WFQ103" s="29"/>
      <c r="WFR103" s="29"/>
      <c r="WFS103" s="29"/>
      <c r="WFT103" s="29"/>
      <c r="WFU103" s="29"/>
      <c r="WFV103" s="29"/>
      <c r="WFW103" s="29"/>
      <c r="WFX103" s="29"/>
      <c r="WFY103" s="29"/>
      <c r="WFZ103" s="29"/>
      <c r="WGA103" s="29"/>
      <c r="WGB103" s="29"/>
      <c r="WGC103" s="29"/>
      <c r="WGD103" s="29"/>
      <c r="WGE103" s="29"/>
      <c r="WGF103" s="29"/>
      <c r="WGG103" s="29"/>
      <c r="WGH103" s="29"/>
      <c r="WGI103" s="29"/>
      <c r="WGJ103" s="29"/>
      <c r="WGK103" s="29"/>
      <c r="WGL103" s="29"/>
      <c r="WGM103" s="29"/>
      <c r="WGN103" s="29"/>
      <c r="WGO103" s="29"/>
      <c r="WGP103" s="29"/>
      <c r="WGQ103" s="29"/>
      <c r="WGR103" s="29"/>
      <c r="WGS103" s="29"/>
      <c r="WGT103" s="29"/>
      <c r="WGU103" s="29"/>
      <c r="WGV103" s="29"/>
      <c r="WGW103" s="29"/>
      <c r="WGX103" s="29"/>
      <c r="WGY103" s="29"/>
      <c r="WGZ103" s="29"/>
      <c r="WHA103" s="29"/>
      <c r="WHB103" s="29"/>
      <c r="WHC103" s="29"/>
      <c r="WHD103" s="29"/>
      <c r="WHE103" s="29"/>
      <c r="WHF103" s="29"/>
      <c r="WHG103" s="29"/>
      <c r="WHH103" s="29"/>
      <c r="WHI103" s="29"/>
      <c r="WHJ103" s="29"/>
      <c r="WHK103" s="29"/>
      <c r="WHL103" s="29"/>
      <c r="WHM103" s="29"/>
      <c r="WHN103" s="29"/>
      <c r="WHO103" s="29"/>
      <c r="WHP103" s="29"/>
      <c r="WHQ103" s="29"/>
      <c r="WHR103" s="29"/>
      <c r="WHS103" s="29"/>
      <c r="WHT103" s="29"/>
      <c r="WHU103" s="29"/>
      <c r="WHV103" s="29"/>
      <c r="WHW103" s="29"/>
      <c r="WHX103" s="29"/>
      <c r="WHY103" s="29"/>
      <c r="WHZ103" s="29"/>
      <c r="WIA103" s="29"/>
      <c r="WIB103" s="29"/>
      <c r="WIC103" s="29"/>
      <c r="WID103" s="29"/>
      <c r="WIE103" s="29"/>
      <c r="WIF103" s="29"/>
      <c r="WIG103" s="29"/>
      <c r="WIH103" s="29"/>
      <c r="WII103" s="29"/>
      <c r="WIJ103" s="29"/>
      <c r="WIK103" s="29"/>
      <c r="WIL103" s="29"/>
      <c r="WIM103" s="29"/>
      <c r="WIN103" s="29"/>
      <c r="WIO103" s="29"/>
      <c r="WIP103" s="29"/>
      <c r="WIQ103" s="29"/>
      <c r="WIR103" s="29"/>
      <c r="WIS103" s="29"/>
      <c r="WIT103" s="29"/>
      <c r="WIU103" s="29"/>
      <c r="WIV103" s="29"/>
      <c r="WIW103" s="29"/>
      <c r="WIX103" s="29"/>
      <c r="WIY103" s="29"/>
      <c r="WIZ103" s="29"/>
      <c r="WJA103" s="29"/>
      <c r="WJB103" s="29"/>
      <c r="WJC103" s="29"/>
      <c r="WJD103" s="29"/>
      <c r="WJE103" s="29"/>
      <c r="WJF103" s="29"/>
      <c r="WJG103" s="29"/>
      <c r="WJH103" s="29"/>
      <c r="WJI103" s="29"/>
      <c r="WJJ103" s="29"/>
      <c r="WJK103" s="29"/>
      <c r="WJL103" s="29"/>
      <c r="WJM103" s="29"/>
      <c r="WJN103" s="29"/>
      <c r="WJO103" s="29"/>
      <c r="WJP103" s="29"/>
      <c r="WJQ103" s="29"/>
      <c r="WJR103" s="29"/>
      <c r="WJS103" s="29"/>
      <c r="WJT103" s="29"/>
      <c r="WJU103" s="29"/>
      <c r="WJV103" s="29"/>
      <c r="WJW103" s="29"/>
      <c r="WJX103" s="29"/>
      <c r="WJY103" s="29"/>
      <c r="WJZ103" s="29"/>
      <c r="WKA103" s="29"/>
      <c r="WKB103" s="29"/>
      <c r="WKC103" s="29"/>
      <c r="WKD103" s="29"/>
      <c r="WKE103" s="29"/>
      <c r="WKF103" s="29"/>
      <c r="WKG103" s="29"/>
      <c r="WKH103" s="29"/>
      <c r="WKI103" s="29"/>
      <c r="WKJ103" s="29"/>
      <c r="WKK103" s="29"/>
      <c r="WKL103" s="29"/>
      <c r="WKM103" s="29"/>
      <c r="WKN103" s="29"/>
      <c r="WKO103" s="29"/>
      <c r="WKP103" s="29"/>
      <c r="WKQ103" s="29"/>
      <c r="WKR103" s="29"/>
      <c r="WKS103" s="29"/>
      <c r="WKT103" s="29"/>
      <c r="WKU103" s="29"/>
      <c r="WKV103" s="29"/>
      <c r="WKW103" s="29"/>
      <c r="WKX103" s="29"/>
      <c r="WKY103" s="29"/>
      <c r="WKZ103" s="29"/>
      <c r="WLA103" s="29"/>
      <c r="WLB103" s="29"/>
      <c r="WLC103" s="29"/>
      <c r="WLD103" s="29"/>
      <c r="WLE103" s="29"/>
      <c r="WLF103" s="29"/>
      <c r="WLG103" s="29"/>
      <c r="WLH103" s="29"/>
      <c r="WLI103" s="29"/>
      <c r="WLJ103" s="29"/>
      <c r="WLK103" s="29"/>
      <c r="WLL103" s="29"/>
      <c r="WLM103" s="29"/>
      <c r="WLN103" s="29"/>
      <c r="WLO103" s="29"/>
      <c r="WLP103" s="29"/>
      <c r="WLQ103" s="29"/>
      <c r="WLR103" s="29"/>
      <c r="WLS103" s="29"/>
      <c r="WLT103" s="29"/>
      <c r="WLU103" s="29"/>
      <c r="WLV103" s="29"/>
      <c r="WLW103" s="29"/>
      <c r="WLX103" s="29"/>
      <c r="WLY103" s="29"/>
      <c r="WLZ103" s="29"/>
      <c r="WMA103" s="29"/>
      <c r="WMB103" s="29"/>
      <c r="WMC103" s="29"/>
      <c r="WMD103" s="29"/>
      <c r="WME103" s="29"/>
      <c r="WMF103" s="29"/>
      <c r="WMG103" s="29"/>
      <c r="WMH103" s="29"/>
      <c r="WMI103" s="29"/>
      <c r="WMJ103" s="29"/>
      <c r="WMK103" s="29"/>
      <c r="WML103" s="29"/>
      <c r="WMM103" s="29"/>
      <c r="WMN103" s="29"/>
      <c r="WMO103" s="29"/>
      <c r="WMP103" s="29"/>
      <c r="WMQ103" s="29"/>
      <c r="WMR103" s="29"/>
      <c r="WMS103" s="29"/>
      <c r="WMT103" s="29"/>
      <c r="WMU103" s="29"/>
      <c r="WMV103" s="29"/>
      <c r="WMW103" s="29"/>
      <c r="WMX103" s="29"/>
      <c r="WMY103" s="29"/>
      <c r="WMZ103" s="29"/>
      <c r="WNA103" s="29"/>
      <c r="WNB103" s="29"/>
      <c r="WNC103" s="29"/>
      <c r="WND103" s="29"/>
      <c r="WNE103" s="29"/>
      <c r="WNF103" s="29"/>
      <c r="WNG103" s="29"/>
      <c r="WNH103" s="29"/>
      <c r="WNI103" s="29"/>
      <c r="WNJ103" s="29"/>
      <c r="WNK103" s="29"/>
      <c r="WNL103" s="29"/>
      <c r="WNM103" s="29"/>
      <c r="WNN103" s="29"/>
      <c r="WNO103" s="29"/>
      <c r="WNP103" s="29"/>
      <c r="WNQ103" s="29"/>
      <c r="WNR103" s="29"/>
      <c r="WNS103" s="29"/>
      <c r="WNT103" s="29"/>
      <c r="WNU103" s="29"/>
      <c r="WNV103" s="29"/>
      <c r="WNW103" s="29"/>
      <c r="WNX103" s="29"/>
      <c r="WNY103" s="29"/>
      <c r="WNZ103" s="29"/>
      <c r="WOA103" s="29"/>
      <c r="WOB103" s="29"/>
      <c r="WOC103" s="29"/>
      <c r="WOD103" s="29"/>
      <c r="WOE103" s="29"/>
      <c r="WOF103" s="29"/>
      <c r="WOG103" s="29"/>
      <c r="WOH103" s="29"/>
      <c r="WOI103" s="29"/>
      <c r="WOJ103" s="29"/>
      <c r="WOK103" s="29"/>
      <c r="WOL103" s="29"/>
      <c r="WOM103" s="29"/>
      <c r="WON103" s="29"/>
      <c r="WOO103" s="29"/>
      <c r="WOP103" s="29"/>
      <c r="WOQ103" s="29"/>
      <c r="WOR103" s="29"/>
      <c r="WOS103" s="29"/>
      <c r="WOT103" s="29"/>
      <c r="WOU103" s="29"/>
      <c r="WOV103" s="29"/>
      <c r="WOW103" s="29"/>
      <c r="WOX103" s="29"/>
      <c r="WOY103" s="29"/>
      <c r="WOZ103" s="29"/>
      <c r="WPA103" s="29"/>
      <c r="WPB103" s="29"/>
      <c r="WPC103" s="29"/>
      <c r="WPD103" s="29"/>
      <c r="WPE103" s="29"/>
      <c r="WPF103" s="29"/>
      <c r="WPG103" s="29"/>
      <c r="WPH103" s="29"/>
      <c r="WPI103" s="29"/>
      <c r="WPJ103" s="29"/>
      <c r="WPK103" s="29"/>
      <c r="WPL103" s="29"/>
      <c r="WPM103" s="29"/>
      <c r="WPN103" s="29"/>
      <c r="WPO103" s="29"/>
      <c r="WPP103" s="29"/>
      <c r="WPQ103" s="29"/>
      <c r="WPR103" s="29"/>
      <c r="WPS103" s="29"/>
      <c r="WPT103" s="29"/>
      <c r="WPU103" s="29"/>
      <c r="WPV103" s="29"/>
      <c r="WPW103" s="29"/>
      <c r="WPX103" s="29"/>
      <c r="WPY103" s="29"/>
      <c r="WPZ103" s="29"/>
      <c r="WQA103" s="29"/>
      <c r="WQB103" s="29"/>
      <c r="WQC103" s="29"/>
      <c r="WQD103" s="29"/>
      <c r="WQE103" s="29"/>
      <c r="WQF103" s="29"/>
      <c r="WQG103" s="29"/>
      <c r="WQH103" s="29"/>
      <c r="WQI103" s="29"/>
      <c r="WQJ103" s="29"/>
      <c r="WQK103" s="29"/>
      <c r="WQL103" s="29"/>
      <c r="WQM103" s="29"/>
      <c r="WQN103" s="29"/>
      <c r="WQO103" s="29"/>
      <c r="WQP103" s="29"/>
      <c r="WQQ103" s="29"/>
      <c r="WQR103" s="29"/>
      <c r="WQS103" s="29"/>
      <c r="WQT103" s="29"/>
      <c r="WQU103" s="29"/>
      <c r="WQV103" s="29"/>
      <c r="WQW103" s="29"/>
      <c r="WQX103" s="29"/>
      <c r="WQY103" s="29"/>
      <c r="WQZ103" s="29"/>
      <c r="WRA103" s="29"/>
      <c r="WRB103" s="29"/>
      <c r="WRC103" s="29"/>
      <c r="WRD103" s="29"/>
      <c r="WRE103" s="29"/>
      <c r="WRF103" s="29"/>
      <c r="WRG103" s="29"/>
      <c r="WRH103" s="29"/>
      <c r="WRI103" s="29"/>
      <c r="WRJ103" s="29"/>
      <c r="WRK103" s="29"/>
      <c r="WRL103" s="29"/>
      <c r="WRM103" s="29"/>
      <c r="WRN103" s="29"/>
      <c r="WRO103" s="29"/>
      <c r="WRP103" s="29"/>
      <c r="WRQ103" s="29"/>
      <c r="WRR103" s="29"/>
      <c r="WRS103" s="29"/>
      <c r="WRT103" s="29"/>
      <c r="WRU103" s="29"/>
      <c r="WRV103" s="29"/>
      <c r="WRW103" s="29"/>
      <c r="WRX103" s="29"/>
      <c r="WRY103" s="29"/>
      <c r="WRZ103" s="29"/>
      <c r="WSA103" s="29"/>
      <c r="WSB103" s="29"/>
      <c r="WSC103" s="29"/>
      <c r="WSD103" s="29"/>
      <c r="WSE103" s="29"/>
      <c r="WSF103" s="29"/>
      <c r="WSG103" s="29"/>
      <c r="WSH103" s="29"/>
      <c r="WSI103" s="29"/>
      <c r="WSJ103" s="29"/>
      <c r="WSK103" s="29"/>
      <c r="WSL103" s="29"/>
      <c r="WSM103" s="29"/>
      <c r="WSN103" s="29"/>
      <c r="WSO103" s="29"/>
      <c r="WSP103" s="29"/>
      <c r="WSQ103" s="29"/>
      <c r="WSR103" s="29"/>
      <c r="WSS103" s="29"/>
      <c r="WST103" s="29"/>
      <c r="WSU103" s="29"/>
      <c r="WSV103" s="29"/>
      <c r="WSW103" s="29"/>
      <c r="WSX103" s="29"/>
      <c r="WSY103" s="29"/>
      <c r="WSZ103" s="29"/>
      <c r="WTA103" s="29"/>
      <c r="WTB103" s="29"/>
      <c r="WTC103" s="29"/>
      <c r="WTD103" s="29"/>
      <c r="WTE103" s="29"/>
      <c r="WTF103" s="29"/>
      <c r="WTG103" s="29"/>
      <c r="WTH103" s="29"/>
      <c r="WTI103" s="29"/>
      <c r="WTJ103" s="29"/>
      <c r="WTK103" s="29"/>
      <c r="WTL103" s="29"/>
      <c r="WTM103" s="29"/>
      <c r="WTN103" s="29"/>
      <c r="WTO103" s="29"/>
      <c r="WTP103" s="29"/>
      <c r="WTQ103" s="29"/>
      <c r="WTR103" s="29"/>
      <c r="WTS103" s="29"/>
      <c r="WTT103" s="29"/>
      <c r="WTU103" s="29"/>
      <c r="WTV103" s="29"/>
      <c r="WTW103" s="29"/>
      <c r="WTX103" s="29"/>
      <c r="WTY103" s="29"/>
      <c r="WTZ103" s="29"/>
      <c r="WUA103" s="29"/>
      <c r="WUB103" s="29"/>
      <c r="WUC103" s="29"/>
      <c r="WUD103" s="29"/>
      <c r="WUE103" s="29"/>
      <c r="WUF103" s="29"/>
      <c r="WUG103" s="29"/>
      <c r="WUH103" s="29"/>
      <c r="WUI103" s="29"/>
      <c r="WUJ103" s="29"/>
      <c r="WUK103" s="29"/>
      <c r="WUL103" s="29"/>
      <c r="WUM103" s="29"/>
      <c r="WUN103" s="29"/>
      <c r="WUO103" s="29"/>
      <c r="WUP103" s="29"/>
      <c r="WUQ103" s="29"/>
      <c r="WUR103" s="29"/>
      <c r="WUS103" s="29"/>
      <c r="WUT103" s="29"/>
      <c r="WUU103" s="29"/>
      <c r="WUV103" s="29"/>
      <c r="WUW103" s="29"/>
      <c r="WUX103" s="29"/>
      <c r="WUY103" s="29"/>
      <c r="WUZ103" s="29"/>
      <c r="WVA103" s="29"/>
      <c r="WVB103" s="29"/>
      <c r="WVC103" s="29"/>
      <c r="WVD103" s="29"/>
      <c r="WVE103" s="29"/>
      <c r="WVF103" s="29"/>
      <c r="WVG103" s="29"/>
      <c r="WVH103" s="29"/>
      <c r="WVI103" s="29"/>
      <c r="WVJ103" s="29"/>
      <c r="WVK103" s="29"/>
      <c r="WVL103" s="29"/>
      <c r="WVM103" s="29"/>
      <c r="WVN103" s="29"/>
      <c r="WVO103" s="29"/>
      <c r="WVP103" s="29"/>
      <c r="WVQ103" s="29"/>
      <c r="WVR103" s="29"/>
      <c r="WVS103" s="29"/>
      <c r="WVT103" s="29"/>
      <c r="WVU103" s="29"/>
      <c r="WVV103" s="29"/>
      <c r="WVW103" s="29"/>
      <c r="WVX103" s="29"/>
      <c r="WVY103" s="29"/>
      <c r="WVZ103" s="29"/>
      <c r="WWA103" s="29"/>
      <c r="WWB103" s="29"/>
      <c r="WWC103" s="29"/>
      <c r="WWD103" s="29"/>
      <c r="WWE103" s="29"/>
      <c r="WWF103" s="29"/>
      <c r="WWG103" s="29"/>
      <c r="WWH103" s="29"/>
      <c r="WWI103" s="29"/>
      <c r="WWJ103" s="29"/>
      <c r="WWK103" s="29"/>
      <c r="WWL103" s="29"/>
      <c r="WWM103" s="29"/>
      <c r="WWN103" s="29"/>
      <c r="WWO103" s="29"/>
      <c r="WWP103" s="29"/>
      <c r="WWQ103" s="29"/>
      <c r="WWR103" s="29"/>
      <c r="WWS103" s="29"/>
      <c r="WWT103" s="29"/>
      <c r="WWU103" s="29"/>
      <c r="WWV103" s="29"/>
      <c r="WWW103" s="29"/>
      <c r="WWX103" s="29"/>
      <c r="WWY103" s="29"/>
      <c r="WWZ103" s="29"/>
      <c r="WXA103" s="29"/>
      <c r="WXB103" s="29"/>
      <c r="WXC103" s="29"/>
      <c r="WXD103" s="29"/>
      <c r="WXE103" s="29"/>
      <c r="WXF103" s="29"/>
      <c r="WXG103" s="29"/>
      <c r="WXH103" s="29"/>
      <c r="WXI103" s="29"/>
      <c r="WXJ103" s="29"/>
      <c r="WXK103" s="29"/>
      <c r="WXL103" s="29"/>
      <c r="WXM103" s="29"/>
      <c r="WXN103" s="29"/>
      <c r="WXO103" s="29"/>
      <c r="WXP103" s="29"/>
      <c r="WXQ103" s="29"/>
      <c r="WXR103" s="29"/>
      <c r="WXS103" s="29"/>
      <c r="WXT103" s="29"/>
      <c r="WXU103" s="29"/>
      <c r="WXV103" s="29"/>
      <c r="WXW103" s="29"/>
      <c r="WXX103" s="29"/>
      <c r="WXY103" s="29"/>
      <c r="WXZ103" s="29"/>
      <c r="WYA103" s="29"/>
      <c r="WYB103" s="29"/>
      <c r="WYC103" s="29"/>
      <c r="WYD103" s="29"/>
      <c r="WYE103" s="29"/>
      <c r="WYF103" s="29"/>
      <c r="WYG103" s="29"/>
      <c r="WYH103" s="29"/>
      <c r="WYI103" s="29"/>
      <c r="WYJ103" s="29"/>
      <c r="WYK103" s="29"/>
      <c r="WYL103" s="29"/>
      <c r="WYM103" s="29"/>
      <c r="WYN103" s="29"/>
      <c r="WYO103" s="29"/>
      <c r="WYP103" s="29"/>
      <c r="WYQ103" s="29"/>
      <c r="WYR103" s="29"/>
      <c r="WYS103" s="29"/>
      <c r="WYT103" s="29"/>
      <c r="WYU103" s="29"/>
      <c r="WYV103" s="29"/>
      <c r="WYW103" s="29"/>
      <c r="WYX103" s="29"/>
      <c r="WYY103" s="29"/>
      <c r="WYZ103" s="29"/>
      <c r="WZA103" s="29"/>
      <c r="WZB103" s="29"/>
      <c r="WZC103" s="29"/>
      <c r="WZD103" s="29"/>
      <c r="WZE103" s="29"/>
      <c r="WZF103" s="29"/>
      <c r="WZG103" s="29"/>
      <c r="WZH103" s="29"/>
      <c r="WZI103" s="29"/>
      <c r="WZJ103" s="29"/>
      <c r="WZK103" s="29"/>
      <c r="WZL103" s="29"/>
      <c r="WZM103" s="29"/>
      <c r="WZN103" s="29"/>
      <c r="WZO103" s="29"/>
      <c r="WZP103" s="29"/>
      <c r="WZQ103" s="29"/>
      <c r="WZR103" s="29"/>
      <c r="WZS103" s="29"/>
      <c r="WZT103" s="29"/>
      <c r="WZU103" s="29"/>
      <c r="WZV103" s="29"/>
      <c r="WZW103" s="29"/>
      <c r="WZX103" s="29"/>
      <c r="WZY103" s="29"/>
      <c r="WZZ103" s="29"/>
      <c r="XAA103" s="29"/>
      <c r="XAB103" s="29"/>
      <c r="XAC103" s="29"/>
      <c r="XAD103" s="29"/>
      <c r="XAE103" s="29"/>
      <c r="XAF103" s="29"/>
      <c r="XAG103" s="29"/>
      <c r="XAH103" s="29"/>
      <c r="XAI103" s="29"/>
      <c r="XAJ103" s="29"/>
      <c r="XAK103" s="29"/>
      <c r="XAL103" s="29"/>
      <c r="XAM103" s="29"/>
      <c r="XAN103" s="29"/>
      <c r="XAO103" s="29"/>
      <c r="XAP103" s="29"/>
      <c r="XAQ103" s="29"/>
      <c r="XAR103" s="29"/>
      <c r="XAS103" s="29"/>
      <c r="XAT103" s="29"/>
      <c r="XAU103" s="29"/>
      <c r="XAV103" s="29"/>
      <c r="XAW103" s="29"/>
      <c r="XAX103" s="29"/>
      <c r="XAY103" s="29"/>
      <c r="XAZ103" s="29"/>
      <c r="XBA103" s="29"/>
      <c r="XBB103" s="29"/>
      <c r="XBC103" s="29"/>
      <c r="XBD103" s="29"/>
      <c r="XBE103" s="29"/>
      <c r="XBF103" s="29"/>
      <c r="XBG103" s="29"/>
      <c r="XBH103" s="29"/>
      <c r="XBI103" s="29"/>
      <c r="XBJ103" s="29"/>
      <c r="XBK103" s="29"/>
      <c r="XBL103" s="29"/>
      <c r="XBM103" s="29"/>
      <c r="XBN103" s="29"/>
      <c r="XBO103" s="29"/>
      <c r="XBP103" s="29"/>
      <c r="XBQ103" s="29"/>
      <c r="XBR103" s="29"/>
      <c r="XBS103" s="29"/>
      <c r="XBT103" s="29"/>
      <c r="XBU103" s="29"/>
      <c r="XBV103" s="29"/>
      <c r="XBW103" s="29"/>
      <c r="XBX103" s="29"/>
      <c r="XBY103" s="29"/>
      <c r="XBZ103" s="29"/>
      <c r="XCA103" s="29"/>
      <c r="XCB103" s="29"/>
      <c r="XCC103" s="29"/>
      <c r="XCD103" s="29"/>
      <c r="XCE103" s="29"/>
      <c r="XCF103" s="29"/>
      <c r="XCG103" s="29"/>
      <c r="XCH103" s="29"/>
      <c r="XCI103" s="29"/>
      <c r="XCJ103" s="29"/>
      <c r="XCK103" s="29"/>
      <c r="XCL103" s="29"/>
      <c r="XCM103" s="29"/>
      <c r="XCN103" s="29"/>
      <c r="XCO103" s="29"/>
      <c r="XCP103" s="29"/>
      <c r="XCQ103" s="29"/>
      <c r="XCR103" s="29"/>
      <c r="XCS103" s="29"/>
      <c r="XCT103" s="29"/>
      <c r="XCU103" s="29"/>
      <c r="XCV103" s="29"/>
      <c r="XCW103" s="29"/>
      <c r="XCX103" s="29"/>
      <c r="XCY103" s="29"/>
      <c r="XCZ103" s="29"/>
      <c r="XDA103" s="29"/>
      <c r="XDB103" s="29"/>
      <c r="XDC103" s="29"/>
      <c r="XDD103" s="29"/>
      <c r="XDE103" s="29"/>
      <c r="XDF103" s="29"/>
      <c r="XDG103" s="29"/>
      <c r="XDH103" s="29"/>
      <c r="XDI103" s="29"/>
      <c r="XDJ103" s="29"/>
      <c r="XDK103" s="29"/>
      <c r="XDL103" s="29"/>
      <c r="XDM103" s="29"/>
      <c r="XDN103" s="29"/>
      <c r="XDO103" s="29"/>
      <c r="XDP103" s="29"/>
      <c r="XDQ103" s="29"/>
      <c r="XDR103" s="29"/>
      <c r="XDS103" s="29"/>
      <c r="XDT103" s="29"/>
      <c r="XDU103" s="29"/>
      <c r="XDV103" s="29"/>
      <c r="XDW103" s="29"/>
      <c r="XDX103" s="29"/>
      <c r="XDY103" s="29"/>
      <c r="XDZ103" s="29"/>
      <c r="XEA103" s="29"/>
      <c r="XEB103" s="29"/>
      <c r="XEC103" s="29"/>
      <c r="XED103" s="29"/>
      <c r="XEE103" s="29"/>
      <c r="XEF103" s="29"/>
      <c r="XEG103" s="29"/>
      <c r="XEH103" s="29"/>
      <c r="XEI103" s="29"/>
      <c r="XEJ103" s="29"/>
      <c r="XEK103" s="29"/>
      <c r="XEL103" s="29"/>
      <c r="XEM103" s="29"/>
      <c r="XEN103" s="29"/>
      <c r="XEO103" s="29"/>
      <c r="XEP103" s="29"/>
      <c r="XEQ103" s="29"/>
      <c r="XER103" s="29"/>
      <c r="XES103" s="29"/>
      <c r="XET103" s="29"/>
      <c r="XEU103" s="29"/>
      <c r="XEV103" s="29"/>
      <c r="XEW103" s="29"/>
      <c r="XEX103" s="29"/>
      <c r="XEY103" s="29"/>
      <c r="XEZ103" s="29"/>
      <c r="XFA103" s="29"/>
      <c r="XFB103" s="29"/>
      <c r="XFC103" s="29"/>
      <c r="XFD103" s="29"/>
    </row>
    <row r="104" spans="1:16384">
      <c r="A104" s="29" t="s">
        <v>950</v>
      </c>
      <c r="B104" s="29"/>
      <c r="C104" s="29" t="s">
        <v>4</v>
      </c>
      <c r="D104" s="29">
        <v>0</v>
      </c>
      <c r="E104" s="29">
        <v>0</v>
      </c>
      <c r="F104" s="29">
        <v>8</v>
      </c>
      <c r="G104" s="29">
        <v>16</v>
      </c>
      <c r="H104" s="29">
        <v>24</v>
      </c>
      <c r="I104" s="29">
        <v>32</v>
      </c>
      <c r="J104" s="18">
        <f t="shared" ca="1" si="0"/>
        <v>0</v>
      </c>
      <c r="K104" s="18">
        <f t="shared" ca="1" si="0"/>
        <v>8</v>
      </c>
      <c r="L104" s="18">
        <f t="shared" ca="1" si="0"/>
        <v>0</v>
      </c>
      <c r="M104" s="18">
        <f t="shared" ca="1" si="0"/>
        <v>0</v>
      </c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  <c r="KO104" s="29"/>
      <c r="KP104" s="29"/>
      <c r="KQ104" s="29"/>
      <c r="KR104" s="29"/>
      <c r="KS104" s="29"/>
      <c r="KT104" s="29"/>
      <c r="KU104" s="29"/>
      <c r="KV104" s="29"/>
      <c r="KW104" s="29"/>
      <c r="KX104" s="29"/>
      <c r="KY104" s="29"/>
      <c r="KZ104" s="29"/>
      <c r="LA104" s="29"/>
      <c r="LB104" s="29"/>
      <c r="LC104" s="29"/>
      <c r="LD104" s="29"/>
      <c r="LE104" s="29"/>
      <c r="LF104" s="29"/>
      <c r="LG104" s="29"/>
      <c r="LH104" s="29"/>
      <c r="LI104" s="29"/>
      <c r="LJ104" s="29"/>
      <c r="LK104" s="29"/>
      <c r="LL104" s="29"/>
      <c r="LM104" s="29"/>
      <c r="LN104" s="29"/>
      <c r="LO104" s="29"/>
      <c r="LP104" s="29"/>
      <c r="LQ104" s="29"/>
      <c r="LR104" s="29"/>
      <c r="LS104" s="29"/>
      <c r="LT104" s="29"/>
      <c r="LU104" s="29"/>
      <c r="LV104" s="29"/>
      <c r="LW104" s="29"/>
      <c r="LX104" s="29"/>
      <c r="LY104" s="29"/>
      <c r="LZ104" s="29"/>
      <c r="MA104" s="29"/>
      <c r="MB104" s="29"/>
      <c r="MC104" s="29"/>
      <c r="MD104" s="29"/>
      <c r="ME104" s="29"/>
      <c r="MF104" s="29"/>
      <c r="MG104" s="29"/>
      <c r="MH104" s="29"/>
      <c r="MI104" s="29"/>
      <c r="MJ104" s="29"/>
      <c r="MK104" s="29"/>
      <c r="ML104" s="29"/>
      <c r="MM104" s="29"/>
      <c r="MN104" s="29"/>
      <c r="MO104" s="29"/>
      <c r="MP104" s="29"/>
      <c r="MQ104" s="29"/>
      <c r="MR104" s="29"/>
      <c r="MS104" s="29"/>
      <c r="MT104" s="29"/>
      <c r="MU104" s="29"/>
      <c r="MV104" s="29"/>
      <c r="MW104" s="29"/>
      <c r="MX104" s="29"/>
      <c r="MY104" s="29"/>
      <c r="MZ104" s="29"/>
      <c r="NA104" s="29"/>
      <c r="NB104" s="29"/>
      <c r="NC104" s="29"/>
      <c r="ND104" s="29"/>
      <c r="NE104" s="29"/>
      <c r="NF104" s="29"/>
      <c r="NG104" s="29"/>
      <c r="NH104" s="29"/>
      <c r="NI104" s="29"/>
      <c r="NJ104" s="29"/>
      <c r="NK104" s="29"/>
      <c r="NL104" s="29"/>
      <c r="NM104" s="29"/>
      <c r="NN104" s="29"/>
      <c r="NO104" s="29"/>
      <c r="NP104" s="29"/>
      <c r="NQ104" s="29"/>
      <c r="NR104" s="29"/>
      <c r="NS104" s="29"/>
      <c r="NT104" s="29"/>
      <c r="NU104" s="29"/>
      <c r="NV104" s="29"/>
      <c r="NW104" s="29"/>
      <c r="NX104" s="29"/>
      <c r="NY104" s="29"/>
      <c r="NZ104" s="29"/>
      <c r="OA104" s="29"/>
      <c r="OB104" s="29"/>
      <c r="OC104" s="29"/>
      <c r="OD104" s="29"/>
      <c r="OE104" s="29"/>
      <c r="OF104" s="29"/>
      <c r="OG104" s="29"/>
      <c r="OH104" s="29"/>
      <c r="OI104" s="29"/>
      <c r="OJ104" s="29"/>
      <c r="OK104" s="29"/>
      <c r="OL104" s="29"/>
      <c r="OM104" s="29"/>
      <c r="ON104" s="29"/>
      <c r="OO104" s="29"/>
      <c r="OP104" s="29"/>
      <c r="OQ104" s="29"/>
      <c r="OR104" s="29"/>
      <c r="OS104" s="29"/>
      <c r="OT104" s="29"/>
      <c r="OU104" s="29"/>
      <c r="OV104" s="29"/>
      <c r="OW104" s="29"/>
      <c r="OX104" s="29"/>
      <c r="OY104" s="29"/>
      <c r="OZ104" s="29"/>
      <c r="PA104" s="29"/>
      <c r="PB104" s="29"/>
      <c r="PC104" s="29"/>
      <c r="PD104" s="29"/>
      <c r="PE104" s="29"/>
      <c r="PF104" s="29"/>
      <c r="PG104" s="29"/>
      <c r="PH104" s="29"/>
      <c r="PI104" s="29"/>
      <c r="PJ104" s="29"/>
      <c r="PK104" s="29"/>
      <c r="PL104" s="29"/>
      <c r="PM104" s="29"/>
      <c r="PN104" s="29"/>
      <c r="PO104" s="29"/>
      <c r="PP104" s="29"/>
      <c r="PQ104" s="29"/>
      <c r="PR104" s="29"/>
      <c r="PS104" s="29"/>
      <c r="PT104" s="29"/>
      <c r="PU104" s="29"/>
      <c r="PV104" s="29"/>
      <c r="PW104" s="29"/>
      <c r="PX104" s="29"/>
      <c r="PY104" s="29"/>
      <c r="PZ104" s="29"/>
      <c r="QA104" s="29"/>
      <c r="QB104" s="29"/>
      <c r="QC104" s="29"/>
      <c r="QD104" s="29"/>
      <c r="QE104" s="29"/>
      <c r="QF104" s="29"/>
      <c r="QG104" s="29"/>
      <c r="QH104" s="29"/>
      <c r="QI104" s="29"/>
      <c r="QJ104" s="29"/>
      <c r="QK104" s="29"/>
      <c r="QL104" s="29"/>
      <c r="QM104" s="29"/>
      <c r="QN104" s="29"/>
      <c r="QO104" s="29"/>
      <c r="QP104" s="29"/>
      <c r="QQ104" s="29"/>
      <c r="QR104" s="29"/>
      <c r="QS104" s="29"/>
      <c r="QT104" s="29"/>
      <c r="QU104" s="29"/>
      <c r="QV104" s="29"/>
      <c r="QW104" s="29"/>
      <c r="QX104" s="29"/>
      <c r="QY104" s="29"/>
      <c r="QZ104" s="29"/>
      <c r="RA104" s="29"/>
      <c r="RB104" s="29"/>
      <c r="RC104" s="29"/>
      <c r="RD104" s="29"/>
      <c r="RE104" s="29"/>
      <c r="RF104" s="29"/>
      <c r="RG104" s="29"/>
      <c r="RH104" s="29"/>
      <c r="RI104" s="29"/>
      <c r="RJ104" s="29"/>
      <c r="RK104" s="29"/>
      <c r="RL104" s="29"/>
      <c r="RM104" s="29"/>
      <c r="RN104" s="29"/>
      <c r="RO104" s="29"/>
      <c r="RP104" s="29"/>
      <c r="RQ104" s="29"/>
      <c r="RR104" s="29"/>
      <c r="RS104" s="29"/>
      <c r="RT104" s="29"/>
      <c r="RU104" s="29"/>
      <c r="RV104" s="29"/>
      <c r="RW104" s="29"/>
      <c r="RX104" s="29"/>
      <c r="RY104" s="29"/>
      <c r="RZ104" s="29"/>
      <c r="SA104" s="29"/>
      <c r="SB104" s="29"/>
      <c r="SC104" s="29"/>
      <c r="SD104" s="29"/>
      <c r="SE104" s="29"/>
      <c r="SF104" s="29"/>
      <c r="SG104" s="29"/>
      <c r="SH104" s="29"/>
      <c r="SI104" s="29"/>
      <c r="SJ104" s="29"/>
      <c r="SK104" s="29"/>
      <c r="SL104" s="29"/>
      <c r="SM104" s="29"/>
      <c r="SN104" s="29"/>
      <c r="SO104" s="29"/>
      <c r="SP104" s="29"/>
      <c r="SQ104" s="29"/>
      <c r="SR104" s="29"/>
      <c r="SS104" s="29"/>
      <c r="ST104" s="29"/>
      <c r="SU104" s="29"/>
      <c r="SV104" s="29"/>
      <c r="SW104" s="29"/>
      <c r="SX104" s="29"/>
      <c r="SY104" s="29"/>
      <c r="SZ104" s="29"/>
      <c r="TA104" s="29"/>
      <c r="TB104" s="29"/>
      <c r="TC104" s="29"/>
      <c r="TD104" s="29"/>
      <c r="TE104" s="29"/>
      <c r="TF104" s="29"/>
      <c r="TG104" s="29"/>
      <c r="TH104" s="29"/>
      <c r="TI104" s="29"/>
      <c r="TJ104" s="29"/>
      <c r="TK104" s="29"/>
      <c r="TL104" s="29"/>
      <c r="TM104" s="29"/>
      <c r="TN104" s="29"/>
      <c r="TO104" s="29"/>
      <c r="TP104" s="29"/>
      <c r="TQ104" s="29"/>
      <c r="TR104" s="29"/>
      <c r="TS104" s="29"/>
      <c r="TT104" s="29"/>
      <c r="TU104" s="29"/>
      <c r="TV104" s="29"/>
      <c r="TW104" s="29"/>
      <c r="TX104" s="29"/>
      <c r="TY104" s="29"/>
      <c r="TZ104" s="29"/>
      <c r="UA104" s="29"/>
      <c r="UB104" s="29"/>
      <c r="UC104" s="29"/>
      <c r="UD104" s="29"/>
      <c r="UE104" s="29"/>
      <c r="UF104" s="29"/>
      <c r="UG104" s="29"/>
      <c r="UH104" s="29"/>
      <c r="UI104" s="29"/>
      <c r="UJ104" s="29"/>
      <c r="UK104" s="29"/>
      <c r="UL104" s="29"/>
      <c r="UM104" s="29"/>
      <c r="UN104" s="29"/>
      <c r="UO104" s="29"/>
      <c r="UP104" s="29"/>
      <c r="UQ104" s="29"/>
      <c r="UR104" s="29"/>
      <c r="US104" s="29"/>
      <c r="UT104" s="29"/>
      <c r="UU104" s="29"/>
      <c r="UV104" s="29"/>
      <c r="UW104" s="29"/>
      <c r="UX104" s="29"/>
      <c r="UY104" s="29"/>
      <c r="UZ104" s="29"/>
      <c r="VA104" s="29"/>
      <c r="VB104" s="29"/>
      <c r="VC104" s="29"/>
      <c r="VD104" s="29"/>
      <c r="VE104" s="29"/>
      <c r="VF104" s="29"/>
      <c r="VG104" s="29"/>
      <c r="VH104" s="29"/>
      <c r="VI104" s="29"/>
      <c r="VJ104" s="29"/>
      <c r="VK104" s="29"/>
      <c r="VL104" s="29"/>
      <c r="VM104" s="29"/>
      <c r="VN104" s="29"/>
      <c r="VO104" s="29"/>
      <c r="VP104" s="29"/>
      <c r="VQ104" s="29"/>
      <c r="VR104" s="29"/>
      <c r="VS104" s="29"/>
      <c r="VT104" s="29"/>
      <c r="VU104" s="29"/>
      <c r="VV104" s="29"/>
      <c r="VW104" s="29"/>
      <c r="VX104" s="29"/>
      <c r="VY104" s="29"/>
      <c r="VZ104" s="29"/>
      <c r="WA104" s="29"/>
      <c r="WB104" s="29"/>
      <c r="WC104" s="29"/>
      <c r="WD104" s="29"/>
      <c r="WE104" s="29"/>
      <c r="WF104" s="29"/>
      <c r="WG104" s="29"/>
      <c r="WH104" s="29"/>
      <c r="WI104" s="29"/>
      <c r="WJ104" s="29"/>
      <c r="WK104" s="29"/>
      <c r="WL104" s="29"/>
      <c r="WM104" s="29"/>
      <c r="WN104" s="29"/>
      <c r="WO104" s="29"/>
      <c r="WP104" s="29"/>
      <c r="WQ104" s="29"/>
      <c r="WR104" s="29"/>
      <c r="WS104" s="29"/>
      <c r="WT104" s="29"/>
      <c r="WU104" s="29"/>
      <c r="WV104" s="29"/>
      <c r="WW104" s="29"/>
      <c r="WX104" s="29"/>
      <c r="WY104" s="29"/>
      <c r="WZ104" s="29"/>
      <c r="XA104" s="29"/>
      <c r="XB104" s="29"/>
      <c r="XC104" s="29"/>
      <c r="XD104" s="29"/>
      <c r="XE104" s="29"/>
      <c r="XF104" s="29"/>
      <c r="XG104" s="29"/>
      <c r="XH104" s="29"/>
      <c r="XI104" s="29"/>
      <c r="XJ104" s="29"/>
      <c r="XK104" s="29"/>
      <c r="XL104" s="29"/>
      <c r="XM104" s="29"/>
      <c r="XN104" s="29"/>
      <c r="XO104" s="29"/>
      <c r="XP104" s="29"/>
      <c r="XQ104" s="29"/>
      <c r="XR104" s="29"/>
      <c r="XS104" s="29"/>
      <c r="XT104" s="29"/>
      <c r="XU104" s="29"/>
      <c r="XV104" s="29"/>
      <c r="XW104" s="29"/>
      <c r="XX104" s="29"/>
      <c r="XY104" s="29"/>
      <c r="XZ104" s="29"/>
      <c r="YA104" s="29"/>
      <c r="YB104" s="29"/>
      <c r="YC104" s="29"/>
      <c r="YD104" s="29"/>
      <c r="YE104" s="29"/>
      <c r="YF104" s="29"/>
      <c r="YG104" s="29"/>
      <c r="YH104" s="29"/>
      <c r="YI104" s="29"/>
      <c r="YJ104" s="29"/>
      <c r="YK104" s="29"/>
      <c r="YL104" s="29"/>
      <c r="YM104" s="29"/>
      <c r="YN104" s="29"/>
      <c r="YO104" s="29"/>
      <c r="YP104" s="29"/>
      <c r="YQ104" s="29"/>
      <c r="YR104" s="29"/>
      <c r="YS104" s="29"/>
      <c r="YT104" s="29"/>
      <c r="YU104" s="29"/>
      <c r="YV104" s="29"/>
      <c r="YW104" s="29"/>
      <c r="YX104" s="29"/>
      <c r="YY104" s="29"/>
      <c r="YZ104" s="29"/>
      <c r="ZA104" s="29"/>
      <c r="ZB104" s="29"/>
      <c r="ZC104" s="29"/>
      <c r="ZD104" s="29"/>
      <c r="ZE104" s="29"/>
      <c r="ZF104" s="29"/>
      <c r="ZG104" s="29"/>
      <c r="ZH104" s="29"/>
      <c r="ZI104" s="29"/>
      <c r="ZJ104" s="29"/>
      <c r="ZK104" s="29"/>
      <c r="ZL104" s="29"/>
      <c r="ZM104" s="29"/>
      <c r="ZN104" s="29"/>
      <c r="ZO104" s="29"/>
      <c r="ZP104" s="29"/>
      <c r="ZQ104" s="29"/>
      <c r="ZR104" s="29"/>
      <c r="ZS104" s="29"/>
      <c r="ZT104" s="29"/>
      <c r="ZU104" s="29"/>
      <c r="ZV104" s="29"/>
      <c r="ZW104" s="29"/>
      <c r="ZX104" s="29"/>
      <c r="ZY104" s="29"/>
      <c r="ZZ104" s="29"/>
      <c r="AAA104" s="29"/>
      <c r="AAB104" s="29"/>
      <c r="AAC104" s="29"/>
      <c r="AAD104" s="29"/>
      <c r="AAE104" s="29"/>
      <c r="AAF104" s="29"/>
      <c r="AAG104" s="29"/>
      <c r="AAH104" s="29"/>
      <c r="AAI104" s="29"/>
      <c r="AAJ104" s="29"/>
      <c r="AAK104" s="29"/>
      <c r="AAL104" s="29"/>
      <c r="AAM104" s="29"/>
      <c r="AAN104" s="29"/>
      <c r="AAO104" s="29"/>
      <c r="AAP104" s="29"/>
      <c r="AAQ104" s="29"/>
      <c r="AAR104" s="29"/>
      <c r="AAS104" s="29"/>
      <c r="AAT104" s="29"/>
      <c r="AAU104" s="29"/>
      <c r="AAV104" s="29"/>
      <c r="AAW104" s="29"/>
      <c r="AAX104" s="29"/>
      <c r="AAY104" s="29"/>
      <c r="AAZ104" s="29"/>
      <c r="ABA104" s="29"/>
      <c r="ABB104" s="29"/>
      <c r="ABC104" s="29"/>
      <c r="ABD104" s="29"/>
      <c r="ABE104" s="29"/>
      <c r="ABF104" s="29"/>
      <c r="ABG104" s="29"/>
      <c r="ABH104" s="29"/>
      <c r="ABI104" s="29"/>
      <c r="ABJ104" s="29"/>
      <c r="ABK104" s="29"/>
      <c r="ABL104" s="29"/>
      <c r="ABM104" s="29"/>
      <c r="ABN104" s="29"/>
      <c r="ABO104" s="29"/>
      <c r="ABP104" s="29"/>
      <c r="ABQ104" s="29"/>
      <c r="ABR104" s="29"/>
      <c r="ABS104" s="29"/>
      <c r="ABT104" s="29"/>
      <c r="ABU104" s="29"/>
      <c r="ABV104" s="29"/>
      <c r="ABW104" s="29"/>
      <c r="ABX104" s="29"/>
      <c r="ABY104" s="29"/>
      <c r="ABZ104" s="29"/>
      <c r="ACA104" s="29"/>
      <c r="ACB104" s="29"/>
      <c r="ACC104" s="29"/>
      <c r="ACD104" s="29"/>
      <c r="ACE104" s="29"/>
      <c r="ACF104" s="29"/>
      <c r="ACG104" s="29"/>
      <c r="ACH104" s="29"/>
      <c r="ACI104" s="29"/>
      <c r="ACJ104" s="29"/>
      <c r="ACK104" s="29"/>
      <c r="ACL104" s="29"/>
      <c r="ACM104" s="29"/>
      <c r="ACN104" s="29"/>
      <c r="ACO104" s="29"/>
      <c r="ACP104" s="29"/>
      <c r="ACQ104" s="29"/>
      <c r="ACR104" s="29"/>
      <c r="ACS104" s="29"/>
      <c r="ACT104" s="29"/>
      <c r="ACU104" s="29"/>
      <c r="ACV104" s="29"/>
      <c r="ACW104" s="29"/>
      <c r="ACX104" s="29"/>
      <c r="ACY104" s="29"/>
      <c r="ACZ104" s="29"/>
      <c r="ADA104" s="29"/>
      <c r="ADB104" s="29"/>
      <c r="ADC104" s="29"/>
      <c r="ADD104" s="29"/>
      <c r="ADE104" s="29"/>
      <c r="ADF104" s="29"/>
      <c r="ADG104" s="29"/>
      <c r="ADH104" s="29"/>
      <c r="ADI104" s="29"/>
      <c r="ADJ104" s="29"/>
      <c r="ADK104" s="29"/>
      <c r="ADL104" s="29"/>
      <c r="ADM104" s="29"/>
      <c r="ADN104" s="29"/>
      <c r="ADO104" s="29"/>
      <c r="ADP104" s="29"/>
      <c r="ADQ104" s="29"/>
      <c r="ADR104" s="29"/>
      <c r="ADS104" s="29"/>
      <c r="ADT104" s="29"/>
      <c r="ADU104" s="29"/>
      <c r="ADV104" s="29"/>
      <c r="ADW104" s="29"/>
      <c r="ADX104" s="29"/>
      <c r="ADY104" s="29"/>
      <c r="ADZ104" s="29"/>
      <c r="AEA104" s="29"/>
      <c r="AEB104" s="29"/>
      <c r="AEC104" s="29"/>
      <c r="AED104" s="29"/>
      <c r="AEE104" s="29"/>
      <c r="AEF104" s="29"/>
      <c r="AEG104" s="29"/>
      <c r="AEH104" s="29"/>
      <c r="AEI104" s="29"/>
      <c r="AEJ104" s="29"/>
      <c r="AEK104" s="29"/>
      <c r="AEL104" s="29"/>
      <c r="AEM104" s="29"/>
      <c r="AEN104" s="29"/>
      <c r="AEO104" s="29"/>
      <c r="AEP104" s="29"/>
      <c r="AEQ104" s="29"/>
      <c r="AER104" s="29"/>
      <c r="AES104" s="29"/>
      <c r="AET104" s="29"/>
      <c r="AEU104" s="29"/>
      <c r="AEV104" s="29"/>
      <c r="AEW104" s="29"/>
      <c r="AEX104" s="29"/>
      <c r="AEY104" s="29"/>
      <c r="AEZ104" s="29"/>
      <c r="AFA104" s="29"/>
      <c r="AFB104" s="29"/>
      <c r="AFC104" s="29"/>
      <c r="AFD104" s="29"/>
      <c r="AFE104" s="29"/>
      <c r="AFF104" s="29"/>
      <c r="AFG104" s="29"/>
      <c r="AFH104" s="29"/>
      <c r="AFI104" s="29"/>
      <c r="AFJ104" s="29"/>
      <c r="AFK104" s="29"/>
      <c r="AFL104" s="29"/>
      <c r="AFM104" s="29"/>
      <c r="AFN104" s="29"/>
      <c r="AFO104" s="29"/>
      <c r="AFP104" s="29"/>
      <c r="AFQ104" s="29"/>
      <c r="AFR104" s="29"/>
      <c r="AFS104" s="29"/>
      <c r="AFT104" s="29"/>
      <c r="AFU104" s="29"/>
      <c r="AFV104" s="29"/>
      <c r="AFW104" s="29"/>
      <c r="AFX104" s="29"/>
      <c r="AFY104" s="29"/>
      <c r="AFZ104" s="29"/>
      <c r="AGA104" s="29"/>
      <c r="AGB104" s="29"/>
      <c r="AGC104" s="29"/>
      <c r="AGD104" s="29"/>
      <c r="AGE104" s="29"/>
      <c r="AGF104" s="29"/>
      <c r="AGG104" s="29"/>
      <c r="AGH104" s="29"/>
      <c r="AGI104" s="29"/>
      <c r="AGJ104" s="29"/>
      <c r="AGK104" s="29"/>
      <c r="AGL104" s="29"/>
      <c r="AGM104" s="29"/>
      <c r="AGN104" s="29"/>
      <c r="AGO104" s="29"/>
      <c r="AGP104" s="29"/>
      <c r="AGQ104" s="29"/>
      <c r="AGR104" s="29"/>
      <c r="AGS104" s="29"/>
      <c r="AGT104" s="29"/>
      <c r="AGU104" s="29"/>
      <c r="AGV104" s="29"/>
      <c r="AGW104" s="29"/>
      <c r="AGX104" s="29"/>
      <c r="AGY104" s="29"/>
      <c r="AGZ104" s="29"/>
      <c r="AHA104" s="29"/>
      <c r="AHB104" s="29"/>
      <c r="AHC104" s="29"/>
      <c r="AHD104" s="29"/>
      <c r="AHE104" s="29"/>
      <c r="AHF104" s="29"/>
      <c r="AHG104" s="29"/>
      <c r="AHH104" s="29"/>
      <c r="AHI104" s="29"/>
      <c r="AHJ104" s="29"/>
      <c r="AHK104" s="29"/>
      <c r="AHL104" s="29"/>
      <c r="AHM104" s="29"/>
      <c r="AHN104" s="29"/>
      <c r="AHO104" s="29"/>
      <c r="AHP104" s="29"/>
      <c r="AHQ104" s="29"/>
      <c r="AHR104" s="29"/>
      <c r="AHS104" s="29"/>
      <c r="AHT104" s="29"/>
      <c r="AHU104" s="29"/>
      <c r="AHV104" s="29"/>
      <c r="AHW104" s="29"/>
      <c r="AHX104" s="29"/>
      <c r="AHY104" s="29"/>
      <c r="AHZ104" s="29"/>
      <c r="AIA104" s="29"/>
      <c r="AIB104" s="29"/>
      <c r="AIC104" s="29"/>
      <c r="AID104" s="29"/>
      <c r="AIE104" s="29"/>
      <c r="AIF104" s="29"/>
      <c r="AIG104" s="29"/>
      <c r="AIH104" s="29"/>
      <c r="AII104" s="29"/>
      <c r="AIJ104" s="29"/>
      <c r="AIK104" s="29"/>
      <c r="AIL104" s="29"/>
      <c r="AIM104" s="29"/>
      <c r="AIN104" s="29"/>
      <c r="AIO104" s="29"/>
      <c r="AIP104" s="29"/>
      <c r="AIQ104" s="29"/>
      <c r="AIR104" s="29"/>
      <c r="AIS104" s="29"/>
      <c r="AIT104" s="29"/>
      <c r="AIU104" s="29"/>
      <c r="AIV104" s="29"/>
      <c r="AIW104" s="29"/>
      <c r="AIX104" s="29"/>
      <c r="AIY104" s="29"/>
      <c r="AIZ104" s="29"/>
      <c r="AJA104" s="29"/>
      <c r="AJB104" s="29"/>
      <c r="AJC104" s="29"/>
      <c r="AJD104" s="29"/>
      <c r="AJE104" s="29"/>
      <c r="AJF104" s="29"/>
      <c r="AJG104" s="29"/>
      <c r="AJH104" s="29"/>
      <c r="AJI104" s="29"/>
      <c r="AJJ104" s="29"/>
      <c r="AJK104" s="29"/>
      <c r="AJL104" s="29"/>
      <c r="AJM104" s="29"/>
      <c r="AJN104" s="29"/>
      <c r="AJO104" s="29"/>
      <c r="AJP104" s="29"/>
      <c r="AJQ104" s="29"/>
      <c r="AJR104" s="29"/>
      <c r="AJS104" s="29"/>
      <c r="AJT104" s="29"/>
      <c r="AJU104" s="29"/>
      <c r="AJV104" s="29"/>
      <c r="AJW104" s="29"/>
      <c r="AJX104" s="29"/>
      <c r="AJY104" s="29"/>
      <c r="AJZ104" s="29"/>
      <c r="AKA104" s="29"/>
      <c r="AKB104" s="29"/>
      <c r="AKC104" s="29"/>
      <c r="AKD104" s="29"/>
      <c r="AKE104" s="29"/>
      <c r="AKF104" s="29"/>
      <c r="AKG104" s="29"/>
      <c r="AKH104" s="29"/>
      <c r="AKI104" s="29"/>
      <c r="AKJ104" s="29"/>
      <c r="AKK104" s="29"/>
      <c r="AKL104" s="29"/>
      <c r="AKM104" s="29"/>
      <c r="AKN104" s="29"/>
      <c r="AKO104" s="29"/>
      <c r="AKP104" s="29"/>
      <c r="AKQ104" s="29"/>
      <c r="AKR104" s="29"/>
      <c r="AKS104" s="29"/>
      <c r="AKT104" s="29"/>
      <c r="AKU104" s="29"/>
      <c r="AKV104" s="29"/>
      <c r="AKW104" s="29"/>
      <c r="AKX104" s="29"/>
      <c r="AKY104" s="29"/>
      <c r="AKZ104" s="29"/>
      <c r="ALA104" s="29"/>
      <c r="ALB104" s="29"/>
      <c r="ALC104" s="29"/>
      <c r="ALD104" s="29"/>
      <c r="ALE104" s="29"/>
      <c r="ALF104" s="29"/>
      <c r="ALG104" s="29"/>
      <c r="ALH104" s="29"/>
      <c r="ALI104" s="29"/>
      <c r="ALJ104" s="29"/>
      <c r="ALK104" s="29"/>
      <c r="ALL104" s="29"/>
      <c r="ALM104" s="29"/>
      <c r="ALN104" s="29"/>
      <c r="ALO104" s="29"/>
      <c r="ALP104" s="29"/>
      <c r="ALQ104" s="29"/>
      <c r="ALR104" s="29"/>
      <c r="ALS104" s="29"/>
      <c r="ALT104" s="29"/>
      <c r="ALU104" s="29"/>
      <c r="ALV104" s="29"/>
      <c r="ALW104" s="29"/>
      <c r="ALX104" s="29"/>
      <c r="ALY104" s="29"/>
      <c r="ALZ104" s="29"/>
      <c r="AMA104" s="29"/>
      <c r="AMB104" s="29"/>
      <c r="AMC104" s="29"/>
      <c r="AMD104" s="29"/>
      <c r="AME104" s="29"/>
      <c r="AMF104" s="29"/>
      <c r="AMG104" s="29"/>
      <c r="AMH104" s="29"/>
      <c r="AMI104" s="29"/>
      <c r="AMJ104" s="29"/>
      <c r="AMK104" s="29"/>
      <c r="AML104" s="29"/>
      <c r="AMM104" s="29"/>
      <c r="AMN104" s="29"/>
      <c r="AMO104" s="29"/>
      <c r="AMP104" s="29"/>
      <c r="AMQ104" s="29"/>
      <c r="AMR104" s="29"/>
      <c r="AMS104" s="29"/>
      <c r="AMT104" s="29"/>
      <c r="AMU104" s="29"/>
      <c r="AMV104" s="29"/>
      <c r="AMW104" s="29"/>
      <c r="AMX104" s="29"/>
      <c r="AMY104" s="29"/>
      <c r="AMZ104" s="29"/>
      <c r="ANA104" s="29"/>
      <c r="ANB104" s="29"/>
      <c r="ANC104" s="29"/>
      <c r="AND104" s="29"/>
      <c r="ANE104" s="29"/>
      <c r="ANF104" s="29"/>
      <c r="ANG104" s="29"/>
      <c r="ANH104" s="29"/>
      <c r="ANI104" s="29"/>
      <c r="ANJ104" s="29"/>
      <c r="ANK104" s="29"/>
      <c r="ANL104" s="29"/>
      <c r="ANM104" s="29"/>
      <c r="ANN104" s="29"/>
      <c r="ANO104" s="29"/>
      <c r="ANP104" s="29"/>
      <c r="ANQ104" s="29"/>
      <c r="ANR104" s="29"/>
      <c r="ANS104" s="29"/>
      <c r="ANT104" s="29"/>
      <c r="ANU104" s="29"/>
      <c r="ANV104" s="29"/>
      <c r="ANW104" s="29"/>
      <c r="ANX104" s="29"/>
      <c r="ANY104" s="29"/>
      <c r="ANZ104" s="29"/>
      <c r="AOA104" s="29"/>
      <c r="AOB104" s="29"/>
      <c r="AOC104" s="29"/>
      <c r="AOD104" s="29"/>
      <c r="AOE104" s="29"/>
      <c r="AOF104" s="29"/>
      <c r="AOG104" s="29"/>
      <c r="AOH104" s="29"/>
      <c r="AOI104" s="29"/>
      <c r="AOJ104" s="29"/>
      <c r="AOK104" s="29"/>
      <c r="AOL104" s="29"/>
      <c r="AOM104" s="29"/>
      <c r="AON104" s="29"/>
      <c r="AOO104" s="29"/>
      <c r="AOP104" s="29"/>
      <c r="AOQ104" s="29"/>
      <c r="AOR104" s="29"/>
      <c r="AOS104" s="29"/>
      <c r="AOT104" s="29"/>
      <c r="AOU104" s="29"/>
      <c r="AOV104" s="29"/>
      <c r="AOW104" s="29"/>
      <c r="AOX104" s="29"/>
      <c r="AOY104" s="29"/>
      <c r="AOZ104" s="29"/>
      <c r="APA104" s="29"/>
      <c r="APB104" s="29"/>
      <c r="APC104" s="29"/>
      <c r="APD104" s="29"/>
      <c r="APE104" s="29"/>
      <c r="APF104" s="29"/>
      <c r="APG104" s="29"/>
      <c r="APH104" s="29"/>
      <c r="API104" s="29"/>
      <c r="APJ104" s="29"/>
      <c r="APK104" s="29"/>
      <c r="APL104" s="29"/>
      <c r="APM104" s="29"/>
      <c r="APN104" s="29"/>
      <c r="APO104" s="29"/>
      <c r="APP104" s="29"/>
      <c r="APQ104" s="29"/>
      <c r="APR104" s="29"/>
      <c r="APS104" s="29"/>
      <c r="APT104" s="29"/>
      <c r="APU104" s="29"/>
      <c r="APV104" s="29"/>
      <c r="APW104" s="29"/>
      <c r="APX104" s="29"/>
      <c r="APY104" s="29"/>
      <c r="APZ104" s="29"/>
      <c r="AQA104" s="29"/>
      <c r="AQB104" s="29"/>
      <c r="AQC104" s="29"/>
      <c r="AQD104" s="29"/>
      <c r="AQE104" s="29"/>
      <c r="AQF104" s="29"/>
      <c r="AQG104" s="29"/>
      <c r="AQH104" s="29"/>
      <c r="AQI104" s="29"/>
      <c r="AQJ104" s="29"/>
      <c r="AQK104" s="29"/>
      <c r="AQL104" s="29"/>
      <c r="AQM104" s="29"/>
      <c r="AQN104" s="29"/>
      <c r="AQO104" s="29"/>
      <c r="AQP104" s="29"/>
      <c r="AQQ104" s="29"/>
      <c r="AQR104" s="29"/>
      <c r="AQS104" s="29"/>
      <c r="AQT104" s="29"/>
      <c r="AQU104" s="29"/>
      <c r="AQV104" s="29"/>
      <c r="AQW104" s="29"/>
      <c r="AQX104" s="29"/>
      <c r="AQY104" s="29"/>
      <c r="AQZ104" s="29"/>
      <c r="ARA104" s="29"/>
      <c r="ARB104" s="29"/>
      <c r="ARC104" s="29"/>
      <c r="ARD104" s="29"/>
      <c r="ARE104" s="29"/>
      <c r="ARF104" s="29"/>
      <c r="ARG104" s="29"/>
      <c r="ARH104" s="29"/>
      <c r="ARI104" s="29"/>
      <c r="ARJ104" s="29"/>
      <c r="ARK104" s="29"/>
      <c r="ARL104" s="29"/>
      <c r="ARM104" s="29"/>
      <c r="ARN104" s="29"/>
      <c r="ARO104" s="29"/>
      <c r="ARP104" s="29"/>
      <c r="ARQ104" s="29"/>
      <c r="ARR104" s="29"/>
      <c r="ARS104" s="29"/>
      <c r="ART104" s="29"/>
      <c r="ARU104" s="29"/>
      <c r="ARV104" s="29"/>
      <c r="ARW104" s="29"/>
      <c r="ARX104" s="29"/>
      <c r="ARY104" s="29"/>
      <c r="ARZ104" s="29"/>
      <c r="ASA104" s="29"/>
      <c r="ASB104" s="29"/>
      <c r="ASC104" s="29"/>
      <c r="ASD104" s="29"/>
      <c r="ASE104" s="29"/>
      <c r="ASF104" s="29"/>
      <c r="ASG104" s="29"/>
      <c r="ASH104" s="29"/>
      <c r="ASI104" s="29"/>
      <c r="ASJ104" s="29"/>
      <c r="ASK104" s="29"/>
      <c r="ASL104" s="29"/>
      <c r="ASM104" s="29"/>
      <c r="ASN104" s="29"/>
      <c r="ASO104" s="29"/>
      <c r="ASP104" s="29"/>
      <c r="ASQ104" s="29"/>
      <c r="ASR104" s="29"/>
      <c r="ASS104" s="29"/>
      <c r="AST104" s="29"/>
      <c r="ASU104" s="29"/>
      <c r="ASV104" s="29"/>
      <c r="ASW104" s="29"/>
      <c r="ASX104" s="29"/>
      <c r="ASY104" s="29"/>
      <c r="ASZ104" s="29"/>
      <c r="ATA104" s="29"/>
      <c r="ATB104" s="29"/>
      <c r="ATC104" s="29"/>
      <c r="ATD104" s="29"/>
      <c r="ATE104" s="29"/>
      <c r="ATF104" s="29"/>
      <c r="ATG104" s="29"/>
      <c r="ATH104" s="29"/>
      <c r="ATI104" s="29"/>
      <c r="ATJ104" s="29"/>
      <c r="ATK104" s="29"/>
      <c r="ATL104" s="29"/>
      <c r="ATM104" s="29"/>
      <c r="ATN104" s="29"/>
      <c r="ATO104" s="29"/>
      <c r="ATP104" s="29"/>
      <c r="ATQ104" s="29"/>
      <c r="ATR104" s="29"/>
      <c r="ATS104" s="29"/>
      <c r="ATT104" s="29"/>
      <c r="ATU104" s="29"/>
      <c r="ATV104" s="29"/>
      <c r="ATW104" s="29"/>
      <c r="ATX104" s="29"/>
      <c r="ATY104" s="29"/>
      <c r="ATZ104" s="29"/>
      <c r="AUA104" s="29"/>
      <c r="AUB104" s="29"/>
      <c r="AUC104" s="29"/>
      <c r="AUD104" s="29"/>
      <c r="AUE104" s="29"/>
      <c r="AUF104" s="29"/>
      <c r="AUG104" s="29"/>
      <c r="AUH104" s="29"/>
      <c r="AUI104" s="29"/>
      <c r="AUJ104" s="29"/>
      <c r="AUK104" s="29"/>
      <c r="AUL104" s="29"/>
      <c r="AUM104" s="29"/>
      <c r="AUN104" s="29"/>
      <c r="AUO104" s="29"/>
      <c r="AUP104" s="29"/>
      <c r="AUQ104" s="29"/>
      <c r="AUR104" s="29"/>
      <c r="AUS104" s="29"/>
      <c r="AUT104" s="29"/>
      <c r="AUU104" s="29"/>
      <c r="AUV104" s="29"/>
      <c r="AUW104" s="29"/>
      <c r="AUX104" s="29"/>
      <c r="AUY104" s="29"/>
      <c r="AUZ104" s="29"/>
      <c r="AVA104" s="29"/>
      <c r="AVB104" s="29"/>
      <c r="AVC104" s="29"/>
      <c r="AVD104" s="29"/>
      <c r="AVE104" s="29"/>
      <c r="AVF104" s="29"/>
      <c r="AVG104" s="29"/>
      <c r="AVH104" s="29"/>
      <c r="AVI104" s="29"/>
      <c r="AVJ104" s="29"/>
      <c r="AVK104" s="29"/>
      <c r="AVL104" s="29"/>
      <c r="AVM104" s="29"/>
      <c r="AVN104" s="29"/>
      <c r="AVO104" s="29"/>
      <c r="AVP104" s="29"/>
      <c r="AVQ104" s="29"/>
      <c r="AVR104" s="29"/>
      <c r="AVS104" s="29"/>
      <c r="AVT104" s="29"/>
      <c r="AVU104" s="29"/>
      <c r="AVV104" s="29"/>
      <c r="AVW104" s="29"/>
      <c r="AVX104" s="29"/>
      <c r="AVY104" s="29"/>
      <c r="AVZ104" s="29"/>
      <c r="AWA104" s="29"/>
      <c r="AWB104" s="29"/>
      <c r="AWC104" s="29"/>
      <c r="AWD104" s="29"/>
      <c r="AWE104" s="29"/>
      <c r="AWF104" s="29"/>
      <c r="AWG104" s="29"/>
      <c r="AWH104" s="29"/>
      <c r="AWI104" s="29"/>
      <c r="AWJ104" s="29"/>
      <c r="AWK104" s="29"/>
      <c r="AWL104" s="29"/>
      <c r="AWM104" s="29"/>
      <c r="AWN104" s="29"/>
      <c r="AWO104" s="29"/>
      <c r="AWP104" s="29"/>
      <c r="AWQ104" s="29"/>
      <c r="AWR104" s="29"/>
      <c r="AWS104" s="29"/>
      <c r="AWT104" s="29"/>
      <c r="AWU104" s="29"/>
      <c r="AWV104" s="29"/>
      <c r="AWW104" s="29"/>
      <c r="AWX104" s="29"/>
      <c r="AWY104" s="29"/>
      <c r="AWZ104" s="29"/>
      <c r="AXA104" s="29"/>
      <c r="AXB104" s="29"/>
      <c r="AXC104" s="29"/>
      <c r="AXD104" s="29"/>
      <c r="AXE104" s="29"/>
      <c r="AXF104" s="29"/>
      <c r="AXG104" s="29"/>
      <c r="AXH104" s="29"/>
      <c r="AXI104" s="29"/>
      <c r="AXJ104" s="29"/>
      <c r="AXK104" s="29"/>
      <c r="AXL104" s="29"/>
      <c r="AXM104" s="29"/>
      <c r="AXN104" s="29"/>
      <c r="AXO104" s="29"/>
      <c r="AXP104" s="29"/>
      <c r="AXQ104" s="29"/>
      <c r="AXR104" s="29"/>
      <c r="AXS104" s="29"/>
      <c r="AXT104" s="29"/>
      <c r="AXU104" s="29"/>
      <c r="AXV104" s="29"/>
      <c r="AXW104" s="29"/>
      <c r="AXX104" s="29"/>
      <c r="AXY104" s="29"/>
      <c r="AXZ104" s="29"/>
      <c r="AYA104" s="29"/>
      <c r="AYB104" s="29"/>
      <c r="AYC104" s="29"/>
      <c r="AYD104" s="29"/>
      <c r="AYE104" s="29"/>
      <c r="AYF104" s="29"/>
      <c r="AYG104" s="29"/>
      <c r="AYH104" s="29"/>
      <c r="AYI104" s="29"/>
      <c r="AYJ104" s="29"/>
      <c r="AYK104" s="29"/>
      <c r="AYL104" s="29"/>
      <c r="AYM104" s="29"/>
      <c r="AYN104" s="29"/>
      <c r="AYO104" s="29"/>
      <c r="AYP104" s="29"/>
      <c r="AYQ104" s="29"/>
      <c r="AYR104" s="29"/>
      <c r="AYS104" s="29"/>
      <c r="AYT104" s="29"/>
      <c r="AYU104" s="29"/>
      <c r="AYV104" s="29"/>
      <c r="AYW104" s="29"/>
      <c r="AYX104" s="29"/>
      <c r="AYY104" s="29"/>
      <c r="AYZ104" s="29"/>
      <c r="AZA104" s="29"/>
      <c r="AZB104" s="29"/>
      <c r="AZC104" s="29"/>
      <c r="AZD104" s="29"/>
      <c r="AZE104" s="29"/>
      <c r="AZF104" s="29"/>
      <c r="AZG104" s="29"/>
      <c r="AZH104" s="29"/>
      <c r="AZI104" s="29"/>
      <c r="AZJ104" s="29"/>
      <c r="AZK104" s="29"/>
      <c r="AZL104" s="29"/>
      <c r="AZM104" s="29"/>
      <c r="AZN104" s="29"/>
      <c r="AZO104" s="29"/>
      <c r="AZP104" s="29"/>
      <c r="AZQ104" s="29"/>
      <c r="AZR104" s="29"/>
      <c r="AZS104" s="29"/>
      <c r="AZT104" s="29"/>
      <c r="AZU104" s="29"/>
      <c r="AZV104" s="29"/>
      <c r="AZW104" s="29"/>
      <c r="AZX104" s="29"/>
      <c r="AZY104" s="29"/>
      <c r="AZZ104" s="29"/>
      <c r="BAA104" s="29"/>
      <c r="BAB104" s="29"/>
      <c r="BAC104" s="29"/>
      <c r="BAD104" s="29"/>
      <c r="BAE104" s="29"/>
      <c r="BAF104" s="29"/>
      <c r="BAG104" s="29"/>
      <c r="BAH104" s="29"/>
      <c r="BAI104" s="29"/>
      <c r="BAJ104" s="29"/>
      <c r="BAK104" s="29"/>
      <c r="BAL104" s="29"/>
      <c r="BAM104" s="29"/>
      <c r="BAN104" s="29"/>
      <c r="BAO104" s="29"/>
      <c r="BAP104" s="29"/>
      <c r="BAQ104" s="29"/>
      <c r="BAR104" s="29"/>
      <c r="BAS104" s="29"/>
      <c r="BAT104" s="29"/>
      <c r="BAU104" s="29"/>
      <c r="BAV104" s="29"/>
      <c r="BAW104" s="29"/>
      <c r="BAX104" s="29"/>
      <c r="BAY104" s="29"/>
      <c r="BAZ104" s="29"/>
      <c r="BBA104" s="29"/>
      <c r="BBB104" s="29"/>
      <c r="BBC104" s="29"/>
      <c r="BBD104" s="29"/>
      <c r="BBE104" s="29"/>
      <c r="BBF104" s="29"/>
      <c r="BBG104" s="29"/>
      <c r="BBH104" s="29"/>
      <c r="BBI104" s="29"/>
      <c r="BBJ104" s="29"/>
      <c r="BBK104" s="29"/>
      <c r="BBL104" s="29"/>
      <c r="BBM104" s="29"/>
      <c r="BBN104" s="29"/>
      <c r="BBO104" s="29"/>
      <c r="BBP104" s="29"/>
      <c r="BBQ104" s="29"/>
      <c r="BBR104" s="29"/>
      <c r="BBS104" s="29"/>
      <c r="BBT104" s="29"/>
      <c r="BBU104" s="29"/>
      <c r="BBV104" s="29"/>
      <c r="BBW104" s="29"/>
      <c r="BBX104" s="29"/>
      <c r="BBY104" s="29"/>
      <c r="BBZ104" s="29"/>
      <c r="BCA104" s="29"/>
      <c r="BCB104" s="29"/>
      <c r="BCC104" s="29"/>
      <c r="BCD104" s="29"/>
      <c r="BCE104" s="29"/>
      <c r="BCF104" s="29"/>
      <c r="BCG104" s="29"/>
      <c r="BCH104" s="29"/>
      <c r="BCI104" s="29"/>
      <c r="BCJ104" s="29"/>
      <c r="BCK104" s="29"/>
      <c r="BCL104" s="29"/>
      <c r="BCM104" s="29"/>
      <c r="BCN104" s="29"/>
      <c r="BCO104" s="29"/>
      <c r="BCP104" s="29"/>
      <c r="BCQ104" s="29"/>
      <c r="BCR104" s="29"/>
      <c r="BCS104" s="29"/>
      <c r="BCT104" s="29"/>
      <c r="BCU104" s="29"/>
      <c r="BCV104" s="29"/>
      <c r="BCW104" s="29"/>
      <c r="BCX104" s="29"/>
      <c r="BCY104" s="29"/>
      <c r="BCZ104" s="29"/>
      <c r="BDA104" s="29"/>
      <c r="BDB104" s="29"/>
      <c r="BDC104" s="29"/>
      <c r="BDD104" s="29"/>
      <c r="BDE104" s="29"/>
      <c r="BDF104" s="29"/>
      <c r="BDG104" s="29"/>
      <c r="BDH104" s="29"/>
      <c r="BDI104" s="29"/>
      <c r="BDJ104" s="29"/>
      <c r="BDK104" s="29"/>
      <c r="BDL104" s="29"/>
      <c r="BDM104" s="29"/>
      <c r="BDN104" s="29"/>
      <c r="BDO104" s="29"/>
      <c r="BDP104" s="29"/>
      <c r="BDQ104" s="29"/>
      <c r="BDR104" s="29"/>
      <c r="BDS104" s="29"/>
      <c r="BDT104" s="29"/>
      <c r="BDU104" s="29"/>
      <c r="BDV104" s="29"/>
      <c r="BDW104" s="29"/>
      <c r="BDX104" s="29"/>
      <c r="BDY104" s="29"/>
      <c r="BDZ104" s="29"/>
      <c r="BEA104" s="29"/>
      <c r="BEB104" s="29"/>
      <c r="BEC104" s="29"/>
      <c r="BED104" s="29"/>
      <c r="BEE104" s="29"/>
      <c r="BEF104" s="29"/>
      <c r="BEG104" s="29"/>
      <c r="BEH104" s="29"/>
      <c r="BEI104" s="29"/>
      <c r="BEJ104" s="29"/>
      <c r="BEK104" s="29"/>
      <c r="BEL104" s="29"/>
      <c r="BEM104" s="29"/>
      <c r="BEN104" s="29"/>
      <c r="BEO104" s="29"/>
      <c r="BEP104" s="29"/>
      <c r="BEQ104" s="29"/>
      <c r="BER104" s="29"/>
      <c r="BES104" s="29"/>
      <c r="BET104" s="29"/>
      <c r="BEU104" s="29"/>
      <c r="BEV104" s="29"/>
      <c r="BEW104" s="29"/>
      <c r="BEX104" s="29"/>
      <c r="BEY104" s="29"/>
      <c r="BEZ104" s="29"/>
      <c r="BFA104" s="29"/>
      <c r="BFB104" s="29"/>
      <c r="BFC104" s="29"/>
      <c r="BFD104" s="29"/>
      <c r="BFE104" s="29"/>
      <c r="BFF104" s="29"/>
      <c r="BFG104" s="29"/>
      <c r="BFH104" s="29"/>
      <c r="BFI104" s="29"/>
      <c r="BFJ104" s="29"/>
      <c r="BFK104" s="29"/>
      <c r="BFL104" s="29"/>
      <c r="BFM104" s="29"/>
      <c r="BFN104" s="29"/>
      <c r="BFO104" s="29"/>
      <c r="BFP104" s="29"/>
      <c r="BFQ104" s="29"/>
      <c r="BFR104" s="29"/>
      <c r="BFS104" s="29"/>
      <c r="BFT104" s="29"/>
      <c r="BFU104" s="29"/>
      <c r="BFV104" s="29"/>
      <c r="BFW104" s="29"/>
      <c r="BFX104" s="29"/>
      <c r="BFY104" s="29"/>
      <c r="BFZ104" s="29"/>
      <c r="BGA104" s="29"/>
      <c r="BGB104" s="29"/>
      <c r="BGC104" s="29"/>
      <c r="BGD104" s="29"/>
      <c r="BGE104" s="29"/>
      <c r="BGF104" s="29"/>
      <c r="BGG104" s="29"/>
      <c r="BGH104" s="29"/>
      <c r="BGI104" s="29"/>
      <c r="BGJ104" s="29"/>
      <c r="BGK104" s="29"/>
      <c r="BGL104" s="29"/>
      <c r="BGM104" s="29"/>
      <c r="BGN104" s="29"/>
      <c r="BGO104" s="29"/>
      <c r="BGP104" s="29"/>
      <c r="BGQ104" s="29"/>
      <c r="BGR104" s="29"/>
      <c r="BGS104" s="29"/>
      <c r="BGT104" s="29"/>
      <c r="BGU104" s="29"/>
      <c r="BGV104" s="29"/>
      <c r="BGW104" s="29"/>
      <c r="BGX104" s="29"/>
      <c r="BGY104" s="29"/>
      <c r="BGZ104" s="29"/>
      <c r="BHA104" s="29"/>
      <c r="BHB104" s="29"/>
      <c r="BHC104" s="29"/>
      <c r="BHD104" s="29"/>
      <c r="BHE104" s="29"/>
      <c r="BHF104" s="29"/>
      <c r="BHG104" s="29"/>
      <c r="BHH104" s="29"/>
      <c r="BHI104" s="29"/>
      <c r="BHJ104" s="29"/>
      <c r="BHK104" s="29"/>
      <c r="BHL104" s="29"/>
      <c r="BHM104" s="29"/>
      <c r="BHN104" s="29"/>
      <c r="BHO104" s="29"/>
      <c r="BHP104" s="29"/>
      <c r="BHQ104" s="29"/>
      <c r="BHR104" s="29"/>
      <c r="BHS104" s="29"/>
      <c r="BHT104" s="29"/>
      <c r="BHU104" s="29"/>
      <c r="BHV104" s="29"/>
      <c r="BHW104" s="29"/>
      <c r="BHX104" s="29"/>
      <c r="BHY104" s="29"/>
      <c r="BHZ104" s="29"/>
      <c r="BIA104" s="29"/>
      <c r="BIB104" s="29"/>
      <c r="BIC104" s="29"/>
      <c r="BID104" s="29"/>
      <c r="BIE104" s="29"/>
      <c r="BIF104" s="29"/>
      <c r="BIG104" s="29"/>
      <c r="BIH104" s="29"/>
      <c r="BII104" s="29"/>
      <c r="BIJ104" s="29"/>
      <c r="BIK104" s="29"/>
      <c r="BIL104" s="29"/>
      <c r="BIM104" s="29"/>
      <c r="BIN104" s="29"/>
      <c r="BIO104" s="29"/>
      <c r="BIP104" s="29"/>
      <c r="BIQ104" s="29"/>
      <c r="BIR104" s="29"/>
      <c r="BIS104" s="29"/>
      <c r="BIT104" s="29"/>
      <c r="BIU104" s="29"/>
      <c r="BIV104" s="29"/>
      <c r="BIW104" s="29"/>
      <c r="BIX104" s="29"/>
      <c r="BIY104" s="29"/>
      <c r="BIZ104" s="29"/>
      <c r="BJA104" s="29"/>
      <c r="BJB104" s="29"/>
      <c r="BJC104" s="29"/>
      <c r="BJD104" s="29"/>
      <c r="BJE104" s="29"/>
      <c r="BJF104" s="29"/>
      <c r="BJG104" s="29"/>
      <c r="BJH104" s="29"/>
      <c r="BJI104" s="29"/>
      <c r="BJJ104" s="29"/>
      <c r="BJK104" s="29"/>
      <c r="BJL104" s="29"/>
      <c r="BJM104" s="29"/>
      <c r="BJN104" s="29"/>
      <c r="BJO104" s="29"/>
      <c r="BJP104" s="29"/>
      <c r="BJQ104" s="29"/>
      <c r="BJR104" s="29"/>
      <c r="BJS104" s="29"/>
      <c r="BJT104" s="29"/>
      <c r="BJU104" s="29"/>
      <c r="BJV104" s="29"/>
      <c r="BJW104" s="29"/>
      <c r="BJX104" s="29"/>
      <c r="BJY104" s="29"/>
      <c r="BJZ104" s="29"/>
      <c r="BKA104" s="29"/>
      <c r="BKB104" s="29"/>
      <c r="BKC104" s="29"/>
      <c r="BKD104" s="29"/>
      <c r="BKE104" s="29"/>
      <c r="BKF104" s="29"/>
      <c r="BKG104" s="29"/>
      <c r="BKH104" s="29"/>
      <c r="BKI104" s="29"/>
      <c r="BKJ104" s="29"/>
      <c r="BKK104" s="29"/>
      <c r="BKL104" s="29"/>
      <c r="BKM104" s="29"/>
      <c r="BKN104" s="29"/>
      <c r="BKO104" s="29"/>
      <c r="BKP104" s="29"/>
      <c r="BKQ104" s="29"/>
      <c r="BKR104" s="29"/>
      <c r="BKS104" s="29"/>
      <c r="BKT104" s="29"/>
      <c r="BKU104" s="29"/>
      <c r="BKV104" s="29"/>
      <c r="BKW104" s="29"/>
      <c r="BKX104" s="29"/>
      <c r="BKY104" s="29"/>
      <c r="BKZ104" s="29"/>
      <c r="BLA104" s="29"/>
      <c r="BLB104" s="29"/>
      <c r="BLC104" s="29"/>
      <c r="BLD104" s="29"/>
      <c r="BLE104" s="29"/>
      <c r="BLF104" s="29"/>
      <c r="BLG104" s="29"/>
      <c r="BLH104" s="29"/>
      <c r="BLI104" s="29"/>
      <c r="BLJ104" s="29"/>
      <c r="BLK104" s="29"/>
      <c r="BLL104" s="29"/>
      <c r="BLM104" s="29"/>
      <c r="BLN104" s="29"/>
      <c r="BLO104" s="29"/>
      <c r="BLP104" s="29"/>
      <c r="BLQ104" s="29"/>
      <c r="BLR104" s="29"/>
      <c r="BLS104" s="29"/>
      <c r="BLT104" s="29"/>
      <c r="BLU104" s="29"/>
      <c r="BLV104" s="29"/>
      <c r="BLW104" s="29"/>
      <c r="BLX104" s="29"/>
      <c r="BLY104" s="29"/>
      <c r="BLZ104" s="29"/>
      <c r="BMA104" s="29"/>
      <c r="BMB104" s="29"/>
      <c r="BMC104" s="29"/>
      <c r="BMD104" s="29"/>
      <c r="BME104" s="29"/>
      <c r="BMF104" s="29"/>
      <c r="BMG104" s="29"/>
      <c r="BMH104" s="29"/>
      <c r="BMI104" s="29"/>
      <c r="BMJ104" s="29"/>
      <c r="BMK104" s="29"/>
      <c r="BML104" s="29"/>
      <c r="BMM104" s="29"/>
      <c r="BMN104" s="29"/>
      <c r="BMO104" s="29"/>
      <c r="BMP104" s="29"/>
      <c r="BMQ104" s="29"/>
      <c r="BMR104" s="29"/>
      <c r="BMS104" s="29"/>
      <c r="BMT104" s="29"/>
      <c r="BMU104" s="29"/>
      <c r="BMV104" s="29"/>
      <c r="BMW104" s="29"/>
      <c r="BMX104" s="29"/>
      <c r="BMY104" s="29"/>
      <c r="BMZ104" s="29"/>
      <c r="BNA104" s="29"/>
      <c r="BNB104" s="29"/>
      <c r="BNC104" s="29"/>
      <c r="BND104" s="29"/>
      <c r="BNE104" s="29"/>
      <c r="BNF104" s="29"/>
      <c r="BNG104" s="29"/>
      <c r="BNH104" s="29"/>
      <c r="BNI104" s="29"/>
      <c r="BNJ104" s="29"/>
      <c r="BNK104" s="29"/>
      <c r="BNL104" s="29"/>
      <c r="BNM104" s="29"/>
      <c r="BNN104" s="29"/>
      <c r="BNO104" s="29"/>
      <c r="BNP104" s="29"/>
      <c r="BNQ104" s="29"/>
      <c r="BNR104" s="29"/>
      <c r="BNS104" s="29"/>
      <c r="BNT104" s="29"/>
      <c r="BNU104" s="29"/>
      <c r="BNV104" s="29"/>
      <c r="BNW104" s="29"/>
      <c r="BNX104" s="29"/>
      <c r="BNY104" s="29"/>
      <c r="BNZ104" s="29"/>
      <c r="BOA104" s="29"/>
      <c r="BOB104" s="29"/>
      <c r="BOC104" s="29"/>
      <c r="BOD104" s="29"/>
      <c r="BOE104" s="29"/>
      <c r="BOF104" s="29"/>
      <c r="BOG104" s="29"/>
      <c r="BOH104" s="29"/>
      <c r="BOI104" s="29"/>
      <c r="BOJ104" s="29"/>
      <c r="BOK104" s="29"/>
      <c r="BOL104" s="29"/>
      <c r="BOM104" s="29"/>
      <c r="BON104" s="29"/>
      <c r="BOO104" s="29"/>
      <c r="BOP104" s="29"/>
      <c r="BOQ104" s="29"/>
      <c r="BOR104" s="29"/>
      <c r="BOS104" s="29"/>
      <c r="BOT104" s="29"/>
      <c r="BOU104" s="29"/>
      <c r="BOV104" s="29"/>
      <c r="BOW104" s="29"/>
      <c r="BOX104" s="29"/>
      <c r="BOY104" s="29"/>
      <c r="BOZ104" s="29"/>
      <c r="BPA104" s="29"/>
      <c r="BPB104" s="29"/>
      <c r="BPC104" s="29"/>
      <c r="BPD104" s="29"/>
      <c r="BPE104" s="29"/>
      <c r="BPF104" s="29"/>
      <c r="BPG104" s="29"/>
      <c r="BPH104" s="29"/>
      <c r="BPI104" s="29"/>
      <c r="BPJ104" s="29"/>
      <c r="BPK104" s="29"/>
      <c r="BPL104" s="29"/>
      <c r="BPM104" s="29"/>
      <c r="BPN104" s="29"/>
      <c r="BPO104" s="29"/>
      <c r="BPP104" s="29"/>
      <c r="BPQ104" s="29"/>
      <c r="BPR104" s="29"/>
      <c r="BPS104" s="29"/>
      <c r="BPT104" s="29"/>
      <c r="BPU104" s="29"/>
      <c r="BPV104" s="29"/>
      <c r="BPW104" s="29"/>
      <c r="BPX104" s="29"/>
      <c r="BPY104" s="29"/>
      <c r="BPZ104" s="29"/>
      <c r="BQA104" s="29"/>
      <c r="BQB104" s="29"/>
      <c r="BQC104" s="29"/>
      <c r="BQD104" s="29"/>
      <c r="BQE104" s="29"/>
      <c r="BQF104" s="29"/>
      <c r="BQG104" s="29"/>
      <c r="BQH104" s="29"/>
      <c r="BQI104" s="29"/>
      <c r="BQJ104" s="29"/>
      <c r="BQK104" s="29"/>
      <c r="BQL104" s="29"/>
      <c r="BQM104" s="29"/>
      <c r="BQN104" s="29"/>
      <c r="BQO104" s="29"/>
      <c r="BQP104" s="29"/>
      <c r="BQQ104" s="29"/>
      <c r="BQR104" s="29"/>
      <c r="BQS104" s="29"/>
      <c r="BQT104" s="29"/>
      <c r="BQU104" s="29"/>
      <c r="BQV104" s="29"/>
      <c r="BQW104" s="29"/>
      <c r="BQX104" s="29"/>
      <c r="BQY104" s="29"/>
      <c r="BQZ104" s="29"/>
      <c r="BRA104" s="29"/>
      <c r="BRB104" s="29"/>
      <c r="BRC104" s="29"/>
      <c r="BRD104" s="29"/>
      <c r="BRE104" s="29"/>
      <c r="BRF104" s="29"/>
      <c r="BRG104" s="29"/>
      <c r="BRH104" s="29"/>
      <c r="BRI104" s="29"/>
      <c r="BRJ104" s="29"/>
      <c r="BRK104" s="29"/>
      <c r="BRL104" s="29"/>
      <c r="BRM104" s="29"/>
      <c r="BRN104" s="29"/>
      <c r="BRO104" s="29"/>
      <c r="BRP104" s="29"/>
      <c r="BRQ104" s="29"/>
      <c r="BRR104" s="29"/>
      <c r="BRS104" s="29"/>
      <c r="BRT104" s="29"/>
      <c r="BRU104" s="29"/>
      <c r="BRV104" s="29"/>
      <c r="BRW104" s="29"/>
      <c r="BRX104" s="29"/>
      <c r="BRY104" s="29"/>
      <c r="BRZ104" s="29"/>
      <c r="BSA104" s="29"/>
      <c r="BSB104" s="29"/>
      <c r="BSC104" s="29"/>
      <c r="BSD104" s="29"/>
      <c r="BSE104" s="29"/>
      <c r="BSF104" s="29"/>
      <c r="BSG104" s="29"/>
      <c r="BSH104" s="29"/>
      <c r="BSI104" s="29"/>
      <c r="BSJ104" s="29"/>
      <c r="BSK104" s="29"/>
      <c r="BSL104" s="29"/>
      <c r="BSM104" s="29"/>
      <c r="BSN104" s="29"/>
      <c r="BSO104" s="29"/>
      <c r="BSP104" s="29"/>
      <c r="BSQ104" s="29"/>
      <c r="BSR104" s="29"/>
      <c r="BSS104" s="29"/>
      <c r="BST104" s="29"/>
      <c r="BSU104" s="29"/>
      <c r="BSV104" s="29"/>
      <c r="BSW104" s="29"/>
      <c r="BSX104" s="29"/>
      <c r="BSY104" s="29"/>
      <c r="BSZ104" s="29"/>
      <c r="BTA104" s="29"/>
      <c r="BTB104" s="29"/>
      <c r="BTC104" s="29"/>
      <c r="BTD104" s="29"/>
      <c r="BTE104" s="29"/>
      <c r="BTF104" s="29"/>
      <c r="BTG104" s="29"/>
      <c r="BTH104" s="29"/>
      <c r="BTI104" s="29"/>
      <c r="BTJ104" s="29"/>
      <c r="BTK104" s="29"/>
      <c r="BTL104" s="29"/>
      <c r="BTM104" s="29"/>
      <c r="BTN104" s="29"/>
      <c r="BTO104" s="29"/>
      <c r="BTP104" s="29"/>
      <c r="BTQ104" s="29"/>
      <c r="BTR104" s="29"/>
      <c r="BTS104" s="29"/>
      <c r="BTT104" s="29"/>
      <c r="BTU104" s="29"/>
      <c r="BTV104" s="29"/>
      <c r="BTW104" s="29"/>
      <c r="BTX104" s="29"/>
      <c r="BTY104" s="29"/>
      <c r="BTZ104" s="29"/>
      <c r="BUA104" s="29"/>
      <c r="BUB104" s="29"/>
      <c r="BUC104" s="29"/>
      <c r="BUD104" s="29"/>
      <c r="BUE104" s="29"/>
      <c r="BUF104" s="29"/>
      <c r="BUG104" s="29"/>
      <c r="BUH104" s="29"/>
      <c r="BUI104" s="29"/>
      <c r="BUJ104" s="29"/>
      <c r="BUK104" s="29"/>
      <c r="BUL104" s="29"/>
      <c r="BUM104" s="29"/>
      <c r="BUN104" s="29"/>
      <c r="BUO104" s="29"/>
      <c r="BUP104" s="29"/>
      <c r="BUQ104" s="29"/>
      <c r="BUR104" s="29"/>
      <c r="BUS104" s="29"/>
      <c r="BUT104" s="29"/>
      <c r="BUU104" s="29"/>
      <c r="BUV104" s="29"/>
      <c r="BUW104" s="29"/>
      <c r="BUX104" s="29"/>
      <c r="BUY104" s="29"/>
      <c r="BUZ104" s="29"/>
      <c r="BVA104" s="29"/>
      <c r="BVB104" s="29"/>
      <c r="BVC104" s="29"/>
      <c r="BVD104" s="29"/>
      <c r="BVE104" s="29"/>
      <c r="BVF104" s="29"/>
      <c r="BVG104" s="29"/>
      <c r="BVH104" s="29"/>
      <c r="BVI104" s="29"/>
      <c r="BVJ104" s="29"/>
      <c r="BVK104" s="29"/>
      <c r="BVL104" s="29"/>
      <c r="BVM104" s="29"/>
      <c r="BVN104" s="29"/>
      <c r="BVO104" s="29"/>
      <c r="BVP104" s="29"/>
      <c r="BVQ104" s="29"/>
      <c r="BVR104" s="29"/>
      <c r="BVS104" s="29"/>
      <c r="BVT104" s="29"/>
      <c r="BVU104" s="29"/>
      <c r="BVV104" s="29"/>
      <c r="BVW104" s="29"/>
      <c r="BVX104" s="29"/>
      <c r="BVY104" s="29"/>
      <c r="BVZ104" s="29"/>
      <c r="BWA104" s="29"/>
      <c r="BWB104" s="29"/>
      <c r="BWC104" s="29"/>
      <c r="BWD104" s="29"/>
      <c r="BWE104" s="29"/>
      <c r="BWF104" s="29"/>
      <c r="BWG104" s="29"/>
      <c r="BWH104" s="29"/>
      <c r="BWI104" s="29"/>
      <c r="BWJ104" s="29"/>
      <c r="BWK104" s="29"/>
      <c r="BWL104" s="29"/>
      <c r="BWM104" s="29"/>
      <c r="BWN104" s="29"/>
      <c r="BWO104" s="29"/>
      <c r="BWP104" s="29"/>
      <c r="BWQ104" s="29"/>
      <c r="BWR104" s="29"/>
      <c r="BWS104" s="29"/>
      <c r="BWT104" s="29"/>
      <c r="BWU104" s="29"/>
      <c r="BWV104" s="29"/>
      <c r="BWW104" s="29"/>
      <c r="BWX104" s="29"/>
      <c r="BWY104" s="29"/>
      <c r="BWZ104" s="29"/>
      <c r="BXA104" s="29"/>
      <c r="BXB104" s="29"/>
      <c r="BXC104" s="29"/>
      <c r="BXD104" s="29"/>
      <c r="BXE104" s="29"/>
      <c r="BXF104" s="29"/>
      <c r="BXG104" s="29"/>
      <c r="BXH104" s="29"/>
      <c r="BXI104" s="29"/>
      <c r="BXJ104" s="29"/>
      <c r="BXK104" s="29"/>
      <c r="BXL104" s="29"/>
      <c r="BXM104" s="29"/>
      <c r="BXN104" s="29"/>
      <c r="BXO104" s="29"/>
      <c r="BXP104" s="29"/>
      <c r="BXQ104" s="29"/>
      <c r="BXR104" s="29"/>
      <c r="BXS104" s="29"/>
      <c r="BXT104" s="29"/>
      <c r="BXU104" s="29"/>
      <c r="BXV104" s="29"/>
      <c r="BXW104" s="29"/>
      <c r="BXX104" s="29"/>
      <c r="BXY104" s="29"/>
      <c r="BXZ104" s="29"/>
      <c r="BYA104" s="29"/>
      <c r="BYB104" s="29"/>
      <c r="BYC104" s="29"/>
      <c r="BYD104" s="29"/>
      <c r="BYE104" s="29"/>
      <c r="BYF104" s="29"/>
      <c r="BYG104" s="29"/>
      <c r="BYH104" s="29"/>
      <c r="BYI104" s="29"/>
      <c r="BYJ104" s="29"/>
      <c r="BYK104" s="29"/>
      <c r="BYL104" s="29"/>
      <c r="BYM104" s="29"/>
      <c r="BYN104" s="29"/>
      <c r="BYO104" s="29"/>
      <c r="BYP104" s="29"/>
      <c r="BYQ104" s="29"/>
      <c r="BYR104" s="29"/>
      <c r="BYS104" s="29"/>
      <c r="BYT104" s="29"/>
      <c r="BYU104" s="29"/>
      <c r="BYV104" s="29"/>
      <c r="BYW104" s="29"/>
      <c r="BYX104" s="29"/>
      <c r="BYY104" s="29"/>
      <c r="BYZ104" s="29"/>
      <c r="BZA104" s="29"/>
      <c r="BZB104" s="29"/>
      <c r="BZC104" s="29"/>
      <c r="BZD104" s="29"/>
      <c r="BZE104" s="29"/>
      <c r="BZF104" s="29"/>
      <c r="BZG104" s="29"/>
      <c r="BZH104" s="29"/>
      <c r="BZI104" s="29"/>
      <c r="BZJ104" s="29"/>
      <c r="BZK104" s="29"/>
      <c r="BZL104" s="29"/>
      <c r="BZM104" s="29"/>
      <c r="BZN104" s="29"/>
      <c r="BZO104" s="29"/>
      <c r="BZP104" s="29"/>
      <c r="BZQ104" s="29"/>
      <c r="BZR104" s="29"/>
      <c r="BZS104" s="29"/>
      <c r="BZT104" s="29"/>
      <c r="BZU104" s="29"/>
      <c r="BZV104" s="29"/>
      <c r="BZW104" s="29"/>
      <c r="BZX104" s="29"/>
      <c r="BZY104" s="29"/>
      <c r="BZZ104" s="29"/>
      <c r="CAA104" s="29"/>
      <c r="CAB104" s="29"/>
      <c r="CAC104" s="29"/>
      <c r="CAD104" s="29"/>
      <c r="CAE104" s="29"/>
      <c r="CAF104" s="29"/>
      <c r="CAG104" s="29"/>
      <c r="CAH104" s="29"/>
      <c r="CAI104" s="29"/>
      <c r="CAJ104" s="29"/>
      <c r="CAK104" s="29"/>
      <c r="CAL104" s="29"/>
      <c r="CAM104" s="29"/>
      <c r="CAN104" s="29"/>
      <c r="CAO104" s="29"/>
      <c r="CAP104" s="29"/>
      <c r="CAQ104" s="29"/>
      <c r="CAR104" s="29"/>
      <c r="CAS104" s="29"/>
      <c r="CAT104" s="29"/>
      <c r="CAU104" s="29"/>
      <c r="CAV104" s="29"/>
      <c r="CAW104" s="29"/>
      <c r="CAX104" s="29"/>
      <c r="CAY104" s="29"/>
      <c r="CAZ104" s="29"/>
      <c r="CBA104" s="29"/>
      <c r="CBB104" s="29"/>
      <c r="CBC104" s="29"/>
      <c r="CBD104" s="29"/>
      <c r="CBE104" s="29"/>
      <c r="CBF104" s="29"/>
      <c r="CBG104" s="29"/>
      <c r="CBH104" s="29"/>
      <c r="CBI104" s="29"/>
      <c r="CBJ104" s="29"/>
      <c r="CBK104" s="29"/>
      <c r="CBL104" s="29"/>
      <c r="CBM104" s="29"/>
      <c r="CBN104" s="29"/>
      <c r="CBO104" s="29"/>
      <c r="CBP104" s="29"/>
      <c r="CBQ104" s="29"/>
      <c r="CBR104" s="29"/>
      <c r="CBS104" s="29"/>
      <c r="CBT104" s="29"/>
      <c r="CBU104" s="29"/>
      <c r="CBV104" s="29"/>
      <c r="CBW104" s="29"/>
      <c r="CBX104" s="29"/>
      <c r="CBY104" s="29"/>
      <c r="CBZ104" s="29"/>
      <c r="CCA104" s="29"/>
      <c r="CCB104" s="29"/>
      <c r="CCC104" s="29"/>
      <c r="CCD104" s="29"/>
      <c r="CCE104" s="29"/>
      <c r="CCF104" s="29"/>
      <c r="CCG104" s="29"/>
      <c r="CCH104" s="29"/>
      <c r="CCI104" s="29"/>
      <c r="CCJ104" s="29"/>
      <c r="CCK104" s="29"/>
      <c r="CCL104" s="29"/>
      <c r="CCM104" s="29"/>
      <c r="CCN104" s="29"/>
      <c r="CCO104" s="29"/>
      <c r="CCP104" s="29"/>
      <c r="CCQ104" s="29"/>
      <c r="CCR104" s="29"/>
      <c r="CCS104" s="29"/>
      <c r="CCT104" s="29"/>
      <c r="CCU104" s="29"/>
      <c r="CCV104" s="29"/>
      <c r="CCW104" s="29"/>
      <c r="CCX104" s="29"/>
      <c r="CCY104" s="29"/>
      <c r="CCZ104" s="29"/>
      <c r="CDA104" s="29"/>
      <c r="CDB104" s="29"/>
      <c r="CDC104" s="29"/>
      <c r="CDD104" s="29"/>
      <c r="CDE104" s="29"/>
      <c r="CDF104" s="29"/>
      <c r="CDG104" s="29"/>
      <c r="CDH104" s="29"/>
      <c r="CDI104" s="29"/>
      <c r="CDJ104" s="29"/>
      <c r="CDK104" s="29"/>
      <c r="CDL104" s="29"/>
      <c r="CDM104" s="29"/>
      <c r="CDN104" s="29"/>
      <c r="CDO104" s="29"/>
      <c r="CDP104" s="29"/>
      <c r="CDQ104" s="29"/>
      <c r="CDR104" s="29"/>
      <c r="CDS104" s="29"/>
      <c r="CDT104" s="29"/>
      <c r="CDU104" s="29"/>
      <c r="CDV104" s="29"/>
      <c r="CDW104" s="29"/>
      <c r="CDX104" s="29"/>
      <c r="CDY104" s="29"/>
      <c r="CDZ104" s="29"/>
      <c r="CEA104" s="29"/>
      <c r="CEB104" s="29"/>
      <c r="CEC104" s="29"/>
      <c r="CED104" s="29"/>
      <c r="CEE104" s="29"/>
      <c r="CEF104" s="29"/>
      <c r="CEG104" s="29"/>
      <c r="CEH104" s="29"/>
      <c r="CEI104" s="29"/>
      <c r="CEJ104" s="29"/>
      <c r="CEK104" s="29"/>
      <c r="CEL104" s="29"/>
      <c r="CEM104" s="29"/>
      <c r="CEN104" s="29"/>
      <c r="CEO104" s="29"/>
      <c r="CEP104" s="29"/>
      <c r="CEQ104" s="29"/>
      <c r="CER104" s="29"/>
      <c r="CES104" s="29"/>
      <c r="CET104" s="29"/>
      <c r="CEU104" s="29"/>
      <c r="CEV104" s="29"/>
      <c r="CEW104" s="29"/>
      <c r="CEX104" s="29"/>
      <c r="CEY104" s="29"/>
      <c r="CEZ104" s="29"/>
      <c r="CFA104" s="29"/>
      <c r="CFB104" s="29"/>
      <c r="CFC104" s="29"/>
      <c r="CFD104" s="29"/>
      <c r="CFE104" s="29"/>
      <c r="CFF104" s="29"/>
      <c r="CFG104" s="29"/>
      <c r="CFH104" s="29"/>
      <c r="CFI104" s="29"/>
      <c r="CFJ104" s="29"/>
      <c r="CFK104" s="29"/>
      <c r="CFL104" s="29"/>
      <c r="CFM104" s="29"/>
      <c r="CFN104" s="29"/>
      <c r="CFO104" s="29"/>
      <c r="CFP104" s="29"/>
      <c r="CFQ104" s="29"/>
      <c r="CFR104" s="29"/>
      <c r="CFS104" s="29"/>
      <c r="CFT104" s="29"/>
      <c r="CFU104" s="29"/>
      <c r="CFV104" s="29"/>
      <c r="CFW104" s="29"/>
      <c r="CFX104" s="29"/>
      <c r="CFY104" s="29"/>
      <c r="CFZ104" s="29"/>
      <c r="CGA104" s="29"/>
      <c r="CGB104" s="29"/>
      <c r="CGC104" s="29"/>
      <c r="CGD104" s="29"/>
      <c r="CGE104" s="29"/>
      <c r="CGF104" s="29"/>
      <c r="CGG104" s="29"/>
      <c r="CGH104" s="29"/>
      <c r="CGI104" s="29"/>
      <c r="CGJ104" s="29"/>
      <c r="CGK104" s="29"/>
      <c r="CGL104" s="29"/>
      <c r="CGM104" s="29"/>
      <c r="CGN104" s="29"/>
      <c r="CGO104" s="29"/>
      <c r="CGP104" s="29"/>
      <c r="CGQ104" s="29"/>
      <c r="CGR104" s="29"/>
      <c r="CGS104" s="29"/>
      <c r="CGT104" s="29"/>
      <c r="CGU104" s="29"/>
      <c r="CGV104" s="29"/>
      <c r="CGW104" s="29"/>
      <c r="CGX104" s="29"/>
      <c r="CGY104" s="29"/>
      <c r="CGZ104" s="29"/>
      <c r="CHA104" s="29"/>
      <c r="CHB104" s="29"/>
      <c r="CHC104" s="29"/>
      <c r="CHD104" s="29"/>
      <c r="CHE104" s="29"/>
      <c r="CHF104" s="29"/>
      <c r="CHG104" s="29"/>
      <c r="CHH104" s="29"/>
      <c r="CHI104" s="29"/>
      <c r="CHJ104" s="29"/>
      <c r="CHK104" s="29"/>
      <c r="CHL104" s="29"/>
      <c r="CHM104" s="29"/>
      <c r="CHN104" s="29"/>
      <c r="CHO104" s="29"/>
      <c r="CHP104" s="29"/>
      <c r="CHQ104" s="29"/>
      <c r="CHR104" s="29"/>
      <c r="CHS104" s="29"/>
      <c r="CHT104" s="29"/>
      <c r="CHU104" s="29"/>
      <c r="CHV104" s="29"/>
      <c r="CHW104" s="29"/>
      <c r="CHX104" s="29"/>
      <c r="CHY104" s="29"/>
      <c r="CHZ104" s="29"/>
      <c r="CIA104" s="29"/>
      <c r="CIB104" s="29"/>
      <c r="CIC104" s="29"/>
      <c r="CID104" s="29"/>
      <c r="CIE104" s="29"/>
      <c r="CIF104" s="29"/>
      <c r="CIG104" s="29"/>
      <c r="CIH104" s="29"/>
      <c r="CII104" s="29"/>
      <c r="CIJ104" s="29"/>
      <c r="CIK104" s="29"/>
      <c r="CIL104" s="29"/>
      <c r="CIM104" s="29"/>
      <c r="CIN104" s="29"/>
      <c r="CIO104" s="29"/>
      <c r="CIP104" s="29"/>
      <c r="CIQ104" s="29"/>
      <c r="CIR104" s="29"/>
      <c r="CIS104" s="29"/>
      <c r="CIT104" s="29"/>
      <c r="CIU104" s="29"/>
      <c r="CIV104" s="29"/>
      <c r="CIW104" s="29"/>
      <c r="CIX104" s="29"/>
      <c r="CIY104" s="29"/>
      <c r="CIZ104" s="29"/>
      <c r="CJA104" s="29"/>
      <c r="CJB104" s="29"/>
      <c r="CJC104" s="29"/>
      <c r="CJD104" s="29"/>
      <c r="CJE104" s="29"/>
      <c r="CJF104" s="29"/>
      <c r="CJG104" s="29"/>
      <c r="CJH104" s="29"/>
      <c r="CJI104" s="29"/>
      <c r="CJJ104" s="29"/>
      <c r="CJK104" s="29"/>
      <c r="CJL104" s="29"/>
      <c r="CJM104" s="29"/>
      <c r="CJN104" s="29"/>
      <c r="CJO104" s="29"/>
      <c r="CJP104" s="29"/>
      <c r="CJQ104" s="29"/>
      <c r="CJR104" s="29"/>
      <c r="CJS104" s="29"/>
      <c r="CJT104" s="29"/>
      <c r="CJU104" s="29"/>
      <c r="CJV104" s="29"/>
      <c r="CJW104" s="29"/>
      <c r="CJX104" s="29"/>
      <c r="CJY104" s="29"/>
      <c r="CJZ104" s="29"/>
      <c r="CKA104" s="29"/>
      <c r="CKB104" s="29"/>
      <c r="CKC104" s="29"/>
      <c r="CKD104" s="29"/>
      <c r="CKE104" s="29"/>
      <c r="CKF104" s="29"/>
      <c r="CKG104" s="29"/>
      <c r="CKH104" s="29"/>
      <c r="CKI104" s="29"/>
      <c r="CKJ104" s="29"/>
      <c r="CKK104" s="29"/>
      <c r="CKL104" s="29"/>
      <c r="CKM104" s="29"/>
      <c r="CKN104" s="29"/>
      <c r="CKO104" s="29"/>
      <c r="CKP104" s="29"/>
      <c r="CKQ104" s="29"/>
      <c r="CKR104" s="29"/>
      <c r="CKS104" s="29"/>
      <c r="CKT104" s="29"/>
      <c r="CKU104" s="29"/>
      <c r="CKV104" s="29"/>
      <c r="CKW104" s="29"/>
      <c r="CKX104" s="29"/>
      <c r="CKY104" s="29"/>
      <c r="CKZ104" s="29"/>
      <c r="CLA104" s="29"/>
      <c r="CLB104" s="29"/>
      <c r="CLC104" s="29"/>
      <c r="CLD104" s="29"/>
      <c r="CLE104" s="29"/>
      <c r="CLF104" s="29"/>
      <c r="CLG104" s="29"/>
      <c r="CLH104" s="29"/>
      <c r="CLI104" s="29"/>
      <c r="CLJ104" s="29"/>
      <c r="CLK104" s="29"/>
      <c r="CLL104" s="29"/>
      <c r="CLM104" s="29"/>
      <c r="CLN104" s="29"/>
      <c r="CLO104" s="29"/>
      <c r="CLP104" s="29"/>
      <c r="CLQ104" s="29"/>
      <c r="CLR104" s="29"/>
      <c r="CLS104" s="29"/>
      <c r="CLT104" s="29"/>
      <c r="CLU104" s="29"/>
      <c r="CLV104" s="29"/>
      <c r="CLW104" s="29"/>
      <c r="CLX104" s="29"/>
      <c r="CLY104" s="29"/>
      <c r="CLZ104" s="29"/>
      <c r="CMA104" s="29"/>
      <c r="CMB104" s="29"/>
      <c r="CMC104" s="29"/>
      <c r="CMD104" s="29"/>
      <c r="CME104" s="29"/>
      <c r="CMF104" s="29"/>
      <c r="CMG104" s="29"/>
      <c r="CMH104" s="29"/>
      <c r="CMI104" s="29"/>
      <c r="CMJ104" s="29"/>
      <c r="CMK104" s="29"/>
      <c r="CML104" s="29"/>
      <c r="CMM104" s="29"/>
      <c r="CMN104" s="29"/>
      <c r="CMO104" s="29"/>
      <c r="CMP104" s="29"/>
      <c r="CMQ104" s="29"/>
      <c r="CMR104" s="29"/>
      <c r="CMS104" s="29"/>
      <c r="CMT104" s="29"/>
      <c r="CMU104" s="29"/>
      <c r="CMV104" s="29"/>
      <c r="CMW104" s="29"/>
      <c r="CMX104" s="29"/>
      <c r="CMY104" s="29"/>
      <c r="CMZ104" s="29"/>
      <c r="CNA104" s="29"/>
      <c r="CNB104" s="29"/>
      <c r="CNC104" s="29"/>
      <c r="CND104" s="29"/>
      <c r="CNE104" s="29"/>
      <c r="CNF104" s="29"/>
      <c r="CNG104" s="29"/>
      <c r="CNH104" s="29"/>
      <c r="CNI104" s="29"/>
      <c r="CNJ104" s="29"/>
      <c r="CNK104" s="29"/>
      <c r="CNL104" s="29"/>
      <c r="CNM104" s="29"/>
      <c r="CNN104" s="29"/>
      <c r="CNO104" s="29"/>
      <c r="CNP104" s="29"/>
      <c r="CNQ104" s="29"/>
      <c r="CNR104" s="29"/>
      <c r="CNS104" s="29"/>
      <c r="CNT104" s="29"/>
      <c r="CNU104" s="29"/>
      <c r="CNV104" s="29"/>
      <c r="CNW104" s="29"/>
      <c r="CNX104" s="29"/>
      <c r="CNY104" s="29"/>
      <c r="CNZ104" s="29"/>
      <c r="COA104" s="29"/>
      <c r="COB104" s="29"/>
      <c r="COC104" s="29"/>
      <c r="COD104" s="29"/>
      <c r="COE104" s="29"/>
      <c r="COF104" s="29"/>
      <c r="COG104" s="29"/>
      <c r="COH104" s="29"/>
      <c r="COI104" s="29"/>
      <c r="COJ104" s="29"/>
      <c r="COK104" s="29"/>
      <c r="COL104" s="29"/>
      <c r="COM104" s="29"/>
      <c r="CON104" s="29"/>
      <c r="COO104" s="29"/>
      <c r="COP104" s="29"/>
      <c r="COQ104" s="29"/>
      <c r="COR104" s="29"/>
      <c r="COS104" s="29"/>
      <c r="COT104" s="29"/>
      <c r="COU104" s="29"/>
      <c r="COV104" s="29"/>
      <c r="COW104" s="29"/>
      <c r="COX104" s="29"/>
      <c r="COY104" s="29"/>
      <c r="COZ104" s="29"/>
      <c r="CPA104" s="29"/>
      <c r="CPB104" s="29"/>
      <c r="CPC104" s="29"/>
      <c r="CPD104" s="29"/>
      <c r="CPE104" s="29"/>
      <c r="CPF104" s="29"/>
      <c r="CPG104" s="29"/>
      <c r="CPH104" s="29"/>
      <c r="CPI104" s="29"/>
      <c r="CPJ104" s="29"/>
      <c r="CPK104" s="29"/>
      <c r="CPL104" s="29"/>
      <c r="CPM104" s="29"/>
      <c r="CPN104" s="29"/>
      <c r="CPO104" s="29"/>
      <c r="CPP104" s="29"/>
      <c r="CPQ104" s="29"/>
      <c r="CPR104" s="29"/>
      <c r="CPS104" s="29"/>
      <c r="CPT104" s="29"/>
      <c r="CPU104" s="29"/>
      <c r="CPV104" s="29"/>
      <c r="CPW104" s="29"/>
      <c r="CPX104" s="29"/>
      <c r="CPY104" s="29"/>
      <c r="CPZ104" s="29"/>
      <c r="CQA104" s="29"/>
      <c r="CQB104" s="29"/>
      <c r="CQC104" s="29"/>
      <c r="CQD104" s="29"/>
      <c r="CQE104" s="29"/>
      <c r="CQF104" s="29"/>
      <c r="CQG104" s="29"/>
      <c r="CQH104" s="29"/>
      <c r="CQI104" s="29"/>
      <c r="CQJ104" s="29"/>
      <c r="CQK104" s="29"/>
      <c r="CQL104" s="29"/>
      <c r="CQM104" s="29"/>
      <c r="CQN104" s="29"/>
      <c r="CQO104" s="29"/>
      <c r="CQP104" s="29"/>
      <c r="CQQ104" s="29"/>
      <c r="CQR104" s="29"/>
      <c r="CQS104" s="29"/>
      <c r="CQT104" s="29"/>
      <c r="CQU104" s="29"/>
      <c r="CQV104" s="29"/>
      <c r="CQW104" s="29"/>
      <c r="CQX104" s="29"/>
      <c r="CQY104" s="29"/>
      <c r="CQZ104" s="29"/>
      <c r="CRA104" s="29"/>
      <c r="CRB104" s="29"/>
      <c r="CRC104" s="29"/>
      <c r="CRD104" s="29"/>
      <c r="CRE104" s="29"/>
      <c r="CRF104" s="29"/>
      <c r="CRG104" s="29"/>
      <c r="CRH104" s="29"/>
      <c r="CRI104" s="29"/>
      <c r="CRJ104" s="29"/>
      <c r="CRK104" s="29"/>
      <c r="CRL104" s="29"/>
      <c r="CRM104" s="29"/>
      <c r="CRN104" s="29"/>
      <c r="CRO104" s="29"/>
      <c r="CRP104" s="29"/>
      <c r="CRQ104" s="29"/>
      <c r="CRR104" s="29"/>
      <c r="CRS104" s="29"/>
      <c r="CRT104" s="29"/>
      <c r="CRU104" s="29"/>
      <c r="CRV104" s="29"/>
      <c r="CRW104" s="29"/>
      <c r="CRX104" s="29"/>
      <c r="CRY104" s="29"/>
      <c r="CRZ104" s="29"/>
      <c r="CSA104" s="29"/>
      <c r="CSB104" s="29"/>
      <c r="CSC104" s="29"/>
      <c r="CSD104" s="29"/>
      <c r="CSE104" s="29"/>
      <c r="CSF104" s="29"/>
      <c r="CSG104" s="29"/>
      <c r="CSH104" s="29"/>
      <c r="CSI104" s="29"/>
      <c r="CSJ104" s="29"/>
      <c r="CSK104" s="29"/>
      <c r="CSL104" s="29"/>
      <c r="CSM104" s="29"/>
      <c r="CSN104" s="29"/>
      <c r="CSO104" s="29"/>
      <c r="CSP104" s="29"/>
      <c r="CSQ104" s="29"/>
      <c r="CSR104" s="29"/>
      <c r="CSS104" s="29"/>
      <c r="CST104" s="29"/>
      <c r="CSU104" s="29"/>
      <c r="CSV104" s="29"/>
      <c r="CSW104" s="29"/>
      <c r="CSX104" s="29"/>
      <c r="CSY104" s="29"/>
      <c r="CSZ104" s="29"/>
      <c r="CTA104" s="29"/>
      <c r="CTB104" s="29"/>
      <c r="CTC104" s="29"/>
      <c r="CTD104" s="29"/>
      <c r="CTE104" s="29"/>
      <c r="CTF104" s="29"/>
      <c r="CTG104" s="29"/>
      <c r="CTH104" s="29"/>
      <c r="CTI104" s="29"/>
      <c r="CTJ104" s="29"/>
      <c r="CTK104" s="29"/>
      <c r="CTL104" s="29"/>
      <c r="CTM104" s="29"/>
      <c r="CTN104" s="29"/>
      <c r="CTO104" s="29"/>
      <c r="CTP104" s="29"/>
      <c r="CTQ104" s="29"/>
      <c r="CTR104" s="29"/>
      <c r="CTS104" s="29"/>
      <c r="CTT104" s="29"/>
      <c r="CTU104" s="29"/>
      <c r="CTV104" s="29"/>
      <c r="CTW104" s="29"/>
      <c r="CTX104" s="29"/>
      <c r="CTY104" s="29"/>
      <c r="CTZ104" s="29"/>
      <c r="CUA104" s="29"/>
      <c r="CUB104" s="29"/>
      <c r="CUC104" s="29"/>
      <c r="CUD104" s="29"/>
      <c r="CUE104" s="29"/>
      <c r="CUF104" s="29"/>
      <c r="CUG104" s="29"/>
      <c r="CUH104" s="29"/>
      <c r="CUI104" s="29"/>
      <c r="CUJ104" s="29"/>
      <c r="CUK104" s="29"/>
      <c r="CUL104" s="29"/>
      <c r="CUM104" s="29"/>
      <c r="CUN104" s="29"/>
      <c r="CUO104" s="29"/>
      <c r="CUP104" s="29"/>
      <c r="CUQ104" s="29"/>
      <c r="CUR104" s="29"/>
      <c r="CUS104" s="29"/>
      <c r="CUT104" s="29"/>
      <c r="CUU104" s="29"/>
      <c r="CUV104" s="29"/>
      <c r="CUW104" s="29"/>
      <c r="CUX104" s="29"/>
      <c r="CUY104" s="29"/>
      <c r="CUZ104" s="29"/>
      <c r="CVA104" s="29"/>
      <c r="CVB104" s="29"/>
      <c r="CVC104" s="29"/>
      <c r="CVD104" s="29"/>
      <c r="CVE104" s="29"/>
      <c r="CVF104" s="29"/>
      <c r="CVG104" s="29"/>
      <c r="CVH104" s="29"/>
      <c r="CVI104" s="29"/>
      <c r="CVJ104" s="29"/>
      <c r="CVK104" s="29"/>
      <c r="CVL104" s="29"/>
      <c r="CVM104" s="29"/>
      <c r="CVN104" s="29"/>
      <c r="CVO104" s="29"/>
      <c r="CVP104" s="29"/>
      <c r="CVQ104" s="29"/>
      <c r="CVR104" s="29"/>
      <c r="CVS104" s="29"/>
      <c r="CVT104" s="29"/>
      <c r="CVU104" s="29"/>
      <c r="CVV104" s="29"/>
      <c r="CVW104" s="29"/>
      <c r="CVX104" s="29"/>
      <c r="CVY104" s="29"/>
      <c r="CVZ104" s="29"/>
      <c r="CWA104" s="29"/>
      <c r="CWB104" s="29"/>
      <c r="CWC104" s="29"/>
      <c r="CWD104" s="29"/>
      <c r="CWE104" s="29"/>
      <c r="CWF104" s="29"/>
      <c r="CWG104" s="29"/>
      <c r="CWH104" s="29"/>
      <c r="CWI104" s="29"/>
      <c r="CWJ104" s="29"/>
      <c r="CWK104" s="29"/>
      <c r="CWL104" s="29"/>
      <c r="CWM104" s="29"/>
      <c r="CWN104" s="29"/>
      <c r="CWO104" s="29"/>
      <c r="CWP104" s="29"/>
      <c r="CWQ104" s="29"/>
      <c r="CWR104" s="29"/>
      <c r="CWS104" s="29"/>
      <c r="CWT104" s="29"/>
      <c r="CWU104" s="29"/>
      <c r="CWV104" s="29"/>
      <c r="CWW104" s="29"/>
      <c r="CWX104" s="29"/>
      <c r="CWY104" s="29"/>
      <c r="CWZ104" s="29"/>
      <c r="CXA104" s="29"/>
      <c r="CXB104" s="29"/>
      <c r="CXC104" s="29"/>
      <c r="CXD104" s="29"/>
      <c r="CXE104" s="29"/>
      <c r="CXF104" s="29"/>
      <c r="CXG104" s="29"/>
      <c r="CXH104" s="29"/>
      <c r="CXI104" s="29"/>
      <c r="CXJ104" s="29"/>
      <c r="CXK104" s="29"/>
      <c r="CXL104" s="29"/>
      <c r="CXM104" s="29"/>
      <c r="CXN104" s="29"/>
      <c r="CXO104" s="29"/>
      <c r="CXP104" s="29"/>
      <c r="CXQ104" s="29"/>
      <c r="CXR104" s="29"/>
      <c r="CXS104" s="29"/>
      <c r="CXT104" s="29"/>
      <c r="CXU104" s="29"/>
      <c r="CXV104" s="29"/>
      <c r="CXW104" s="29"/>
      <c r="CXX104" s="29"/>
      <c r="CXY104" s="29"/>
      <c r="CXZ104" s="29"/>
      <c r="CYA104" s="29"/>
      <c r="CYB104" s="29"/>
      <c r="CYC104" s="29"/>
      <c r="CYD104" s="29"/>
      <c r="CYE104" s="29"/>
      <c r="CYF104" s="29"/>
      <c r="CYG104" s="29"/>
      <c r="CYH104" s="29"/>
      <c r="CYI104" s="29"/>
      <c r="CYJ104" s="29"/>
      <c r="CYK104" s="29"/>
      <c r="CYL104" s="29"/>
      <c r="CYM104" s="29"/>
      <c r="CYN104" s="29"/>
      <c r="CYO104" s="29"/>
      <c r="CYP104" s="29"/>
      <c r="CYQ104" s="29"/>
      <c r="CYR104" s="29"/>
      <c r="CYS104" s="29"/>
      <c r="CYT104" s="29"/>
      <c r="CYU104" s="29"/>
      <c r="CYV104" s="29"/>
      <c r="CYW104" s="29"/>
      <c r="CYX104" s="29"/>
      <c r="CYY104" s="29"/>
      <c r="CYZ104" s="29"/>
      <c r="CZA104" s="29"/>
      <c r="CZB104" s="29"/>
      <c r="CZC104" s="29"/>
      <c r="CZD104" s="29"/>
      <c r="CZE104" s="29"/>
      <c r="CZF104" s="29"/>
      <c r="CZG104" s="29"/>
      <c r="CZH104" s="29"/>
      <c r="CZI104" s="29"/>
      <c r="CZJ104" s="29"/>
      <c r="CZK104" s="29"/>
      <c r="CZL104" s="29"/>
      <c r="CZM104" s="29"/>
      <c r="CZN104" s="29"/>
      <c r="CZO104" s="29"/>
      <c r="CZP104" s="29"/>
      <c r="CZQ104" s="29"/>
      <c r="CZR104" s="29"/>
      <c r="CZS104" s="29"/>
      <c r="CZT104" s="29"/>
      <c r="CZU104" s="29"/>
      <c r="CZV104" s="29"/>
      <c r="CZW104" s="29"/>
      <c r="CZX104" s="29"/>
      <c r="CZY104" s="29"/>
      <c r="CZZ104" s="29"/>
      <c r="DAA104" s="29"/>
      <c r="DAB104" s="29"/>
      <c r="DAC104" s="29"/>
      <c r="DAD104" s="29"/>
      <c r="DAE104" s="29"/>
      <c r="DAF104" s="29"/>
      <c r="DAG104" s="29"/>
      <c r="DAH104" s="29"/>
      <c r="DAI104" s="29"/>
      <c r="DAJ104" s="29"/>
      <c r="DAK104" s="29"/>
      <c r="DAL104" s="29"/>
      <c r="DAM104" s="29"/>
      <c r="DAN104" s="29"/>
      <c r="DAO104" s="29"/>
      <c r="DAP104" s="29"/>
      <c r="DAQ104" s="29"/>
      <c r="DAR104" s="29"/>
      <c r="DAS104" s="29"/>
      <c r="DAT104" s="29"/>
      <c r="DAU104" s="29"/>
      <c r="DAV104" s="29"/>
      <c r="DAW104" s="29"/>
      <c r="DAX104" s="29"/>
      <c r="DAY104" s="29"/>
      <c r="DAZ104" s="29"/>
      <c r="DBA104" s="29"/>
      <c r="DBB104" s="29"/>
      <c r="DBC104" s="29"/>
      <c r="DBD104" s="29"/>
      <c r="DBE104" s="29"/>
      <c r="DBF104" s="29"/>
      <c r="DBG104" s="29"/>
      <c r="DBH104" s="29"/>
      <c r="DBI104" s="29"/>
      <c r="DBJ104" s="29"/>
      <c r="DBK104" s="29"/>
      <c r="DBL104" s="29"/>
      <c r="DBM104" s="29"/>
      <c r="DBN104" s="29"/>
      <c r="DBO104" s="29"/>
      <c r="DBP104" s="29"/>
      <c r="DBQ104" s="29"/>
      <c r="DBR104" s="29"/>
      <c r="DBS104" s="29"/>
      <c r="DBT104" s="29"/>
      <c r="DBU104" s="29"/>
      <c r="DBV104" s="29"/>
      <c r="DBW104" s="29"/>
      <c r="DBX104" s="29"/>
      <c r="DBY104" s="29"/>
      <c r="DBZ104" s="29"/>
      <c r="DCA104" s="29"/>
      <c r="DCB104" s="29"/>
      <c r="DCC104" s="29"/>
      <c r="DCD104" s="29"/>
      <c r="DCE104" s="29"/>
      <c r="DCF104" s="29"/>
      <c r="DCG104" s="29"/>
      <c r="DCH104" s="29"/>
      <c r="DCI104" s="29"/>
      <c r="DCJ104" s="29"/>
      <c r="DCK104" s="29"/>
      <c r="DCL104" s="29"/>
      <c r="DCM104" s="29"/>
      <c r="DCN104" s="29"/>
      <c r="DCO104" s="29"/>
      <c r="DCP104" s="29"/>
      <c r="DCQ104" s="29"/>
      <c r="DCR104" s="29"/>
      <c r="DCS104" s="29"/>
      <c r="DCT104" s="29"/>
      <c r="DCU104" s="29"/>
      <c r="DCV104" s="29"/>
      <c r="DCW104" s="29"/>
      <c r="DCX104" s="29"/>
      <c r="DCY104" s="29"/>
      <c r="DCZ104" s="29"/>
      <c r="DDA104" s="29"/>
      <c r="DDB104" s="29"/>
      <c r="DDC104" s="29"/>
      <c r="DDD104" s="29"/>
      <c r="DDE104" s="29"/>
      <c r="DDF104" s="29"/>
      <c r="DDG104" s="29"/>
      <c r="DDH104" s="29"/>
      <c r="DDI104" s="29"/>
      <c r="DDJ104" s="29"/>
      <c r="DDK104" s="29"/>
      <c r="DDL104" s="29"/>
      <c r="DDM104" s="29"/>
      <c r="DDN104" s="29"/>
      <c r="DDO104" s="29"/>
      <c r="DDP104" s="29"/>
      <c r="DDQ104" s="29"/>
      <c r="DDR104" s="29"/>
      <c r="DDS104" s="29"/>
      <c r="DDT104" s="29"/>
      <c r="DDU104" s="29"/>
      <c r="DDV104" s="29"/>
      <c r="DDW104" s="29"/>
      <c r="DDX104" s="29"/>
      <c r="DDY104" s="29"/>
      <c r="DDZ104" s="29"/>
      <c r="DEA104" s="29"/>
      <c r="DEB104" s="29"/>
      <c r="DEC104" s="29"/>
      <c r="DED104" s="29"/>
      <c r="DEE104" s="29"/>
      <c r="DEF104" s="29"/>
      <c r="DEG104" s="29"/>
      <c r="DEH104" s="29"/>
      <c r="DEI104" s="29"/>
      <c r="DEJ104" s="29"/>
      <c r="DEK104" s="29"/>
      <c r="DEL104" s="29"/>
      <c r="DEM104" s="29"/>
      <c r="DEN104" s="29"/>
      <c r="DEO104" s="29"/>
      <c r="DEP104" s="29"/>
      <c r="DEQ104" s="29"/>
      <c r="DER104" s="29"/>
      <c r="DES104" s="29"/>
      <c r="DET104" s="29"/>
      <c r="DEU104" s="29"/>
      <c r="DEV104" s="29"/>
      <c r="DEW104" s="29"/>
      <c r="DEX104" s="29"/>
      <c r="DEY104" s="29"/>
      <c r="DEZ104" s="29"/>
      <c r="DFA104" s="29"/>
      <c r="DFB104" s="29"/>
      <c r="DFC104" s="29"/>
      <c r="DFD104" s="29"/>
      <c r="DFE104" s="29"/>
      <c r="DFF104" s="29"/>
      <c r="DFG104" s="29"/>
      <c r="DFH104" s="29"/>
      <c r="DFI104" s="29"/>
      <c r="DFJ104" s="29"/>
      <c r="DFK104" s="29"/>
      <c r="DFL104" s="29"/>
      <c r="DFM104" s="29"/>
      <c r="DFN104" s="29"/>
      <c r="DFO104" s="29"/>
      <c r="DFP104" s="29"/>
      <c r="DFQ104" s="29"/>
      <c r="DFR104" s="29"/>
      <c r="DFS104" s="29"/>
      <c r="DFT104" s="29"/>
      <c r="DFU104" s="29"/>
      <c r="DFV104" s="29"/>
      <c r="DFW104" s="29"/>
      <c r="DFX104" s="29"/>
      <c r="DFY104" s="29"/>
      <c r="DFZ104" s="29"/>
      <c r="DGA104" s="29"/>
      <c r="DGB104" s="29"/>
      <c r="DGC104" s="29"/>
      <c r="DGD104" s="29"/>
      <c r="DGE104" s="29"/>
      <c r="DGF104" s="29"/>
      <c r="DGG104" s="29"/>
      <c r="DGH104" s="29"/>
      <c r="DGI104" s="29"/>
      <c r="DGJ104" s="29"/>
      <c r="DGK104" s="29"/>
      <c r="DGL104" s="29"/>
      <c r="DGM104" s="29"/>
      <c r="DGN104" s="29"/>
      <c r="DGO104" s="29"/>
      <c r="DGP104" s="29"/>
      <c r="DGQ104" s="29"/>
      <c r="DGR104" s="29"/>
      <c r="DGS104" s="29"/>
      <c r="DGT104" s="29"/>
      <c r="DGU104" s="29"/>
      <c r="DGV104" s="29"/>
      <c r="DGW104" s="29"/>
      <c r="DGX104" s="29"/>
      <c r="DGY104" s="29"/>
      <c r="DGZ104" s="29"/>
      <c r="DHA104" s="29"/>
      <c r="DHB104" s="29"/>
      <c r="DHC104" s="29"/>
      <c r="DHD104" s="29"/>
      <c r="DHE104" s="29"/>
      <c r="DHF104" s="29"/>
      <c r="DHG104" s="29"/>
      <c r="DHH104" s="29"/>
      <c r="DHI104" s="29"/>
      <c r="DHJ104" s="29"/>
      <c r="DHK104" s="29"/>
      <c r="DHL104" s="29"/>
      <c r="DHM104" s="29"/>
      <c r="DHN104" s="29"/>
      <c r="DHO104" s="29"/>
      <c r="DHP104" s="29"/>
      <c r="DHQ104" s="29"/>
      <c r="DHR104" s="29"/>
      <c r="DHS104" s="29"/>
      <c r="DHT104" s="29"/>
      <c r="DHU104" s="29"/>
      <c r="DHV104" s="29"/>
      <c r="DHW104" s="29"/>
      <c r="DHX104" s="29"/>
      <c r="DHY104" s="29"/>
      <c r="DHZ104" s="29"/>
      <c r="DIA104" s="29"/>
      <c r="DIB104" s="29"/>
      <c r="DIC104" s="29"/>
      <c r="DID104" s="29"/>
      <c r="DIE104" s="29"/>
      <c r="DIF104" s="29"/>
      <c r="DIG104" s="29"/>
      <c r="DIH104" s="29"/>
      <c r="DII104" s="29"/>
      <c r="DIJ104" s="29"/>
      <c r="DIK104" s="29"/>
      <c r="DIL104" s="29"/>
      <c r="DIM104" s="29"/>
      <c r="DIN104" s="29"/>
      <c r="DIO104" s="29"/>
      <c r="DIP104" s="29"/>
      <c r="DIQ104" s="29"/>
      <c r="DIR104" s="29"/>
      <c r="DIS104" s="29"/>
      <c r="DIT104" s="29"/>
      <c r="DIU104" s="29"/>
      <c r="DIV104" s="29"/>
      <c r="DIW104" s="29"/>
      <c r="DIX104" s="29"/>
      <c r="DIY104" s="29"/>
      <c r="DIZ104" s="29"/>
      <c r="DJA104" s="29"/>
      <c r="DJB104" s="29"/>
      <c r="DJC104" s="29"/>
      <c r="DJD104" s="29"/>
      <c r="DJE104" s="29"/>
      <c r="DJF104" s="29"/>
      <c r="DJG104" s="29"/>
      <c r="DJH104" s="29"/>
      <c r="DJI104" s="29"/>
      <c r="DJJ104" s="29"/>
      <c r="DJK104" s="29"/>
      <c r="DJL104" s="29"/>
      <c r="DJM104" s="29"/>
      <c r="DJN104" s="29"/>
      <c r="DJO104" s="29"/>
      <c r="DJP104" s="29"/>
      <c r="DJQ104" s="29"/>
      <c r="DJR104" s="29"/>
      <c r="DJS104" s="29"/>
      <c r="DJT104" s="29"/>
      <c r="DJU104" s="29"/>
      <c r="DJV104" s="29"/>
      <c r="DJW104" s="29"/>
      <c r="DJX104" s="29"/>
      <c r="DJY104" s="29"/>
      <c r="DJZ104" s="29"/>
      <c r="DKA104" s="29"/>
      <c r="DKB104" s="29"/>
      <c r="DKC104" s="29"/>
      <c r="DKD104" s="29"/>
      <c r="DKE104" s="29"/>
      <c r="DKF104" s="29"/>
      <c r="DKG104" s="29"/>
      <c r="DKH104" s="29"/>
      <c r="DKI104" s="29"/>
      <c r="DKJ104" s="29"/>
      <c r="DKK104" s="29"/>
      <c r="DKL104" s="29"/>
      <c r="DKM104" s="29"/>
      <c r="DKN104" s="29"/>
      <c r="DKO104" s="29"/>
      <c r="DKP104" s="29"/>
      <c r="DKQ104" s="29"/>
      <c r="DKR104" s="29"/>
      <c r="DKS104" s="29"/>
      <c r="DKT104" s="29"/>
      <c r="DKU104" s="29"/>
      <c r="DKV104" s="29"/>
      <c r="DKW104" s="29"/>
      <c r="DKX104" s="29"/>
      <c r="DKY104" s="29"/>
      <c r="DKZ104" s="29"/>
      <c r="DLA104" s="29"/>
      <c r="DLB104" s="29"/>
      <c r="DLC104" s="29"/>
      <c r="DLD104" s="29"/>
      <c r="DLE104" s="29"/>
      <c r="DLF104" s="29"/>
      <c r="DLG104" s="29"/>
      <c r="DLH104" s="29"/>
      <c r="DLI104" s="29"/>
      <c r="DLJ104" s="29"/>
      <c r="DLK104" s="29"/>
      <c r="DLL104" s="29"/>
      <c r="DLM104" s="29"/>
      <c r="DLN104" s="29"/>
      <c r="DLO104" s="29"/>
      <c r="DLP104" s="29"/>
      <c r="DLQ104" s="29"/>
      <c r="DLR104" s="29"/>
      <c r="DLS104" s="29"/>
      <c r="DLT104" s="29"/>
      <c r="DLU104" s="29"/>
      <c r="DLV104" s="29"/>
      <c r="DLW104" s="29"/>
      <c r="DLX104" s="29"/>
      <c r="DLY104" s="29"/>
      <c r="DLZ104" s="29"/>
      <c r="DMA104" s="29"/>
      <c r="DMB104" s="29"/>
      <c r="DMC104" s="29"/>
      <c r="DMD104" s="29"/>
      <c r="DME104" s="29"/>
      <c r="DMF104" s="29"/>
      <c r="DMG104" s="29"/>
      <c r="DMH104" s="29"/>
      <c r="DMI104" s="29"/>
      <c r="DMJ104" s="29"/>
      <c r="DMK104" s="29"/>
      <c r="DML104" s="29"/>
      <c r="DMM104" s="29"/>
      <c r="DMN104" s="29"/>
      <c r="DMO104" s="29"/>
      <c r="DMP104" s="29"/>
      <c r="DMQ104" s="29"/>
      <c r="DMR104" s="29"/>
      <c r="DMS104" s="29"/>
      <c r="DMT104" s="29"/>
      <c r="DMU104" s="29"/>
      <c r="DMV104" s="29"/>
      <c r="DMW104" s="29"/>
      <c r="DMX104" s="29"/>
      <c r="DMY104" s="29"/>
      <c r="DMZ104" s="29"/>
      <c r="DNA104" s="29"/>
      <c r="DNB104" s="29"/>
      <c r="DNC104" s="29"/>
      <c r="DND104" s="29"/>
      <c r="DNE104" s="29"/>
      <c r="DNF104" s="29"/>
      <c r="DNG104" s="29"/>
      <c r="DNH104" s="29"/>
      <c r="DNI104" s="29"/>
      <c r="DNJ104" s="29"/>
      <c r="DNK104" s="29"/>
      <c r="DNL104" s="29"/>
      <c r="DNM104" s="29"/>
      <c r="DNN104" s="29"/>
      <c r="DNO104" s="29"/>
      <c r="DNP104" s="29"/>
      <c r="DNQ104" s="29"/>
      <c r="DNR104" s="29"/>
      <c r="DNS104" s="29"/>
      <c r="DNT104" s="29"/>
      <c r="DNU104" s="29"/>
      <c r="DNV104" s="29"/>
      <c r="DNW104" s="29"/>
      <c r="DNX104" s="29"/>
      <c r="DNY104" s="29"/>
      <c r="DNZ104" s="29"/>
      <c r="DOA104" s="29"/>
      <c r="DOB104" s="29"/>
      <c r="DOC104" s="29"/>
      <c r="DOD104" s="29"/>
      <c r="DOE104" s="29"/>
      <c r="DOF104" s="29"/>
      <c r="DOG104" s="29"/>
      <c r="DOH104" s="29"/>
      <c r="DOI104" s="29"/>
      <c r="DOJ104" s="29"/>
      <c r="DOK104" s="29"/>
      <c r="DOL104" s="29"/>
      <c r="DOM104" s="29"/>
      <c r="DON104" s="29"/>
      <c r="DOO104" s="29"/>
      <c r="DOP104" s="29"/>
      <c r="DOQ104" s="29"/>
      <c r="DOR104" s="29"/>
      <c r="DOS104" s="29"/>
      <c r="DOT104" s="29"/>
      <c r="DOU104" s="29"/>
      <c r="DOV104" s="29"/>
      <c r="DOW104" s="29"/>
      <c r="DOX104" s="29"/>
      <c r="DOY104" s="29"/>
      <c r="DOZ104" s="29"/>
      <c r="DPA104" s="29"/>
      <c r="DPB104" s="29"/>
      <c r="DPC104" s="29"/>
      <c r="DPD104" s="29"/>
      <c r="DPE104" s="29"/>
      <c r="DPF104" s="29"/>
      <c r="DPG104" s="29"/>
      <c r="DPH104" s="29"/>
      <c r="DPI104" s="29"/>
      <c r="DPJ104" s="29"/>
      <c r="DPK104" s="29"/>
      <c r="DPL104" s="29"/>
      <c r="DPM104" s="29"/>
      <c r="DPN104" s="29"/>
      <c r="DPO104" s="29"/>
      <c r="DPP104" s="29"/>
      <c r="DPQ104" s="29"/>
      <c r="DPR104" s="29"/>
      <c r="DPS104" s="29"/>
      <c r="DPT104" s="29"/>
      <c r="DPU104" s="29"/>
      <c r="DPV104" s="29"/>
      <c r="DPW104" s="29"/>
      <c r="DPX104" s="29"/>
      <c r="DPY104" s="29"/>
      <c r="DPZ104" s="29"/>
      <c r="DQA104" s="29"/>
      <c r="DQB104" s="29"/>
      <c r="DQC104" s="29"/>
      <c r="DQD104" s="29"/>
      <c r="DQE104" s="29"/>
      <c r="DQF104" s="29"/>
      <c r="DQG104" s="29"/>
      <c r="DQH104" s="29"/>
      <c r="DQI104" s="29"/>
      <c r="DQJ104" s="29"/>
      <c r="DQK104" s="29"/>
      <c r="DQL104" s="29"/>
      <c r="DQM104" s="29"/>
      <c r="DQN104" s="29"/>
      <c r="DQO104" s="29"/>
      <c r="DQP104" s="29"/>
      <c r="DQQ104" s="29"/>
      <c r="DQR104" s="29"/>
      <c r="DQS104" s="29"/>
      <c r="DQT104" s="29"/>
      <c r="DQU104" s="29"/>
      <c r="DQV104" s="29"/>
      <c r="DQW104" s="29"/>
      <c r="DQX104" s="29"/>
      <c r="DQY104" s="29"/>
      <c r="DQZ104" s="29"/>
      <c r="DRA104" s="29"/>
      <c r="DRB104" s="29"/>
      <c r="DRC104" s="29"/>
      <c r="DRD104" s="29"/>
      <c r="DRE104" s="29"/>
      <c r="DRF104" s="29"/>
      <c r="DRG104" s="29"/>
      <c r="DRH104" s="29"/>
      <c r="DRI104" s="29"/>
      <c r="DRJ104" s="29"/>
      <c r="DRK104" s="29"/>
      <c r="DRL104" s="29"/>
      <c r="DRM104" s="29"/>
      <c r="DRN104" s="29"/>
      <c r="DRO104" s="29"/>
      <c r="DRP104" s="29"/>
      <c r="DRQ104" s="29"/>
      <c r="DRR104" s="29"/>
      <c r="DRS104" s="29"/>
      <c r="DRT104" s="29"/>
      <c r="DRU104" s="29"/>
      <c r="DRV104" s="29"/>
      <c r="DRW104" s="29"/>
      <c r="DRX104" s="29"/>
      <c r="DRY104" s="29"/>
      <c r="DRZ104" s="29"/>
      <c r="DSA104" s="29"/>
      <c r="DSB104" s="29"/>
      <c r="DSC104" s="29"/>
      <c r="DSD104" s="29"/>
      <c r="DSE104" s="29"/>
      <c r="DSF104" s="29"/>
      <c r="DSG104" s="29"/>
      <c r="DSH104" s="29"/>
      <c r="DSI104" s="29"/>
      <c r="DSJ104" s="29"/>
      <c r="DSK104" s="29"/>
      <c r="DSL104" s="29"/>
      <c r="DSM104" s="29"/>
      <c r="DSN104" s="29"/>
      <c r="DSO104" s="29"/>
      <c r="DSP104" s="29"/>
      <c r="DSQ104" s="29"/>
      <c r="DSR104" s="29"/>
      <c r="DSS104" s="29"/>
      <c r="DST104" s="29"/>
      <c r="DSU104" s="29"/>
      <c r="DSV104" s="29"/>
      <c r="DSW104" s="29"/>
      <c r="DSX104" s="29"/>
      <c r="DSY104" s="29"/>
      <c r="DSZ104" s="29"/>
      <c r="DTA104" s="29"/>
      <c r="DTB104" s="29"/>
      <c r="DTC104" s="29"/>
      <c r="DTD104" s="29"/>
      <c r="DTE104" s="29"/>
      <c r="DTF104" s="29"/>
      <c r="DTG104" s="29"/>
      <c r="DTH104" s="29"/>
      <c r="DTI104" s="29"/>
      <c r="DTJ104" s="29"/>
      <c r="DTK104" s="29"/>
      <c r="DTL104" s="29"/>
      <c r="DTM104" s="29"/>
      <c r="DTN104" s="29"/>
      <c r="DTO104" s="29"/>
      <c r="DTP104" s="29"/>
      <c r="DTQ104" s="29"/>
      <c r="DTR104" s="29"/>
      <c r="DTS104" s="29"/>
      <c r="DTT104" s="29"/>
      <c r="DTU104" s="29"/>
      <c r="DTV104" s="29"/>
      <c r="DTW104" s="29"/>
      <c r="DTX104" s="29"/>
      <c r="DTY104" s="29"/>
      <c r="DTZ104" s="29"/>
      <c r="DUA104" s="29"/>
      <c r="DUB104" s="29"/>
      <c r="DUC104" s="29"/>
      <c r="DUD104" s="29"/>
      <c r="DUE104" s="29"/>
      <c r="DUF104" s="29"/>
      <c r="DUG104" s="29"/>
      <c r="DUH104" s="29"/>
      <c r="DUI104" s="29"/>
      <c r="DUJ104" s="29"/>
      <c r="DUK104" s="29"/>
      <c r="DUL104" s="29"/>
      <c r="DUM104" s="29"/>
      <c r="DUN104" s="29"/>
      <c r="DUO104" s="29"/>
      <c r="DUP104" s="29"/>
      <c r="DUQ104" s="29"/>
      <c r="DUR104" s="29"/>
      <c r="DUS104" s="29"/>
      <c r="DUT104" s="29"/>
      <c r="DUU104" s="29"/>
      <c r="DUV104" s="29"/>
      <c r="DUW104" s="29"/>
      <c r="DUX104" s="29"/>
      <c r="DUY104" s="29"/>
      <c r="DUZ104" s="29"/>
      <c r="DVA104" s="29"/>
      <c r="DVB104" s="29"/>
      <c r="DVC104" s="29"/>
      <c r="DVD104" s="29"/>
      <c r="DVE104" s="29"/>
      <c r="DVF104" s="29"/>
      <c r="DVG104" s="29"/>
      <c r="DVH104" s="29"/>
      <c r="DVI104" s="29"/>
      <c r="DVJ104" s="29"/>
      <c r="DVK104" s="29"/>
      <c r="DVL104" s="29"/>
      <c r="DVM104" s="29"/>
      <c r="DVN104" s="29"/>
      <c r="DVO104" s="29"/>
      <c r="DVP104" s="29"/>
      <c r="DVQ104" s="29"/>
      <c r="DVR104" s="29"/>
      <c r="DVS104" s="29"/>
      <c r="DVT104" s="29"/>
      <c r="DVU104" s="29"/>
      <c r="DVV104" s="29"/>
      <c r="DVW104" s="29"/>
      <c r="DVX104" s="29"/>
      <c r="DVY104" s="29"/>
      <c r="DVZ104" s="29"/>
      <c r="DWA104" s="29"/>
      <c r="DWB104" s="29"/>
      <c r="DWC104" s="29"/>
      <c r="DWD104" s="29"/>
      <c r="DWE104" s="29"/>
      <c r="DWF104" s="29"/>
      <c r="DWG104" s="29"/>
      <c r="DWH104" s="29"/>
      <c r="DWI104" s="29"/>
      <c r="DWJ104" s="29"/>
      <c r="DWK104" s="29"/>
      <c r="DWL104" s="29"/>
      <c r="DWM104" s="29"/>
      <c r="DWN104" s="29"/>
      <c r="DWO104" s="29"/>
      <c r="DWP104" s="29"/>
      <c r="DWQ104" s="29"/>
      <c r="DWR104" s="29"/>
      <c r="DWS104" s="29"/>
      <c r="DWT104" s="29"/>
      <c r="DWU104" s="29"/>
      <c r="DWV104" s="29"/>
      <c r="DWW104" s="29"/>
      <c r="DWX104" s="29"/>
      <c r="DWY104" s="29"/>
      <c r="DWZ104" s="29"/>
      <c r="DXA104" s="29"/>
      <c r="DXB104" s="29"/>
      <c r="DXC104" s="29"/>
      <c r="DXD104" s="29"/>
      <c r="DXE104" s="29"/>
      <c r="DXF104" s="29"/>
      <c r="DXG104" s="29"/>
      <c r="DXH104" s="29"/>
      <c r="DXI104" s="29"/>
      <c r="DXJ104" s="29"/>
      <c r="DXK104" s="29"/>
      <c r="DXL104" s="29"/>
      <c r="DXM104" s="29"/>
      <c r="DXN104" s="29"/>
      <c r="DXO104" s="29"/>
      <c r="DXP104" s="29"/>
      <c r="DXQ104" s="29"/>
      <c r="DXR104" s="29"/>
      <c r="DXS104" s="29"/>
      <c r="DXT104" s="29"/>
      <c r="DXU104" s="29"/>
      <c r="DXV104" s="29"/>
      <c r="DXW104" s="29"/>
      <c r="DXX104" s="29"/>
      <c r="DXY104" s="29"/>
      <c r="DXZ104" s="29"/>
      <c r="DYA104" s="29"/>
      <c r="DYB104" s="29"/>
      <c r="DYC104" s="29"/>
      <c r="DYD104" s="29"/>
      <c r="DYE104" s="29"/>
      <c r="DYF104" s="29"/>
      <c r="DYG104" s="29"/>
      <c r="DYH104" s="29"/>
      <c r="DYI104" s="29"/>
      <c r="DYJ104" s="29"/>
      <c r="DYK104" s="29"/>
      <c r="DYL104" s="29"/>
      <c r="DYM104" s="29"/>
      <c r="DYN104" s="29"/>
      <c r="DYO104" s="29"/>
      <c r="DYP104" s="29"/>
      <c r="DYQ104" s="29"/>
      <c r="DYR104" s="29"/>
      <c r="DYS104" s="29"/>
      <c r="DYT104" s="29"/>
      <c r="DYU104" s="29"/>
      <c r="DYV104" s="29"/>
      <c r="DYW104" s="29"/>
      <c r="DYX104" s="29"/>
      <c r="DYY104" s="29"/>
      <c r="DYZ104" s="29"/>
      <c r="DZA104" s="29"/>
      <c r="DZB104" s="29"/>
      <c r="DZC104" s="29"/>
      <c r="DZD104" s="29"/>
      <c r="DZE104" s="29"/>
      <c r="DZF104" s="29"/>
      <c r="DZG104" s="29"/>
      <c r="DZH104" s="29"/>
      <c r="DZI104" s="29"/>
      <c r="DZJ104" s="29"/>
      <c r="DZK104" s="29"/>
      <c r="DZL104" s="29"/>
      <c r="DZM104" s="29"/>
      <c r="DZN104" s="29"/>
      <c r="DZO104" s="29"/>
      <c r="DZP104" s="29"/>
      <c r="DZQ104" s="29"/>
      <c r="DZR104" s="29"/>
      <c r="DZS104" s="29"/>
      <c r="DZT104" s="29"/>
      <c r="DZU104" s="29"/>
      <c r="DZV104" s="29"/>
      <c r="DZW104" s="29"/>
      <c r="DZX104" s="29"/>
      <c r="DZY104" s="29"/>
      <c r="DZZ104" s="29"/>
      <c r="EAA104" s="29"/>
      <c r="EAB104" s="29"/>
      <c r="EAC104" s="29"/>
      <c r="EAD104" s="29"/>
      <c r="EAE104" s="29"/>
      <c r="EAF104" s="29"/>
      <c r="EAG104" s="29"/>
      <c r="EAH104" s="29"/>
      <c r="EAI104" s="29"/>
      <c r="EAJ104" s="29"/>
      <c r="EAK104" s="29"/>
      <c r="EAL104" s="29"/>
      <c r="EAM104" s="29"/>
      <c r="EAN104" s="29"/>
      <c r="EAO104" s="29"/>
      <c r="EAP104" s="29"/>
      <c r="EAQ104" s="29"/>
      <c r="EAR104" s="29"/>
      <c r="EAS104" s="29"/>
      <c r="EAT104" s="29"/>
      <c r="EAU104" s="29"/>
      <c r="EAV104" s="29"/>
      <c r="EAW104" s="29"/>
      <c r="EAX104" s="29"/>
      <c r="EAY104" s="29"/>
      <c r="EAZ104" s="29"/>
      <c r="EBA104" s="29"/>
      <c r="EBB104" s="29"/>
      <c r="EBC104" s="29"/>
      <c r="EBD104" s="29"/>
      <c r="EBE104" s="29"/>
      <c r="EBF104" s="29"/>
      <c r="EBG104" s="29"/>
      <c r="EBH104" s="29"/>
      <c r="EBI104" s="29"/>
      <c r="EBJ104" s="29"/>
      <c r="EBK104" s="29"/>
      <c r="EBL104" s="29"/>
      <c r="EBM104" s="29"/>
      <c r="EBN104" s="29"/>
      <c r="EBO104" s="29"/>
      <c r="EBP104" s="29"/>
      <c r="EBQ104" s="29"/>
      <c r="EBR104" s="29"/>
      <c r="EBS104" s="29"/>
      <c r="EBT104" s="29"/>
      <c r="EBU104" s="29"/>
      <c r="EBV104" s="29"/>
      <c r="EBW104" s="29"/>
      <c r="EBX104" s="29"/>
      <c r="EBY104" s="29"/>
      <c r="EBZ104" s="29"/>
      <c r="ECA104" s="29"/>
      <c r="ECB104" s="29"/>
      <c r="ECC104" s="29"/>
      <c r="ECD104" s="29"/>
      <c r="ECE104" s="29"/>
      <c r="ECF104" s="29"/>
      <c r="ECG104" s="29"/>
      <c r="ECH104" s="29"/>
      <c r="ECI104" s="29"/>
      <c r="ECJ104" s="29"/>
      <c r="ECK104" s="29"/>
      <c r="ECL104" s="29"/>
      <c r="ECM104" s="29"/>
      <c r="ECN104" s="29"/>
      <c r="ECO104" s="29"/>
      <c r="ECP104" s="29"/>
      <c r="ECQ104" s="29"/>
      <c r="ECR104" s="29"/>
      <c r="ECS104" s="29"/>
      <c r="ECT104" s="29"/>
      <c r="ECU104" s="29"/>
      <c r="ECV104" s="29"/>
      <c r="ECW104" s="29"/>
      <c r="ECX104" s="29"/>
      <c r="ECY104" s="29"/>
      <c r="ECZ104" s="29"/>
      <c r="EDA104" s="29"/>
      <c r="EDB104" s="29"/>
      <c r="EDC104" s="29"/>
      <c r="EDD104" s="29"/>
      <c r="EDE104" s="29"/>
      <c r="EDF104" s="29"/>
      <c r="EDG104" s="29"/>
      <c r="EDH104" s="29"/>
      <c r="EDI104" s="29"/>
      <c r="EDJ104" s="29"/>
      <c r="EDK104" s="29"/>
      <c r="EDL104" s="29"/>
      <c r="EDM104" s="29"/>
      <c r="EDN104" s="29"/>
      <c r="EDO104" s="29"/>
      <c r="EDP104" s="29"/>
      <c r="EDQ104" s="29"/>
      <c r="EDR104" s="29"/>
      <c r="EDS104" s="29"/>
      <c r="EDT104" s="29"/>
      <c r="EDU104" s="29"/>
      <c r="EDV104" s="29"/>
      <c r="EDW104" s="29"/>
      <c r="EDX104" s="29"/>
      <c r="EDY104" s="29"/>
      <c r="EDZ104" s="29"/>
      <c r="EEA104" s="29"/>
      <c r="EEB104" s="29"/>
      <c r="EEC104" s="29"/>
      <c r="EED104" s="29"/>
      <c r="EEE104" s="29"/>
      <c r="EEF104" s="29"/>
      <c r="EEG104" s="29"/>
      <c r="EEH104" s="29"/>
      <c r="EEI104" s="29"/>
      <c r="EEJ104" s="29"/>
      <c r="EEK104" s="29"/>
      <c r="EEL104" s="29"/>
      <c r="EEM104" s="29"/>
      <c r="EEN104" s="29"/>
      <c r="EEO104" s="29"/>
      <c r="EEP104" s="29"/>
      <c r="EEQ104" s="29"/>
      <c r="EER104" s="29"/>
      <c r="EES104" s="29"/>
      <c r="EET104" s="29"/>
      <c r="EEU104" s="29"/>
      <c r="EEV104" s="29"/>
      <c r="EEW104" s="29"/>
      <c r="EEX104" s="29"/>
      <c r="EEY104" s="29"/>
      <c r="EEZ104" s="29"/>
      <c r="EFA104" s="29"/>
      <c r="EFB104" s="29"/>
      <c r="EFC104" s="29"/>
      <c r="EFD104" s="29"/>
      <c r="EFE104" s="29"/>
      <c r="EFF104" s="29"/>
      <c r="EFG104" s="29"/>
      <c r="EFH104" s="29"/>
      <c r="EFI104" s="29"/>
      <c r="EFJ104" s="29"/>
      <c r="EFK104" s="29"/>
      <c r="EFL104" s="29"/>
      <c r="EFM104" s="29"/>
      <c r="EFN104" s="29"/>
      <c r="EFO104" s="29"/>
      <c r="EFP104" s="29"/>
      <c r="EFQ104" s="29"/>
      <c r="EFR104" s="29"/>
      <c r="EFS104" s="29"/>
      <c r="EFT104" s="29"/>
      <c r="EFU104" s="29"/>
      <c r="EFV104" s="29"/>
      <c r="EFW104" s="29"/>
      <c r="EFX104" s="29"/>
      <c r="EFY104" s="29"/>
      <c r="EFZ104" s="29"/>
      <c r="EGA104" s="29"/>
      <c r="EGB104" s="29"/>
      <c r="EGC104" s="29"/>
      <c r="EGD104" s="29"/>
      <c r="EGE104" s="29"/>
      <c r="EGF104" s="29"/>
      <c r="EGG104" s="29"/>
      <c r="EGH104" s="29"/>
      <c r="EGI104" s="29"/>
      <c r="EGJ104" s="29"/>
      <c r="EGK104" s="29"/>
      <c r="EGL104" s="29"/>
      <c r="EGM104" s="29"/>
      <c r="EGN104" s="29"/>
      <c r="EGO104" s="29"/>
      <c r="EGP104" s="29"/>
      <c r="EGQ104" s="29"/>
      <c r="EGR104" s="29"/>
      <c r="EGS104" s="29"/>
      <c r="EGT104" s="29"/>
      <c r="EGU104" s="29"/>
      <c r="EGV104" s="29"/>
      <c r="EGW104" s="29"/>
      <c r="EGX104" s="29"/>
      <c r="EGY104" s="29"/>
      <c r="EGZ104" s="29"/>
      <c r="EHA104" s="29"/>
      <c r="EHB104" s="29"/>
      <c r="EHC104" s="29"/>
      <c r="EHD104" s="29"/>
      <c r="EHE104" s="29"/>
      <c r="EHF104" s="29"/>
      <c r="EHG104" s="29"/>
      <c r="EHH104" s="29"/>
      <c r="EHI104" s="29"/>
      <c r="EHJ104" s="29"/>
      <c r="EHK104" s="29"/>
      <c r="EHL104" s="29"/>
      <c r="EHM104" s="29"/>
      <c r="EHN104" s="29"/>
      <c r="EHO104" s="29"/>
      <c r="EHP104" s="29"/>
      <c r="EHQ104" s="29"/>
      <c r="EHR104" s="29"/>
      <c r="EHS104" s="29"/>
      <c r="EHT104" s="29"/>
      <c r="EHU104" s="29"/>
      <c r="EHV104" s="29"/>
      <c r="EHW104" s="29"/>
      <c r="EHX104" s="29"/>
      <c r="EHY104" s="29"/>
      <c r="EHZ104" s="29"/>
      <c r="EIA104" s="29"/>
      <c r="EIB104" s="29"/>
      <c r="EIC104" s="29"/>
      <c r="EID104" s="29"/>
      <c r="EIE104" s="29"/>
      <c r="EIF104" s="29"/>
      <c r="EIG104" s="29"/>
      <c r="EIH104" s="29"/>
      <c r="EII104" s="29"/>
      <c r="EIJ104" s="29"/>
      <c r="EIK104" s="29"/>
      <c r="EIL104" s="29"/>
      <c r="EIM104" s="29"/>
      <c r="EIN104" s="29"/>
      <c r="EIO104" s="29"/>
      <c r="EIP104" s="29"/>
      <c r="EIQ104" s="29"/>
      <c r="EIR104" s="29"/>
      <c r="EIS104" s="29"/>
      <c r="EIT104" s="29"/>
      <c r="EIU104" s="29"/>
      <c r="EIV104" s="29"/>
      <c r="EIW104" s="29"/>
      <c r="EIX104" s="29"/>
      <c r="EIY104" s="29"/>
      <c r="EIZ104" s="29"/>
      <c r="EJA104" s="29"/>
      <c r="EJB104" s="29"/>
      <c r="EJC104" s="29"/>
      <c r="EJD104" s="29"/>
      <c r="EJE104" s="29"/>
      <c r="EJF104" s="29"/>
      <c r="EJG104" s="29"/>
      <c r="EJH104" s="29"/>
      <c r="EJI104" s="29"/>
      <c r="EJJ104" s="29"/>
      <c r="EJK104" s="29"/>
      <c r="EJL104" s="29"/>
      <c r="EJM104" s="29"/>
      <c r="EJN104" s="29"/>
      <c r="EJO104" s="29"/>
      <c r="EJP104" s="29"/>
      <c r="EJQ104" s="29"/>
      <c r="EJR104" s="29"/>
      <c r="EJS104" s="29"/>
      <c r="EJT104" s="29"/>
      <c r="EJU104" s="29"/>
      <c r="EJV104" s="29"/>
      <c r="EJW104" s="29"/>
      <c r="EJX104" s="29"/>
      <c r="EJY104" s="29"/>
      <c r="EJZ104" s="29"/>
      <c r="EKA104" s="29"/>
      <c r="EKB104" s="29"/>
      <c r="EKC104" s="29"/>
      <c r="EKD104" s="29"/>
      <c r="EKE104" s="29"/>
      <c r="EKF104" s="29"/>
      <c r="EKG104" s="29"/>
      <c r="EKH104" s="29"/>
      <c r="EKI104" s="29"/>
      <c r="EKJ104" s="29"/>
      <c r="EKK104" s="29"/>
      <c r="EKL104" s="29"/>
      <c r="EKM104" s="29"/>
      <c r="EKN104" s="29"/>
      <c r="EKO104" s="29"/>
      <c r="EKP104" s="29"/>
      <c r="EKQ104" s="29"/>
      <c r="EKR104" s="29"/>
      <c r="EKS104" s="29"/>
      <c r="EKT104" s="29"/>
      <c r="EKU104" s="29"/>
      <c r="EKV104" s="29"/>
      <c r="EKW104" s="29"/>
      <c r="EKX104" s="29"/>
      <c r="EKY104" s="29"/>
      <c r="EKZ104" s="29"/>
      <c r="ELA104" s="29"/>
      <c r="ELB104" s="29"/>
      <c r="ELC104" s="29"/>
      <c r="ELD104" s="29"/>
      <c r="ELE104" s="29"/>
      <c r="ELF104" s="29"/>
      <c r="ELG104" s="29"/>
      <c r="ELH104" s="29"/>
      <c r="ELI104" s="29"/>
      <c r="ELJ104" s="29"/>
      <c r="ELK104" s="29"/>
      <c r="ELL104" s="29"/>
      <c r="ELM104" s="29"/>
      <c r="ELN104" s="29"/>
      <c r="ELO104" s="29"/>
      <c r="ELP104" s="29"/>
      <c r="ELQ104" s="29"/>
      <c r="ELR104" s="29"/>
      <c r="ELS104" s="29"/>
      <c r="ELT104" s="29"/>
      <c r="ELU104" s="29"/>
      <c r="ELV104" s="29"/>
      <c r="ELW104" s="29"/>
      <c r="ELX104" s="29"/>
      <c r="ELY104" s="29"/>
      <c r="ELZ104" s="29"/>
      <c r="EMA104" s="29"/>
      <c r="EMB104" s="29"/>
      <c r="EMC104" s="29"/>
      <c r="EMD104" s="29"/>
      <c r="EME104" s="29"/>
      <c r="EMF104" s="29"/>
      <c r="EMG104" s="29"/>
      <c r="EMH104" s="29"/>
      <c r="EMI104" s="29"/>
      <c r="EMJ104" s="29"/>
      <c r="EMK104" s="29"/>
      <c r="EML104" s="29"/>
      <c r="EMM104" s="29"/>
      <c r="EMN104" s="29"/>
      <c r="EMO104" s="29"/>
      <c r="EMP104" s="29"/>
      <c r="EMQ104" s="29"/>
      <c r="EMR104" s="29"/>
      <c r="EMS104" s="29"/>
      <c r="EMT104" s="29"/>
      <c r="EMU104" s="29"/>
      <c r="EMV104" s="29"/>
      <c r="EMW104" s="29"/>
      <c r="EMX104" s="29"/>
      <c r="EMY104" s="29"/>
      <c r="EMZ104" s="29"/>
      <c r="ENA104" s="29"/>
      <c r="ENB104" s="29"/>
      <c r="ENC104" s="29"/>
      <c r="END104" s="29"/>
      <c r="ENE104" s="29"/>
      <c r="ENF104" s="29"/>
      <c r="ENG104" s="29"/>
      <c r="ENH104" s="29"/>
      <c r="ENI104" s="29"/>
      <c r="ENJ104" s="29"/>
      <c r="ENK104" s="29"/>
      <c r="ENL104" s="29"/>
      <c r="ENM104" s="29"/>
      <c r="ENN104" s="29"/>
      <c r="ENO104" s="29"/>
      <c r="ENP104" s="29"/>
      <c r="ENQ104" s="29"/>
      <c r="ENR104" s="29"/>
      <c r="ENS104" s="29"/>
      <c r="ENT104" s="29"/>
      <c r="ENU104" s="29"/>
      <c r="ENV104" s="29"/>
      <c r="ENW104" s="29"/>
      <c r="ENX104" s="29"/>
      <c r="ENY104" s="29"/>
      <c r="ENZ104" s="29"/>
      <c r="EOA104" s="29"/>
      <c r="EOB104" s="29"/>
      <c r="EOC104" s="29"/>
      <c r="EOD104" s="29"/>
      <c r="EOE104" s="29"/>
      <c r="EOF104" s="29"/>
      <c r="EOG104" s="29"/>
      <c r="EOH104" s="29"/>
      <c r="EOI104" s="29"/>
      <c r="EOJ104" s="29"/>
      <c r="EOK104" s="29"/>
      <c r="EOL104" s="29"/>
      <c r="EOM104" s="29"/>
      <c r="EON104" s="29"/>
      <c r="EOO104" s="29"/>
      <c r="EOP104" s="29"/>
      <c r="EOQ104" s="29"/>
      <c r="EOR104" s="29"/>
      <c r="EOS104" s="29"/>
      <c r="EOT104" s="29"/>
      <c r="EOU104" s="29"/>
      <c r="EOV104" s="29"/>
      <c r="EOW104" s="29"/>
      <c r="EOX104" s="29"/>
      <c r="EOY104" s="29"/>
      <c r="EOZ104" s="29"/>
      <c r="EPA104" s="29"/>
      <c r="EPB104" s="29"/>
      <c r="EPC104" s="29"/>
      <c r="EPD104" s="29"/>
      <c r="EPE104" s="29"/>
      <c r="EPF104" s="29"/>
      <c r="EPG104" s="29"/>
      <c r="EPH104" s="29"/>
      <c r="EPI104" s="29"/>
      <c r="EPJ104" s="29"/>
      <c r="EPK104" s="29"/>
      <c r="EPL104" s="29"/>
      <c r="EPM104" s="29"/>
      <c r="EPN104" s="29"/>
      <c r="EPO104" s="29"/>
      <c r="EPP104" s="29"/>
      <c r="EPQ104" s="29"/>
      <c r="EPR104" s="29"/>
      <c r="EPS104" s="29"/>
      <c r="EPT104" s="29"/>
      <c r="EPU104" s="29"/>
      <c r="EPV104" s="29"/>
      <c r="EPW104" s="29"/>
      <c r="EPX104" s="29"/>
      <c r="EPY104" s="29"/>
      <c r="EPZ104" s="29"/>
      <c r="EQA104" s="29"/>
      <c r="EQB104" s="29"/>
      <c r="EQC104" s="29"/>
      <c r="EQD104" s="29"/>
      <c r="EQE104" s="29"/>
      <c r="EQF104" s="29"/>
      <c r="EQG104" s="29"/>
      <c r="EQH104" s="29"/>
      <c r="EQI104" s="29"/>
      <c r="EQJ104" s="29"/>
      <c r="EQK104" s="29"/>
      <c r="EQL104" s="29"/>
      <c r="EQM104" s="29"/>
      <c r="EQN104" s="29"/>
      <c r="EQO104" s="29"/>
      <c r="EQP104" s="29"/>
      <c r="EQQ104" s="29"/>
      <c r="EQR104" s="29"/>
      <c r="EQS104" s="29"/>
      <c r="EQT104" s="29"/>
      <c r="EQU104" s="29"/>
      <c r="EQV104" s="29"/>
      <c r="EQW104" s="29"/>
      <c r="EQX104" s="29"/>
      <c r="EQY104" s="29"/>
      <c r="EQZ104" s="29"/>
      <c r="ERA104" s="29"/>
      <c r="ERB104" s="29"/>
      <c r="ERC104" s="29"/>
      <c r="ERD104" s="29"/>
      <c r="ERE104" s="29"/>
      <c r="ERF104" s="29"/>
      <c r="ERG104" s="29"/>
      <c r="ERH104" s="29"/>
      <c r="ERI104" s="29"/>
      <c r="ERJ104" s="29"/>
      <c r="ERK104" s="29"/>
      <c r="ERL104" s="29"/>
      <c r="ERM104" s="29"/>
      <c r="ERN104" s="29"/>
      <c r="ERO104" s="29"/>
      <c r="ERP104" s="29"/>
      <c r="ERQ104" s="29"/>
      <c r="ERR104" s="29"/>
      <c r="ERS104" s="29"/>
      <c r="ERT104" s="29"/>
      <c r="ERU104" s="29"/>
      <c r="ERV104" s="29"/>
      <c r="ERW104" s="29"/>
      <c r="ERX104" s="29"/>
      <c r="ERY104" s="29"/>
      <c r="ERZ104" s="29"/>
      <c r="ESA104" s="29"/>
      <c r="ESB104" s="29"/>
      <c r="ESC104" s="29"/>
      <c r="ESD104" s="29"/>
      <c r="ESE104" s="29"/>
      <c r="ESF104" s="29"/>
      <c r="ESG104" s="29"/>
      <c r="ESH104" s="29"/>
      <c r="ESI104" s="29"/>
      <c r="ESJ104" s="29"/>
      <c r="ESK104" s="29"/>
      <c r="ESL104" s="29"/>
      <c r="ESM104" s="29"/>
      <c r="ESN104" s="29"/>
      <c r="ESO104" s="29"/>
      <c r="ESP104" s="29"/>
      <c r="ESQ104" s="29"/>
      <c r="ESR104" s="29"/>
      <c r="ESS104" s="29"/>
      <c r="EST104" s="29"/>
      <c r="ESU104" s="29"/>
      <c r="ESV104" s="29"/>
      <c r="ESW104" s="29"/>
      <c r="ESX104" s="29"/>
      <c r="ESY104" s="29"/>
      <c r="ESZ104" s="29"/>
      <c r="ETA104" s="29"/>
      <c r="ETB104" s="29"/>
      <c r="ETC104" s="29"/>
      <c r="ETD104" s="29"/>
      <c r="ETE104" s="29"/>
      <c r="ETF104" s="29"/>
      <c r="ETG104" s="29"/>
      <c r="ETH104" s="29"/>
      <c r="ETI104" s="29"/>
      <c r="ETJ104" s="29"/>
      <c r="ETK104" s="29"/>
      <c r="ETL104" s="29"/>
      <c r="ETM104" s="29"/>
      <c r="ETN104" s="29"/>
      <c r="ETO104" s="29"/>
      <c r="ETP104" s="29"/>
      <c r="ETQ104" s="29"/>
      <c r="ETR104" s="29"/>
      <c r="ETS104" s="29"/>
      <c r="ETT104" s="29"/>
      <c r="ETU104" s="29"/>
      <c r="ETV104" s="29"/>
      <c r="ETW104" s="29"/>
      <c r="ETX104" s="29"/>
      <c r="ETY104" s="29"/>
      <c r="ETZ104" s="29"/>
      <c r="EUA104" s="29"/>
      <c r="EUB104" s="29"/>
      <c r="EUC104" s="29"/>
      <c r="EUD104" s="29"/>
      <c r="EUE104" s="29"/>
      <c r="EUF104" s="29"/>
      <c r="EUG104" s="29"/>
      <c r="EUH104" s="29"/>
      <c r="EUI104" s="29"/>
      <c r="EUJ104" s="29"/>
      <c r="EUK104" s="29"/>
      <c r="EUL104" s="29"/>
      <c r="EUM104" s="29"/>
      <c r="EUN104" s="29"/>
      <c r="EUO104" s="29"/>
      <c r="EUP104" s="29"/>
      <c r="EUQ104" s="29"/>
      <c r="EUR104" s="29"/>
      <c r="EUS104" s="29"/>
      <c r="EUT104" s="29"/>
      <c r="EUU104" s="29"/>
      <c r="EUV104" s="29"/>
      <c r="EUW104" s="29"/>
      <c r="EUX104" s="29"/>
      <c r="EUY104" s="29"/>
      <c r="EUZ104" s="29"/>
      <c r="EVA104" s="29"/>
      <c r="EVB104" s="29"/>
      <c r="EVC104" s="29"/>
      <c r="EVD104" s="29"/>
      <c r="EVE104" s="29"/>
      <c r="EVF104" s="29"/>
      <c r="EVG104" s="29"/>
      <c r="EVH104" s="29"/>
      <c r="EVI104" s="29"/>
      <c r="EVJ104" s="29"/>
      <c r="EVK104" s="29"/>
      <c r="EVL104" s="29"/>
      <c r="EVM104" s="29"/>
      <c r="EVN104" s="29"/>
      <c r="EVO104" s="29"/>
      <c r="EVP104" s="29"/>
      <c r="EVQ104" s="29"/>
      <c r="EVR104" s="29"/>
      <c r="EVS104" s="29"/>
      <c r="EVT104" s="29"/>
      <c r="EVU104" s="29"/>
      <c r="EVV104" s="29"/>
      <c r="EVW104" s="29"/>
      <c r="EVX104" s="29"/>
      <c r="EVY104" s="29"/>
      <c r="EVZ104" s="29"/>
      <c r="EWA104" s="29"/>
      <c r="EWB104" s="29"/>
      <c r="EWC104" s="29"/>
      <c r="EWD104" s="29"/>
      <c r="EWE104" s="29"/>
      <c r="EWF104" s="29"/>
      <c r="EWG104" s="29"/>
      <c r="EWH104" s="29"/>
      <c r="EWI104" s="29"/>
      <c r="EWJ104" s="29"/>
      <c r="EWK104" s="29"/>
      <c r="EWL104" s="29"/>
      <c r="EWM104" s="29"/>
      <c r="EWN104" s="29"/>
      <c r="EWO104" s="29"/>
      <c r="EWP104" s="29"/>
      <c r="EWQ104" s="29"/>
      <c r="EWR104" s="29"/>
      <c r="EWS104" s="29"/>
      <c r="EWT104" s="29"/>
      <c r="EWU104" s="29"/>
      <c r="EWV104" s="29"/>
      <c r="EWW104" s="29"/>
      <c r="EWX104" s="29"/>
      <c r="EWY104" s="29"/>
      <c r="EWZ104" s="29"/>
      <c r="EXA104" s="29"/>
      <c r="EXB104" s="29"/>
      <c r="EXC104" s="29"/>
      <c r="EXD104" s="29"/>
      <c r="EXE104" s="29"/>
      <c r="EXF104" s="29"/>
      <c r="EXG104" s="29"/>
      <c r="EXH104" s="29"/>
      <c r="EXI104" s="29"/>
      <c r="EXJ104" s="29"/>
      <c r="EXK104" s="29"/>
      <c r="EXL104" s="29"/>
      <c r="EXM104" s="29"/>
      <c r="EXN104" s="29"/>
      <c r="EXO104" s="29"/>
      <c r="EXP104" s="29"/>
      <c r="EXQ104" s="29"/>
      <c r="EXR104" s="29"/>
      <c r="EXS104" s="29"/>
      <c r="EXT104" s="29"/>
      <c r="EXU104" s="29"/>
      <c r="EXV104" s="29"/>
      <c r="EXW104" s="29"/>
      <c r="EXX104" s="29"/>
      <c r="EXY104" s="29"/>
      <c r="EXZ104" s="29"/>
      <c r="EYA104" s="29"/>
      <c r="EYB104" s="29"/>
      <c r="EYC104" s="29"/>
      <c r="EYD104" s="29"/>
      <c r="EYE104" s="29"/>
      <c r="EYF104" s="29"/>
      <c r="EYG104" s="29"/>
      <c r="EYH104" s="29"/>
      <c r="EYI104" s="29"/>
      <c r="EYJ104" s="29"/>
      <c r="EYK104" s="29"/>
      <c r="EYL104" s="29"/>
      <c r="EYM104" s="29"/>
      <c r="EYN104" s="29"/>
      <c r="EYO104" s="29"/>
      <c r="EYP104" s="29"/>
      <c r="EYQ104" s="29"/>
      <c r="EYR104" s="29"/>
      <c r="EYS104" s="29"/>
      <c r="EYT104" s="29"/>
      <c r="EYU104" s="29"/>
      <c r="EYV104" s="29"/>
      <c r="EYW104" s="29"/>
      <c r="EYX104" s="29"/>
      <c r="EYY104" s="29"/>
      <c r="EYZ104" s="29"/>
      <c r="EZA104" s="29"/>
      <c r="EZB104" s="29"/>
      <c r="EZC104" s="29"/>
      <c r="EZD104" s="29"/>
      <c r="EZE104" s="29"/>
      <c r="EZF104" s="29"/>
      <c r="EZG104" s="29"/>
      <c r="EZH104" s="29"/>
      <c r="EZI104" s="29"/>
      <c r="EZJ104" s="29"/>
      <c r="EZK104" s="29"/>
      <c r="EZL104" s="29"/>
      <c r="EZM104" s="29"/>
      <c r="EZN104" s="29"/>
      <c r="EZO104" s="29"/>
      <c r="EZP104" s="29"/>
      <c r="EZQ104" s="29"/>
      <c r="EZR104" s="29"/>
      <c r="EZS104" s="29"/>
      <c r="EZT104" s="29"/>
      <c r="EZU104" s="29"/>
      <c r="EZV104" s="29"/>
      <c r="EZW104" s="29"/>
      <c r="EZX104" s="29"/>
      <c r="EZY104" s="29"/>
      <c r="EZZ104" s="29"/>
      <c r="FAA104" s="29"/>
      <c r="FAB104" s="29"/>
      <c r="FAC104" s="29"/>
      <c r="FAD104" s="29"/>
      <c r="FAE104" s="29"/>
      <c r="FAF104" s="29"/>
      <c r="FAG104" s="29"/>
      <c r="FAH104" s="29"/>
      <c r="FAI104" s="29"/>
      <c r="FAJ104" s="29"/>
      <c r="FAK104" s="29"/>
      <c r="FAL104" s="29"/>
      <c r="FAM104" s="29"/>
      <c r="FAN104" s="29"/>
      <c r="FAO104" s="29"/>
      <c r="FAP104" s="29"/>
      <c r="FAQ104" s="29"/>
      <c r="FAR104" s="29"/>
      <c r="FAS104" s="29"/>
      <c r="FAT104" s="29"/>
      <c r="FAU104" s="29"/>
      <c r="FAV104" s="29"/>
      <c r="FAW104" s="29"/>
      <c r="FAX104" s="29"/>
      <c r="FAY104" s="29"/>
      <c r="FAZ104" s="29"/>
      <c r="FBA104" s="29"/>
      <c r="FBB104" s="29"/>
      <c r="FBC104" s="29"/>
      <c r="FBD104" s="29"/>
      <c r="FBE104" s="29"/>
      <c r="FBF104" s="29"/>
      <c r="FBG104" s="29"/>
      <c r="FBH104" s="29"/>
      <c r="FBI104" s="29"/>
      <c r="FBJ104" s="29"/>
      <c r="FBK104" s="29"/>
      <c r="FBL104" s="29"/>
      <c r="FBM104" s="29"/>
      <c r="FBN104" s="29"/>
      <c r="FBO104" s="29"/>
      <c r="FBP104" s="29"/>
      <c r="FBQ104" s="29"/>
      <c r="FBR104" s="29"/>
      <c r="FBS104" s="29"/>
      <c r="FBT104" s="29"/>
      <c r="FBU104" s="29"/>
      <c r="FBV104" s="29"/>
      <c r="FBW104" s="29"/>
      <c r="FBX104" s="29"/>
      <c r="FBY104" s="29"/>
      <c r="FBZ104" s="29"/>
      <c r="FCA104" s="29"/>
      <c r="FCB104" s="29"/>
      <c r="FCC104" s="29"/>
      <c r="FCD104" s="29"/>
      <c r="FCE104" s="29"/>
      <c r="FCF104" s="29"/>
      <c r="FCG104" s="29"/>
      <c r="FCH104" s="29"/>
      <c r="FCI104" s="29"/>
      <c r="FCJ104" s="29"/>
      <c r="FCK104" s="29"/>
      <c r="FCL104" s="29"/>
      <c r="FCM104" s="29"/>
      <c r="FCN104" s="29"/>
      <c r="FCO104" s="29"/>
      <c r="FCP104" s="29"/>
      <c r="FCQ104" s="29"/>
      <c r="FCR104" s="29"/>
      <c r="FCS104" s="29"/>
      <c r="FCT104" s="29"/>
      <c r="FCU104" s="29"/>
      <c r="FCV104" s="29"/>
      <c r="FCW104" s="29"/>
      <c r="FCX104" s="29"/>
      <c r="FCY104" s="29"/>
      <c r="FCZ104" s="29"/>
      <c r="FDA104" s="29"/>
      <c r="FDB104" s="29"/>
      <c r="FDC104" s="29"/>
      <c r="FDD104" s="29"/>
      <c r="FDE104" s="29"/>
      <c r="FDF104" s="29"/>
      <c r="FDG104" s="29"/>
      <c r="FDH104" s="29"/>
      <c r="FDI104" s="29"/>
      <c r="FDJ104" s="29"/>
      <c r="FDK104" s="29"/>
      <c r="FDL104" s="29"/>
      <c r="FDM104" s="29"/>
      <c r="FDN104" s="29"/>
      <c r="FDO104" s="29"/>
      <c r="FDP104" s="29"/>
      <c r="FDQ104" s="29"/>
      <c r="FDR104" s="29"/>
      <c r="FDS104" s="29"/>
      <c r="FDT104" s="29"/>
      <c r="FDU104" s="29"/>
      <c r="FDV104" s="29"/>
      <c r="FDW104" s="29"/>
      <c r="FDX104" s="29"/>
      <c r="FDY104" s="29"/>
      <c r="FDZ104" s="29"/>
      <c r="FEA104" s="29"/>
      <c r="FEB104" s="29"/>
      <c r="FEC104" s="29"/>
      <c r="FED104" s="29"/>
      <c r="FEE104" s="29"/>
      <c r="FEF104" s="29"/>
      <c r="FEG104" s="29"/>
      <c r="FEH104" s="29"/>
      <c r="FEI104" s="29"/>
      <c r="FEJ104" s="29"/>
      <c r="FEK104" s="29"/>
      <c r="FEL104" s="29"/>
      <c r="FEM104" s="29"/>
      <c r="FEN104" s="29"/>
      <c r="FEO104" s="29"/>
      <c r="FEP104" s="29"/>
      <c r="FEQ104" s="29"/>
      <c r="FER104" s="29"/>
      <c r="FES104" s="29"/>
      <c r="FET104" s="29"/>
      <c r="FEU104" s="29"/>
      <c r="FEV104" s="29"/>
      <c r="FEW104" s="29"/>
      <c r="FEX104" s="29"/>
      <c r="FEY104" s="29"/>
      <c r="FEZ104" s="29"/>
      <c r="FFA104" s="29"/>
      <c r="FFB104" s="29"/>
      <c r="FFC104" s="29"/>
      <c r="FFD104" s="29"/>
      <c r="FFE104" s="29"/>
      <c r="FFF104" s="29"/>
      <c r="FFG104" s="29"/>
      <c r="FFH104" s="29"/>
      <c r="FFI104" s="29"/>
      <c r="FFJ104" s="29"/>
      <c r="FFK104" s="29"/>
      <c r="FFL104" s="29"/>
      <c r="FFM104" s="29"/>
      <c r="FFN104" s="29"/>
      <c r="FFO104" s="29"/>
      <c r="FFP104" s="29"/>
      <c r="FFQ104" s="29"/>
      <c r="FFR104" s="29"/>
      <c r="FFS104" s="29"/>
      <c r="FFT104" s="29"/>
      <c r="FFU104" s="29"/>
      <c r="FFV104" s="29"/>
      <c r="FFW104" s="29"/>
      <c r="FFX104" s="29"/>
      <c r="FFY104" s="29"/>
      <c r="FFZ104" s="29"/>
      <c r="FGA104" s="29"/>
      <c r="FGB104" s="29"/>
      <c r="FGC104" s="29"/>
      <c r="FGD104" s="29"/>
      <c r="FGE104" s="29"/>
      <c r="FGF104" s="29"/>
      <c r="FGG104" s="29"/>
      <c r="FGH104" s="29"/>
      <c r="FGI104" s="29"/>
      <c r="FGJ104" s="29"/>
      <c r="FGK104" s="29"/>
      <c r="FGL104" s="29"/>
      <c r="FGM104" s="29"/>
      <c r="FGN104" s="29"/>
      <c r="FGO104" s="29"/>
      <c r="FGP104" s="29"/>
      <c r="FGQ104" s="29"/>
      <c r="FGR104" s="29"/>
      <c r="FGS104" s="29"/>
      <c r="FGT104" s="29"/>
      <c r="FGU104" s="29"/>
      <c r="FGV104" s="29"/>
      <c r="FGW104" s="29"/>
      <c r="FGX104" s="29"/>
      <c r="FGY104" s="29"/>
      <c r="FGZ104" s="29"/>
      <c r="FHA104" s="29"/>
      <c r="FHB104" s="29"/>
      <c r="FHC104" s="29"/>
      <c r="FHD104" s="29"/>
      <c r="FHE104" s="29"/>
      <c r="FHF104" s="29"/>
      <c r="FHG104" s="29"/>
      <c r="FHH104" s="29"/>
      <c r="FHI104" s="29"/>
      <c r="FHJ104" s="29"/>
      <c r="FHK104" s="29"/>
      <c r="FHL104" s="29"/>
      <c r="FHM104" s="29"/>
      <c r="FHN104" s="29"/>
      <c r="FHO104" s="29"/>
      <c r="FHP104" s="29"/>
      <c r="FHQ104" s="29"/>
      <c r="FHR104" s="29"/>
      <c r="FHS104" s="29"/>
      <c r="FHT104" s="29"/>
      <c r="FHU104" s="29"/>
      <c r="FHV104" s="29"/>
      <c r="FHW104" s="29"/>
      <c r="FHX104" s="29"/>
      <c r="FHY104" s="29"/>
      <c r="FHZ104" s="29"/>
      <c r="FIA104" s="29"/>
      <c r="FIB104" s="29"/>
      <c r="FIC104" s="29"/>
      <c r="FID104" s="29"/>
      <c r="FIE104" s="29"/>
      <c r="FIF104" s="29"/>
      <c r="FIG104" s="29"/>
      <c r="FIH104" s="29"/>
      <c r="FII104" s="29"/>
      <c r="FIJ104" s="29"/>
      <c r="FIK104" s="29"/>
      <c r="FIL104" s="29"/>
      <c r="FIM104" s="29"/>
      <c r="FIN104" s="29"/>
      <c r="FIO104" s="29"/>
      <c r="FIP104" s="29"/>
      <c r="FIQ104" s="29"/>
      <c r="FIR104" s="29"/>
      <c r="FIS104" s="29"/>
      <c r="FIT104" s="29"/>
      <c r="FIU104" s="29"/>
      <c r="FIV104" s="29"/>
      <c r="FIW104" s="29"/>
      <c r="FIX104" s="29"/>
      <c r="FIY104" s="29"/>
      <c r="FIZ104" s="29"/>
      <c r="FJA104" s="29"/>
      <c r="FJB104" s="29"/>
      <c r="FJC104" s="29"/>
      <c r="FJD104" s="29"/>
      <c r="FJE104" s="29"/>
      <c r="FJF104" s="29"/>
      <c r="FJG104" s="29"/>
      <c r="FJH104" s="29"/>
      <c r="FJI104" s="29"/>
      <c r="FJJ104" s="29"/>
      <c r="FJK104" s="29"/>
      <c r="FJL104" s="29"/>
      <c r="FJM104" s="29"/>
      <c r="FJN104" s="29"/>
      <c r="FJO104" s="29"/>
      <c r="FJP104" s="29"/>
      <c r="FJQ104" s="29"/>
      <c r="FJR104" s="29"/>
      <c r="FJS104" s="29"/>
      <c r="FJT104" s="29"/>
      <c r="FJU104" s="29"/>
      <c r="FJV104" s="29"/>
      <c r="FJW104" s="29"/>
      <c r="FJX104" s="29"/>
      <c r="FJY104" s="29"/>
      <c r="FJZ104" s="29"/>
      <c r="FKA104" s="29"/>
      <c r="FKB104" s="29"/>
      <c r="FKC104" s="29"/>
      <c r="FKD104" s="29"/>
      <c r="FKE104" s="29"/>
      <c r="FKF104" s="29"/>
      <c r="FKG104" s="29"/>
      <c r="FKH104" s="29"/>
      <c r="FKI104" s="29"/>
      <c r="FKJ104" s="29"/>
      <c r="FKK104" s="29"/>
      <c r="FKL104" s="29"/>
      <c r="FKM104" s="29"/>
      <c r="FKN104" s="29"/>
      <c r="FKO104" s="29"/>
      <c r="FKP104" s="29"/>
      <c r="FKQ104" s="29"/>
      <c r="FKR104" s="29"/>
      <c r="FKS104" s="29"/>
      <c r="FKT104" s="29"/>
      <c r="FKU104" s="29"/>
      <c r="FKV104" s="29"/>
      <c r="FKW104" s="29"/>
      <c r="FKX104" s="29"/>
      <c r="FKY104" s="29"/>
      <c r="FKZ104" s="29"/>
      <c r="FLA104" s="29"/>
      <c r="FLB104" s="29"/>
      <c r="FLC104" s="29"/>
      <c r="FLD104" s="29"/>
      <c r="FLE104" s="29"/>
      <c r="FLF104" s="29"/>
      <c r="FLG104" s="29"/>
      <c r="FLH104" s="29"/>
      <c r="FLI104" s="29"/>
      <c r="FLJ104" s="29"/>
      <c r="FLK104" s="29"/>
      <c r="FLL104" s="29"/>
      <c r="FLM104" s="29"/>
      <c r="FLN104" s="29"/>
      <c r="FLO104" s="29"/>
      <c r="FLP104" s="29"/>
      <c r="FLQ104" s="29"/>
      <c r="FLR104" s="29"/>
      <c r="FLS104" s="29"/>
      <c r="FLT104" s="29"/>
      <c r="FLU104" s="29"/>
      <c r="FLV104" s="29"/>
      <c r="FLW104" s="29"/>
      <c r="FLX104" s="29"/>
      <c r="FLY104" s="29"/>
      <c r="FLZ104" s="29"/>
      <c r="FMA104" s="29"/>
      <c r="FMB104" s="29"/>
      <c r="FMC104" s="29"/>
      <c r="FMD104" s="29"/>
      <c r="FME104" s="29"/>
      <c r="FMF104" s="29"/>
      <c r="FMG104" s="29"/>
      <c r="FMH104" s="29"/>
      <c r="FMI104" s="29"/>
      <c r="FMJ104" s="29"/>
      <c r="FMK104" s="29"/>
      <c r="FML104" s="29"/>
      <c r="FMM104" s="29"/>
      <c r="FMN104" s="29"/>
      <c r="FMO104" s="29"/>
      <c r="FMP104" s="29"/>
      <c r="FMQ104" s="29"/>
      <c r="FMR104" s="29"/>
      <c r="FMS104" s="29"/>
      <c r="FMT104" s="29"/>
      <c r="FMU104" s="29"/>
      <c r="FMV104" s="29"/>
      <c r="FMW104" s="29"/>
      <c r="FMX104" s="29"/>
      <c r="FMY104" s="29"/>
      <c r="FMZ104" s="29"/>
      <c r="FNA104" s="29"/>
      <c r="FNB104" s="29"/>
      <c r="FNC104" s="29"/>
      <c r="FND104" s="29"/>
      <c r="FNE104" s="29"/>
      <c r="FNF104" s="29"/>
      <c r="FNG104" s="29"/>
      <c r="FNH104" s="29"/>
      <c r="FNI104" s="29"/>
      <c r="FNJ104" s="29"/>
      <c r="FNK104" s="29"/>
      <c r="FNL104" s="29"/>
      <c r="FNM104" s="29"/>
      <c r="FNN104" s="29"/>
      <c r="FNO104" s="29"/>
      <c r="FNP104" s="29"/>
      <c r="FNQ104" s="29"/>
      <c r="FNR104" s="29"/>
      <c r="FNS104" s="29"/>
      <c r="FNT104" s="29"/>
      <c r="FNU104" s="29"/>
      <c r="FNV104" s="29"/>
      <c r="FNW104" s="29"/>
      <c r="FNX104" s="29"/>
      <c r="FNY104" s="29"/>
      <c r="FNZ104" s="29"/>
      <c r="FOA104" s="29"/>
      <c r="FOB104" s="29"/>
      <c r="FOC104" s="29"/>
      <c r="FOD104" s="29"/>
      <c r="FOE104" s="29"/>
      <c r="FOF104" s="29"/>
      <c r="FOG104" s="29"/>
      <c r="FOH104" s="29"/>
      <c r="FOI104" s="29"/>
      <c r="FOJ104" s="29"/>
      <c r="FOK104" s="29"/>
      <c r="FOL104" s="29"/>
      <c r="FOM104" s="29"/>
      <c r="FON104" s="29"/>
      <c r="FOO104" s="29"/>
      <c r="FOP104" s="29"/>
      <c r="FOQ104" s="29"/>
      <c r="FOR104" s="29"/>
      <c r="FOS104" s="29"/>
      <c r="FOT104" s="29"/>
      <c r="FOU104" s="29"/>
      <c r="FOV104" s="29"/>
      <c r="FOW104" s="29"/>
      <c r="FOX104" s="29"/>
      <c r="FOY104" s="29"/>
      <c r="FOZ104" s="29"/>
      <c r="FPA104" s="29"/>
      <c r="FPB104" s="29"/>
      <c r="FPC104" s="29"/>
      <c r="FPD104" s="29"/>
      <c r="FPE104" s="29"/>
      <c r="FPF104" s="29"/>
      <c r="FPG104" s="29"/>
      <c r="FPH104" s="29"/>
      <c r="FPI104" s="29"/>
      <c r="FPJ104" s="29"/>
      <c r="FPK104" s="29"/>
      <c r="FPL104" s="29"/>
      <c r="FPM104" s="29"/>
      <c r="FPN104" s="29"/>
      <c r="FPO104" s="29"/>
      <c r="FPP104" s="29"/>
      <c r="FPQ104" s="29"/>
      <c r="FPR104" s="29"/>
      <c r="FPS104" s="29"/>
      <c r="FPT104" s="29"/>
      <c r="FPU104" s="29"/>
      <c r="FPV104" s="29"/>
      <c r="FPW104" s="29"/>
      <c r="FPX104" s="29"/>
      <c r="FPY104" s="29"/>
      <c r="FPZ104" s="29"/>
      <c r="FQA104" s="29"/>
      <c r="FQB104" s="29"/>
      <c r="FQC104" s="29"/>
      <c r="FQD104" s="29"/>
      <c r="FQE104" s="29"/>
      <c r="FQF104" s="29"/>
      <c r="FQG104" s="29"/>
      <c r="FQH104" s="29"/>
      <c r="FQI104" s="29"/>
      <c r="FQJ104" s="29"/>
      <c r="FQK104" s="29"/>
      <c r="FQL104" s="29"/>
      <c r="FQM104" s="29"/>
      <c r="FQN104" s="29"/>
      <c r="FQO104" s="29"/>
      <c r="FQP104" s="29"/>
      <c r="FQQ104" s="29"/>
      <c r="FQR104" s="29"/>
      <c r="FQS104" s="29"/>
      <c r="FQT104" s="29"/>
      <c r="FQU104" s="29"/>
      <c r="FQV104" s="29"/>
      <c r="FQW104" s="29"/>
      <c r="FQX104" s="29"/>
      <c r="FQY104" s="29"/>
      <c r="FQZ104" s="29"/>
      <c r="FRA104" s="29"/>
      <c r="FRB104" s="29"/>
      <c r="FRC104" s="29"/>
      <c r="FRD104" s="29"/>
      <c r="FRE104" s="29"/>
      <c r="FRF104" s="29"/>
      <c r="FRG104" s="29"/>
      <c r="FRH104" s="29"/>
      <c r="FRI104" s="29"/>
      <c r="FRJ104" s="29"/>
      <c r="FRK104" s="29"/>
      <c r="FRL104" s="29"/>
      <c r="FRM104" s="29"/>
      <c r="FRN104" s="29"/>
      <c r="FRO104" s="29"/>
      <c r="FRP104" s="29"/>
      <c r="FRQ104" s="29"/>
      <c r="FRR104" s="29"/>
      <c r="FRS104" s="29"/>
      <c r="FRT104" s="29"/>
      <c r="FRU104" s="29"/>
      <c r="FRV104" s="29"/>
      <c r="FRW104" s="29"/>
      <c r="FRX104" s="29"/>
      <c r="FRY104" s="29"/>
      <c r="FRZ104" s="29"/>
      <c r="FSA104" s="29"/>
      <c r="FSB104" s="29"/>
      <c r="FSC104" s="29"/>
      <c r="FSD104" s="29"/>
      <c r="FSE104" s="29"/>
      <c r="FSF104" s="29"/>
      <c r="FSG104" s="29"/>
      <c r="FSH104" s="29"/>
      <c r="FSI104" s="29"/>
      <c r="FSJ104" s="29"/>
      <c r="FSK104" s="29"/>
      <c r="FSL104" s="29"/>
      <c r="FSM104" s="29"/>
      <c r="FSN104" s="29"/>
      <c r="FSO104" s="29"/>
      <c r="FSP104" s="29"/>
      <c r="FSQ104" s="29"/>
      <c r="FSR104" s="29"/>
      <c r="FSS104" s="29"/>
      <c r="FST104" s="29"/>
      <c r="FSU104" s="29"/>
      <c r="FSV104" s="29"/>
      <c r="FSW104" s="29"/>
      <c r="FSX104" s="29"/>
      <c r="FSY104" s="29"/>
      <c r="FSZ104" s="29"/>
      <c r="FTA104" s="29"/>
      <c r="FTB104" s="29"/>
      <c r="FTC104" s="29"/>
      <c r="FTD104" s="29"/>
      <c r="FTE104" s="29"/>
      <c r="FTF104" s="29"/>
      <c r="FTG104" s="29"/>
      <c r="FTH104" s="29"/>
      <c r="FTI104" s="29"/>
      <c r="FTJ104" s="29"/>
      <c r="FTK104" s="29"/>
      <c r="FTL104" s="29"/>
      <c r="FTM104" s="29"/>
      <c r="FTN104" s="29"/>
      <c r="FTO104" s="29"/>
      <c r="FTP104" s="29"/>
      <c r="FTQ104" s="29"/>
      <c r="FTR104" s="29"/>
      <c r="FTS104" s="29"/>
      <c r="FTT104" s="29"/>
      <c r="FTU104" s="29"/>
      <c r="FTV104" s="29"/>
      <c r="FTW104" s="29"/>
      <c r="FTX104" s="29"/>
      <c r="FTY104" s="29"/>
      <c r="FTZ104" s="29"/>
      <c r="FUA104" s="29"/>
      <c r="FUB104" s="29"/>
      <c r="FUC104" s="29"/>
      <c r="FUD104" s="29"/>
      <c r="FUE104" s="29"/>
      <c r="FUF104" s="29"/>
      <c r="FUG104" s="29"/>
      <c r="FUH104" s="29"/>
      <c r="FUI104" s="29"/>
      <c r="FUJ104" s="29"/>
      <c r="FUK104" s="29"/>
      <c r="FUL104" s="29"/>
      <c r="FUM104" s="29"/>
      <c r="FUN104" s="29"/>
      <c r="FUO104" s="29"/>
      <c r="FUP104" s="29"/>
      <c r="FUQ104" s="29"/>
      <c r="FUR104" s="29"/>
      <c r="FUS104" s="29"/>
      <c r="FUT104" s="29"/>
      <c r="FUU104" s="29"/>
      <c r="FUV104" s="29"/>
      <c r="FUW104" s="29"/>
      <c r="FUX104" s="29"/>
      <c r="FUY104" s="29"/>
      <c r="FUZ104" s="29"/>
      <c r="FVA104" s="29"/>
      <c r="FVB104" s="29"/>
      <c r="FVC104" s="29"/>
      <c r="FVD104" s="29"/>
      <c r="FVE104" s="29"/>
      <c r="FVF104" s="29"/>
      <c r="FVG104" s="29"/>
      <c r="FVH104" s="29"/>
      <c r="FVI104" s="29"/>
      <c r="FVJ104" s="29"/>
      <c r="FVK104" s="29"/>
      <c r="FVL104" s="29"/>
      <c r="FVM104" s="29"/>
      <c r="FVN104" s="29"/>
      <c r="FVO104" s="29"/>
      <c r="FVP104" s="29"/>
      <c r="FVQ104" s="29"/>
      <c r="FVR104" s="29"/>
      <c r="FVS104" s="29"/>
      <c r="FVT104" s="29"/>
      <c r="FVU104" s="29"/>
      <c r="FVV104" s="29"/>
      <c r="FVW104" s="29"/>
      <c r="FVX104" s="29"/>
      <c r="FVY104" s="29"/>
      <c r="FVZ104" s="29"/>
      <c r="FWA104" s="29"/>
      <c r="FWB104" s="29"/>
      <c r="FWC104" s="29"/>
      <c r="FWD104" s="29"/>
      <c r="FWE104" s="29"/>
      <c r="FWF104" s="29"/>
      <c r="FWG104" s="29"/>
      <c r="FWH104" s="29"/>
      <c r="FWI104" s="29"/>
      <c r="FWJ104" s="29"/>
      <c r="FWK104" s="29"/>
      <c r="FWL104" s="29"/>
      <c r="FWM104" s="29"/>
      <c r="FWN104" s="29"/>
      <c r="FWO104" s="29"/>
      <c r="FWP104" s="29"/>
      <c r="FWQ104" s="29"/>
      <c r="FWR104" s="29"/>
      <c r="FWS104" s="29"/>
      <c r="FWT104" s="29"/>
      <c r="FWU104" s="29"/>
      <c r="FWV104" s="29"/>
      <c r="FWW104" s="29"/>
      <c r="FWX104" s="29"/>
      <c r="FWY104" s="29"/>
      <c r="FWZ104" s="29"/>
      <c r="FXA104" s="29"/>
      <c r="FXB104" s="29"/>
      <c r="FXC104" s="29"/>
      <c r="FXD104" s="29"/>
      <c r="FXE104" s="29"/>
      <c r="FXF104" s="29"/>
      <c r="FXG104" s="29"/>
      <c r="FXH104" s="29"/>
      <c r="FXI104" s="29"/>
      <c r="FXJ104" s="29"/>
      <c r="FXK104" s="29"/>
      <c r="FXL104" s="29"/>
      <c r="FXM104" s="29"/>
      <c r="FXN104" s="29"/>
      <c r="FXO104" s="29"/>
      <c r="FXP104" s="29"/>
      <c r="FXQ104" s="29"/>
      <c r="FXR104" s="29"/>
      <c r="FXS104" s="29"/>
      <c r="FXT104" s="29"/>
      <c r="FXU104" s="29"/>
      <c r="FXV104" s="29"/>
      <c r="FXW104" s="29"/>
      <c r="FXX104" s="29"/>
      <c r="FXY104" s="29"/>
      <c r="FXZ104" s="29"/>
      <c r="FYA104" s="29"/>
      <c r="FYB104" s="29"/>
      <c r="FYC104" s="29"/>
      <c r="FYD104" s="29"/>
      <c r="FYE104" s="29"/>
      <c r="FYF104" s="29"/>
      <c r="FYG104" s="29"/>
      <c r="FYH104" s="29"/>
      <c r="FYI104" s="29"/>
      <c r="FYJ104" s="29"/>
      <c r="FYK104" s="29"/>
      <c r="FYL104" s="29"/>
      <c r="FYM104" s="29"/>
      <c r="FYN104" s="29"/>
      <c r="FYO104" s="29"/>
      <c r="FYP104" s="29"/>
      <c r="FYQ104" s="29"/>
      <c r="FYR104" s="29"/>
      <c r="FYS104" s="29"/>
      <c r="FYT104" s="29"/>
      <c r="FYU104" s="29"/>
      <c r="FYV104" s="29"/>
      <c r="FYW104" s="29"/>
      <c r="FYX104" s="29"/>
      <c r="FYY104" s="29"/>
      <c r="FYZ104" s="29"/>
      <c r="FZA104" s="29"/>
      <c r="FZB104" s="29"/>
      <c r="FZC104" s="29"/>
      <c r="FZD104" s="29"/>
      <c r="FZE104" s="29"/>
      <c r="FZF104" s="29"/>
      <c r="FZG104" s="29"/>
      <c r="FZH104" s="29"/>
      <c r="FZI104" s="29"/>
      <c r="FZJ104" s="29"/>
      <c r="FZK104" s="29"/>
      <c r="FZL104" s="29"/>
      <c r="FZM104" s="29"/>
      <c r="FZN104" s="29"/>
      <c r="FZO104" s="29"/>
      <c r="FZP104" s="29"/>
      <c r="FZQ104" s="29"/>
      <c r="FZR104" s="29"/>
      <c r="FZS104" s="29"/>
      <c r="FZT104" s="29"/>
      <c r="FZU104" s="29"/>
      <c r="FZV104" s="29"/>
      <c r="FZW104" s="29"/>
      <c r="FZX104" s="29"/>
      <c r="FZY104" s="29"/>
      <c r="FZZ104" s="29"/>
      <c r="GAA104" s="29"/>
      <c r="GAB104" s="29"/>
      <c r="GAC104" s="29"/>
      <c r="GAD104" s="29"/>
      <c r="GAE104" s="29"/>
      <c r="GAF104" s="29"/>
      <c r="GAG104" s="29"/>
      <c r="GAH104" s="29"/>
      <c r="GAI104" s="29"/>
      <c r="GAJ104" s="29"/>
      <c r="GAK104" s="29"/>
      <c r="GAL104" s="29"/>
      <c r="GAM104" s="29"/>
      <c r="GAN104" s="29"/>
      <c r="GAO104" s="29"/>
      <c r="GAP104" s="29"/>
      <c r="GAQ104" s="29"/>
      <c r="GAR104" s="29"/>
      <c r="GAS104" s="29"/>
      <c r="GAT104" s="29"/>
      <c r="GAU104" s="29"/>
      <c r="GAV104" s="29"/>
      <c r="GAW104" s="29"/>
      <c r="GAX104" s="29"/>
      <c r="GAY104" s="29"/>
      <c r="GAZ104" s="29"/>
      <c r="GBA104" s="29"/>
      <c r="GBB104" s="29"/>
      <c r="GBC104" s="29"/>
      <c r="GBD104" s="29"/>
      <c r="GBE104" s="29"/>
      <c r="GBF104" s="29"/>
      <c r="GBG104" s="29"/>
      <c r="GBH104" s="29"/>
      <c r="GBI104" s="29"/>
      <c r="GBJ104" s="29"/>
      <c r="GBK104" s="29"/>
      <c r="GBL104" s="29"/>
      <c r="GBM104" s="29"/>
      <c r="GBN104" s="29"/>
      <c r="GBO104" s="29"/>
      <c r="GBP104" s="29"/>
      <c r="GBQ104" s="29"/>
      <c r="GBR104" s="29"/>
      <c r="GBS104" s="29"/>
      <c r="GBT104" s="29"/>
      <c r="GBU104" s="29"/>
      <c r="GBV104" s="29"/>
      <c r="GBW104" s="29"/>
      <c r="GBX104" s="29"/>
      <c r="GBY104" s="29"/>
      <c r="GBZ104" s="29"/>
      <c r="GCA104" s="29"/>
      <c r="GCB104" s="29"/>
      <c r="GCC104" s="29"/>
      <c r="GCD104" s="29"/>
      <c r="GCE104" s="29"/>
      <c r="GCF104" s="29"/>
      <c r="GCG104" s="29"/>
      <c r="GCH104" s="29"/>
      <c r="GCI104" s="29"/>
      <c r="GCJ104" s="29"/>
      <c r="GCK104" s="29"/>
      <c r="GCL104" s="29"/>
      <c r="GCM104" s="29"/>
      <c r="GCN104" s="29"/>
      <c r="GCO104" s="29"/>
      <c r="GCP104" s="29"/>
      <c r="GCQ104" s="29"/>
      <c r="GCR104" s="29"/>
      <c r="GCS104" s="29"/>
      <c r="GCT104" s="29"/>
      <c r="GCU104" s="29"/>
      <c r="GCV104" s="29"/>
      <c r="GCW104" s="29"/>
      <c r="GCX104" s="29"/>
      <c r="GCY104" s="29"/>
      <c r="GCZ104" s="29"/>
      <c r="GDA104" s="29"/>
      <c r="GDB104" s="29"/>
      <c r="GDC104" s="29"/>
      <c r="GDD104" s="29"/>
      <c r="GDE104" s="29"/>
      <c r="GDF104" s="29"/>
      <c r="GDG104" s="29"/>
      <c r="GDH104" s="29"/>
      <c r="GDI104" s="29"/>
      <c r="GDJ104" s="29"/>
      <c r="GDK104" s="29"/>
      <c r="GDL104" s="29"/>
      <c r="GDM104" s="29"/>
      <c r="GDN104" s="29"/>
      <c r="GDO104" s="29"/>
      <c r="GDP104" s="29"/>
      <c r="GDQ104" s="29"/>
      <c r="GDR104" s="29"/>
      <c r="GDS104" s="29"/>
      <c r="GDT104" s="29"/>
      <c r="GDU104" s="29"/>
      <c r="GDV104" s="29"/>
      <c r="GDW104" s="29"/>
      <c r="GDX104" s="29"/>
      <c r="GDY104" s="29"/>
      <c r="GDZ104" s="29"/>
      <c r="GEA104" s="29"/>
      <c r="GEB104" s="29"/>
      <c r="GEC104" s="29"/>
      <c r="GED104" s="29"/>
      <c r="GEE104" s="29"/>
      <c r="GEF104" s="29"/>
      <c r="GEG104" s="29"/>
      <c r="GEH104" s="29"/>
      <c r="GEI104" s="29"/>
      <c r="GEJ104" s="29"/>
      <c r="GEK104" s="29"/>
      <c r="GEL104" s="29"/>
      <c r="GEM104" s="29"/>
      <c r="GEN104" s="29"/>
      <c r="GEO104" s="29"/>
      <c r="GEP104" s="29"/>
      <c r="GEQ104" s="29"/>
      <c r="GER104" s="29"/>
      <c r="GES104" s="29"/>
      <c r="GET104" s="29"/>
      <c r="GEU104" s="29"/>
      <c r="GEV104" s="29"/>
      <c r="GEW104" s="29"/>
      <c r="GEX104" s="29"/>
      <c r="GEY104" s="29"/>
      <c r="GEZ104" s="29"/>
      <c r="GFA104" s="29"/>
      <c r="GFB104" s="29"/>
      <c r="GFC104" s="29"/>
      <c r="GFD104" s="29"/>
      <c r="GFE104" s="29"/>
      <c r="GFF104" s="29"/>
      <c r="GFG104" s="29"/>
      <c r="GFH104" s="29"/>
      <c r="GFI104" s="29"/>
      <c r="GFJ104" s="29"/>
      <c r="GFK104" s="29"/>
      <c r="GFL104" s="29"/>
      <c r="GFM104" s="29"/>
      <c r="GFN104" s="29"/>
      <c r="GFO104" s="29"/>
      <c r="GFP104" s="29"/>
      <c r="GFQ104" s="29"/>
      <c r="GFR104" s="29"/>
      <c r="GFS104" s="29"/>
      <c r="GFT104" s="29"/>
      <c r="GFU104" s="29"/>
      <c r="GFV104" s="29"/>
      <c r="GFW104" s="29"/>
      <c r="GFX104" s="29"/>
      <c r="GFY104" s="29"/>
      <c r="GFZ104" s="29"/>
      <c r="GGA104" s="29"/>
      <c r="GGB104" s="29"/>
      <c r="GGC104" s="29"/>
      <c r="GGD104" s="29"/>
      <c r="GGE104" s="29"/>
      <c r="GGF104" s="29"/>
      <c r="GGG104" s="29"/>
      <c r="GGH104" s="29"/>
      <c r="GGI104" s="29"/>
      <c r="GGJ104" s="29"/>
      <c r="GGK104" s="29"/>
      <c r="GGL104" s="29"/>
      <c r="GGM104" s="29"/>
      <c r="GGN104" s="29"/>
      <c r="GGO104" s="29"/>
      <c r="GGP104" s="29"/>
      <c r="GGQ104" s="29"/>
      <c r="GGR104" s="29"/>
      <c r="GGS104" s="29"/>
      <c r="GGT104" s="29"/>
      <c r="GGU104" s="29"/>
      <c r="GGV104" s="29"/>
      <c r="GGW104" s="29"/>
      <c r="GGX104" s="29"/>
      <c r="GGY104" s="29"/>
      <c r="GGZ104" s="29"/>
      <c r="GHA104" s="29"/>
      <c r="GHB104" s="29"/>
      <c r="GHC104" s="29"/>
      <c r="GHD104" s="29"/>
      <c r="GHE104" s="29"/>
      <c r="GHF104" s="29"/>
      <c r="GHG104" s="29"/>
      <c r="GHH104" s="29"/>
      <c r="GHI104" s="29"/>
      <c r="GHJ104" s="29"/>
      <c r="GHK104" s="29"/>
      <c r="GHL104" s="29"/>
      <c r="GHM104" s="29"/>
      <c r="GHN104" s="29"/>
      <c r="GHO104" s="29"/>
      <c r="GHP104" s="29"/>
      <c r="GHQ104" s="29"/>
      <c r="GHR104" s="29"/>
      <c r="GHS104" s="29"/>
      <c r="GHT104" s="29"/>
      <c r="GHU104" s="29"/>
      <c r="GHV104" s="29"/>
      <c r="GHW104" s="29"/>
      <c r="GHX104" s="29"/>
      <c r="GHY104" s="29"/>
      <c r="GHZ104" s="29"/>
      <c r="GIA104" s="29"/>
      <c r="GIB104" s="29"/>
      <c r="GIC104" s="29"/>
      <c r="GID104" s="29"/>
      <c r="GIE104" s="29"/>
      <c r="GIF104" s="29"/>
      <c r="GIG104" s="29"/>
      <c r="GIH104" s="29"/>
      <c r="GII104" s="29"/>
      <c r="GIJ104" s="29"/>
      <c r="GIK104" s="29"/>
      <c r="GIL104" s="29"/>
      <c r="GIM104" s="29"/>
      <c r="GIN104" s="29"/>
      <c r="GIO104" s="29"/>
      <c r="GIP104" s="29"/>
      <c r="GIQ104" s="29"/>
      <c r="GIR104" s="29"/>
      <c r="GIS104" s="29"/>
      <c r="GIT104" s="29"/>
      <c r="GIU104" s="29"/>
      <c r="GIV104" s="29"/>
      <c r="GIW104" s="29"/>
      <c r="GIX104" s="29"/>
      <c r="GIY104" s="29"/>
      <c r="GIZ104" s="29"/>
      <c r="GJA104" s="29"/>
      <c r="GJB104" s="29"/>
      <c r="GJC104" s="29"/>
      <c r="GJD104" s="29"/>
      <c r="GJE104" s="29"/>
      <c r="GJF104" s="29"/>
      <c r="GJG104" s="29"/>
      <c r="GJH104" s="29"/>
      <c r="GJI104" s="29"/>
      <c r="GJJ104" s="29"/>
      <c r="GJK104" s="29"/>
      <c r="GJL104" s="29"/>
      <c r="GJM104" s="29"/>
      <c r="GJN104" s="29"/>
      <c r="GJO104" s="29"/>
      <c r="GJP104" s="29"/>
      <c r="GJQ104" s="29"/>
      <c r="GJR104" s="29"/>
      <c r="GJS104" s="29"/>
      <c r="GJT104" s="29"/>
      <c r="GJU104" s="29"/>
      <c r="GJV104" s="29"/>
      <c r="GJW104" s="29"/>
      <c r="GJX104" s="29"/>
      <c r="GJY104" s="29"/>
      <c r="GJZ104" s="29"/>
      <c r="GKA104" s="29"/>
      <c r="GKB104" s="29"/>
      <c r="GKC104" s="29"/>
      <c r="GKD104" s="29"/>
      <c r="GKE104" s="29"/>
      <c r="GKF104" s="29"/>
      <c r="GKG104" s="29"/>
      <c r="GKH104" s="29"/>
      <c r="GKI104" s="29"/>
      <c r="GKJ104" s="29"/>
      <c r="GKK104" s="29"/>
      <c r="GKL104" s="29"/>
      <c r="GKM104" s="29"/>
      <c r="GKN104" s="29"/>
      <c r="GKO104" s="29"/>
      <c r="GKP104" s="29"/>
      <c r="GKQ104" s="29"/>
      <c r="GKR104" s="29"/>
      <c r="GKS104" s="29"/>
      <c r="GKT104" s="29"/>
      <c r="GKU104" s="29"/>
      <c r="GKV104" s="29"/>
      <c r="GKW104" s="29"/>
      <c r="GKX104" s="29"/>
      <c r="GKY104" s="29"/>
      <c r="GKZ104" s="29"/>
      <c r="GLA104" s="29"/>
      <c r="GLB104" s="29"/>
      <c r="GLC104" s="29"/>
      <c r="GLD104" s="29"/>
      <c r="GLE104" s="29"/>
      <c r="GLF104" s="29"/>
      <c r="GLG104" s="29"/>
      <c r="GLH104" s="29"/>
      <c r="GLI104" s="29"/>
      <c r="GLJ104" s="29"/>
      <c r="GLK104" s="29"/>
      <c r="GLL104" s="29"/>
      <c r="GLM104" s="29"/>
      <c r="GLN104" s="29"/>
      <c r="GLO104" s="29"/>
      <c r="GLP104" s="29"/>
      <c r="GLQ104" s="29"/>
      <c r="GLR104" s="29"/>
      <c r="GLS104" s="29"/>
      <c r="GLT104" s="29"/>
      <c r="GLU104" s="29"/>
      <c r="GLV104" s="29"/>
      <c r="GLW104" s="29"/>
      <c r="GLX104" s="29"/>
      <c r="GLY104" s="29"/>
      <c r="GLZ104" s="29"/>
      <c r="GMA104" s="29"/>
      <c r="GMB104" s="29"/>
      <c r="GMC104" s="29"/>
      <c r="GMD104" s="29"/>
      <c r="GME104" s="29"/>
      <c r="GMF104" s="29"/>
      <c r="GMG104" s="29"/>
      <c r="GMH104" s="29"/>
      <c r="GMI104" s="29"/>
      <c r="GMJ104" s="29"/>
      <c r="GMK104" s="29"/>
      <c r="GML104" s="29"/>
      <c r="GMM104" s="29"/>
      <c r="GMN104" s="29"/>
      <c r="GMO104" s="29"/>
      <c r="GMP104" s="29"/>
      <c r="GMQ104" s="29"/>
      <c r="GMR104" s="29"/>
      <c r="GMS104" s="29"/>
      <c r="GMT104" s="29"/>
      <c r="GMU104" s="29"/>
      <c r="GMV104" s="29"/>
      <c r="GMW104" s="29"/>
      <c r="GMX104" s="29"/>
      <c r="GMY104" s="29"/>
      <c r="GMZ104" s="29"/>
      <c r="GNA104" s="29"/>
      <c r="GNB104" s="29"/>
      <c r="GNC104" s="29"/>
      <c r="GND104" s="29"/>
      <c r="GNE104" s="29"/>
      <c r="GNF104" s="29"/>
      <c r="GNG104" s="29"/>
      <c r="GNH104" s="29"/>
      <c r="GNI104" s="29"/>
      <c r="GNJ104" s="29"/>
      <c r="GNK104" s="29"/>
      <c r="GNL104" s="29"/>
      <c r="GNM104" s="29"/>
      <c r="GNN104" s="29"/>
      <c r="GNO104" s="29"/>
      <c r="GNP104" s="29"/>
      <c r="GNQ104" s="29"/>
      <c r="GNR104" s="29"/>
      <c r="GNS104" s="29"/>
      <c r="GNT104" s="29"/>
      <c r="GNU104" s="29"/>
      <c r="GNV104" s="29"/>
      <c r="GNW104" s="29"/>
      <c r="GNX104" s="29"/>
      <c r="GNY104" s="29"/>
      <c r="GNZ104" s="29"/>
      <c r="GOA104" s="29"/>
      <c r="GOB104" s="29"/>
      <c r="GOC104" s="29"/>
      <c r="GOD104" s="29"/>
      <c r="GOE104" s="29"/>
      <c r="GOF104" s="29"/>
      <c r="GOG104" s="29"/>
      <c r="GOH104" s="29"/>
      <c r="GOI104" s="29"/>
      <c r="GOJ104" s="29"/>
      <c r="GOK104" s="29"/>
      <c r="GOL104" s="29"/>
      <c r="GOM104" s="29"/>
      <c r="GON104" s="29"/>
      <c r="GOO104" s="29"/>
      <c r="GOP104" s="29"/>
      <c r="GOQ104" s="29"/>
      <c r="GOR104" s="29"/>
      <c r="GOS104" s="29"/>
      <c r="GOT104" s="29"/>
      <c r="GOU104" s="29"/>
      <c r="GOV104" s="29"/>
      <c r="GOW104" s="29"/>
      <c r="GOX104" s="29"/>
      <c r="GOY104" s="29"/>
      <c r="GOZ104" s="29"/>
      <c r="GPA104" s="29"/>
      <c r="GPB104" s="29"/>
      <c r="GPC104" s="29"/>
      <c r="GPD104" s="29"/>
      <c r="GPE104" s="29"/>
      <c r="GPF104" s="29"/>
      <c r="GPG104" s="29"/>
      <c r="GPH104" s="29"/>
      <c r="GPI104" s="29"/>
      <c r="GPJ104" s="29"/>
      <c r="GPK104" s="29"/>
      <c r="GPL104" s="29"/>
      <c r="GPM104" s="29"/>
      <c r="GPN104" s="29"/>
      <c r="GPO104" s="29"/>
      <c r="GPP104" s="29"/>
      <c r="GPQ104" s="29"/>
      <c r="GPR104" s="29"/>
      <c r="GPS104" s="29"/>
      <c r="GPT104" s="29"/>
      <c r="GPU104" s="29"/>
      <c r="GPV104" s="29"/>
      <c r="GPW104" s="29"/>
      <c r="GPX104" s="29"/>
      <c r="GPY104" s="29"/>
      <c r="GPZ104" s="29"/>
      <c r="GQA104" s="29"/>
      <c r="GQB104" s="29"/>
      <c r="GQC104" s="29"/>
      <c r="GQD104" s="29"/>
      <c r="GQE104" s="29"/>
      <c r="GQF104" s="29"/>
      <c r="GQG104" s="29"/>
      <c r="GQH104" s="29"/>
      <c r="GQI104" s="29"/>
      <c r="GQJ104" s="29"/>
      <c r="GQK104" s="29"/>
      <c r="GQL104" s="29"/>
      <c r="GQM104" s="29"/>
      <c r="GQN104" s="29"/>
      <c r="GQO104" s="29"/>
      <c r="GQP104" s="29"/>
      <c r="GQQ104" s="29"/>
      <c r="GQR104" s="29"/>
      <c r="GQS104" s="29"/>
      <c r="GQT104" s="29"/>
      <c r="GQU104" s="29"/>
      <c r="GQV104" s="29"/>
      <c r="GQW104" s="29"/>
      <c r="GQX104" s="29"/>
      <c r="GQY104" s="29"/>
      <c r="GQZ104" s="29"/>
      <c r="GRA104" s="29"/>
      <c r="GRB104" s="29"/>
      <c r="GRC104" s="29"/>
      <c r="GRD104" s="29"/>
      <c r="GRE104" s="29"/>
      <c r="GRF104" s="29"/>
      <c r="GRG104" s="29"/>
      <c r="GRH104" s="29"/>
      <c r="GRI104" s="29"/>
      <c r="GRJ104" s="29"/>
      <c r="GRK104" s="29"/>
      <c r="GRL104" s="29"/>
      <c r="GRM104" s="29"/>
      <c r="GRN104" s="29"/>
      <c r="GRO104" s="29"/>
      <c r="GRP104" s="29"/>
      <c r="GRQ104" s="29"/>
      <c r="GRR104" s="29"/>
      <c r="GRS104" s="29"/>
      <c r="GRT104" s="29"/>
      <c r="GRU104" s="29"/>
      <c r="GRV104" s="29"/>
      <c r="GRW104" s="29"/>
      <c r="GRX104" s="29"/>
      <c r="GRY104" s="29"/>
      <c r="GRZ104" s="29"/>
      <c r="GSA104" s="29"/>
      <c r="GSB104" s="29"/>
      <c r="GSC104" s="29"/>
      <c r="GSD104" s="29"/>
      <c r="GSE104" s="29"/>
      <c r="GSF104" s="29"/>
      <c r="GSG104" s="29"/>
      <c r="GSH104" s="29"/>
      <c r="GSI104" s="29"/>
      <c r="GSJ104" s="29"/>
      <c r="GSK104" s="29"/>
      <c r="GSL104" s="29"/>
      <c r="GSM104" s="29"/>
      <c r="GSN104" s="29"/>
      <c r="GSO104" s="29"/>
      <c r="GSP104" s="29"/>
      <c r="GSQ104" s="29"/>
      <c r="GSR104" s="29"/>
      <c r="GSS104" s="29"/>
      <c r="GST104" s="29"/>
      <c r="GSU104" s="29"/>
      <c r="GSV104" s="29"/>
      <c r="GSW104" s="29"/>
      <c r="GSX104" s="29"/>
      <c r="GSY104" s="29"/>
      <c r="GSZ104" s="29"/>
      <c r="GTA104" s="29"/>
      <c r="GTB104" s="29"/>
      <c r="GTC104" s="29"/>
      <c r="GTD104" s="29"/>
      <c r="GTE104" s="29"/>
      <c r="GTF104" s="29"/>
      <c r="GTG104" s="29"/>
      <c r="GTH104" s="29"/>
      <c r="GTI104" s="29"/>
      <c r="GTJ104" s="29"/>
      <c r="GTK104" s="29"/>
      <c r="GTL104" s="29"/>
      <c r="GTM104" s="29"/>
      <c r="GTN104" s="29"/>
      <c r="GTO104" s="29"/>
      <c r="GTP104" s="29"/>
      <c r="GTQ104" s="29"/>
      <c r="GTR104" s="29"/>
      <c r="GTS104" s="29"/>
      <c r="GTT104" s="29"/>
      <c r="GTU104" s="29"/>
      <c r="GTV104" s="29"/>
      <c r="GTW104" s="29"/>
      <c r="GTX104" s="29"/>
      <c r="GTY104" s="29"/>
      <c r="GTZ104" s="29"/>
      <c r="GUA104" s="29"/>
      <c r="GUB104" s="29"/>
      <c r="GUC104" s="29"/>
      <c r="GUD104" s="29"/>
      <c r="GUE104" s="29"/>
      <c r="GUF104" s="29"/>
      <c r="GUG104" s="29"/>
      <c r="GUH104" s="29"/>
      <c r="GUI104" s="29"/>
      <c r="GUJ104" s="29"/>
      <c r="GUK104" s="29"/>
      <c r="GUL104" s="29"/>
      <c r="GUM104" s="29"/>
      <c r="GUN104" s="29"/>
      <c r="GUO104" s="29"/>
      <c r="GUP104" s="29"/>
      <c r="GUQ104" s="29"/>
      <c r="GUR104" s="29"/>
      <c r="GUS104" s="29"/>
      <c r="GUT104" s="29"/>
      <c r="GUU104" s="29"/>
      <c r="GUV104" s="29"/>
      <c r="GUW104" s="29"/>
      <c r="GUX104" s="29"/>
      <c r="GUY104" s="29"/>
      <c r="GUZ104" s="29"/>
      <c r="GVA104" s="29"/>
      <c r="GVB104" s="29"/>
      <c r="GVC104" s="29"/>
      <c r="GVD104" s="29"/>
      <c r="GVE104" s="29"/>
      <c r="GVF104" s="29"/>
      <c r="GVG104" s="29"/>
      <c r="GVH104" s="29"/>
      <c r="GVI104" s="29"/>
      <c r="GVJ104" s="29"/>
      <c r="GVK104" s="29"/>
      <c r="GVL104" s="29"/>
      <c r="GVM104" s="29"/>
      <c r="GVN104" s="29"/>
      <c r="GVO104" s="29"/>
      <c r="GVP104" s="29"/>
      <c r="GVQ104" s="29"/>
      <c r="GVR104" s="29"/>
      <c r="GVS104" s="29"/>
      <c r="GVT104" s="29"/>
      <c r="GVU104" s="29"/>
      <c r="GVV104" s="29"/>
      <c r="GVW104" s="29"/>
      <c r="GVX104" s="29"/>
      <c r="GVY104" s="29"/>
      <c r="GVZ104" s="29"/>
      <c r="GWA104" s="29"/>
      <c r="GWB104" s="29"/>
      <c r="GWC104" s="29"/>
      <c r="GWD104" s="29"/>
      <c r="GWE104" s="29"/>
      <c r="GWF104" s="29"/>
      <c r="GWG104" s="29"/>
      <c r="GWH104" s="29"/>
      <c r="GWI104" s="29"/>
      <c r="GWJ104" s="29"/>
      <c r="GWK104" s="29"/>
      <c r="GWL104" s="29"/>
      <c r="GWM104" s="29"/>
      <c r="GWN104" s="29"/>
      <c r="GWO104" s="29"/>
      <c r="GWP104" s="29"/>
      <c r="GWQ104" s="29"/>
      <c r="GWR104" s="29"/>
      <c r="GWS104" s="29"/>
      <c r="GWT104" s="29"/>
      <c r="GWU104" s="29"/>
      <c r="GWV104" s="29"/>
      <c r="GWW104" s="29"/>
      <c r="GWX104" s="29"/>
      <c r="GWY104" s="29"/>
      <c r="GWZ104" s="29"/>
      <c r="GXA104" s="29"/>
      <c r="GXB104" s="29"/>
      <c r="GXC104" s="29"/>
      <c r="GXD104" s="29"/>
      <c r="GXE104" s="29"/>
      <c r="GXF104" s="29"/>
      <c r="GXG104" s="29"/>
      <c r="GXH104" s="29"/>
      <c r="GXI104" s="29"/>
      <c r="GXJ104" s="29"/>
      <c r="GXK104" s="29"/>
      <c r="GXL104" s="29"/>
      <c r="GXM104" s="29"/>
      <c r="GXN104" s="29"/>
      <c r="GXO104" s="29"/>
      <c r="GXP104" s="29"/>
      <c r="GXQ104" s="29"/>
      <c r="GXR104" s="29"/>
      <c r="GXS104" s="29"/>
      <c r="GXT104" s="29"/>
      <c r="GXU104" s="29"/>
      <c r="GXV104" s="29"/>
      <c r="GXW104" s="29"/>
      <c r="GXX104" s="29"/>
      <c r="GXY104" s="29"/>
      <c r="GXZ104" s="29"/>
      <c r="GYA104" s="29"/>
      <c r="GYB104" s="29"/>
      <c r="GYC104" s="29"/>
      <c r="GYD104" s="29"/>
      <c r="GYE104" s="29"/>
      <c r="GYF104" s="29"/>
      <c r="GYG104" s="29"/>
      <c r="GYH104" s="29"/>
      <c r="GYI104" s="29"/>
      <c r="GYJ104" s="29"/>
      <c r="GYK104" s="29"/>
      <c r="GYL104" s="29"/>
      <c r="GYM104" s="29"/>
      <c r="GYN104" s="29"/>
      <c r="GYO104" s="29"/>
      <c r="GYP104" s="29"/>
      <c r="GYQ104" s="29"/>
      <c r="GYR104" s="29"/>
      <c r="GYS104" s="29"/>
      <c r="GYT104" s="29"/>
      <c r="GYU104" s="29"/>
      <c r="GYV104" s="29"/>
      <c r="GYW104" s="29"/>
      <c r="GYX104" s="29"/>
      <c r="GYY104" s="29"/>
      <c r="GYZ104" s="29"/>
      <c r="GZA104" s="29"/>
      <c r="GZB104" s="29"/>
      <c r="GZC104" s="29"/>
      <c r="GZD104" s="29"/>
      <c r="GZE104" s="29"/>
      <c r="GZF104" s="29"/>
      <c r="GZG104" s="29"/>
      <c r="GZH104" s="29"/>
      <c r="GZI104" s="29"/>
      <c r="GZJ104" s="29"/>
      <c r="GZK104" s="29"/>
      <c r="GZL104" s="29"/>
      <c r="GZM104" s="29"/>
      <c r="GZN104" s="29"/>
      <c r="GZO104" s="29"/>
      <c r="GZP104" s="29"/>
      <c r="GZQ104" s="29"/>
      <c r="GZR104" s="29"/>
      <c r="GZS104" s="29"/>
      <c r="GZT104" s="29"/>
      <c r="GZU104" s="29"/>
      <c r="GZV104" s="29"/>
      <c r="GZW104" s="29"/>
      <c r="GZX104" s="29"/>
      <c r="GZY104" s="29"/>
      <c r="GZZ104" s="29"/>
      <c r="HAA104" s="29"/>
      <c r="HAB104" s="29"/>
      <c r="HAC104" s="29"/>
      <c r="HAD104" s="29"/>
      <c r="HAE104" s="29"/>
      <c r="HAF104" s="29"/>
      <c r="HAG104" s="29"/>
      <c r="HAH104" s="29"/>
      <c r="HAI104" s="29"/>
      <c r="HAJ104" s="29"/>
      <c r="HAK104" s="29"/>
      <c r="HAL104" s="29"/>
      <c r="HAM104" s="29"/>
      <c r="HAN104" s="29"/>
      <c r="HAO104" s="29"/>
      <c r="HAP104" s="29"/>
      <c r="HAQ104" s="29"/>
      <c r="HAR104" s="29"/>
      <c r="HAS104" s="29"/>
      <c r="HAT104" s="29"/>
      <c r="HAU104" s="29"/>
      <c r="HAV104" s="29"/>
      <c r="HAW104" s="29"/>
      <c r="HAX104" s="29"/>
      <c r="HAY104" s="29"/>
      <c r="HAZ104" s="29"/>
      <c r="HBA104" s="29"/>
      <c r="HBB104" s="29"/>
      <c r="HBC104" s="29"/>
      <c r="HBD104" s="29"/>
      <c r="HBE104" s="29"/>
      <c r="HBF104" s="29"/>
      <c r="HBG104" s="29"/>
      <c r="HBH104" s="29"/>
      <c r="HBI104" s="29"/>
      <c r="HBJ104" s="29"/>
      <c r="HBK104" s="29"/>
      <c r="HBL104" s="29"/>
      <c r="HBM104" s="29"/>
      <c r="HBN104" s="29"/>
      <c r="HBO104" s="29"/>
      <c r="HBP104" s="29"/>
      <c r="HBQ104" s="29"/>
      <c r="HBR104" s="29"/>
      <c r="HBS104" s="29"/>
      <c r="HBT104" s="29"/>
      <c r="HBU104" s="29"/>
      <c r="HBV104" s="29"/>
      <c r="HBW104" s="29"/>
      <c r="HBX104" s="29"/>
      <c r="HBY104" s="29"/>
      <c r="HBZ104" s="29"/>
      <c r="HCA104" s="29"/>
      <c r="HCB104" s="29"/>
      <c r="HCC104" s="29"/>
      <c r="HCD104" s="29"/>
      <c r="HCE104" s="29"/>
      <c r="HCF104" s="29"/>
      <c r="HCG104" s="29"/>
      <c r="HCH104" s="29"/>
      <c r="HCI104" s="29"/>
      <c r="HCJ104" s="29"/>
      <c r="HCK104" s="29"/>
      <c r="HCL104" s="29"/>
      <c r="HCM104" s="29"/>
      <c r="HCN104" s="29"/>
      <c r="HCO104" s="29"/>
      <c r="HCP104" s="29"/>
      <c r="HCQ104" s="29"/>
      <c r="HCR104" s="29"/>
      <c r="HCS104" s="29"/>
      <c r="HCT104" s="29"/>
      <c r="HCU104" s="29"/>
      <c r="HCV104" s="29"/>
      <c r="HCW104" s="29"/>
      <c r="HCX104" s="29"/>
      <c r="HCY104" s="29"/>
      <c r="HCZ104" s="29"/>
      <c r="HDA104" s="29"/>
      <c r="HDB104" s="29"/>
      <c r="HDC104" s="29"/>
      <c r="HDD104" s="29"/>
      <c r="HDE104" s="29"/>
      <c r="HDF104" s="29"/>
      <c r="HDG104" s="29"/>
      <c r="HDH104" s="29"/>
      <c r="HDI104" s="29"/>
      <c r="HDJ104" s="29"/>
      <c r="HDK104" s="29"/>
      <c r="HDL104" s="29"/>
      <c r="HDM104" s="29"/>
      <c r="HDN104" s="29"/>
      <c r="HDO104" s="29"/>
      <c r="HDP104" s="29"/>
      <c r="HDQ104" s="29"/>
      <c r="HDR104" s="29"/>
      <c r="HDS104" s="29"/>
      <c r="HDT104" s="29"/>
      <c r="HDU104" s="29"/>
      <c r="HDV104" s="29"/>
      <c r="HDW104" s="29"/>
      <c r="HDX104" s="29"/>
      <c r="HDY104" s="29"/>
      <c r="HDZ104" s="29"/>
      <c r="HEA104" s="29"/>
      <c r="HEB104" s="29"/>
      <c r="HEC104" s="29"/>
      <c r="HED104" s="29"/>
      <c r="HEE104" s="29"/>
      <c r="HEF104" s="29"/>
      <c r="HEG104" s="29"/>
      <c r="HEH104" s="29"/>
      <c r="HEI104" s="29"/>
      <c r="HEJ104" s="29"/>
      <c r="HEK104" s="29"/>
      <c r="HEL104" s="29"/>
      <c r="HEM104" s="29"/>
      <c r="HEN104" s="29"/>
      <c r="HEO104" s="29"/>
      <c r="HEP104" s="29"/>
      <c r="HEQ104" s="29"/>
      <c r="HER104" s="29"/>
      <c r="HES104" s="29"/>
      <c r="HET104" s="29"/>
      <c r="HEU104" s="29"/>
      <c r="HEV104" s="29"/>
      <c r="HEW104" s="29"/>
      <c r="HEX104" s="29"/>
      <c r="HEY104" s="29"/>
      <c r="HEZ104" s="29"/>
      <c r="HFA104" s="29"/>
      <c r="HFB104" s="29"/>
      <c r="HFC104" s="29"/>
      <c r="HFD104" s="29"/>
      <c r="HFE104" s="29"/>
      <c r="HFF104" s="29"/>
      <c r="HFG104" s="29"/>
      <c r="HFH104" s="29"/>
      <c r="HFI104" s="29"/>
      <c r="HFJ104" s="29"/>
      <c r="HFK104" s="29"/>
      <c r="HFL104" s="29"/>
      <c r="HFM104" s="29"/>
      <c r="HFN104" s="29"/>
      <c r="HFO104" s="29"/>
      <c r="HFP104" s="29"/>
      <c r="HFQ104" s="29"/>
      <c r="HFR104" s="29"/>
      <c r="HFS104" s="29"/>
      <c r="HFT104" s="29"/>
      <c r="HFU104" s="29"/>
      <c r="HFV104" s="29"/>
      <c r="HFW104" s="29"/>
      <c r="HFX104" s="29"/>
      <c r="HFY104" s="29"/>
      <c r="HFZ104" s="29"/>
      <c r="HGA104" s="29"/>
      <c r="HGB104" s="29"/>
      <c r="HGC104" s="29"/>
      <c r="HGD104" s="29"/>
      <c r="HGE104" s="29"/>
      <c r="HGF104" s="29"/>
      <c r="HGG104" s="29"/>
      <c r="HGH104" s="29"/>
      <c r="HGI104" s="29"/>
      <c r="HGJ104" s="29"/>
      <c r="HGK104" s="29"/>
      <c r="HGL104" s="29"/>
      <c r="HGM104" s="29"/>
      <c r="HGN104" s="29"/>
      <c r="HGO104" s="29"/>
      <c r="HGP104" s="29"/>
      <c r="HGQ104" s="29"/>
      <c r="HGR104" s="29"/>
      <c r="HGS104" s="29"/>
      <c r="HGT104" s="29"/>
      <c r="HGU104" s="29"/>
      <c r="HGV104" s="29"/>
      <c r="HGW104" s="29"/>
      <c r="HGX104" s="29"/>
      <c r="HGY104" s="29"/>
      <c r="HGZ104" s="29"/>
      <c r="HHA104" s="29"/>
      <c r="HHB104" s="29"/>
      <c r="HHC104" s="29"/>
      <c r="HHD104" s="29"/>
      <c r="HHE104" s="29"/>
      <c r="HHF104" s="29"/>
      <c r="HHG104" s="29"/>
      <c r="HHH104" s="29"/>
      <c r="HHI104" s="29"/>
      <c r="HHJ104" s="29"/>
      <c r="HHK104" s="29"/>
      <c r="HHL104" s="29"/>
      <c r="HHM104" s="29"/>
      <c r="HHN104" s="29"/>
      <c r="HHO104" s="29"/>
      <c r="HHP104" s="29"/>
      <c r="HHQ104" s="29"/>
      <c r="HHR104" s="29"/>
      <c r="HHS104" s="29"/>
      <c r="HHT104" s="29"/>
      <c r="HHU104" s="29"/>
      <c r="HHV104" s="29"/>
      <c r="HHW104" s="29"/>
      <c r="HHX104" s="29"/>
      <c r="HHY104" s="29"/>
      <c r="HHZ104" s="29"/>
      <c r="HIA104" s="29"/>
      <c r="HIB104" s="29"/>
      <c r="HIC104" s="29"/>
      <c r="HID104" s="29"/>
      <c r="HIE104" s="29"/>
      <c r="HIF104" s="29"/>
      <c r="HIG104" s="29"/>
      <c r="HIH104" s="29"/>
      <c r="HII104" s="29"/>
      <c r="HIJ104" s="29"/>
      <c r="HIK104" s="29"/>
      <c r="HIL104" s="29"/>
      <c r="HIM104" s="29"/>
      <c r="HIN104" s="29"/>
      <c r="HIO104" s="29"/>
      <c r="HIP104" s="29"/>
      <c r="HIQ104" s="29"/>
      <c r="HIR104" s="29"/>
      <c r="HIS104" s="29"/>
      <c r="HIT104" s="29"/>
      <c r="HIU104" s="29"/>
      <c r="HIV104" s="29"/>
      <c r="HIW104" s="29"/>
      <c r="HIX104" s="29"/>
      <c r="HIY104" s="29"/>
      <c r="HIZ104" s="29"/>
      <c r="HJA104" s="29"/>
      <c r="HJB104" s="29"/>
      <c r="HJC104" s="29"/>
      <c r="HJD104" s="29"/>
      <c r="HJE104" s="29"/>
      <c r="HJF104" s="29"/>
      <c r="HJG104" s="29"/>
      <c r="HJH104" s="29"/>
      <c r="HJI104" s="29"/>
      <c r="HJJ104" s="29"/>
      <c r="HJK104" s="29"/>
      <c r="HJL104" s="29"/>
      <c r="HJM104" s="29"/>
      <c r="HJN104" s="29"/>
      <c r="HJO104" s="29"/>
      <c r="HJP104" s="29"/>
      <c r="HJQ104" s="29"/>
      <c r="HJR104" s="29"/>
      <c r="HJS104" s="29"/>
      <c r="HJT104" s="29"/>
      <c r="HJU104" s="29"/>
      <c r="HJV104" s="29"/>
      <c r="HJW104" s="29"/>
      <c r="HJX104" s="29"/>
      <c r="HJY104" s="29"/>
      <c r="HJZ104" s="29"/>
      <c r="HKA104" s="29"/>
      <c r="HKB104" s="29"/>
      <c r="HKC104" s="29"/>
      <c r="HKD104" s="29"/>
      <c r="HKE104" s="29"/>
      <c r="HKF104" s="29"/>
      <c r="HKG104" s="29"/>
      <c r="HKH104" s="29"/>
      <c r="HKI104" s="29"/>
      <c r="HKJ104" s="29"/>
      <c r="HKK104" s="29"/>
      <c r="HKL104" s="29"/>
      <c r="HKM104" s="29"/>
      <c r="HKN104" s="29"/>
      <c r="HKO104" s="29"/>
      <c r="HKP104" s="29"/>
      <c r="HKQ104" s="29"/>
      <c r="HKR104" s="29"/>
      <c r="HKS104" s="29"/>
      <c r="HKT104" s="29"/>
      <c r="HKU104" s="29"/>
      <c r="HKV104" s="29"/>
      <c r="HKW104" s="29"/>
      <c r="HKX104" s="29"/>
      <c r="HKY104" s="29"/>
      <c r="HKZ104" s="29"/>
      <c r="HLA104" s="29"/>
      <c r="HLB104" s="29"/>
      <c r="HLC104" s="29"/>
      <c r="HLD104" s="29"/>
      <c r="HLE104" s="29"/>
      <c r="HLF104" s="29"/>
      <c r="HLG104" s="29"/>
      <c r="HLH104" s="29"/>
      <c r="HLI104" s="29"/>
      <c r="HLJ104" s="29"/>
      <c r="HLK104" s="29"/>
      <c r="HLL104" s="29"/>
      <c r="HLM104" s="29"/>
      <c r="HLN104" s="29"/>
      <c r="HLO104" s="29"/>
      <c r="HLP104" s="29"/>
      <c r="HLQ104" s="29"/>
      <c r="HLR104" s="29"/>
      <c r="HLS104" s="29"/>
      <c r="HLT104" s="29"/>
      <c r="HLU104" s="29"/>
      <c r="HLV104" s="29"/>
      <c r="HLW104" s="29"/>
      <c r="HLX104" s="29"/>
      <c r="HLY104" s="29"/>
      <c r="HLZ104" s="29"/>
      <c r="HMA104" s="29"/>
      <c r="HMB104" s="29"/>
      <c r="HMC104" s="29"/>
      <c r="HMD104" s="29"/>
      <c r="HME104" s="29"/>
      <c r="HMF104" s="29"/>
      <c r="HMG104" s="29"/>
      <c r="HMH104" s="29"/>
      <c r="HMI104" s="29"/>
      <c r="HMJ104" s="29"/>
      <c r="HMK104" s="29"/>
      <c r="HML104" s="29"/>
      <c r="HMM104" s="29"/>
      <c r="HMN104" s="29"/>
      <c r="HMO104" s="29"/>
      <c r="HMP104" s="29"/>
      <c r="HMQ104" s="29"/>
      <c r="HMR104" s="29"/>
      <c r="HMS104" s="29"/>
      <c r="HMT104" s="29"/>
      <c r="HMU104" s="29"/>
      <c r="HMV104" s="29"/>
      <c r="HMW104" s="29"/>
      <c r="HMX104" s="29"/>
      <c r="HMY104" s="29"/>
      <c r="HMZ104" s="29"/>
      <c r="HNA104" s="29"/>
      <c r="HNB104" s="29"/>
      <c r="HNC104" s="29"/>
      <c r="HND104" s="29"/>
      <c r="HNE104" s="29"/>
      <c r="HNF104" s="29"/>
      <c r="HNG104" s="29"/>
      <c r="HNH104" s="29"/>
      <c r="HNI104" s="29"/>
      <c r="HNJ104" s="29"/>
      <c r="HNK104" s="29"/>
      <c r="HNL104" s="29"/>
      <c r="HNM104" s="29"/>
      <c r="HNN104" s="29"/>
      <c r="HNO104" s="29"/>
      <c r="HNP104" s="29"/>
      <c r="HNQ104" s="29"/>
      <c r="HNR104" s="29"/>
      <c r="HNS104" s="29"/>
      <c r="HNT104" s="29"/>
      <c r="HNU104" s="29"/>
      <c r="HNV104" s="29"/>
      <c r="HNW104" s="29"/>
      <c r="HNX104" s="29"/>
      <c r="HNY104" s="29"/>
      <c r="HNZ104" s="29"/>
      <c r="HOA104" s="29"/>
      <c r="HOB104" s="29"/>
      <c r="HOC104" s="29"/>
      <c r="HOD104" s="29"/>
      <c r="HOE104" s="29"/>
      <c r="HOF104" s="29"/>
      <c r="HOG104" s="29"/>
      <c r="HOH104" s="29"/>
      <c r="HOI104" s="29"/>
      <c r="HOJ104" s="29"/>
      <c r="HOK104" s="29"/>
      <c r="HOL104" s="29"/>
      <c r="HOM104" s="29"/>
      <c r="HON104" s="29"/>
      <c r="HOO104" s="29"/>
      <c r="HOP104" s="29"/>
      <c r="HOQ104" s="29"/>
      <c r="HOR104" s="29"/>
      <c r="HOS104" s="29"/>
      <c r="HOT104" s="29"/>
      <c r="HOU104" s="29"/>
      <c r="HOV104" s="29"/>
      <c r="HOW104" s="29"/>
      <c r="HOX104" s="29"/>
      <c r="HOY104" s="29"/>
      <c r="HOZ104" s="29"/>
      <c r="HPA104" s="29"/>
      <c r="HPB104" s="29"/>
      <c r="HPC104" s="29"/>
      <c r="HPD104" s="29"/>
      <c r="HPE104" s="29"/>
      <c r="HPF104" s="29"/>
      <c r="HPG104" s="29"/>
      <c r="HPH104" s="29"/>
      <c r="HPI104" s="29"/>
      <c r="HPJ104" s="29"/>
      <c r="HPK104" s="29"/>
      <c r="HPL104" s="29"/>
      <c r="HPM104" s="29"/>
      <c r="HPN104" s="29"/>
      <c r="HPO104" s="29"/>
      <c r="HPP104" s="29"/>
      <c r="HPQ104" s="29"/>
      <c r="HPR104" s="29"/>
      <c r="HPS104" s="29"/>
      <c r="HPT104" s="29"/>
      <c r="HPU104" s="29"/>
      <c r="HPV104" s="29"/>
      <c r="HPW104" s="29"/>
      <c r="HPX104" s="29"/>
      <c r="HPY104" s="29"/>
      <c r="HPZ104" s="29"/>
      <c r="HQA104" s="29"/>
      <c r="HQB104" s="29"/>
      <c r="HQC104" s="29"/>
      <c r="HQD104" s="29"/>
      <c r="HQE104" s="29"/>
      <c r="HQF104" s="29"/>
      <c r="HQG104" s="29"/>
      <c r="HQH104" s="29"/>
      <c r="HQI104" s="29"/>
      <c r="HQJ104" s="29"/>
      <c r="HQK104" s="29"/>
      <c r="HQL104" s="29"/>
      <c r="HQM104" s="29"/>
      <c r="HQN104" s="29"/>
      <c r="HQO104" s="29"/>
      <c r="HQP104" s="29"/>
      <c r="HQQ104" s="29"/>
      <c r="HQR104" s="29"/>
      <c r="HQS104" s="29"/>
      <c r="HQT104" s="29"/>
      <c r="HQU104" s="29"/>
      <c r="HQV104" s="29"/>
      <c r="HQW104" s="29"/>
      <c r="HQX104" s="29"/>
      <c r="HQY104" s="29"/>
      <c r="HQZ104" s="29"/>
      <c r="HRA104" s="29"/>
      <c r="HRB104" s="29"/>
      <c r="HRC104" s="29"/>
      <c r="HRD104" s="29"/>
      <c r="HRE104" s="29"/>
      <c r="HRF104" s="29"/>
      <c r="HRG104" s="29"/>
      <c r="HRH104" s="29"/>
      <c r="HRI104" s="29"/>
      <c r="HRJ104" s="29"/>
      <c r="HRK104" s="29"/>
      <c r="HRL104" s="29"/>
      <c r="HRM104" s="29"/>
      <c r="HRN104" s="29"/>
      <c r="HRO104" s="29"/>
      <c r="HRP104" s="29"/>
      <c r="HRQ104" s="29"/>
      <c r="HRR104" s="29"/>
      <c r="HRS104" s="29"/>
      <c r="HRT104" s="29"/>
      <c r="HRU104" s="29"/>
      <c r="HRV104" s="29"/>
      <c r="HRW104" s="29"/>
      <c r="HRX104" s="29"/>
      <c r="HRY104" s="29"/>
      <c r="HRZ104" s="29"/>
      <c r="HSA104" s="29"/>
      <c r="HSB104" s="29"/>
      <c r="HSC104" s="29"/>
      <c r="HSD104" s="29"/>
      <c r="HSE104" s="29"/>
      <c r="HSF104" s="29"/>
      <c r="HSG104" s="29"/>
      <c r="HSH104" s="29"/>
      <c r="HSI104" s="29"/>
      <c r="HSJ104" s="29"/>
      <c r="HSK104" s="29"/>
      <c r="HSL104" s="29"/>
      <c r="HSM104" s="29"/>
      <c r="HSN104" s="29"/>
      <c r="HSO104" s="29"/>
      <c r="HSP104" s="29"/>
      <c r="HSQ104" s="29"/>
      <c r="HSR104" s="29"/>
      <c r="HSS104" s="29"/>
      <c r="HST104" s="29"/>
      <c r="HSU104" s="29"/>
      <c r="HSV104" s="29"/>
      <c r="HSW104" s="29"/>
      <c r="HSX104" s="29"/>
      <c r="HSY104" s="29"/>
      <c r="HSZ104" s="29"/>
      <c r="HTA104" s="29"/>
      <c r="HTB104" s="29"/>
      <c r="HTC104" s="29"/>
      <c r="HTD104" s="29"/>
      <c r="HTE104" s="29"/>
      <c r="HTF104" s="29"/>
      <c r="HTG104" s="29"/>
      <c r="HTH104" s="29"/>
      <c r="HTI104" s="29"/>
      <c r="HTJ104" s="29"/>
      <c r="HTK104" s="29"/>
      <c r="HTL104" s="29"/>
      <c r="HTM104" s="29"/>
      <c r="HTN104" s="29"/>
      <c r="HTO104" s="29"/>
      <c r="HTP104" s="29"/>
      <c r="HTQ104" s="29"/>
      <c r="HTR104" s="29"/>
      <c r="HTS104" s="29"/>
      <c r="HTT104" s="29"/>
      <c r="HTU104" s="29"/>
      <c r="HTV104" s="29"/>
      <c r="HTW104" s="29"/>
      <c r="HTX104" s="29"/>
      <c r="HTY104" s="29"/>
      <c r="HTZ104" s="29"/>
      <c r="HUA104" s="29"/>
      <c r="HUB104" s="29"/>
      <c r="HUC104" s="29"/>
      <c r="HUD104" s="29"/>
      <c r="HUE104" s="29"/>
      <c r="HUF104" s="29"/>
      <c r="HUG104" s="29"/>
      <c r="HUH104" s="29"/>
      <c r="HUI104" s="29"/>
      <c r="HUJ104" s="29"/>
      <c r="HUK104" s="29"/>
      <c r="HUL104" s="29"/>
      <c r="HUM104" s="29"/>
      <c r="HUN104" s="29"/>
      <c r="HUO104" s="29"/>
      <c r="HUP104" s="29"/>
      <c r="HUQ104" s="29"/>
      <c r="HUR104" s="29"/>
      <c r="HUS104" s="29"/>
      <c r="HUT104" s="29"/>
      <c r="HUU104" s="29"/>
      <c r="HUV104" s="29"/>
      <c r="HUW104" s="29"/>
      <c r="HUX104" s="29"/>
      <c r="HUY104" s="29"/>
      <c r="HUZ104" s="29"/>
      <c r="HVA104" s="29"/>
      <c r="HVB104" s="29"/>
      <c r="HVC104" s="29"/>
      <c r="HVD104" s="29"/>
      <c r="HVE104" s="29"/>
      <c r="HVF104" s="29"/>
      <c r="HVG104" s="29"/>
      <c r="HVH104" s="29"/>
      <c r="HVI104" s="29"/>
      <c r="HVJ104" s="29"/>
      <c r="HVK104" s="29"/>
      <c r="HVL104" s="29"/>
      <c r="HVM104" s="29"/>
      <c r="HVN104" s="29"/>
      <c r="HVO104" s="29"/>
      <c r="HVP104" s="29"/>
      <c r="HVQ104" s="29"/>
      <c r="HVR104" s="29"/>
      <c r="HVS104" s="29"/>
      <c r="HVT104" s="29"/>
      <c r="HVU104" s="29"/>
      <c r="HVV104" s="29"/>
      <c r="HVW104" s="29"/>
      <c r="HVX104" s="29"/>
      <c r="HVY104" s="29"/>
      <c r="HVZ104" s="29"/>
      <c r="HWA104" s="29"/>
      <c r="HWB104" s="29"/>
      <c r="HWC104" s="29"/>
      <c r="HWD104" s="29"/>
      <c r="HWE104" s="29"/>
      <c r="HWF104" s="29"/>
      <c r="HWG104" s="29"/>
      <c r="HWH104" s="29"/>
      <c r="HWI104" s="29"/>
      <c r="HWJ104" s="29"/>
      <c r="HWK104" s="29"/>
      <c r="HWL104" s="29"/>
      <c r="HWM104" s="29"/>
      <c r="HWN104" s="29"/>
      <c r="HWO104" s="29"/>
      <c r="HWP104" s="29"/>
      <c r="HWQ104" s="29"/>
      <c r="HWR104" s="29"/>
      <c r="HWS104" s="29"/>
      <c r="HWT104" s="29"/>
      <c r="HWU104" s="29"/>
      <c r="HWV104" s="29"/>
      <c r="HWW104" s="29"/>
      <c r="HWX104" s="29"/>
      <c r="HWY104" s="29"/>
      <c r="HWZ104" s="29"/>
      <c r="HXA104" s="29"/>
      <c r="HXB104" s="29"/>
      <c r="HXC104" s="29"/>
      <c r="HXD104" s="29"/>
      <c r="HXE104" s="29"/>
      <c r="HXF104" s="29"/>
      <c r="HXG104" s="29"/>
      <c r="HXH104" s="29"/>
      <c r="HXI104" s="29"/>
      <c r="HXJ104" s="29"/>
      <c r="HXK104" s="29"/>
      <c r="HXL104" s="29"/>
      <c r="HXM104" s="29"/>
      <c r="HXN104" s="29"/>
      <c r="HXO104" s="29"/>
      <c r="HXP104" s="29"/>
      <c r="HXQ104" s="29"/>
      <c r="HXR104" s="29"/>
      <c r="HXS104" s="29"/>
      <c r="HXT104" s="29"/>
      <c r="HXU104" s="29"/>
      <c r="HXV104" s="29"/>
      <c r="HXW104" s="29"/>
      <c r="HXX104" s="29"/>
      <c r="HXY104" s="29"/>
      <c r="HXZ104" s="29"/>
      <c r="HYA104" s="29"/>
      <c r="HYB104" s="29"/>
      <c r="HYC104" s="29"/>
      <c r="HYD104" s="29"/>
      <c r="HYE104" s="29"/>
      <c r="HYF104" s="29"/>
      <c r="HYG104" s="29"/>
      <c r="HYH104" s="29"/>
      <c r="HYI104" s="29"/>
      <c r="HYJ104" s="29"/>
      <c r="HYK104" s="29"/>
      <c r="HYL104" s="29"/>
      <c r="HYM104" s="29"/>
      <c r="HYN104" s="29"/>
      <c r="HYO104" s="29"/>
      <c r="HYP104" s="29"/>
      <c r="HYQ104" s="29"/>
      <c r="HYR104" s="29"/>
      <c r="HYS104" s="29"/>
      <c r="HYT104" s="29"/>
      <c r="HYU104" s="29"/>
      <c r="HYV104" s="29"/>
      <c r="HYW104" s="29"/>
      <c r="HYX104" s="29"/>
      <c r="HYY104" s="29"/>
      <c r="HYZ104" s="29"/>
      <c r="HZA104" s="29"/>
      <c r="HZB104" s="29"/>
      <c r="HZC104" s="29"/>
      <c r="HZD104" s="29"/>
      <c r="HZE104" s="29"/>
      <c r="HZF104" s="29"/>
      <c r="HZG104" s="29"/>
      <c r="HZH104" s="29"/>
      <c r="HZI104" s="29"/>
      <c r="HZJ104" s="29"/>
      <c r="HZK104" s="29"/>
      <c r="HZL104" s="29"/>
      <c r="HZM104" s="29"/>
      <c r="HZN104" s="29"/>
      <c r="HZO104" s="29"/>
      <c r="HZP104" s="29"/>
      <c r="HZQ104" s="29"/>
      <c r="HZR104" s="29"/>
      <c r="HZS104" s="29"/>
      <c r="HZT104" s="29"/>
      <c r="HZU104" s="29"/>
      <c r="HZV104" s="29"/>
      <c r="HZW104" s="29"/>
      <c r="HZX104" s="29"/>
      <c r="HZY104" s="29"/>
      <c r="HZZ104" s="29"/>
      <c r="IAA104" s="29"/>
      <c r="IAB104" s="29"/>
      <c r="IAC104" s="29"/>
      <c r="IAD104" s="29"/>
      <c r="IAE104" s="29"/>
      <c r="IAF104" s="29"/>
      <c r="IAG104" s="29"/>
      <c r="IAH104" s="29"/>
      <c r="IAI104" s="29"/>
      <c r="IAJ104" s="29"/>
      <c r="IAK104" s="29"/>
      <c r="IAL104" s="29"/>
      <c r="IAM104" s="29"/>
      <c r="IAN104" s="29"/>
      <c r="IAO104" s="29"/>
      <c r="IAP104" s="29"/>
      <c r="IAQ104" s="29"/>
      <c r="IAR104" s="29"/>
      <c r="IAS104" s="29"/>
      <c r="IAT104" s="29"/>
      <c r="IAU104" s="29"/>
      <c r="IAV104" s="29"/>
      <c r="IAW104" s="29"/>
      <c r="IAX104" s="29"/>
      <c r="IAY104" s="29"/>
      <c r="IAZ104" s="29"/>
      <c r="IBA104" s="29"/>
      <c r="IBB104" s="29"/>
      <c r="IBC104" s="29"/>
      <c r="IBD104" s="29"/>
      <c r="IBE104" s="29"/>
      <c r="IBF104" s="29"/>
      <c r="IBG104" s="29"/>
      <c r="IBH104" s="29"/>
      <c r="IBI104" s="29"/>
      <c r="IBJ104" s="29"/>
      <c r="IBK104" s="29"/>
      <c r="IBL104" s="29"/>
      <c r="IBM104" s="29"/>
      <c r="IBN104" s="29"/>
      <c r="IBO104" s="29"/>
      <c r="IBP104" s="29"/>
      <c r="IBQ104" s="29"/>
      <c r="IBR104" s="29"/>
      <c r="IBS104" s="29"/>
      <c r="IBT104" s="29"/>
      <c r="IBU104" s="29"/>
      <c r="IBV104" s="29"/>
      <c r="IBW104" s="29"/>
      <c r="IBX104" s="29"/>
      <c r="IBY104" s="29"/>
      <c r="IBZ104" s="29"/>
      <c r="ICA104" s="29"/>
      <c r="ICB104" s="29"/>
      <c r="ICC104" s="29"/>
      <c r="ICD104" s="29"/>
      <c r="ICE104" s="29"/>
      <c r="ICF104" s="29"/>
      <c r="ICG104" s="29"/>
      <c r="ICH104" s="29"/>
      <c r="ICI104" s="29"/>
      <c r="ICJ104" s="29"/>
      <c r="ICK104" s="29"/>
      <c r="ICL104" s="29"/>
      <c r="ICM104" s="29"/>
      <c r="ICN104" s="29"/>
      <c r="ICO104" s="29"/>
      <c r="ICP104" s="29"/>
      <c r="ICQ104" s="29"/>
      <c r="ICR104" s="29"/>
      <c r="ICS104" s="29"/>
      <c r="ICT104" s="29"/>
      <c r="ICU104" s="29"/>
      <c r="ICV104" s="29"/>
      <c r="ICW104" s="29"/>
      <c r="ICX104" s="29"/>
      <c r="ICY104" s="29"/>
      <c r="ICZ104" s="29"/>
      <c r="IDA104" s="29"/>
      <c r="IDB104" s="29"/>
      <c r="IDC104" s="29"/>
      <c r="IDD104" s="29"/>
      <c r="IDE104" s="29"/>
      <c r="IDF104" s="29"/>
      <c r="IDG104" s="29"/>
      <c r="IDH104" s="29"/>
      <c r="IDI104" s="29"/>
      <c r="IDJ104" s="29"/>
      <c r="IDK104" s="29"/>
      <c r="IDL104" s="29"/>
      <c r="IDM104" s="29"/>
      <c r="IDN104" s="29"/>
      <c r="IDO104" s="29"/>
      <c r="IDP104" s="29"/>
      <c r="IDQ104" s="29"/>
      <c r="IDR104" s="29"/>
      <c r="IDS104" s="29"/>
      <c r="IDT104" s="29"/>
      <c r="IDU104" s="29"/>
      <c r="IDV104" s="29"/>
      <c r="IDW104" s="29"/>
      <c r="IDX104" s="29"/>
      <c r="IDY104" s="29"/>
      <c r="IDZ104" s="29"/>
      <c r="IEA104" s="29"/>
      <c r="IEB104" s="29"/>
      <c r="IEC104" s="29"/>
      <c r="IED104" s="29"/>
      <c r="IEE104" s="29"/>
      <c r="IEF104" s="29"/>
      <c r="IEG104" s="29"/>
      <c r="IEH104" s="29"/>
      <c r="IEI104" s="29"/>
      <c r="IEJ104" s="29"/>
      <c r="IEK104" s="29"/>
      <c r="IEL104" s="29"/>
      <c r="IEM104" s="29"/>
      <c r="IEN104" s="29"/>
      <c r="IEO104" s="29"/>
      <c r="IEP104" s="29"/>
      <c r="IEQ104" s="29"/>
      <c r="IER104" s="29"/>
      <c r="IES104" s="29"/>
      <c r="IET104" s="29"/>
      <c r="IEU104" s="29"/>
      <c r="IEV104" s="29"/>
      <c r="IEW104" s="29"/>
      <c r="IEX104" s="29"/>
      <c r="IEY104" s="29"/>
      <c r="IEZ104" s="29"/>
      <c r="IFA104" s="29"/>
      <c r="IFB104" s="29"/>
      <c r="IFC104" s="29"/>
      <c r="IFD104" s="29"/>
      <c r="IFE104" s="29"/>
      <c r="IFF104" s="29"/>
      <c r="IFG104" s="29"/>
      <c r="IFH104" s="29"/>
      <c r="IFI104" s="29"/>
      <c r="IFJ104" s="29"/>
      <c r="IFK104" s="29"/>
      <c r="IFL104" s="29"/>
      <c r="IFM104" s="29"/>
      <c r="IFN104" s="29"/>
      <c r="IFO104" s="29"/>
      <c r="IFP104" s="29"/>
      <c r="IFQ104" s="29"/>
      <c r="IFR104" s="29"/>
      <c r="IFS104" s="29"/>
      <c r="IFT104" s="29"/>
      <c r="IFU104" s="29"/>
      <c r="IFV104" s="29"/>
      <c r="IFW104" s="29"/>
      <c r="IFX104" s="29"/>
      <c r="IFY104" s="29"/>
      <c r="IFZ104" s="29"/>
      <c r="IGA104" s="29"/>
      <c r="IGB104" s="29"/>
      <c r="IGC104" s="29"/>
      <c r="IGD104" s="29"/>
      <c r="IGE104" s="29"/>
      <c r="IGF104" s="29"/>
      <c r="IGG104" s="29"/>
      <c r="IGH104" s="29"/>
      <c r="IGI104" s="29"/>
      <c r="IGJ104" s="29"/>
      <c r="IGK104" s="29"/>
      <c r="IGL104" s="29"/>
      <c r="IGM104" s="29"/>
      <c r="IGN104" s="29"/>
      <c r="IGO104" s="29"/>
      <c r="IGP104" s="29"/>
      <c r="IGQ104" s="29"/>
      <c r="IGR104" s="29"/>
      <c r="IGS104" s="29"/>
      <c r="IGT104" s="29"/>
      <c r="IGU104" s="29"/>
      <c r="IGV104" s="29"/>
      <c r="IGW104" s="29"/>
      <c r="IGX104" s="29"/>
      <c r="IGY104" s="29"/>
      <c r="IGZ104" s="29"/>
      <c r="IHA104" s="29"/>
      <c r="IHB104" s="29"/>
      <c r="IHC104" s="29"/>
      <c r="IHD104" s="29"/>
      <c r="IHE104" s="29"/>
      <c r="IHF104" s="29"/>
      <c r="IHG104" s="29"/>
      <c r="IHH104" s="29"/>
      <c r="IHI104" s="29"/>
      <c r="IHJ104" s="29"/>
      <c r="IHK104" s="29"/>
      <c r="IHL104" s="29"/>
      <c r="IHM104" s="29"/>
      <c r="IHN104" s="29"/>
      <c r="IHO104" s="29"/>
      <c r="IHP104" s="29"/>
      <c r="IHQ104" s="29"/>
      <c r="IHR104" s="29"/>
      <c r="IHS104" s="29"/>
      <c r="IHT104" s="29"/>
      <c r="IHU104" s="29"/>
      <c r="IHV104" s="29"/>
      <c r="IHW104" s="29"/>
      <c r="IHX104" s="29"/>
      <c r="IHY104" s="29"/>
      <c r="IHZ104" s="29"/>
      <c r="IIA104" s="29"/>
      <c r="IIB104" s="29"/>
      <c r="IIC104" s="29"/>
      <c r="IID104" s="29"/>
      <c r="IIE104" s="29"/>
      <c r="IIF104" s="29"/>
      <c r="IIG104" s="29"/>
      <c r="IIH104" s="29"/>
      <c r="III104" s="29"/>
      <c r="IIJ104" s="29"/>
      <c r="IIK104" s="29"/>
      <c r="IIL104" s="29"/>
      <c r="IIM104" s="29"/>
      <c r="IIN104" s="29"/>
      <c r="IIO104" s="29"/>
      <c r="IIP104" s="29"/>
      <c r="IIQ104" s="29"/>
      <c r="IIR104" s="29"/>
      <c r="IIS104" s="29"/>
      <c r="IIT104" s="29"/>
      <c r="IIU104" s="29"/>
      <c r="IIV104" s="29"/>
      <c r="IIW104" s="29"/>
      <c r="IIX104" s="29"/>
      <c r="IIY104" s="29"/>
      <c r="IIZ104" s="29"/>
      <c r="IJA104" s="29"/>
      <c r="IJB104" s="29"/>
      <c r="IJC104" s="29"/>
      <c r="IJD104" s="29"/>
      <c r="IJE104" s="29"/>
      <c r="IJF104" s="29"/>
      <c r="IJG104" s="29"/>
      <c r="IJH104" s="29"/>
      <c r="IJI104" s="29"/>
      <c r="IJJ104" s="29"/>
      <c r="IJK104" s="29"/>
      <c r="IJL104" s="29"/>
      <c r="IJM104" s="29"/>
      <c r="IJN104" s="29"/>
      <c r="IJO104" s="29"/>
      <c r="IJP104" s="29"/>
      <c r="IJQ104" s="29"/>
      <c r="IJR104" s="29"/>
      <c r="IJS104" s="29"/>
      <c r="IJT104" s="29"/>
      <c r="IJU104" s="29"/>
      <c r="IJV104" s="29"/>
      <c r="IJW104" s="29"/>
      <c r="IJX104" s="29"/>
      <c r="IJY104" s="29"/>
      <c r="IJZ104" s="29"/>
      <c r="IKA104" s="29"/>
      <c r="IKB104" s="29"/>
      <c r="IKC104" s="29"/>
      <c r="IKD104" s="29"/>
      <c r="IKE104" s="29"/>
      <c r="IKF104" s="29"/>
      <c r="IKG104" s="29"/>
      <c r="IKH104" s="29"/>
      <c r="IKI104" s="29"/>
      <c r="IKJ104" s="29"/>
      <c r="IKK104" s="29"/>
      <c r="IKL104" s="29"/>
      <c r="IKM104" s="29"/>
      <c r="IKN104" s="29"/>
      <c r="IKO104" s="29"/>
      <c r="IKP104" s="29"/>
      <c r="IKQ104" s="29"/>
      <c r="IKR104" s="29"/>
      <c r="IKS104" s="29"/>
      <c r="IKT104" s="29"/>
      <c r="IKU104" s="29"/>
      <c r="IKV104" s="29"/>
      <c r="IKW104" s="29"/>
      <c r="IKX104" s="29"/>
      <c r="IKY104" s="29"/>
      <c r="IKZ104" s="29"/>
      <c r="ILA104" s="29"/>
      <c r="ILB104" s="29"/>
      <c r="ILC104" s="29"/>
      <c r="ILD104" s="29"/>
      <c r="ILE104" s="29"/>
      <c r="ILF104" s="29"/>
      <c r="ILG104" s="29"/>
      <c r="ILH104" s="29"/>
      <c r="ILI104" s="29"/>
      <c r="ILJ104" s="29"/>
      <c r="ILK104" s="29"/>
      <c r="ILL104" s="29"/>
      <c r="ILM104" s="29"/>
      <c r="ILN104" s="29"/>
      <c r="ILO104" s="29"/>
      <c r="ILP104" s="29"/>
      <c r="ILQ104" s="29"/>
      <c r="ILR104" s="29"/>
      <c r="ILS104" s="29"/>
      <c r="ILT104" s="29"/>
      <c r="ILU104" s="29"/>
      <c r="ILV104" s="29"/>
      <c r="ILW104" s="29"/>
      <c r="ILX104" s="29"/>
      <c r="ILY104" s="29"/>
      <c r="ILZ104" s="29"/>
      <c r="IMA104" s="29"/>
      <c r="IMB104" s="29"/>
      <c r="IMC104" s="29"/>
      <c r="IMD104" s="29"/>
      <c r="IME104" s="29"/>
      <c r="IMF104" s="29"/>
      <c r="IMG104" s="29"/>
      <c r="IMH104" s="29"/>
      <c r="IMI104" s="29"/>
      <c r="IMJ104" s="29"/>
      <c r="IMK104" s="29"/>
      <c r="IML104" s="29"/>
      <c r="IMM104" s="29"/>
      <c r="IMN104" s="29"/>
      <c r="IMO104" s="29"/>
      <c r="IMP104" s="29"/>
      <c r="IMQ104" s="29"/>
      <c r="IMR104" s="29"/>
      <c r="IMS104" s="29"/>
      <c r="IMT104" s="29"/>
      <c r="IMU104" s="29"/>
      <c r="IMV104" s="29"/>
      <c r="IMW104" s="29"/>
      <c r="IMX104" s="29"/>
      <c r="IMY104" s="29"/>
      <c r="IMZ104" s="29"/>
      <c r="INA104" s="29"/>
      <c r="INB104" s="29"/>
      <c r="INC104" s="29"/>
      <c r="IND104" s="29"/>
      <c r="INE104" s="29"/>
      <c r="INF104" s="29"/>
      <c r="ING104" s="29"/>
      <c r="INH104" s="29"/>
      <c r="INI104" s="29"/>
      <c r="INJ104" s="29"/>
      <c r="INK104" s="29"/>
      <c r="INL104" s="29"/>
      <c r="INM104" s="29"/>
      <c r="INN104" s="29"/>
      <c r="INO104" s="29"/>
      <c r="INP104" s="29"/>
      <c r="INQ104" s="29"/>
      <c r="INR104" s="29"/>
      <c r="INS104" s="29"/>
      <c r="INT104" s="29"/>
      <c r="INU104" s="29"/>
      <c r="INV104" s="29"/>
      <c r="INW104" s="29"/>
      <c r="INX104" s="29"/>
      <c r="INY104" s="29"/>
      <c r="INZ104" s="29"/>
      <c r="IOA104" s="29"/>
      <c r="IOB104" s="29"/>
      <c r="IOC104" s="29"/>
      <c r="IOD104" s="29"/>
      <c r="IOE104" s="29"/>
      <c r="IOF104" s="29"/>
      <c r="IOG104" s="29"/>
      <c r="IOH104" s="29"/>
      <c r="IOI104" s="29"/>
      <c r="IOJ104" s="29"/>
      <c r="IOK104" s="29"/>
      <c r="IOL104" s="29"/>
      <c r="IOM104" s="29"/>
      <c r="ION104" s="29"/>
      <c r="IOO104" s="29"/>
      <c r="IOP104" s="29"/>
      <c r="IOQ104" s="29"/>
      <c r="IOR104" s="29"/>
      <c r="IOS104" s="29"/>
      <c r="IOT104" s="29"/>
      <c r="IOU104" s="29"/>
      <c r="IOV104" s="29"/>
      <c r="IOW104" s="29"/>
      <c r="IOX104" s="29"/>
      <c r="IOY104" s="29"/>
      <c r="IOZ104" s="29"/>
      <c r="IPA104" s="29"/>
      <c r="IPB104" s="29"/>
      <c r="IPC104" s="29"/>
      <c r="IPD104" s="29"/>
      <c r="IPE104" s="29"/>
      <c r="IPF104" s="29"/>
      <c r="IPG104" s="29"/>
      <c r="IPH104" s="29"/>
      <c r="IPI104" s="29"/>
      <c r="IPJ104" s="29"/>
      <c r="IPK104" s="29"/>
      <c r="IPL104" s="29"/>
      <c r="IPM104" s="29"/>
      <c r="IPN104" s="29"/>
      <c r="IPO104" s="29"/>
      <c r="IPP104" s="29"/>
      <c r="IPQ104" s="29"/>
      <c r="IPR104" s="29"/>
      <c r="IPS104" s="29"/>
      <c r="IPT104" s="29"/>
      <c r="IPU104" s="29"/>
      <c r="IPV104" s="29"/>
      <c r="IPW104" s="29"/>
      <c r="IPX104" s="29"/>
      <c r="IPY104" s="29"/>
      <c r="IPZ104" s="29"/>
      <c r="IQA104" s="29"/>
      <c r="IQB104" s="29"/>
      <c r="IQC104" s="29"/>
      <c r="IQD104" s="29"/>
      <c r="IQE104" s="29"/>
      <c r="IQF104" s="29"/>
      <c r="IQG104" s="29"/>
      <c r="IQH104" s="29"/>
      <c r="IQI104" s="29"/>
      <c r="IQJ104" s="29"/>
      <c r="IQK104" s="29"/>
      <c r="IQL104" s="29"/>
      <c r="IQM104" s="29"/>
      <c r="IQN104" s="29"/>
      <c r="IQO104" s="29"/>
      <c r="IQP104" s="29"/>
      <c r="IQQ104" s="29"/>
      <c r="IQR104" s="29"/>
      <c r="IQS104" s="29"/>
      <c r="IQT104" s="29"/>
      <c r="IQU104" s="29"/>
      <c r="IQV104" s="29"/>
      <c r="IQW104" s="29"/>
      <c r="IQX104" s="29"/>
      <c r="IQY104" s="29"/>
      <c r="IQZ104" s="29"/>
      <c r="IRA104" s="29"/>
      <c r="IRB104" s="29"/>
      <c r="IRC104" s="29"/>
      <c r="IRD104" s="29"/>
      <c r="IRE104" s="29"/>
      <c r="IRF104" s="29"/>
      <c r="IRG104" s="29"/>
      <c r="IRH104" s="29"/>
      <c r="IRI104" s="29"/>
      <c r="IRJ104" s="29"/>
      <c r="IRK104" s="29"/>
      <c r="IRL104" s="29"/>
      <c r="IRM104" s="29"/>
      <c r="IRN104" s="29"/>
      <c r="IRO104" s="29"/>
      <c r="IRP104" s="29"/>
      <c r="IRQ104" s="29"/>
      <c r="IRR104" s="29"/>
      <c r="IRS104" s="29"/>
      <c r="IRT104" s="29"/>
      <c r="IRU104" s="29"/>
      <c r="IRV104" s="29"/>
      <c r="IRW104" s="29"/>
      <c r="IRX104" s="29"/>
      <c r="IRY104" s="29"/>
      <c r="IRZ104" s="29"/>
      <c r="ISA104" s="29"/>
      <c r="ISB104" s="29"/>
      <c r="ISC104" s="29"/>
      <c r="ISD104" s="29"/>
      <c r="ISE104" s="29"/>
      <c r="ISF104" s="29"/>
      <c r="ISG104" s="29"/>
      <c r="ISH104" s="29"/>
      <c r="ISI104" s="29"/>
      <c r="ISJ104" s="29"/>
      <c r="ISK104" s="29"/>
      <c r="ISL104" s="29"/>
      <c r="ISM104" s="29"/>
      <c r="ISN104" s="29"/>
      <c r="ISO104" s="29"/>
      <c r="ISP104" s="29"/>
      <c r="ISQ104" s="29"/>
      <c r="ISR104" s="29"/>
      <c r="ISS104" s="29"/>
      <c r="IST104" s="29"/>
      <c r="ISU104" s="29"/>
      <c r="ISV104" s="29"/>
      <c r="ISW104" s="29"/>
      <c r="ISX104" s="29"/>
      <c r="ISY104" s="29"/>
      <c r="ISZ104" s="29"/>
      <c r="ITA104" s="29"/>
      <c r="ITB104" s="29"/>
      <c r="ITC104" s="29"/>
      <c r="ITD104" s="29"/>
      <c r="ITE104" s="29"/>
      <c r="ITF104" s="29"/>
      <c r="ITG104" s="29"/>
      <c r="ITH104" s="29"/>
      <c r="ITI104" s="29"/>
      <c r="ITJ104" s="29"/>
      <c r="ITK104" s="29"/>
      <c r="ITL104" s="29"/>
      <c r="ITM104" s="29"/>
      <c r="ITN104" s="29"/>
      <c r="ITO104" s="29"/>
      <c r="ITP104" s="29"/>
      <c r="ITQ104" s="29"/>
      <c r="ITR104" s="29"/>
      <c r="ITS104" s="29"/>
      <c r="ITT104" s="29"/>
      <c r="ITU104" s="29"/>
      <c r="ITV104" s="29"/>
      <c r="ITW104" s="29"/>
      <c r="ITX104" s="29"/>
      <c r="ITY104" s="29"/>
      <c r="ITZ104" s="29"/>
      <c r="IUA104" s="29"/>
      <c r="IUB104" s="29"/>
      <c r="IUC104" s="29"/>
      <c r="IUD104" s="29"/>
      <c r="IUE104" s="29"/>
      <c r="IUF104" s="29"/>
      <c r="IUG104" s="29"/>
      <c r="IUH104" s="29"/>
      <c r="IUI104" s="29"/>
      <c r="IUJ104" s="29"/>
      <c r="IUK104" s="29"/>
      <c r="IUL104" s="29"/>
      <c r="IUM104" s="29"/>
      <c r="IUN104" s="29"/>
      <c r="IUO104" s="29"/>
      <c r="IUP104" s="29"/>
      <c r="IUQ104" s="29"/>
      <c r="IUR104" s="29"/>
      <c r="IUS104" s="29"/>
      <c r="IUT104" s="29"/>
      <c r="IUU104" s="29"/>
      <c r="IUV104" s="29"/>
      <c r="IUW104" s="29"/>
      <c r="IUX104" s="29"/>
      <c r="IUY104" s="29"/>
      <c r="IUZ104" s="29"/>
      <c r="IVA104" s="29"/>
      <c r="IVB104" s="29"/>
      <c r="IVC104" s="29"/>
      <c r="IVD104" s="29"/>
      <c r="IVE104" s="29"/>
      <c r="IVF104" s="29"/>
      <c r="IVG104" s="29"/>
      <c r="IVH104" s="29"/>
      <c r="IVI104" s="29"/>
      <c r="IVJ104" s="29"/>
      <c r="IVK104" s="29"/>
      <c r="IVL104" s="29"/>
      <c r="IVM104" s="29"/>
      <c r="IVN104" s="29"/>
      <c r="IVO104" s="29"/>
      <c r="IVP104" s="29"/>
      <c r="IVQ104" s="29"/>
      <c r="IVR104" s="29"/>
      <c r="IVS104" s="29"/>
      <c r="IVT104" s="29"/>
      <c r="IVU104" s="29"/>
      <c r="IVV104" s="29"/>
      <c r="IVW104" s="29"/>
      <c r="IVX104" s="29"/>
      <c r="IVY104" s="29"/>
      <c r="IVZ104" s="29"/>
      <c r="IWA104" s="29"/>
      <c r="IWB104" s="29"/>
      <c r="IWC104" s="29"/>
      <c r="IWD104" s="29"/>
      <c r="IWE104" s="29"/>
      <c r="IWF104" s="29"/>
      <c r="IWG104" s="29"/>
      <c r="IWH104" s="29"/>
      <c r="IWI104" s="29"/>
      <c r="IWJ104" s="29"/>
      <c r="IWK104" s="29"/>
      <c r="IWL104" s="29"/>
      <c r="IWM104" s="29"/>
      <c r="IWN104" s="29"/>
      <c r="IWO104" s="29"/>
      <c r="IWP104" s="29"/>
      <c r="IWQ104" s="29"/>
      <c r="IWR104" s="29"/>
      <c r="IWS104" s="29"/>
      <c r="IWT104" s="29"/>
      <c r="IWU104" s="29"/>
      <c r="IWV104" s="29"/>
      <c r="IWW104" s="29"/>
      <c r="IWX104" s="29"/>
      <c r="IWY104" s="29"/>
      <c r="IWZ104" s="29"/>
      <c r="IXA104" s="29"/>
      <c r="IXB104" s="29"/>
      <c r="IXC104" s="29"/>
      <c r="IXD104" s="29"/>
      <c r="IXE104" s="29"/>
      <c r="IXF104" s="29"/>
      <c r="IXG104" s="29"/>
      <c r="IXH104" s="29"/>
      <c r="IXI104" s="29"/>
      <c r="IXJ104" s="29"/>
      <c r="IXK104" s="29"/>
      <c r="IXL104" s="29"/>
      <c r="IXM104" s="29"/>
      <c r="IXN104" s="29"/>
      <c r="IXO104" s="29"/>
      <c r="IXP104" s="29"/>
      <c r="IXQ104" s="29"/>
      <c r="IXR104" s="29"/>
      <c r="IXS104" s="29"/>
      <c r="IXT104" s="29"/>
      <c r="IXU104" s="29"/>
      <c r="IXV104" s="29"/>
      <c r="IXW104" s="29"/>
      <c r="IXX104" s="29"/>
      <c r="IXY104" s="29"/>
      <c r="IXZ104" s="29"/>
      <c r="IYA104" s="29"/>
      <c r="IYB104" s="29"/>
      <c r="IYC104" s="29"/>
      <c r="IYD104" s="29"/>
      <c r="IYE104" s="29"/>
      <c r="IYF104" s="29"/>
      <c r="IYG104" s="29"/>
      <c r="IYH104" s="29"/>
      <c r="IYI104" s="29"/>
      <c r="IYJ104" s="29"/>
      <c r="IYK104" s="29"/>
      <c r="IYL104" s="29"/>
      <c r="IYM104" s="29"/>
      <c r="IYN104" s="29"/>
      <c r="IYO104" s="29"/>
      <c r="IYP104" s="29"/>
      <c r="IYQ104" s="29"/>
      <c r="IYR104" s="29"/>
      <c r="IYS104" s="29"/>
      <c r="IYT104" s="29"/>
      <c r="IYU104" s="29"/>
      <c r="IYV104" s="29"/>
      <c r="IYW104" s="29"/>
      <c r="IYX104" s="29"/>
      <c r="IYY104" s="29"/>
      <c r="IYZ104" s="29"/>
      <c r="IZA104" s="29"/>
      <c r="IZB104" s="29"/>
      <c r="IZC104" s="29"/>
      <c r="IZD104" s="29"/>
      <c r="IZE104" s="29"/>
      <c r="IZF104" s="29"/>
      <c r="IZG104" s="29"/>
      <c r="IZH104" s="29"/>
      <c r="IZI104" s="29"/>
      <c r="IZJ104" s="29"/>
      <c r="IZK104" s="29"/>
      <c r="IZL104" s="29"/>
      <c r="IZM104" s="29"/>
      <c r="IZN104" s="29"/>
      <c r="IZO104" s="29"/>
      <c r="IZP104" s="29"/>
      <c r="IZQ104" s="29"/>
      <c r="IZR104" s="29"/>
      <c r="IZS104" s="29"/>
      <c r="IZT104" s="29"/>
      <c r="IZU104" s="29"/>
      <c r="IZV104" s="29"/>
      <c r="IZW104" s="29"/>
      <c r="IZX104" s="29"/>
      <c r="IZY104" s="29"/>
      <c r="IZZ104" s="29"/>
      <c r="JAA104" s="29"/>
      <c r="JAB104" s="29"/>
      <c r="JAC104" s="29"/>
      <c r="JAD104" s="29"/>
      <c r="JAE104" s="29"/>
      <c r="JAF104" s="29"/>
      <c r="JAG104" s="29"/>
      <c r="JAH104" s="29"/>
      <c r="JAI104" s="29"/>
      <c r="JAJ104" s="29"/>
      <c r="JAK104" s="29"/>
      <c r="JAL104" s="29"/>
      <c r="JAM104" s="29"/>
      <c r="JAN104" s="29"/>
      <c r="JAO104" s="29"/>
      <c r="JAP104" s="29"/>
      <c r="JAQ104" s="29"/>
      <c r="JAR104" s="29"/>
      <c r="JAS104" s="29"/>
      <c r="JAT104" s="29"/>
      <c r="JAU104" s="29"/>
      <c r="JAV104" s="29"/>
      <c r="JAW104" s="29"/>
      <c r="JAX104" s="29"/>
      <c r="JAY104" s="29"/>
      <c r="JAZ104" s="29"/>
      <c r="JBA104" s="29"/>
      <c r="JBB104" s="29"/>
      <c r="JBC104" s="29"/>
      <c r="JBD104" s="29"/>
      <c r="JBE104" s="29"/>
      <c r="JBF104" s="29"/>
      <c r="JBG104" s="29"/>
      <c r="JBH104" s="29"/>
      <c r="JBI104" s="29"/>
      <c r="JBJ104" s="29"/>
      <c r="JBK104" s="29"/>
      <c r="JBL104" s="29"/>
      <c r="JBM104" s="29"/>
      <c r="JBN104" s="29"/>
      <c r="JBO104" s="29"/>
      <c r="JBP104" s="29"/>
      <c r="JBQ104" s="29"/>
      <c r="JBR104" s="29"/>
      <c r="JBS104" s="29"/>
      <c r="JBT104" s="29"/>
      <c r="JBU104" s="29"/>
      <c r="JBV104" s="29"/>
      <c r="JBW104" s="29"/>
      <c r="JBX104" s="29"/>
      <c r="JBY104" s="29"/>
      <c r="JBZ104" s="29"/>
      <c r="JCA104" s="29"/>
      <c r="JCB104" s="29"/>
      <c r="JCC104" s="29"/>
      <c r="JCD104" s="29"/>
      <c r="JCE104" s="29"/>
      <c r="JCF104" s="29"/>
      <c r="JCG104" s="29"/>
      <c r="JCH104" s="29"/>
      <c r="JCI104" s="29"/>
      <c r="JCJ104" s="29"/>
      <c r="JCK104" s="29"/>
      <c r="JCL104" s="29"/>
      <c r="JCM104" s="29"/>
      <c r="JCN104" s="29"/>
      <c r="JCO104" s="29"/>
      <c r="JCP104" s="29"/>
      <c r="JCQ104" s="29"/>
      <c r="JCR104" s="29"/>
      <c r="JCS104" s="29"/>
      <c r="JCT104" s="29"/>
      <c r="JCU104" s="29"/>
      <c r="JCV104" s="29"/>
      <c r="JCW104" s="29"/>
      <c r="JCX104" s="29"/>
      <c r="JCY104" s="29"/>
      <c r="JCZ104" s="29"/>
      <c r="JDA104" s="29"/>
      <c r="JDB104" s="29"/>
      <c r="JDC104" s="29"/>
      <c r="JDD104" s="29"/>
      <c r="JDE104" s="29"/>
      <c r="JDF104" s="29"/>
      <c r="JDG104" s="29"/>
      <c r="JDH104" s="29"/>
      <c r="JDI104" s="29"/>
      <c r="JDJ104" s="29"/>
      <c r="JDK104" s="29"/>
      <c r="JDL104" s="29"/>
      <c r="JDM104" s="29"/>
      <c r="JDN104" s="29"/>
      <c r="JDO104" s="29"/>
      <c r="JDP104" s="29"/>
      <c r="JDQ104" s="29"/>
      <c r="JDR104" s="29"/>
      <c r="JDS104" s="29"/>
      <c r="JDT104" s="29"/>
      <c r="JDU104" s="29"/>
      <c r="JDV104" s="29"/>
      <c r="JDW104" s="29"/>
      <c r="JDX104" s="29"/>
      <c r="JDY104" s="29"/>
      <c r="JDZ104" s="29"/>
      <c r="JEA104" s="29"/>
      <c r="JEB104" s="29"/>
      <c r="JEC104" s="29"/>
      <c r="JED104" s="29"/>
      <c r="JEE104" s="29"/>
      <c r="JEF104" s="29"/>
      <c r="JEG104" s="29"/>
      <c r="JEH104" s="29"/>
      <c r="JEI104" s="29"/>
      <c r="JEJ104" s="29"/>
      <c r="JEK104" s="29"/>
      <c r="JEL104" s="29"/>
      <c r="JEM104" s="29"/>
      <c r="JEN104" s="29"/>
      <c r="JEO104" s="29"/>
      <c r="JEP104" s="29"/>
      <c r="JEQ104" s="29"/>
      <c r="JER104" s="29"/>
      <c r="JES104" s="29"/>
      <c r="JET104" s="29"/>
      <c r="JEU104" s="29"/>
      <c r="JEV104" s="29"/>
      <c r="JEW104" s="29"/>
      <c r="JEX104" s="29"/>
      <c r="JEY104" s="29"/>
      <c r="JEZ104" s="29"/>
      <c r="JFA104" s="29"/>
      <c r="JFB104" s="29"/>
      <c r="JFC104" s="29"/>
      <c r="JFD104" s="29"/>
      <c r="JFE104" s="29"/>
      <c r="JFF104" s="29"/>
      <c r="JFG104" s="29"/>
      <c r="JFH104" s="29"/>
      <c r="JFI104" s="29"/>
      <c r="JFJ104" s="29"/>
      <c r="JFK104" s="29"/>
      <c r="JFL104" s="29"/>
      <c r="JFM104" s="29"/>
      <c r="JFN104" s="29"/>
      <c r="JFO104" s="29"/>
      <c r="JFP104" s="29"/>
      <c r="JFQ104" s="29"/>
      <c r="JFR104" s="29"/>
      <c r="JFS104" s="29"/>
      <c r="JFT104" s="29"/>
      <c r="JFU104" s="29"/>
      <c r="JFV104" s="29"/>
      <c r="JFW104" s="29"/>
      <c r="JFX104" s="29"/>
      <c r="JFY104" s="29"/>
      <c r="JFZ104" s="29"/>
      <c r="JGA104" s="29"/>
      <c r="JGB104" s="29"/>
      <c r="JGC104" s="29"/>
      <c r="JGD104" s="29"/>
      <c r="JGE104" s="29"/>
      <c r="JGF104" s="29"/>
      <c r="JGG104" s="29"/>
      <c r="JGH104" s="29"/>
      <c r="JGI104" s="29"/>
      <c r="JGJ104" s="29"/>
      <c r="JGK104" s="29"/>
      <c r="JGL104" s="29"/>
      <c r="JGM104" s="29"/>
      <c r="JGN104" s="29"/>
      <c r="JGO104" s="29"/>
      <c r="JGP104" s="29"/>
      <c r="JGQ104" s="29"/>
      <c r="JGR104" s="29"/>
      <c r="JGS104" s="29"/>
      <c r="JGT104" s="29"/>
      <c r="JGU104" s="29"/>
      <c r="JGV104" s="29"/>
      <c r="JGW104" s="29"/>
      <c r="JGX104" s="29"/>
      <c r="JGY104" s="29"/>
      <c r="JGZ104" s="29"/>
      <c r="JHA104" s="29"/>
      <c r="JHB104" s="29"/>
      <c r="JHC104" s="29"/>
      <c r="JHD104" s="29"/>
      <c r="JHE104" s="29"/>
      <c r="JHF104" s="29"/>
      <c r="JHG104" s="29"/>
      <c r="JHH104" s="29"/>
      <c r="JHI104" s="29"/>
      <c r="JHJ104" s="29"/>
      <c r="JHK104" s="29"/>
      <c r="JHL104" s="29"/>
      <c r="JHM104" s="29"/>
      <c r="JHN104" s="29"/>
      <c r="JHO104" s="29"/>
      <c r="JHP104" s="29"/>
      <c r="JHQ104" s="29"/>
      <c r="JHR104" s="29"/>
      <c r="JHS104" s="29"/>
      <c r="JHT104" s="29"/>
      <c r="JHU104" s="29"/>
      <c r="JHV104" s="29"/>
      <c r="JHW104" s="29"/>
      <c r="JHX104" s="29"/>
      <c r="JHY104" s="29"/>
      <c r="JHZ104" s="29"/>
      <c r="JIA104" s="29"/>
      <c r="JIB104" s="29"/>
      <c r="JIC104" s="29"/>
      <c r="JID104" s="29"/>
      <c r="JIE104" s="29"/>
      <c r="JIF104" s="29"/>
      <c r="JIG104" s="29"/>
      <c r="JIH104" s="29"/>
      <c r="JII104" s="29"/>
      <c r="JIJ104" s="29"/>
      <c r="JIK104" s="29"/>
      <c r="JIL104" s="29"/>
      <c r="JIM104" s="29"/>
      <c r="JIN104" s="29"/>
      <c r="JIO104" s="29"/>
      <c r="JIP104" s="29"/>
      <c r="JIQ104" s="29"/>
      <c r="JIR104" s="29"/>
      <c r="JIS104" s="29"/>
      <c r="JIT104" s="29"/>
      <c r="JIU104" s="29"/>
      <c r="JIV104" s="29"/>
      <c r="JIW104" s="29"/>
      <c r="JIX104" s="29"/>
      <c r="JIY104" s="29"/>
      <c r="JIZ104" s="29"/>
      <c r="JJA104" s="29"/>
      <c r="JJB104" s="29"/>
      <c r="JJC104" s="29"/>
      <c r="JJD104" s="29"/>
      <c r="JJE104" s="29"/>
      <c r="JJF104" s="29"/>
      <c r="JJG104" s="29"/>
      <c r="JJH104" s="29"/>
      <c r="JJI104" s="29"/>
      <c r="JJJ104" s="29"/>
      <c r="JJK104" s="29"/>
      <c r="JJL104" s="29"/>
      <c r="JJM104" s="29"/>
      <c r="JJN104" s="29"/>
      <c r="JJO104" s="29"/>
      <c r="JJP104" s="29"/>
      <c r="JJQ104" s="29"/>
      <c r="JJR104" s="29"/>
      <c r="JJS104" s="29"/>
      <c r="JJT104" s="29"/>
      <c r="JJU104" s="29"/>
      <c r="JJV104" s="29"/>
      <c r="JJW104" s="29"/>
      <c r="JJX104" s="29"/>
      <c r="JJY104" s="29"/>
      <c r="JJZ104" s="29"/>
      <c r="JKA104" s="29"/>
      <c r="JKB104" s="29"/>
      <c r="JKC104" s="29"/>
      <c r="JKD104" s="29"/>
      <c r="JKE104" s="29"/>
      <c r="JKF104" s="29"/>
      <c r="JKG104" s="29"/>
      <c r="JKH104" s="29"/>
      <c r="JKI104" s="29"/>
      <c r="JKJ104" s="29"/>
      <c r="JKK104" s="29"/>
      <c r="JKL104" s="29"/>
      <c r="JKM104" s="29"/>
      <c r="JKN104" s="29"/>
      <c r="JKO104" s="29"/>
      <c r="JKP104" s="29"/>
      <c r="JKQ104" s="29"/>
      <c r="JKR104" s="29"/>
      <c r="JKS104" s="29"/>
      <c r="JKT104" s="29"/>
      <c r="JKU104" s="29"/>
      <c r="JKV104" s="29"/>
      <c r="JKW104" s="29"/>
      <c r="JKX104" s="29"/>
      <c r="JKY104" s="29"/>
      <c r="JKZ104" s="29"/>
      <c r="JLA104" s="29"/>
      <c r="JLB104" s="29"/>
      <c r="JLC104" s="29"/>
      <c r="JLD104" s="29"/>
      <c r="JLE104" s="29"/>
      <c r="JLF104" s="29"/>
      <c r="JLG104" s="29"/>
      <c r="JLH104" s="29"/>
      <c r="JLI104" s="29"/>
      <c r="JLJ104" s="29"/>
      <c r="JLK104" s="29"/>
      <c r="JLL104" s="29"/>
      <c r="JLM104" s="29"/>
      <c r="JLN104" s="29"/>
      <c r="JLO104" s="29"/>
      <c r="JLP104" s="29"/>
      <c r="JLQ104" s="29"/>
      <c r="JLR104" s="29"/>
      <c r="JLS104" s="29"/>
      <c r="JLT104" s="29"/>
      <c r="JLU104" s="29"/>
      <c r="JLV104" s="29"/>
      <c r="JLW104" s="29"/>
      <c r="JLX104" s="29"/>
      <c r="JLY104" s="29"/>
      <c r="JLZ104" s="29"/>
      <c r="JMA104" s="29"/>
      <c r="JMB104" s="29"/>
      <c r="JMC104" s="29"/>
      <c r="JMD104" s="29"/>
      <c r="JME104" s="29"/>
      <c r="JMF104" s="29"/>
      <c r="JMG104" s="29"/>
      <c r="JMH104" s="29"/>
      <c r="JMI104" s="29"/>
      <c r="JMJ104" s="29"/>
      <c r="JMK104" s="29"/>
      <c r="JML104" s="29"/>
      <c r="JMM104" s="29"/>
      <c r="JMN104" s="29"/>
      <c r="JMO104" s="29"/>
      <c r="JMP104" s="29"/>
      <c r="JMQ104" s="29"/>
      <c r="JMR104" s="29"/>
      <c r="JMS104" s="29"/>
      <c r="JMT104" s="29"/>
      <c r="JMU104" s="29"/>
      <c r="JMV104" s="29"/>
      <c r="JMW104" s="29"/>
      <c r="JMX104" s="29"/>
      <c r="JMY104" s="29"/>
      <c r="JMZ104" s="29"/>
      <c r="JNA104" s="29"/>
      <c r="JNB104" s="29"/>
      <c r="JNC104" s="29"/>
      <c r="JND104" s="29"/>
      <c r="JNE104" s="29"/>
      <c r="JNF104" s="29"/>
      <c r="JNG104" s="29"/>
      <c r="JNH104" s="29"/>
      <c r="JNI104" s="29"/>
      <c r="JNJ104" s="29"/>
      <c r="JNK104" s="29"/>
      <c r="JNL104" s="29"/>
      <c r="JNM104" s="29"/>
      <c r="JNN104" s="29"/>
      <c r="JNO104" s="29"/>
      <c r="JNP104" s="29"/>
      <c r="JNQ104" s="29"/>
      <c r="JNR104" s="29"/>
      <c r="JNS104" s="29"/>
      <c r="JNT104" s="29"/>
      <c r="JNU104" s="29"/>
      <c r="JNV104" s="29"/>
      <c r="JNW104" s="29"/>
      <c r="JNX104" s="29"/>
      <c r="JNY104" s="29"/>
      <c r="JNZ104" s="29"/>
      <c r="JOA104" s="29"/>
      <c r="JOB104" s="29"/>
      <c r="JOC104" s="29"/>
      <c r="JOD104" s="29"/>
      <c r="JOE104" s="29"/>
      <c r="JOF104" s="29"/>
      <c r="JOG104" s="29"/>
      <c r="JOH104" s="29"/>
      <c r="JOI104" s="29"/>
      <c r="JOJ104" s="29"/>
      <c r="JOK104" s="29"/>
      <c r="JOL104" s="29"/>
      <c r="JOM104" s="29"/>
      <c r="JON104" s="29"/>
      <c r="JOO104" s="29"/>
      <c r="JOP104" s="29"/>
      <c r="JOQ104" s="29"/>
      <c r="JOR104" s="29"/>
      <c r="JOS104" s="29"/>
      <c r="JOT104" s="29"/>
      <c r="JOU104" s="29"/>
      <c r="JOV104" s="29"/>
      <c r="JOW104" s="29"/>
      <c r="JOX104" s="29"/>
      <c r="JOY104" s="29"/>
      <c r="JOZ104" s="29"/>
      <c r="JPA104" s="29"/>
      <c r="JPB104" s="29"/>
      <c r="JPC104" s="29"/>
      <c r="JPD104" s="29"/>
      <c r="JPE104" s="29"/>
      <c r="JPF104" s="29"/>
      <c r="JPG104" s="29"/>
      <c r="JPH104" s="29"/>
      <c r="JPI104" s="29"/>
      <c r="JPJ104" s="29"/>
      <c r="JPK104" s="29"/>
      <c r="JPL104" s="29"/>
      <c r="JPM104" s="29"/>
      <c r="JPN104" s="29"/>
      <c r="JPO104" s="29"/>
      <c r="JPP104" s="29"/>
      <c r="JPQ104" s="29"/>
      <c r="JPR104" s="29"/>
      <c r="JPS104" s="29"/>
      <c r="JPT104" s="29"/>
      <c r="JPU104" s="29"/>
      <c r="JPV104" s="29"/>
      <c r="JPW104" s="29"/>
      <c r="JPX104" s="29"/>
      <c r="JPY104" s="29"/>
      <c r="JPZ104" s="29"/>
      <c r="JQA104" s="29"/>
      <c r="JQB104" s="29"/>
      <c r="JQC104" s="29"/>
      <c r="JQD104" s="29"/>
      <c r="JQE104" s="29"/>
      <c r="JQF104" s="29"/>
      <c r="JQG104" s="29"/>
      <c r="JQH104" s="29"/>
      <c r="JQI104" s="29"/>
      <c r="JQJ104" s="29"/>
      <c r="JQK104" s="29"/>
      <c r="JQL104" s="29"/>
      <c r="JQM104" s="29"/>
      <c r="JQN104" s="29"/>
      <c r="JQO104" s="29"/>
      <c r="JQP104" s="29"/>
      <c r="JQQ104" s="29"/>
      <c r="JQR104" s="29"/>
      <c r="JQS104" s="29"/>
      <c r="JQT104" s="29"/>
      <c r="JQU104" s="29"/>
      <c r="JQV104" s="29"/>
      <c r="JQW104" s="29"/>
      <c r="JQX104" s="29"/>
      <c r="JQY104" s="29"/>
      <c r="JQZ104" s="29"/>
      <c r="JRA104" s="29"/>
      <c r="JRB104" s="29"/>
      <c r="JRC104" s="29"/>
      <c r="JRD104" s="29"/>
      <c r="JRE104" s="29"/>
      <c r="JRF104" s="29"/>
      <c r="JRG104" s="29"/>
      <c r="JRH104" s="29"/>
      <c r="JRI104" s="29"/>
      <c r="JRJ104" s="29"/>
      <c r="JRK104" s="29"/>
      <c r="JRL104" s="29"/>
      <c r="JRM104" s="29"/>
      <c r="JRN104" s="29"/>
      <c r="JRO104" s="29"/>
      <c r="JRP104" s="29"/>
      <c r="JRQ104" s="29"/>
      <c r="JRR104" s="29"/>
      <c r="JRS104" s="29"/>
      <c r="JRT104" s="29"/>
      <c r="JRU104" s="29"/>
      <c r="JRV104" s="29"/>
      <c r="JRW104" s="29"/>
      <c r="JRX104" s="29"/>
      <c r="JRY104" s="29"/>
      <c r="JRZ104" s="29"/>
      <c r="JSA104" s="29"/>
      <c r="JSB104" s="29"/>
      <c r="JSC104" s="29"/>
      <c r="JSD104" s="29"/>
      <c r="JSE104" s="29"/>
      <c r="JSF104" s="29"/>
      <c r="JSG104" s="29"/>
      <c r="JSH104" s="29"/>
      <c r="JSI104" s="29"/>
      <c r="JSJ104" s="29"/>
      <c r="JSK104" s="29"/>
      <c r="JSL104" s="29"/>
      <c r="JSM104" s="29"/>
      <c r="JSN104" s="29"/>
      <c r="JSO104" s="29"/>
      <c r="JSP104" s="29"/>
      <c r="JSQ104" s="29"/>
      <c r="JSR104" s="29"/>
      <c r="JSS104" s="29"/>
      <c r="JST104" s="29"/>
      <c r="JSU104" s="29"/>
      <c r="JSV104" s="29"/>
      <c r="JSW104" s="29"/>
      <c r="JSX104" s="29"/>
      <c r="JSY104" s="29"/>
      <c r="JSZ104" s="29"/>
      <c r="JTA104" s="29"/>
      <c r="JTB104" s="29"/>
      <c r="JTC104" s="29"/>
      <c r="JTD104" s="29"/>
      <c r="JTE104" s="29"/>
      <c r="JTF104" s="29"/>
      <c r="JTG104" s="29"/>
      <c r="JTH104" s="29"/>
      <c r="JTI104" s="29"/>
      <c r="JTJ104" s="29"/>
      <c r="JTK104" s="29"/>
      <c r="JTL104" s="29"/>
      <c r="JTM104" s="29"/>
      <c r="JTN104" s="29"/>
      <c r="JTO104" s="29"/>
      <c r="JTP104" s="29"/>
      <c r="JTQ104" s="29"/>
      <c r="JTR104" s="29"/>
      <c r="JTS104" s="29"/>
      <c r="JTT104" s="29"/>
      <c r="JTU104" s="29"/>
      <c r="JTV104" s="29"/>
      <c r="JTW104" s="29"/>
      <c r="JTX104" s="29"/>
      <c r="JTY104" s="29"/>
      <c r="JTZ104" s="29"/>
      <c r="JUA104" s="29"/>
      <c r="JUB104" s="29"/>
      <c r="JUC104" s="29"/>
      <c r="JUD104" s="29"/>
      <c r="JUE104" s="29"/>
      <c r="JUF104" s="29"/>
      <c r="JUG104" s="29"/>
      <c r="JUH104" s="29"/>
      <c r="JUI104" s="29"/>
      <c r="JUJ104" s="29"/>
      <c r="JUK104" s="29"/>
      <c r="JUL104" s="29"/>
      <c r="JUM104" s="29"/>
      <c r="JUN104" s="29"/>
      <c r="JUO104" s="29"/>
      <c r="JUP104" s="29"/>
      <c r="JUQ104" s="29"/>
      <c r="JUR104" s="29"/>
      <c r="JUS104" s="29"/>
      <c r="JUT104" s="29"/>
      <c r="JUU104" s="29"/>
      <c r="JUV104" s="29"/>
      <c r="JUW104" s="29"/>
      <c r="JUX104" s="29"/>
      <c r="JUY104" s="29"/>
      <c r="JUZ104" s="29"/>
      <c r="JVA104" s="29"/>
      <c r="JVB104" s="29"/>
      <c r="JVC104" s="29"/>
      <c r="JVD104" s="29"/>
      <c r="JVE104" s="29"/>
      <c r="JVF104" s="29"/>
      <c r="JVG104" s="29"/>
      <c r="JVH104" s="29"/>
      <c r="JVI104" s="29"/>
      <c r="JVJ104" s="29"/>
      <c r="JVK104" s="29"/>
      <c r="JVL104" s="29"/>
      <c r="JVM104" s="29"/>
      <c r="JVN104" s="29"/>
      <c r="JVO104" s="29"/>
      <c r="JVP104" s="29"/>
      <c r="JVQ104" s="29"/>
      <c r="JVR104" s="29"/>
      <c r="JVS104" s="29"/>
      <c r="JVT104" s="29"/>
      <c r="JVU104" s="29"/>
      <c r="JVV104" s="29"/>
      <c r="JVW104" s="29"/>
      <c r="JVX104" s="29"/>
      <c r="JVY104" s="29"/>
      <c r="JVZ104" s="29"/>
      <c r="JWA104" s="29"/>
      <c r="JWB104" s="29"/>
      <c r="JWC104" s="29"/>
      <c r="JWD104" s="29"/>
      <c r="JWE104" s="29"/>
      <c r="JWF104" s="29"/>
      <c r="JWG104" s="29"/>
      <c r="JWH104" s="29"/>
      <c r="JWI104" s="29"/>
      <c r="JWJ104" s="29"/>
      <c r="JWK104" s="29"/>
      <c r="JWL104" s="29"/>
      <c r="JWM104" s="29"/>
      <c r="JWN104" s="29"/>
      <c r="JWO104" s="29"/>
      <c r="JWP104" s="29"/>
      <c r="JWQ104" s="29"/>
      <c r="JWR104" s="29"/>
      <c r="JWS104" s="29"/>
      <c r="JWT104" s="29"/>
      <c r="JWU104" s="29"/>
      <c r="JWV104" s="29"/>
      <c r="JWW104" s="29"/>
      <c r="JWX104" s="29"/>
      <c r="JWY104" s="29"/>
      <c r="JWZ104" s="29"/>
      <c r="JXA104" s="29"/>
      <c r="JXB104" s="29"/>
      <c r="JXC104" s="29"/>
      <c r="JXD104" s="29"/>
      <c r="JXE104" s="29"/>
      <c r="JXF104" s="29"/>
      <c r="JXG104" s="29"/>
      <c r="JXH104" s="29"/>
      <c r="JXI104" s="29"/>
      <c r="JXJ104" s="29"/>
      <c r="JXK104" s="29"/>
      <c r="JXL104" s="29"/>
      <c r="JXM104" s="29"/>
      <c r="JXN104" s="29"/>
      <c r="JXO104" s="29"/>
      <c r="JXP104" s="29"/>
      <c r="JXQ104" s="29"/>
      <c r="JXR104" s="29"/>
      <c r="JXS104" s="29"/>
      <c r="JXT104" s="29"/>
      <c r="JXU104" s="29"/>
      <c r="JXV104" s="29"/>
      <c r="JXW104" s="29"/>
      <c r="JXX104" s="29"/>
      <c r="JXY104" s="29"/>
      <c r="JXZ104" s="29"/>
      <c r="JYA104" s="29"/>
      <c r="JYB104" s="29"/>
      <c r="JYC104" s="29"/>
      <c r="JYD104" s="29"/>
      <c r="JYE104" s="29"/>
      <c r="JYF104" s="29"/>
      <c r="JYG104" s="29"/>
      <c r="JYH104" s="29"/>
      <c r="JYI104" s="29"/>
      <c r="JYJ104" s="29"/>
      <c r="JYK104" s="29"/>
      <c r="JYL104" s="29"/>
      <c r="JYM104" s="29"/>
      <c r="JYN104" s="29"/>
      <c r="JYO104" s="29"/>
      <c r="JYP104" s="29"/>
      <c r="JYQ104" s="29"/>
      <c r="JYR104" s="29"/>
      <c r="JYS104" s="29"/>
      <c r="JYT104" s="29"/>
      <c r="JYU104" s="29"/>
      <c r="JYV104" s="29"/>
      <c r="JYW104" s="29"/>
      <c r="JYX104" s="29"/>
      <c r="JYY104" s="29"/>
      <c r="JYZ104" s="29"/>
      <c r="JZA104" s="29"/>
      <c r="JZB104" s="29"/>
      <c r="JZC104" s="29"/>
      <c r="JZD104" s="29"/>
      <c r="JZE104" s="29"/>
      <c r="JZF104" s="29"/>
      <c r="JZG104" s="29"/>
      <c r="JZH104" s="29"/>
      <c r="JZI104" s="29"/>
      <c r="JZJ104" s="29"/>
      <c r="JZK104" s="29"/>
      <c r="JZL104" s="29"/>
      <c r="JZM104" s="29"/>
      <c r="JZN104" s="29"/>
      <c r="JZO104" s="29"/>
      <c r="JZP104" s="29"/>
      <c r="JZQ104" s="29"/>
      <c r="JZR104" s="29"/>
      <c r="JZS104" s="29"/>
      <c r="JZT104" s="29"/>
      <c r="JZU104" s="29"/>
      <c r="JZV104" s="29"/>
      <c r="JZW104" s="29"/>
      <c r="JZX104" s="29"/>
      <c r="JZY104" s="29"/>
      <c r="JZZ104" s="29"/>
      <c r="KAA104" s="29"/>
      <c r="KAB104" s="29"/>
      <c r="KAC104" s="29"/>
      <c r="KAD104" s="29"/>
      <c r="KAE104" s="29"/>
      <c r="KAF104" s="29"/>
      <c r="KAG104" s="29"/>
      <c r="KAH104" s="29"/>
      <c r="KAI104" s="29"/>
      <c r="KAJ104" s="29"/>
      <c r="KAK104" s="29"/>
      <c r="KAL104" s="29"/>
      <c r="KAM104" s="29"/>
      <c r="KAN104" s="29"/>
      <c r="KAO104" s="29"/>
      <c r="KAP104" s="29"/>
      <c r="KAQ104" s="29"/>
      <c r="KAR104" s="29"/>
      <c r="KAS104" s="29"/>
      <c r="KAT104" s="29"/>
      <c r="KAU104" s="29"/>
      <c r="KAV104" s="29"/>
      <c r="KAW104" s="29"/>
      <c r="KAX104" s="29"/>
      <c r="KAY104" s="29"/>
      <c r="KAZ104" s="29"/>
      <c r="KBA104" s="29"/>
      <c r="KBB104" s="29"/>
      <c r="KBC104" s="29"/>
      <c r="KBD104" s="29"/>
      <c r="KBE104" s="29"/>
      <c r="KBF104" s="29"/>
      <c r="KBG104" s="29"/>
      <c r="KBH104" s="29"/>
      <c r="KBI104" s="29"/>
      <c r="KBJ104" s="29"/>
      <c r="KBK104" s="29"/>
      <c r="KBL104" s="29"/>
      <c r="KBM104" s="29"/>
      <c r="KBN104" s="29"/>
      <c r="KBO104" s="29"/>
      <c r="KBP104" s="29"/>
      <c r="KBQ104" s="29"/>
      <c r="KBR104" s="29"/>
      <c r="KBS104" s="29"/>
      <c r="KBT104" s="29"/>
      <c r="KBU104" s="29"/>
      <c r="KBV104" s="29"/>
      <c r="KBW104" s="29"/>
      <c r="KBX104" s="29"/>
      <c r="KBY104" s="29"/>
      <c r="KBZ104" s="29"/>
      <c r="KCA104" s="29"/>
      <c r="KCB104" s="29"/>
      <c r="KCC104" s="29"/>
      <c r="KCD104" s="29"/>
      <c r="KCE104" s="29"/>
      <c r="KCF104" s="29"/>
      <c r="KCG104" s="29"/>
      <c r="KCH104" s="29"/>
      <c r="KCI104" s="29"/>
      <c r="KCJ104" s="29"/>
      <c r="KCK104" s="29"/>
      <c r="KCL104" s="29"/>
      <c r="KCM104" s="29"/>
      <c r="KCN104" s="29"/>
      <c r="KCO104" s="29"/>
      <c r="KCP104" s="29"/>
      <c r="KCQ104" s="29"/>
      <c r="KCR104" s="29"/>
      <c r="KCS104" s="29"/>
      <c r="KCT104" s="29"/>
      <c r="KCU104" s="29"/>
      <c r="KCV104" s="29"/>
      <c r="KCW104" s="29"/>
      <c r="KCX104" s="29"/>
      <c r="KCY104" s="29"/>
      <c r="KCZ104" s="29"/>
      <c r="KDA104" s="29"/>
      <c r="KDB104" s="29"/>
      <c r="KDC104" s="29"/>
      <c r="KDD104" s="29"/>
      <c r="KDE104" s="29"/>
      <c r="KDF104" s="29"/>
      <c r="KDG104" s="29"/>
      <c r="KDH104" s="29"/>
      <c r="KDI104" s="29"/>
      <c r="KDJ104" s="29"/>
      <c r="KDK104" s="29"/>
      <c r="KDL104" s="29"/>
      <c r="KDM104" s="29"/>
      <c r="KDN104" s="29"/>
      <c r="KDO104" s="29"/>
      <c r="KDP104" s="29"/>
      <c r="KDQ104" s="29"/>
      <c r="KDR104" s="29"/>
      <c r="KDS104" s="29"/>
      <c r="KDT104" s="29"/>
      <c r="KDU104" s="29"/>
      <c r="KDV104" s="29"/>
      <c r="KDW104" s="29"/>
      <c r="KDX104" s="29"/>
      <c r="KDY104" s="29"/>
      <c r="KDZ104" s="29"/>
      <c r="KEA104" s="29"/>
      <c r="KEB104" s="29"/>
      <c r="KEC104" s="29"/>
      <c r="KED104" s="29"/>
      <c r="KEE104" s="29"/>
      <c r="KEF104" s="29"/>
      <c r="KEG104" s="29"/>
      <c r="KEH104" s="29"/>
      <c r="KEI104" s="29"/>
      <c r="KEJ104" s="29"/>
      <c r="KEK104" s="29"/>
      <c r="KEL104" s="29"/>
      <c r="KEM104" s="29"/>
      <c r="KEN104" s="29"/>
      <c r="KEO104" s="29"/>
      <c r="KEP104" s="29"/>
      <c r="KEQ104" s="29"/>
      <c r="KER104" s="29"/>
      <c r="KES104" s="29"/>
      <c r="KET104" s="29"/>
      <c r="KEU104" s="29"/>
      <c r="KEV104" s="29"/>
      <c r="KEW104" s="29"/>
      <c r="KEX104" s="29"/>
      <c r="KEY104" s="29"/>
      <c r="KEZ104" s="29"/>
      <c r="KFA104" s="29"/>
      <c r="KFB104" s="29"/>
      <c r="KFC104" s="29"/>
      <c r="KFD104" s="29"/>
      <c r="KFE104" s="29"/>
      <c r="KFF104" s="29"/>
      <c r="KFG104" s="29"/>
      <c r="KFH104" s="29"/>
      <c r="KFI104" s="29"/>
      <c r="KFJ104" s="29"/>
      <c r="KFK104" s="29"/>
      <c r="KFL104" s="29"/>
      <c r="KFM104" s="29"/>
      <c r="KFN104" s="29"/>
      <c r="KFO104" s="29"/>
      <c r="KFP104" s="29"/>
      <c r="KFQ104" s="29"/>
      <c r="KFR104" s="29"/>
      <c r="KFS104" s="29"/>
      <c r="KFT104" s="29"/>
      <c r="KFU104" s="29"/>
      <c r="KFV104" s="29"/>
      <c r="KFW104" s="29"/>
      <c r="KFX104" s="29"/>
      <c r="KFY104" s="29"/>
      <c r="KFZ104" s="29"/>
      <c r="KGA104" s="29"/>
      <c r="KGB104" s="29"/>
      <c r="KGC104" s="29"/>
      <c r="KGD104" s="29"/>
      <c r="KGE104" s="29"/>
      <c r="KGF104" s="29"/>
      <c r="KGG104" s="29"/>
      <c r="KGH104" s="29"/>
      <c r="KGI104" s="29"/>
      <c r="KGJ104" s="29"/>
      <c r="KGK104" s="29"/>
      <c r="KGL104" s="29"/>
      <c r="KGM104" s="29"/>
      <c r="KGN104" s="29"/>
      <c r="KGO104" s="29"/>
      <c r="KGP104" s="29"/>
      <c r="KGQ104" s="29"/>
      <c r="KGR104" s="29"/>
      <c r="KGS104" s="29"/>
      <c r="KGT104" s="29"/>
      <c r="KGU104" s="29"/>
      <c r="KGV104" s="29"/>
      <c r="KGW104" s="29"/>
      <c r="KGX104" s="29"/>
      <c r="KGY104" s="29"/>
      <c r="KGZ104" s="29"/>
      <c r="KHA104" s="29"/>
      <c r="KHB104" s="29"/>
      <c r="KHC104" s="29"/>
      <c r="KHD104" s="29"/>
      <c r="KHE104" s="29"/>
      <c r="KHF104" s="29"/>
      <c r="KHG104" s="29"/>
      <c r="KHH104" s="29"/>
      <c r="KHI104" s="29"/>
      <c r="KHJ104" s="29"/>
      <c r="KHK104" s="29"/>
      <c r="KHL104" s="29"/>
      <c r="KHM104" s="29"/>
      <c r="KHN104" s="29"/>
      <c r="KHO104" s="29"/>
      <c r="KHP104" s="29"/>
      <c r="KHQ104" s="29"/>
      <c r="KHR104" s="29"/>
      <c r="KHS104" s="29"/>
      <c r="KHT104" s="29"/>
      <c r="KHU104" s="29"/>
      <c r="KHV104" s="29"/>
      <c r="KHW104" s="29"/>
      <c r="KHX104" s="29"/>
      <c r="KHY104" s="29"/>
      <c r="KHZ104" s="29"/>
      <c r="KIA104" s="29"/>
      <c r="KIB104" s="29"/>
      <c r="KIC104" s="29"/>
      <c r="KID104" s="29"/>
      <c r="KIE104" s="29"/>
      <c r="KIF104" s="29"/>
      <c r="KIG104" s="29"/>
      <c r="KIH104" s="29"/>
      <c r="KII104" s="29"/>
      <c r="KIJ104" s="29"/>
      <c r="KIK104" s="29"/>
      <c r="KIL104" s="29"/>
      <c r="KIM104" s="29"/>
      <c r="KIN104" s="29"/>
      <c r="KIO104" s="29"/>
      <c r="KIP104" s="29"/>
      <c r="KIQ104" s="29"/>
      <c r="KIR104" s="29"/>
      <c r="KIS104" s="29"/>
      <c r="KIT104" s="29"/>
      <c r="KIU104" s="29"/>
      <c r="KIV104" s="29"/>
      <c r="KIW104" s="29"/>
      <c r="KIX104" s="29"/>
      <c r="KIY104" s="29"/>
      <c r="KIZ104" s="29"/>
      <c r="KJA104" s="29"/>
      <c r="KJB104" s="29"/>
      <c r="KJC104" s="29"/>
      <c r="KJD104" s="29"/>
      <c r="KJE104" s="29"/>
      <c r="KJF104" s="29"/>
      <c r="KJG104" s="29"/>
      <c r="KJH104" s="29"/>
      <c r="KJI104" s="29"/>
      <c r="KJJ104" s="29"/>
      <c r="KJK104" s="29"/>
      <c r="KJL104" s="29"/>
      <c r="KJM104" s="29"/>
      <c r="KJN104" s="29"/>
      <c r="KJO104" s="29"/>
      <c r="KJP104" s="29"/>
      <c r="KJQ104" s="29"/>
      <c r="KJR104" s="29"/>
      <c r="KJS104" s="29"/>
      <c r="KJT104" s="29"/>
      <c r="KJU104" s="29"/>
      <c r="KJV104" s="29"/>
      <c r="KJW104" s="29"/>
      <c r="KJX104" s="29"/>
      <c r="KJY104" s="29"/>
      <c r="KJZ104" s="29"/>
      <c r="KKA104" s="29"/>
      <c r="KKB104" s="29"/>
      <c r="KKC104" s="29"/>
      <c r="KKD104" s="29"/>
      <c r="KKE104" s="29"/>
      <c r="KKF104" s="29"/>
      <c r="KKG104" s="29"/>
      <c r="KKH104" s="29"/>
      <c r="KKI104" s="29"/>
      <c r="KKJ104" s="29"/>
      <c r="KKK104" s="29"/>
      <c r="KKL104" s="29"/>
      <c r="KKM104" s="29"/>
      <c r="KKN104" s="29"/>
      <c r="KKO104" s="29"/>
      <c r="KKP104" s="29"/>
      <c r="KKQ104" s="29"/>
      <c r="KKR104" s="29"/>
      <c r="KKS104" s="29"/>
      <c r="KKT104" s="29"/>
      <c r="KKU104" s="29"/>
      <c r="KKV104" s="29"/>
      <c r="KKW104" s="29"/>
      <c r="KKX104" s="29"/>
      <c r="KKY104" s="29"/>
      <c r="KKZ104" s="29"/>
      <c r="KLA104" s="29"/>
      <c r="KLB104" s="29"/>
      <c r="KLC104" s="29"/>
      <c r="KLD104" s="29"/>
      <c r="KLE104" s="29"/>
      <c r="KLF104" s="29"/>
      <c r="KLG104" s="29"/>
      <c r="KLH104" s="29"/>
      <c r="KLI104" s="29"/>
      <c r="KLJ104" s="29"/>
      <c r="KLK104" s="29"/>
      <c r="KLL104" s="29"/>
      <c r="KLM104" s="29"/>
      <c r="KLN104" s="29"/>
      <c r="KLO104" s="29"/>
      <c r="KLP104" s="29"/>
      <c r="KLQ104" s="29"/>
      <c r="KLR104" s="29"/>
      <c r="KLS104" s="29"/>
      <c r="KLT104" s="29"/>
      <c r="KLU104" s="29"/>
      <c r="KLV104" s="29"/>
      <c r="KLW104" s="29"/>
      <c r="KLX104" s="29"/>
      <c r="KLY104" s="29"/>
      <c r="KLZ104" s="29"/>
      <c r="KMA104" s="29"/>
      <c r="KMB104" s="29"/>
      <c r="KMC104" s="29"/>
      <c r="KMD104" s="29"/>
      <c r="KME104" s="29"/>
      <c r="KMF104" s="29"/>
      <c r="KMG104" s="29"/>
      <c r="KMH104" s="29"/>
      <c r="KMI104" s="29"/>
      <c r="KMJ104" s="29"/>
      <c r="KMK104" s="29"/>
      <c r="KML104" s="29"/>
      <c r="KMM104" s="29"/>
      <c r="KMN104" s="29"/>
      <c r="KMO104" s="29"/>
      <c r="KMP104" s="29"/>
      <c r="KMQ104" s="29"/>
      <c r="KMR104" s="29"/>
      <c r="KMS104" s="29"/>
      <c r="KMT104" s="29"/>
      <c r="KMU104" s="29"/>
      <c r="KMV104" s="29"/>
      <c r="KMW104" s="29"/>
      <c r="KMX104" s="29"/>
      <c r="KMY104" s="29"/>
      <c r="KMZ104" s="29"/>
      <c r="KNA104" s="29"/>
      <c r="KNB104" s="29"/>
      <c r="KNC104" s="29"/>
      <c r="KND104" s="29"/>
      <c r="KNE104" s="29"/>
      <c r="KNF104" s="29"/>
      <c r="KNG104" s="29"/>
      <c r="KNH104" s="29"/>
      <c r="KNI104" s="29"/>
      <c r="KNJ104" s="29"/>
      <c r="KNK104" s="29"/>
      <c r="KNL104" s="29"/>
      <c r="KNM104" s="29"/>
      <c r="KNN104" s="29"/>
      <c r="KNO104" s="29"/>
      <c r="KNP104" s="29"/>
      <c r="KNQ104" s="29"/>
      <c r="KNR104" s="29"/>
      <c r="KNS104" s="29"/>
      <c r="KNT104" s="29"/>
      <c r="KNU104" s="29"/>
      <c r="KNV104" s="29"/>
      <c r="KNW104" s="29"/>
      <c r="KNX104" s="29"/>
      <c r="KNY104" s="29"/>
      <c r="KNZ104" s="29"/>
      <c r="KOA104" s="29"/>
      <c r="KOB104" s="29"/>
      <c r="KOC104" s="29"/>
      <c r="KOD104" s="29"/>
      <c r="KOE104" s="29"/>
      <c r="KOF104" s="29"/>
      <c r="KOG104" s="29"/>
      <c r="KOH104" s="29"/>
      <c r="KOI104" s="29"/>
      <c r="KOJ104" s="29"/>
      <c r="KOK104" s="29"/>
      <c r="KOL104" s="29"/>
      <c r="KOM104" s="29"/>
      <c r="KON104" s="29"/>
      <c r="KOO104" s="29"/>
      <c r="KOP104" s="29"/>
      <c r="KOQ104" s="29"/>
      <c r="KOR104" s="29"/>
      <c r="KOS104" s="29"/>
      <c r="KOT104" s="29"/>
      <c r="KOU104" s="29"/>
      <c r="KOV104" s="29"/>
      <c r="KOW104" s="29"/>
      <c r="KOX104" s="29"/>
      <c r="KOY104" s="29"/>
      <c r="KOZ104" s="29"/>
      <c r="KPA104" s="29"/>
      <c r="KPB104" s="29"/>
      <c r="KPC104" s="29"/>
      <c r="KPD104" s="29"/>
      <c r="KPE104" s="29"/>
      <c r="KPF104" s="29"/>
      <c r="KPG104" s="29"/>
      <c r="KPH104" s="29"/>
      <c r="KPI104" s="29"/>
      <c r="KPJ104" s="29"/>
      <c r="KPK104" s="29"/>
      <c r="KPL104" s="29"/>
      <c r="KPM104" s="29"/>
      <c r="KPN104" s="29"/>
      <c r="KPO104" s="29"/>
      <c r="KPP104" s="29"/>
      <c r="KPQ104" s="29"/>
      <c r="KPR104" s="29"/>
      <c r="KPS104" s="29"/>
      <c r="KPT104" s="29"/>
      <c r="KPU104" s="29"/>
      <c r="KPV104" s="29"/>
      <c r="KPW104" s="29"/>
      <c r="KPX104" s="29"/>
      <c r="KPY104" s="29"/>
      <c r="KPZ104" s="29"/>
      <c r="KQA104" s="29"/>
      <c r="KQB104" s="29"/>
      <c r="KQC104" s="29"/>
      <c r="KQD104" s="29"/>
      <c r="KQE104" s="29"/>
      <c r="KQF104" s="29"/>
      <c r="KQG104" s="29"/>
      <c r="KQH104" s="29"/>
      <c r="KQI104" s="29"/>
      <c r="KQJ104" s="29"/>
      <c r="KQK104" s="29"/>
      <c r="KQL104" s="29"/>
      <c r="KQM104" s="29"/>
      <c r="KQN104" s="29"/>
      <c r="KQO104" s="29"/>
      <c r="KQP104" s="29"/>
      <c r="KQQ104" s="29"/>
      <c r="KQR104" s="29"/>
      <c r="KQS104" s="29"/>
      <c r="KQT104" s="29"/>
      <c r="KQU104" s="29"/>
      <c r="KQV104" s="29"/>
      <c r="KQW104" s="29"/>
      <c r="KQX104" s="29"/>
      <c r="KQY104" s="29"/>
      <c r="KQZ104" s="29"/>
      <c r="KRA104" s="29"/>
      <c r="KRB104" s="29"/>
      <c r="KRC104" s="29"/>
      <c r="KRD104" s="29"/>
      <c r="KRE104" s="29"/>
      <c r="KRF104" s="29"/>
      <c r="KRG104" s="29"/>
      <c r="KRH104" s="29"/>
      <c r="KRI104" s="29"/>
      <c r="KRJ104" s="29"/>
      <c r="KRK104" s="29"/>
      <c r="KRL104" s="29"/>
      <c r="KRM104" s="29"/>
      <c r="KRN104" s="29"/>
      <c r="KRO104" s="29"/>
      <c r="KRP104" s="29"/>
      <c r="KRQ104" s="29"/>
      <c r="KRR104" s="29"/>
      <c r="KRS104" s="29"/>
      <c r="KRT104" s="29"/>
      <c r="KRU104" s="29"/>
      <c r="KRV104" s="29"/>
      <c r="KRW104" s="29"/>
      <c r="KRX104" s="29"/>
      <c r="KRY104" s="29"/>
      <c r="KRZ104" s="29"/>
      <c r="KSA104" s="29"/>
      <c r="KSB104" s="29"/>
      <c r="KSC104" s="29"/>
      <c r="KSD104" s="29"/>
      <c r="KSE104" s="29"/>
      <c r="KSF104" s="29"/>
      <c r="KSG104" s="29"/>
      <c r="KSH104" s="29"/>
      <c r="KSI104" s="29"/>
      <c r="KSJ104" s="29"/>
      <c r="KSK104" s="29"/>
      <c r="KSL104" s="29"/>
      <c r="KSM104" s="29"/>
      <c r="KSN104" s="29"/>
      <c r="KSO104" s="29"/>
      <c r="KSP104" s="29"/>
      <c r="KSQ104" s="29"/>
      <c r="KSR104" s="29"/>
      <c r="KSS104" s="29"/>
      <c r="KST104" s="29"/>
      <c r="KSU104" s="29"/>
      <c r="KSV104" s="29"/>
      <c r="KSW104" s="29"/>
      <c r="KSX104" s="29"/>
      <c r="KSY104" s="29"/>
      <c r="KSZ104" s="29"/>
      <c r="KTA104" s="29"/>
      <c r="KTB104" s="29"/>
      <c r="KTC104" s="29"/>
      <c r="KTD104" s="29"/>
      <c r="KTE104" s="29"/>
      <c r="KTF104" s="29"/>
      <c r="KTG104" s="29"/>
      <c r="KTH104" s="29"/>
      <c r="KTI104" s="29"/>
      <c r="KTJ104" s="29"/>
      <c r="KTK104" s="29"/>
      <c r="KTL104" s="29"/>
      <c r="KTM104" s="29"/>
      <c r="KTN104" s="29"/>
      <c r="KTO104" s="29"/>
      <c r="KTP104" s="29"/>
      <c r="KTQ104" s="29"/>
      <c r="KTR104" s="29"/>
      <c r="KTS104" s="29"/>
      <c r="KTT104" s="29"/>
      <c r="KTU104" s="29"/>
      <c r="KTV104" s="29"/>
      <c r="KTW104" s="29"/>
      <c r="KTX104" s="29"/>
      <c r="KTY104" s="29"/>
      <c r="KTZ104" s="29"/>
      <c r="KUA104" s="29"/>
      <c r="KUB104" s="29"/>
      <c r="KUC104" s="29"/>
      <c r="KUD104" s="29"/>
      <c r="KUE104" s="29"/>
      <c r="KUF104" s="29"/>
      <c r="KUG104" s="29"/>
      <c r="KUH104" s="29"/>
      <c r="KUI104" s="29"/>
      <c r="KUJ104" s="29"/>
      <c r="KUK104" s="29"/>
      <c r="KUL104" s="29"/>
      <c r="KUM104" s="29"/>
      <c r="KUN104" s="29"/>
      <c r="KUO104" s="29"/>
      <c r="KUP104" s="29"/>
      <c r="KUQ104" s="29"/>
      <c r="KUR104" s="29"/>
      <c r="KUS104" s="29"/>
      <c r="KUT104" s="29"/>
      <c r="KUU104" s="29"/>
      <c r="KUV104" s="29"/>
      <c r="KUW104" s="29"/>
      <c r="KUX104" s="29"/>
      <c r="KUY104" s="29"/>
      <c r="KUZ104" s="29"/>
      <c r="KVA104" s="29"/>
      <c r="KVB104" s="29"/>
      <c r="KVC104" s="29"/>
      <c r="KVD104" s="29"/>
      <c r="KVE104" s="29"/>
      <c r="KVF104" s="29"/>
      <c r="KVG104" s="29"/>
      <c r="KVH104" s="29"/>
      <c r="KVI104" s="29"/>
      <c r="KVJ104" s="29"/>
      <c r="KVK104" s="29"/>
      <c r="KVL104" s="29"/>
      <c r="KVM104" s="29"/>
      <c r="KVN104" s="29"/>
      <c r="KVO104" s="29"/>
      <c r="KVP104" s="29"/>
      <c r="KVQ104" s="29"/>
      <c r="KVR104" s="29"/>
      <c r="KVS104" s="29"/>
      <c r="KVT104" s="29"/>
      <c r="KVU104" s="29"/>
      <c r="KVV104" s="29"/>
      <c r="KVW104" s="29"/>
      <c r="KVX104" s="29"/>
      <c r="KVY104" s="29"/>
      <c r="KVZ104" s="29"/>
      <c r="KWA104" s="29"/>
      <c r="KWB104" s="29"/>
      <c r="KWC104" s="29"/>
      <c r="KWD104" s="29"/>
      <c r="KWE104" s="29"/>
      <c r="KWF104" s="29"/>
      <c r="KWG104" s="29"/>
      <c r="KWH104" s="29"/>
      <c r="KWI104" s="29"/>
      <c r="KWJ104" s="29"/>
      <c r="KWK104" s="29"/>
      <c r="KWL104" s="29"/>
      <c r="KWM104" s="29"/>
      <c r="KWN104" s="29"/>
      <c r="KWO104" s="29"/>
      <c r="KWP104" s="29"/>
      <c r="KWQ104" s="29"/>
      <c r="KWR104" s="29"/>
      <c r="KWS104" s="29"/>
      <c r="KWT104" s="29"/>
      <c r="KWU104" s="29"/>
      <c r="KWV104" s="29"/>
      <c r="KWW104" s="29"/>
      <c r="KWX104" s="29"/>
      <c r="KWY104" s="29"/>
      <c r="KWZ104" s="29"/>
      <c r="KXA104" s="29"/>
      <c r="KXB104" s="29"/>
      <c r="KXC104" s="29"/>
      <c r="KXD104" s="29"/>
      <c r="KXE104" s="29"/>
      <c r="KXF104" s="29"/>
      <c r="KXG104" s="29"/>
      <c r="KXH104" s="29"/>
      <c r="KXI104" s="29"/>
      <c r="KXJ104" s="29"/>
      <c r="KXK104" s="29"/>
      <c r="KXL104" s="29"/>
      <c r="KXM104" s="29"/>
      <c r="KXN104" s="29"/>
      <c r="KXO104" s="29"/>
      <c r="KXP104" s="29"/>
      <c r="KXQ104" s="29"/>
      <c r="KXR104" s="29"/>
      <c r="KXS104" s="29"/>
      <c r="KXT104" s="29"/>
      <c r="KXU104" s="29"/>
      <c r="KXV104" s="29"/>
      <c r="KXW104" s="29"/>
      <c r="KXX104" s="29"/>
      <c r="KXY104" s="29"/>
      <c r="KXZ104" s="29"/>
      <c r="KYA104" s="29"/>
      <c r="KYB104" s="29"/>
      <c r="KYC104" s="29"/>
      <c r="KYD104" s="29"/>
      <c r="KYE104" s="29"/>
      <c r="KYF104" s="29"/>
      <c r="KYG104" s="29"/>
      <c r="KYH104" s="29"/>
      <c r="KYI104" s="29"/>
      <c r="KYJ104" s="29"/>
      <c r="KYK104" s="29"/>
      <c r="KYL104" s="29"/>
      <c r="KYM104" s="29"/>
      <c r="KYN104" s="29"/>
      <c r="KYO104" s="29"/>
      <c r="KYP104" s="29"/>
      <c r="KYQ104" s="29"/>
      <c r="KYR104" s="29"/>
      <c r="KYS104" s="29"/>
      <c r="KYT104" s="29"/>
      <c r="KYU104" s="29"/>
      <c r="KYV104" s="29"/>
      <c r="KYW104" s="29"/>
      <c r="KYX104" s="29"/>
      <c r="KYY104" s="29"/>
      <c r="KYZ104" s="29"/>
      <c r="KZA104" s="29"/>
      <c r="KZB104" s="29"/>
      <c r="KZC104" s="29"/>
      <c r="KZD104" s="29"/>
      <c r="KZE104" s="29"/>
      <c r="KZF104" s="29"/>
      <c r="KZG104" s="29"/>
      <c r="KZH104" s="29"/>
      <c r="KZI104" s="29"/>
      <c r="KZJ104" s="29"/>
      <c r="KZK104" s="29"/>
      <c r="KZL104" s="29"/>
      <c r="KZM104" s="29"/>
      <c r="KZN104" s="29"/>
      <c r="KZO104" s="29"/>
      <c r="KZP104" s="29"/>
      <c r="KZQ104" s="29"/>
      <c r="KZR104" s="29"/>
      <c r="KZS104" s="29"/>
      <c r="KZT104" s="29"/>
      <c r="KZU104" s="29"/>
      <c r="KZV104" s="29"/>
      <c r="KZW104" s="29"/>
      <c r="KZX104" s="29"/>
      <c r="KZY104" s="29"/>
      <c r="KZZ104" s="29"/>
      <c r="LAA104" s="29"/>
      <c r="LAB104" s="29"/>
      <c r="LAC104" s="29"/>
      <c r="LAD104" s="29"/>
      <c r="LAE104" s="29"/>
      <c r="LAF104" s="29"/>
      <c r="LAG104" s="29"/>
      <c r="LAH104" s="29"/>
      <c r="LAI104" s="29"/>
      <c r="LAJ104" s="29"/>
      <c r="LAK104" s="29"/>
      <c r="LAL104" s="29"/>
      <c r="LAM104" s="29"/>
      <c r="LAN104" s="29"/>
      <c r="LAO104" s="29"/>
      <c r="LAP104" s="29"/>
      <c r="LAQ104" s="29"/>
      <c r="LAR104" s="29"/>
      <c r="LAS104" s="29"/>
      <c r="LAT104" s="29"/>
      <c r="LAU104" s="29"/>
      <c r="LAV104" s="29"/>
      <c r="LAW104" s="29"/>
      <c r="LAX104" s="29"/>
      <c r="LAY104" s="29"/>
      <c r="LAZ104" s="29"/>
      <c r="LBA104" s="29"/>
      <c r="LBB104" s="29"/>
      <c r="LBC104" s="29"/>
      <c r="LBD104" s="29"/>
      <c r="LBE104" s="29"/>
      <c r="LBF104" s="29"/>
      <c r="LBG104" s="29"/>
      <c r="LBH104" s="29"/>
      <c r="LBI104" s="29"/>
      <c r="LBJ104" s="29"/>
      <c r="LBK104" s="29"/>
      <c r="LBL104" s="29"/>
      <c r="LBM104" s="29"/>
      <c r="LBN104" s="29"/>
      <c r="LBO104" s="29"/>
      <c r="LBP104" s="29"/>
      <c r="LBQ104" s="29"/>
      <c r="LBR104" s="29"/>
      <c r="LBS104" s="29"/>
      <c r="LBT104" s="29"/>
      <c r="LBU104" s="29"/>
      <c r="LBV104" s="29"/>
      <c r="LBW104" s="29"/>
      <c r="LBX104" s="29"/>
      <c r="LBY104" s="29"/>
      <c r="LBZ104" s="29"/>
      <c r="LCA104" s="29"/>
      <c r="LCB104" s="29"/>
      <c r="LCC104" s="29"/>
      <c r="LCD104" s="29"/>
      <c r="LCE104" s="29"/>
      <c r="LCF104" s="29"/>
      <c r="LCG104" s="29"/>
      <c r="LCH104" s="29"/>
      <c r="LCI104" s="29"/>
      <c r="LCJ104" s="29"/>
      <c r="LCK104" s="29"/>
      <c r="LCL104" s="29"/>
      <c r="LCM104" s="29"/>
      <c r="LCN104" s="29"/>
      <c r="LCO104" s="29"/>
      <c r="LCP104" s="29"/>
      <c r="LCQ104" s="29"/>
      <c r="LCR104" s="29"/>
      <c r="LCS104" s="29"/>
      <c r="LCT104" s="29"/>
      <c r="LCU104" s="29"/>
      <c r="LCV104" s="29"/>
      <c r="LCW104" s="29"/>
      <c r="LCX104" s="29"/>
      <c r="LCY104" s="29"/>
      <c r="LCZ104" s="29"/>
      <c r="LDA104" s="29"/>
      <c r="LDB104" s="29"/>
      <c r="LDC104" s="29"/>
      <c r="LDD104" s="29"/>
      <c r="LDE104" s="29"/>
      <c r="LDF104" s="29"/>
      <c r="LDG104" s="29"/>
      <c r="LDH104" s="29"/>
      <c r="LDI104" s="29"/>
      <c r="LDJ104" s="29"/>
      <c r="LDK104" s="29"/>
      <c r="LDL104" s="29"/>
      <c r="LDM104" s="29"/>
      <c r="LDN104" s="29"/>
      <c r="LDO104" s="29"/>
      <c r="LDP104" s="29"/>
      <c r="LDQ104" s="29"/>
      <c r="LDR104" s="29"/>
      <c r="LDS104" s="29"/>
      <c r="LDT104" s="29"/>
      <c r="LDU104" s="29"/>
      <c r="LDV104" s="29"/>
      <c r="LDW104" s="29"/>
      <c r="LDX104" s="29"/>
      <c r="LDY104" s="29"/>
      <c r="LDZ104" s="29"/>
      <c r="LEA104" s="29"/>
      <c r="LEB104" s="29"/>
      <c r="LEC104" s="29"/>
      <c r="LED104" s="29"/>
      <c r="LEE104" s="29"/>
      <c r="LEF104" s="29"/>
      <c r="LEG104" s="29"/>
      <c r="LEH104" s="29"/>
      <c r="LEI104" s="29"/>
      <c r="LEJ104" s="29"/>
      <c r="LEK104" s="29"/>
      <c r="LEL104" s="29"/>
      <c r="LEM104" s="29"/>
      <c r="LEN104" s="29"/>
      <c r="LEO104" s="29"/>
      <c r="LEP104" s="29"/>
      <c r="LEQ104" s="29"/>
      <c r="LER104" s="29"/>
      <c r="LES104" s="29"/>
      <c r="LET104" s="29"/>
      <c r="LEU104" s="29"/>
      <c r="LEV104" s="29"/>
      <c r="LEW104" s="29"/>
      <c r="LEX104" s="29"/>
      <c r="LEY104" s="29"/>
      <c r="LEZ104" s="29"/>
      <c r="LFA104" s="29"/>
      <c r="LFB104" s="29"/>
      <c r="LFC104" s="29"/>
      <c r="LFD104" s="29"/>
      <c r="LFE104" s="29"/>
      <c r="LFF104" s="29"/>
      <c r="LFG104" s="29"/>
      <c r="LFH104" s="29"/>
      <c r="LFI104" s="29"/>
      <c r="LFJ104" s="29"/>
      <c r="LFK104" s="29"/>
      <c r="LFL104" s="29"/>
      <c r="LFM104" s="29"/>
      <c r="LFN104" s="29"/>
      <c r="LFO104" s="29"/>
      <c r="LFP104" s="29"/>
      <c r="LFQ104" s="29"/>
      <c r="LFR104" s="29"/>
      <c r="LFS104" s="29"/>
      <c r="LFT104" s="29"/>
      <c r="LFU104" s="29"/>
      <c r="LFV104" s="29"/>
      <c r="LFW104" s="29"/>
      <c r="LFX104" s="29"/>
      <c r="LFY104" s="29"/>
      <c r="LFZ104" s="29"/>
      <c r="LGA104" s="29"/>
      <c r="LGB104" s="29"/>
      <c r="LGC104" s="29"/>
      <c r="LGD104" s="29"/>
      <c r="LGE104" s="29"/>
      <c r="LGF104" s="29"/>
      <c r="LGG104" s="29"/>
      <c r="LGH104" s="29"/>
      <c r="LGI104" s="29"/>
      <c r="LGJ104" s="29"/>
      <c r="LGK104" s="29"/>
      <c r="LGL104" s="29"/>
      <c r="LGM104" s="29"/>
      <c r="LGN104" s="29"/>
      <c r="LGO104" s="29"/>
      <c r="LGP104" s="29"/>
      <c r="LGQ104" s="29"/>
      <c r="LGR104" s="29"/>
      <c r="LGS104" s="29"/>
      <c r="LGT104" s="29"/>
      <c r="LGU104" s="29"/>
      <c r="LGV104" s="29"/>
      <c r="LGW104" s="29"/>
      <c r="LGX104" s="29"/>
      <c r="LGY104" s="29"/>
      <c r="LGZ104" s="29"/>
      <c r="LHA104" s="29"/>
      <c r="LHB104" s="29"/>
      <c r="LHC104" s="29"/>
      <c r="LHD104" s="29"/>
      <c r="LHE104" s="29"/>
      <c r="LHF104" s="29"/>
      <c r="LHG104" s="29"/>
      <c r="LHH104" s="29"/>
      <c r="LHI104" s="29"/>
      <c r="LHJ104" s="29"/>
      <c r="LHK104" s="29"/>
      <c r="LHL104" s="29"/>
      <c r="LHM104" s="29"/>
      <c r="LHN104" s="29"/>
      <c r="LHO104" s="29"/>
      <c r="LHP104" s="29"/>
      <c r="LHQ104" s="29"/>
      <c r="LHR104" s="29"/>
      <c r="LHS104" s="29"/>
      <c r="LHT104" s="29"/>
      <c r="LHU104" s="29"/>
      <c r="LHV104" s="29"/>
      <c r="LHW104" s="29"/>
      <c r="LHX104" s="29"/>
      <c r="LHY104" s="29"/>
      <c r="LHZ104" s="29"/>
      <c r="LIA104" s="29"/>
      <c r="LIB104" s="29"/>
      <c r="LIC104" s="29"/>
      <c r="LID104" s="29"/>
      <c r="LIE104" s="29"/>
      <c r="LIF104" s="29"/>
      <c r="LIG104" s="29"/>
      <c r="LIH104" s="29"/>
      <c r="LII104" s="29"/>
      <c r="LIJ104" s="29"/>
      <c r="LIK104" s="29"/>
      <c r="LIL104" s="29"/>
      <c r="LIM104" s="29"/>
      <c r="LIN104" s="29"/>
      <c r="LIO104" s="29"/>
      <c r="LIP104" s="29"/>
      <c r="LIQ104" s="29"/>
      <c r="LIR104" s="29"/>
      <c r="LIS104" s="29"/>
      <c r="LIT104" s="29"/>
      <c r="LIU104" s="29"/>
      <c r="LIV104" s="29"/>
      <c r="LIW104" s="29"/>
      <c r="LIX104" s="29"/>
      <c r="LIY104" s="29"/>
      <c r="LIZ104" s="29"/>
      <c r="LJA104" s="29"/>
      <c r="LJB104" s="29"/>
      <c r="LJC104" s="29"/>
      <c r="LJD104" s="29"/>
      <c r="LJE104" s="29"/>
      <c r="LJF104" s="29"/>
      <c r="LJG104" s="29"/>
      <c r="LJH104" s="29"/>
      <c r="LJI104" s="29"/>
      <c r="LJJ104" s="29"/>
      <c r="LJK104" s="29"/>
      <c r="LJL104" s="29"/>
      <c r="LJM104" s="29"/>
      <c r="LJN104" s="29"/>
      <c r="LJO104" s="29"/>
      <c r="LJP104" s="29"/>
      <c r="LJQ104" s="29"/>
      <c r="LJR104" s="29"/>
      <c r="LJS104" s="29"/>
      <c r="LJT104" s="29"/>
      <c r="LJU104" s="29"/>
      <c r="LJV104" s="29"/>
      <c r="LJW104" s="29"/>
      <c r="LJX104" s="29"/>
      <c r="LJY104" s="29"/>
      <c r="LJZ104" s="29"/>
      <c r="LKA104" s="29"/>
      <c r="LKB104" s="29"/>
      <c r="LKC104" s="29"/>
      <c r="LKD104" s="29"/>
      <c r="LKE104" s="29"/>
      <c r="LKF104" s="29"/>
      <c r="LKG104" s="29"/>
      <c r="LKH104" s="29"/>
      <c r="LKI104" s="29"/>
      <c r="LKJ104" s="29"/>
      <c r="LKK104" s="29"/>
      <c r="LKL104" s="29"/>
      <c r="LKM104" s="29"/>
      <c r="LKN104" s="29"/>
      <c r="LKO104" s="29"/>
      <c r="LKP104" s="29"/>
      <c r="LKQ104" s="29"/>
      <c r="LKR104" s="29"/>
      <c r="LKS104" s="29"/>
      <c r="LKT104" s="29"/>
      <c r="LKU104" s="29"/>
      <c r="LKV104" s="29"/>
      <c r="LKW104" s="29"/>
      <c r="LKX104" s="29"/>
      <c r="LKY104" s="29"/>
      <c r="LKZ104" s="29"/>
      <c r="LLA104" s="29"/>
      <c r="LLB104" s="29"/>
      <c r="LLC104" s="29"/>
      <c r="LLD104" s="29"/>
      <c r="LLE104" s="29"/>
      <c r="LLF104" s="29"/>
      <c r="LLG104" s="29"/>
      <c r="LLH104" s="29"/>
      <c r="LLI104" s="29"/>
      <c r="LLJ104" s="29"/>
      <c r="LLK104" s="29"/>
      <c r="LLL104" s="29"/>
      <c r="LLM104" s="29"/>
      <c r="LLN104" s="29"/>
      <c r="LLO104" s="29"/>
      <c r="LLP104" s="29"/>
      <c r="LLQ104" s="29"/>
      <c r="LLR104" s="29"/>
      <c r="LLS104" s="29"/>
      <c r="LLT104" s="29"/>
      <c r="LLU104" s="29"/>
      <c r="LLV104" s="29"/>
      <c r="LLW104" s="29"/>
      <c r="LLX104" s="29"/>
      <c r="LLY104" s="29"/>
      <c r="LLZ104" s="29"/>
      <c r="LMA104" s="29"/>
      <c r="LMB104" s="29"/>
      <c r="LMC104" s="29"/>
      <c r="LMD104" s="29"/>
      <c r="LME104" s="29"/>
      <c r="LMF104" s="29"/>
      <c r="LMG104" s="29"/>
      <c r="LMH104" s="29"/>
      <c r="LMI104" s="29"/>
      <c r="LMJ104" s="29"/>
      <c r="LMK104" s="29"/>
      <c r="LML104" s="29"/>
      <c r="LMM104" s="29"/>
      <c r="LMN104" s="29"/>
      <c r="LMO104" s="29"/>
      <c r="LMP104" s="29"/>
      <c r="LMQ104" s="29"/>
      <c r="LMR104" s="29"/>
      <c r="LMS104" s="29"/>
      <c r="LMT104" s="29"/>
      <c r="LMU104" s="29"/>
      <c r="LMV104" s="29"/>
      <c r="LMW104" s="29"/>
      <c r="LMX104" s="29"/>
      <c r="LMY104" s="29"/>
      <c r="LMZ104" s="29"/>
      <c r="LNA104" s="29"/>
      <c r="LNB104" s="29"/>
      <c r="LNC104" s="29"/>
      <c r="LND104" s="29"/>
      <c r="LNE104" s="29"/>
      <c r="LNF104" s="29"/>
      <c r="LNG104" s="29"/>
      <c r="LNH104" s="29"/>
      <c r="LNI104" s="29"/>
      <c r="LNJ104" s="29"/>
      <c r="LNK104" s="29"/>
      <c r="LNL104" s="29"/>
      <c r="LNM104" s="29"/>
      <c r="LNN104" s="29"/>
      <c r="LNO104" s="29"/>
      <c r="LNP104" s="29"/>
      <c r="LNQ104" s="29"/>
      <c r="LNR104" s="29"/>
      <c r="LNS104" s="29"/>
      <c r="LNT104" s="29"/>
      <c r="LNU104" s="29"/>
      <c r="LNV104" s="29"/>
      <c r="LNW104" s="29"/>
      <c r="LNX104" s="29"/>
      <c r="LNY104" s="29"/>
      <c r="LNZ104" s="29"/>
      <c r="LOA104" s="29"/>
      <c r="LOB104" s="29"/>
      <c r="LOC104" s="29"/>
      <c r="LOD104" s="29"/>
      <c r="LOE104" s="29"/>
      <c r="LOF104" s="29"/>
      <c r="LOG104" s="29"/>
      <c r="LOH104" s="29"/>
      <c r="LOI104" s="29"/>
      <c r="LOJ104" s="29"/>
      <c r="LOK104" s="29"/>
      <c r="LOL104" s="29"/>
      <c r="LOM104" s="29"/>
      <c r="LON104" s="29"/>
      <c r="LOO104" s="29"/>
      <c r="LOP104" s="29"/>
      <c r="LOQ104" s="29"/>
      <c r="LOR104" s="29"/>
      <c r="LOS104" s="29"/>
      <c r="LOT104" s="29"/>
      <c r="LOU104" s="29"/>
      <c r="LOV104" s="29"/>
      <c r="LOW104" s="29"/>
      <c r="LOX104" s="29"/>
      <c r="LOY104" s="29"/>
      <c r="LOZ104" s="29"/>
      <c r="LPA104" s="29"/>
      <c r="LPB104" s="29"/>
      <c r="LPC104" s="29"/>
      <c r="LPD104" s="29"/>
      <c r="LPE104" s="29"/>
      <c r="LPF104" s="29"/>
      <c r="LPG104" s="29"/>
      <c r="LPH104" s="29"/>
      <c r="LPI104" s="29"/>
      <c r="LPJ104" s="29"/>
      <c r="LPK104" s="29"/>
      <c r="LPL104" s="29"/>
      <c r="LPM104" s="29"/>
      <c r="LPN104" s="29"/>
      <c r="LPO104" s="29"/>
      <c r="LPP104" s="29"/>
      <c r="LPQ104" s="29"/>
      <c r="LPR104" s="29"/>
      <c r="LPS104" s="29"/>
      <c r="LPT104" s="29"/>
      <c r="LPU104" s="29"/>
      <c r="LPV104" s="29"/>
      <c r="LPW104" s="29"/>
      <c r="LPX104" s="29"/>
      <c r="LPY104" s="29"/>
      <c r="LPZ104" s="29"/>
      <c r="LQA104" s="29"/>
      <c r="LQB104" s="29"/>
      <c r="LQC104" s="29"/>
      <c r="LQD104" s="29"/>
      <c r="LQE104" s="29"/>
      <c r="LQF104" s="29"/>
      <c r="LQG104" s="29"/>
      <c r="LQH104" s="29"/>
      <c r="LQI104" s="29"/>
      <c r="LQJ104" s="29"/>
      <c r="LQK104" s="29"/>
      <c r="LQL104" s="29"/>
      <c r="LQM104" s="29"/>
      <c r="LQN104" s="29"/>
      <c r="LQO104" s="29"/>
      <c r="LQP104" s="29"/>
      <c r="LQQ104" s="29"/>
      <c r="LQR104" s="29"/>
      <c r="LQS104" s="29"/>
      <c r="LQT104" s="29"/>
      <c r="LQU104" s="29"/>
      <c r="LQV104" s="29"/>
      <c r="LQW104" s="29"/>
      <c r="LQX104" s="29"/>
      <c r="LQY104" s="29"/>
      <c r="LQZ104" s="29"/>
      <c r="LRA104" s="29"/>
      <c r="LRB104" s="29"/>
      <c r="LRC104" s="29"/>
      <c r="LRD104" s="29"/>
      <c r="LRE104" s="29"/>
      <c r="LRF104" s="29"/>
      <c r="LRG104" s="29"/>
      <c r="LRH104" s="29"/>
      <c r="LRI104" s="29"/>
      <c r="LRJ104" s="29"/>
      <c r="LRK104" s="29"/>
      <c r="LRL104" s="29"/>
      <c r="LRM104" s="29"/>
      <c r="LRN104" s="29"/>
      <c r="LRO104" s="29"/>
      <c r="LRP104" s="29"/>
      <c r="LRQ104" s="29"/>
      <c r="LRR104" s="29"/>
      <c r="LRS104" s="29"/>
      <c r="LRT104" s="29"/>
      <c r="LRU104" s="29"/>
      <c r="LRV104" s="29"/>
      <c r="LRW104" s="29"/>
      <c r="LRX104" s="29"/>
      <c r="LRY104" s="29"/>
      <c r="LRZ104" s="29"/>
      <c r="LSA104" s="29"/>
      <c r="LSB104" s="29"/>
      <c r="LSC104" s="29"/>
      <c r="LSD104" s="29"/>
      <c r="LSE104" s="29"/>
      <c r="LSF104" s="29"/>
      <c r="LSG104" s="29"/>
      <c r="LSH104" s="29"/>
      <c r="LSI104" s="29"/>
      <c r="LSJ104" s="29"/>
      <c r="LSK104" s="29"/>
      <c r="LSL104" s="29"/>
      <c r="LSM104" s="29"/>
      <c r="LSN104" s="29"/>
      <c r="LSO104" s="29"/>
      <c r="LSP104" s="29"/>
      <c r="LSQ104" s="29"/>
      <c r="LSR104" s="29"/>
      <c r="LSS104" s="29"/>
      <c r="LST104" s="29"/>
      <c r="LSU104" s="29"/>
      <c r="LSV104" s="29"/>
      <c r="LSW104" s="29"/>
      <c r="LSX104" s="29"/>
      <c r="LSY104" s="29"/>
      <c r="LSZ104" s="29"/>
      <c r="LTA104" s="29"/>
      <c r="LTB104" s="29"/>
      <c r="LTC104" s="29"/>
      <c r="LTD104" s="29"/>
      <c r="LTE104" s="29"/>
      <c r="LTF104" s="29"/>
      <c r="LTG104" s="29"/>
      <c r="LTH104" s="29"/>
      <c r="LTI104" s="29"/>
      <c r="LTJ104" s="29"/>
      <c r="LTK104" s="29"/>
      <c r="LTL104" s="29"/>
      <c r="LTM104" s="29"/>
      <c r="LTN104" s="29"/>
      <c r="LTO104" s="29"/>
      <c r="LTP104" s="29"/>
      <c r="LTQ104" s="29"/>
      <c r="LTR104" s="29"/>
      <c r="LTS104" s="29"/>
      <c r="LTT104" s="29"/>
      <c r="LTU104" s="29"/>
      <c r="LTV104" s="29"/>
      <c r="LTW104" s="29"/>
      <c r="LTX104" s="29"/>
      <c r="LTY104" s="29"/>
      <c r="LTZ104" s="29"/>
      <c r="LUA104" s="29"/>
      <c r="LUB104" s="29"/>
      <c r="LUC104" s="29"/>
      <c r="LUD104" s="29"/>
      <c r="LUE104" s="29"/>
      <c r="LUF104" s="29"/>
      <c r="LUG104" s="29"/>
      <c r="LUH104" s="29"/>
      <c r="LUI104" s="29"/>
      <c r="LUJ104" s="29"/>
      <c r="LUK104" s="29"/>
      <c r="LUL104" s="29"/>
      <c r="LUM104" s="29"/>
      <c r="LUN104" s="29"/>
      <c r="LUO104" s="29"/>
      <c r="LUP104" s="29"/>
      <c r="LUQ104" s="29"/>
      <c r="LUR104" s="29"/>
      <c r="LUS104" s="29"/>
      <c r="LUT104" s="29"/>
      <c r="LUU104" s="29"/>
      <c r="LUV104" s="29"/>
      <c r="LUW104" s="29"/>
      <c r="LUX104" s="29"/>
      <c r="LUY104" s="29"/>
      <c r="LUZ104" s="29"/>
      <c r="LVA104" s="29"/>
      <c r="LVB104" s="29"/>
      <c r="LVC104" s="29"/>
      <c r="LVD104" s="29"/>
      <c r="LVE104" s="29"/>
      <c r="LVF104" s="29"/>
      <c r="LVG104" s="29"/>
      <c r="LVH104" s="29"/>
      <c r="LVI104" s="29"/>
      <c r="LVJ104" s="29"/>
      <c r="LVK104" s="29"/>
      <c r="LVL104" s="29"/>
      <c r="LVM104" s="29"/>
      <c r="LVN104" s="29"/>
      <c r="LVO104" s="29"/>
      <c r="LVP104" s="29"/>
      <c r="LVQ104" s="29"/>
      <c r="LVR104" s="29"/>
      <c r="LVS104" s="29"/>
      <c r="LVT104" s="29"/>
      <c r="LVU104" s="29"/>
      <c r="LVV104" s="29"/>
      <c r="LVW104" s="29"/>
      <c r="LVX104" s="29"/>
      <c r="LVY104" s="29"/>
      <c r="LVZ104" s="29"/>
      <c r="LWA104" s="29"/>
      <c r="LWB104" s="29"/>
      <c r="LWC104" s="29"/>
      <c r="LWD104" s="29"/>
      <c r="LWE104" s="29"/>
      <c r="LWF104" s="29"/>
      <c r="LWG104" s="29"/>
      <c r="LWH104" s="29"/>
      <c r="LWI104" s="29"/>
      <c r="LWJ104" s="29"/>
      <c r="LWK104" s="29"/>
      <c r="LWL104" s="29"/>
      <c r="LWM104" s="29"/>
      <c r="LWN104" s="29"/>
      <c r="LWO104" s="29"/>
      <c r="LWP104" s="29"/>
      <c r="LWQ104" s="29"/>
      <c r="LWR104" s="29"/>
      <c r="LWS104" s="29"/>
      <c r="LWT104" s="29"/>
      <c r="LWU104" s="29"/>
      <c r="LWV104" s="29"/>
      <c r="LWW104" s="29"/>
      <c r="LWX104" s="29"/>
      <c r="LWY104" s="29"/>
      <c r="LWZ104" s="29"/>
      <c r="LXA104" s="29"/>
      <c r="LXB104" s="29"/>
      <c r="LXC104" s="29"/>
      <c r="LXD104" s="29"/>
      <c r="LXE104" s="29"/>
      <c r="LXF104" s="29"/>
      <c r="LXG104" s="29"/>
      <c r="LXH104" s="29"/>
      <c r="LXI104" s="29"/>
      <c r="LXJ104" s="29"/>
      <c r="LXK104" s="29"/>
      <c r="LXL104" s="29"/>
      <c r="LXM104" s="29"/>
      <c r="LXN104" s="29"/>
      <c r="LXO104" s="29"/>
      <c r="LXP104" s="29"/>
      <c r="LXQ104" s="29"/>
      <c r="LXR104" s="29"/>
      <c r="LXS104" s="29"/>
      <c r="LXT104" s="29"/>
      <c r="LXU104" s="29"/>
      <c r="LXV104" s="29"/>
      <c r="LXW104" s="29"/>
      <c r="LXX104" s="29"/>
      <c r="LXY104" s="29"/>
      <c r="LXZ104" s="29"/>
      <c r="LYA104" s="29"/>
      <c r="LYB104" s="29"/>
      <c r="LYC104" s="29"/>
      <c r="LYD104" s="29"/>
      <c r="LYE104" s="29"/>
      <c r="LYF104" s="29"/>
      <c r="LYG104" s="29"/>
      <c r="LYH104" s="29"/>
      <c r="LYI104" s="29"/>
      <c r="LYJ104" s="29"/>
      <c r="LYK104" s="29"/>
      <c r="LYL104" s="29"/>
      <c r="LYM104" s="29"/>
      <c r="LYN104" s="29"/>
      <c r="LYO104" s="29"/>
      <c r="LYP104" s="29"/>
      <c r="LYQ104" s="29"/>
      <c r="LYR104" s="29"/>
      <c r="LYS104" s="29"/>
      <c r="LYT104" s="29"/>
      <c r="LYU104" s="29"/>
      <c r="LYV104" s="29"/>
      <c r="LYW104" s="29"/>
      <c r="LYX104" s="29"/>
      <c r="LYY104" s="29"/>
      <c r="LYZ104" s="29"/>
      <c r="LZA104" s="29"/>
      <c r="LZB104" s="29"/>
      <c r="LZC104" s="29"/>
      <c r="LZD104" s="29"/>
      <c r="LZE104" s="29"/>
      <c r="LZF104" s="29"/>
      <c r="LZG104" s="29"/>
      <c r="LZH104" s="29"/>
      <c r="LZI104" s="29"/>
      <c r="LZJ104" s="29"/>
      <c r="LZK104" s="29"/>
      <c r="LZL104" s="29"/>
      <c r="LZM104" s="29"/>
      <c r="LZN104" s="29"/>
      <c r="LZO104" s="29"/>
      <c r="LZP104" s="29"/>
      <c r="LZQ104" s="29"/>
      <c r="LZR104" s="29"/>
      <c r="LZS104" s="29"/>
      <c r="LZT104" s="29"/>
      <c r="LZU104" s="29"/>
      <c r="LZV104" s="29"/>
      <c r="LZW104" s="29"/>
      <c r="LZX104" s="29"/>
      <c r="LZY104" s="29"/>
      <c r="LZZ104" s="29"/>
      <c r="MAA104" s="29"/>
      <c r="MAB104" s="29"/>
      <c r="MAC104" s="29"/>
      <c r="MAD104" s="29"/>
      <c r="MAE104" s="29"/>
      <c r="MAF104" s="29"/>
      <c r="MAG104" s="29"/>
      <c r="MAH104" s="29"/>
      <c r="MAI104" s="29"/>
      <c r="MAJ104" s="29"/>
      <c r="MAK104" s="29"/>
      <c r="MAL104" s="29"/>
      <c r="MAM104" s="29"/>
      <c r="MAN104" s="29"/>
      <c r="MAO104" s="29"/>
      <c r="MAP104" s="29"/>
      <c r="MAQ104" s="29"/>
      <c r="MAR104" s="29"/>
      <c r="MAS104" s="29"/>
      <c r="MAT104" s="29"/>
      <c r="MAU104" s="29"/>
      <c r="MAV104" s="29"/>
      <c r="MAW104" s="29"/>
      <c r="MAX104" s="29"/>
      <c r="MAY104" s="29"/>
      <c r="MAZ104" s="29"/>
      <c r="MBA104" s="29"/>
      <c r="MBB104" s="29"/>
      <c r="MBC104" s="29"/>
      <c r="MBD104" s="29"/>
      <c r="MBE104" s="29"/>
      <c r="MBF104" s="29"/>
      <c r="MBG104" s="29"/>
      <c r="MBH104" s="29"/>
      <c r="MBI104" s="29"/>
      <c r="MBJ104" s="29"/>
      <c r="MBK104" s="29"/>
      <c r="MBL104" s="29"/>
      <c r="MBM104" s="29"/>
      <c r="MBN104" s="29"/>
      <c r="MBO104" s="29"/>
      <c r="MBP104" s="29"/>
      <c r="MBQ104" s="29"/>
      <c r="MBR104" s="29"/>
      <c r="MBS104" s="29"/>
      <c r="MBT104" s="29"/>
      <c r="MBU104" s="29"/>
      <c r="MBV104" s="29"/>
      <c r="MBW104" s="29"/>
      <c r="MBX104" s="29"/>
      <c r="MBY104" s="29"/>
      <c r="MBZ104" s="29"/>
      <c r="MCA104" s="29"/>
      <c r="MCB104" s="29"/>
      <c r="MCC104" s="29"/>
      <c r="MCD104" s="29"/>
      <c r="MCE104" s="29"/>
      <c r="MCF104" s="29"/>
      <c r="MCG104" s="29"/>
      <c r="MCH104" s="29"/>
      <c r="MCI104" s="29"/>
      <c r="MCJ104" s="29"/>
      <c r="MCK104" s="29"/>
      <c r="MCL104" s="29"/>
      <c r="MCM104" s="29"/>
      <c r="MCN104" s="29"/>
      <c r="MCO104" s="29"/>
      <c r="MCP104" s="29"/>
      <c r="MCQ104" s="29"/>
      <c r="MCR104" s="29"/>
      <c r="MCS104" s="29"/>
      <c r="MCT104" s="29"/>
      <c r="MCU104" s="29"/>
      <c r="MCV104" s="29"/>
      <c r="MCW104" s="29"/>
      <c r="MCX104" s="29"/>
      <c r="MCY104" s="29"/>
      <c r="MCZ104" s="29"/>
      <c r="MDA104" s="29"/>
      <c r="MDB104" s="29"/>
      <c r="MDC104" s="29"/>
      <c r="MDD104" s="29"/>
      <c r="MDE104" s="29"/>
      <c r="MDF104" s="29"/>
      <c r="MDG104" s="29"/>
      <c r="MDH104" s="29"/>
      <c r="MDI104" s="29"/>
      <c r="MDJ104" s="29"/>
      <c r="MDK104" s="29"/>
      <c r="MDL104" s="29"/>
      <c r="MDM104" s="29"/>
      <c r="MDN104" s="29"/>
      <c r="MDO104" s="29"/>
      <c r="MDP104" s="29"/>
      <c r="MDQ104" s="29"/>
      <c r="MDR104" s="29"/>
      <c r="MDS104" s="29"/>
      <c r="MDT104" s="29"/>
      <c r="MDU104" s="29"/>
      <c r="MDV104" s="29"/>
      <c r="MDW104" s="29"/>
      <c r="MDX104" s="29"/>
      <c r="MDY104" s="29"/>
      <c r="MDZ104" s="29"/>
      <c r="MEA104" s="29"/>
      <c r="MEB104" s="29"/>
      <c r="MEC104" s="29"/>
      <c r="MED104" s="29"/>
      <c r="MEE104" s="29"/>
      <c r="MEF104" s="29"/>
      <c r="MEG104" s="29"/>
      <c r="MEH104" s="29"/>
      <c r="MEI104" s="29"/>
      <c r="MEJ104" s="29"/>
      <c r="MEK104" s="29"/>
      <c r="MEL104" s="29"/>
      <c r="MEM104" s="29"/>
      <c r="MEN104" s="29"/>
      <c r="MEO104" s="29"/>
      <c r="MEP104" s="29"/>
      <c r="MEQ104" s="29"/>
      <c r="MER104" s="29"/>
      <c r="MES104" s="29"/>
      <c r="MET104" s="29"/>
      <c r="MEU104" s="29"/>
      <c r="MEV104" s="29"/>
      <c r="MEW104" s="29"/>
      <c r="MEX104" s="29"/>
      <c r="MEY104" s="29"/>
      <c r="MEZ104" s="29"/>
      <c r="MFA104" s="29"/>
      <c r="MFB104" s="29"/>
      <c r="MFC104" s="29"/>
      <c r="MFD104" s="29"/>
      <c r="MFE104" s="29"/>
      <c r="MFF104" s="29"/>
      <c r="MFG104" s="29"/>
      <c r="MFH104" s="29"/>
      <c r="MFI104" s="29"/>
      <c r="MFJ104" s="29"/>
      <c r="MFK104" s="29"/>
      <c r="MFL104" s="29"/>
      <c r="MFM104" s="29"/>
      <c r="MFN104" s="29"/>
      <c r="MFO104" s="29"/>
      <c r="MFP104" s="29"/>
      <c r="MFQ104" s="29"/>
      <c r="MFR104" s="29"/>
      <c r="MFS104" s="29"/>
      <c r="MFT104" s="29"/>
      <c r="MFU104" s="29"/>
      <c r="MFV104" s="29"/>
      <c r="MFW104" s="29"/>
      <c r="MFX104" s="29"/>
      <c r="MFY104" s="29"/>
      <c r="MFZ104" s="29"/>
      <c r="MGA104" s="29"/>
      <c r="MGB104" s="29"/>
      <c r="MGC104" s="29"/>
      <c r="MGD104" s="29"/>
      <c r="MGE104" s="29"/>
      <c r="MGF104" s="29"/>
      <c r="MGG104" s="29"/>
      <c r="MGH104" s="29"/>
      <c r="MGI104" s="29"/>
      <c r="MGJ104" s="29"/>
      <c r="MGK104" s="29"/>
      <c r="MGL104" s="29"/>
      <c r="MGM104" s="29"/>
      <c r="MGN104" s="29"/>
      <c r="MGO104" s="29"/>
      <c r="MGP104" s="29"/>
      <c r="MGQ104" s="29"/>
      <c r="MGR104" s="29"/>
      <c r="MGS104" s="29"/>
      <c r="MGT104" s="29"/>
      <c r="MGU104" s="29"/>
      <c r="MGV104" s="29"/>
      <c r="MGW104" s="29"/>
      <c r="MGX104" s="29"/>
      <c r="MGY104" s="29"/>
      <c r="MGZ104" s="29"/>
      <c r="MHA104" s="29"/>
      <c r="MHB104" s="29"/>
      <c r="MHC104" s="29"/>
      <c r="MHD104" s="29"/>
      <c r="MHE104" s="29"/>
      <c r="MHF104" s="29"/>
      <c r="MHG104" s="29"/>
      <c r="MHH104" s="29"/>
      <c r="MHI104" s="29"/>
      <c r="MHJ104" s="29"/>
      <c r="MHK104" s="29"/>
      <c r="MHL104" s="29"/>
      <c r="MHM104" s="29"/>
      <c r="MHN104" s="29"/>
      <c r="MHO104" s="29"/>
      <c r="MHP104" s="29"/>
      <c r="MHQ104" s="29"/>
      <c r="MHR104" s="29"/>
      <c r="MHS104" s="29"/>
      <c r="MHT104" s="29"/>
      <c r="MHU104" s="29"/>
      <c r="MHV104" s="29"/>
      <c r="MHW104" s="29"/>
      <c r="MHX104" s="29"/>
      <c r="MHY104" s="29"/>
      <c r="MHZ104" s="29"/>
      <c r="MIA104" s="29"/>
      <c r="MIB104" s="29"/>
      <c r="MIC104" s="29"/>
      <c r="MID104" s="29"/>
      <c r="MIE104" s="29"/>
      <c r="MIF104" s="29"/>
      <c r="MIG104" s="29"/>
      <c r="MIH104" s="29"/>
      <c r="MII104" s="29"/>
      <c r="MIJ104" s="29"/>
      <c r="MIK104" s="29"/>
      <c r="MIL104" s="29"/>
      <c r="MIM104" s="29"/>
      <c r="MIN104" s="29"/>
      <c r="MIO104" s="29"/>
      <c r="MIP104" s="29"/>
      <c r="MIQ104" s="29"/>
      <c r="MIR104" s="29"/>
      <c r="MIS104" s="29"/>
      <c r="MIT104" s="29"/>
      <c r="MIU104" s="29"/>
      <c r="MIV104" s="29"/>
      <c r="MIW104" s="29"/>
      <c r="MIX104" s="29"/>
      <c r="MIY104" s="29"/>
      <c r="MIZ104" s="29"/>
      <c r="MJA104" s="29"/>
      <c r="MJB104" s="29"/>
      <c r="MJC104" s="29"/>
      <c r="MJD104" s="29"/>
      <c r="MJE104" s="29"/>
      <c r="MJF104" s="29"/>
      <c r="MJG104" s="29"/>
      <c r="MJH104" s="29"/>
      <c r="MJI104" s="29"/>
      <c r="MJJ104" s="29"/>
      <c r="MJK104" s="29"/>
      <c r="MJL104" s="29"/>
      <c r="MJM104" s="29"/>
      <c r="MJN104" s="29"/>
      <c r="MJO104" s="29"/>
      <c r="MJP104" s="29"/>
      <c r="MJQ104" s="29"/>
      <c r="MJR104" s="29"/>
      <c r="MJS104" s="29"/>
      <c r="MJT104" s="29"/>
      <c r="MJU104" s="29"/>
      <c r="MJV104" s="29"/>
      <c r="MJW104" s="29"/>
      <c r="MJX104" s="29"/>
      <c r="MJY104" s="29"/>
      <c r="MJZ104" s="29"/>
      <c r="MKA104" s="29"/>
      <c r="MKB104" s="29"/>
      <c r="MKC104" s="29"/>
      <c r="MKD104" s="29"/>
      <c r="MKE104" s="29"/>
      <c r="MKF104" s="29"/>
      <c r="MKG104" s="29"/>
      <c r="MKH104" s="29"/>
      <c r="MKI104" s="29"/>
      <c r="MKJ104" s="29"/>
      <c r="MKK104" s="29"/>
      <c r="MKL104" s="29"/>
      <c r="MKM104" s="29"/>
      <c r="MKN104" s="29"/>
      <c r="MKO104" s="29"/>
      <c r="MKP104" s="29"/>
      <c r="MKQ104" s="29"/>
      <c r="MKR104" s="29"/>
      <c r="MKS104" s="29"/>
      <c r="MKT104" s="29"/>
      <c r="MKU104" s="29"/>
      <c r="MKV104" s="29"/>
      <c r="MKW104" s="29"/>
      <c r="MKX104" s="29"/>
      <c r="MKY104" s="29"/>
      <c r="MKZ104" s="29"/>
      <c r="MLA104" s="29"/>
      <c r="MLB104" s="29"/>
      <c r="MLC104" s="29"/>
      <c r="MLD104" s="29"/>
      <c r="MLE104" s="29"/>
      <c r="MLF104" s="29"/>
      <c r="MLG104" s="29"/>
      <c r="MLH104" s="29"/>
      <c r="MLI104" s="29"/>
      <c r="MLJ104" s="29"/>
      <c r="MLK104" s="29"/>
      <c r="MLL104" s="29"/>
      <c r="MLM104" s="29"/>
      <c r="MLN104" s="29"/>
      <c r="MLO104" s="29"/>
      <c r="MLP104" s="29"/>
      <c r="MLQ104" s="29"/>
      <c r="MLR104" s="29"/>
      <c r="MLS104" s="29"/>
      <c r="MLT104" s="29"/>
      <c r="MLU104" s="29"/>
      <c r="MLV104" s="29"/>
      <c r="MLW104" s="29"/>
      <c r="MLX104" s="29"/>
      <c r="MLY104" s="29"/>
      <c r="MLZ104" s="29"/>
      <c r="MMA104" s="29"/>
      <c r="MMB104" s="29"/>
      <c r="MMC104" s="29"/>
      <c r="MMD104" s="29"/>
      <c r="MME104" s="29"/>
      <c r="MMF104" s="29"/>
      <c r="MMG104" s="29"/>
      <c r="MMH104" s="29"/>
      <c r="MMI104" s="29"/>
      <c r="MMJ104" s="29"/>
      <c r="MMK104" s="29"/>
      <c r="MML104" s="29"/>
      <c r="MMM104" s="29"/>
      <c r="MMN104" s="29"/>
      <c r="MMO104" s="29"/>
      <c r="MMP104" s="29"/>
      <c r="MMQ104" s="29"/>
      <c r="MMR104" s="29"/>
      <c r="MMS104" s="29"/>
      <c r="MMT104" s="29"/>
      <c r="MMU104" s="29"/>
      <c r="MMV104" s="29"/>
      <c r="MMW104" s="29"/>
      <c r="MMX104" s="29"/>
      <c r="MMY104" s="29"/>
      <c r="MMZ104" s="29"/>
      <c r="MNA104" s="29"/>
      <c r="MNB104" s="29"/>
      <c r="MNC104" s="29"/>
      <c r="MND104" s="29"/>
      <c r="MNE104" s="29"/>
      <c r="MNF104" s="29"/>
      <c r="MNG104" s="29"/>
      <c r="MNH104" s="29"/>
      <c r="MNI104" s="29"/>
      <c r="MNJ104" s="29"/>
      <c r="MNK104" s="29"/>
      <c r="MNL104" s="29"/>
      <c r="MNM104" s="29"/>
      <c r="MNN104" s="29"/>
      <c r="MNO104" s="29"/>
      <c r="MNP104" s="29"/>
      <c r="MNQ104" s="29"/>
      <c r="MNR104" s="29"/>
      <c r="MNS104" s="29"/>
      <c r="MNT104" s="29"/>
      <c r="MNU104" s="29"/>
      <c r="MNV104" s="29"/>
      <c r="MNW104" s="29"/>
      <c r="MNX104" s="29"/>
      <c r="MNY104" s="29"/>
      <c r="MNZ104" s="29"/>
      <c r="MOA104" s="29"/>
      <c r="MOB104" s="29"/>
      <c r="MOC104" s="29"/>
      <c r="MOD104" s="29"/>
      <c r="MOE104" s="29"/>
      <c r="MOF104" s="29"/>
      <c r="MOG104" s="29"/>
      <c r="MOH104" s="29"/>
      <c r="MOI104" s="29"/>
      <c r="MOJ104" s="29"/>
      <c r="MOK104" s="29"/>
      <c r="MOL104" s="29"/>
      <c r="MOM104" s="29"/>
      <c r="MON104" s="29"/>
      <c r="MOO104" s="29"/>
      <c r="MOP104" s="29"/>
      <c r="MOQ104" s="29"/>
      <c r="MOR104" s="29"/>
      <c r="MOS104" s="29"/>
      <c r="MOT104" s="29"/>
      <c r="MOU104" s="29"/>
      <c r="MOV104" s="29"/>
      <c r="MOW104" s="29"/>
      <c r="MOX104" s="29"/>
      <c r="MOY104" s="29"/>
      <c r="MOZ104" s="29"/>
      <c r="MPA104" s="29"/>
      <c r="MPB104" s="29"/>
      <c r="MPC104" s="29"/>
      <c r="MPD104" s="29"/>
      <c r="MPE104" s="29"/>
      <c r="MPF104" s="29"/>
      <c r="MPG104" s="29"/>
      <c r="MPH104" s="29"/>
      <c r="MPI104" s="29"/>
      <c r="MPJ104" s="29"/>
      <c r="MPK104" s="29"/>
      <c r="MPL104" s="29"/>
      <c r="MPM104" s="29"/>
      <c r="MPN104" s="29"/>
      <c r="MPO104" s="29"/>
      <c r="MPP104" s="29"/>
      <c r="MPQ104" s="29"/>
      <c r="MPR104" s="29"/>
      <c r="MPS104" s="29"/>
      <c r="MPT104" s="29"/>
      <c r="MPU104" s="29"/>
      <c r="MPV104" s="29"/>
      <c r="MPW104" s="29"/>
      <c r="MPX104" s="29"/>
      <c r="MPY104" s="29"/>
      <c r="MPZ104" s="29"/>
      <c r="MQA104" s="29"/>
      <c r="MQB104" s="29"/>
      <c r="MQC104" s="29"/>
      <c r="MQD104" s="29"/>
      <c r="MQE104" s="29"/>
      <c r="MQF104" s="29"/>
      <c r="MQG104" s="29"/>
      <c r="MQH104" s="29"/>
      <c r="MQI104" s="29"/>
      <c r="MQJ104" s="29"/>
      <c r="MQK104" s="29"/>
      <c r="MQL104" s="29"/>
      <c r="MQM104" s="29"/>
      <c r="MQN104" s="29"/>
      <c r="MQO104" s="29"/>
      <c r="MQP104" s="29"/>
      <c r="MQQ104" s="29"/>
      <c r="MQR104" s="29"/>
      <c r="MQS104" s="29"/>
      <c r="MQT104" s="29"/>
      <c r="MQU104" s="29"/>
      <c r="MQV104" s="29"/>
      <c r="MQW104" s="29"/>
      <c r="MQX104" s="29"/>
      <c r="MQY104" s="29"/>
      <c r="MQZ104" s="29"/>
      <c r="MRA104" s="29"/>
      <c r="MRB104" s="29"/>
      <c r="MRC104" s="29"/>
      <c r="MRD104" s="29"/>
      <c r="MRE104" s="29"/>
      <c r="MRF104" s="29"/>
      <c r="MRG104" s="29"/>
      <c r="MRH104" s="29"/>
      <c r="MRI104" s="29"/>
      <c r="MRJ104" s="29"/>
      <c r="MRK104" s="29"/>
      <c r="MRL104" s="29"/>
      <c r="MRM104" s="29"/>
      <c r="MRN104" s="29"/>
      <c r="MRO104" s="29"/>
      <c r="MRP104" s="29"/>
      <c r="MRQ104" s="29"/>
      <c r="MRR104" s="29"/>
      <c r="MRS104" s="29"/>
      <c r="MRT104" s="29"/>
      <c r="MRU104" s="29"/>
      <c r="MRV104" s="29"/>
      <c r="MRW104" s="29"/>
      <c r="MRX104" s="29"/>
      <c r="MRY104" s="29"/>
      <c r="MRZ104" s="29"/>
      <c r="MSA104" s="29"/>
      <c r="MSB104" s="29"/>
      <c r="MSC104" s="29"/>
      <c r="MSD104" s="29"/>
      <c r="MSE104" s="29"/>
      <c r="MSF104" s="29"/>
      <c r="MSG104" s="29"/>
      <c r="MSH104" s="29"/>
      <c r="MSI104" s="29"/>
      <c r="MSJ104" s="29"/>
      <c r="MSK104" s="29"/>
      <c r="MSL104" s="29"/>
      <c r="MSM104" s="29"/>
      <c r="MSN104" s="29"/>
      <c r="MSO104" s="29"/>
      <c r="MSP104" s="29"/>
      <c r="MSQ104" s="29"/>
      <c r="MSR104" s="29"/>
      <c r="MSS104" s="29"/>
      <c r="MST104" s="29"/>
      <c r="MSU104" s="29"/>
      <c r="MSV104" s="29"/>
      <c r="MSW104" s="29"/>
      <c r="MSX104" s="29"/>
      <c r="MSY104" s="29"/>
      <c r="MSZ104" s="29"/>
      <c r="MTA104" s="29"/>
      <c r="MTB104" s="29"/>
      <c r="MTC104" s="29"/>
      <c r="MTD104" s="29"/>
      <c r="MTE104" s="29"/>
      <c r="MTF104" s="29"/>
      <c r="MTG104" s="29"/>
      <c r="MTH104" s="29"/>
      <c r="MTI104" s="29"/>
      <c r="MTJ104" s="29"/>
      <c r="MTK104" s="29"/>
      <c r="MTL104" s="29"/>
      <c r="MTM104" s="29"/>
      <c r="MTN104" s="29"/>
      <c r="MTO104" s="29"/>
      <c r="MTP104" s="29"/>
      <c r="MTQ104" s="29"/>
      <c r="MTR104" s="29"/>
      <c r="MTS104" s="29"/>
      <c r="MTT104" s="29"/>
      <c r="MTU104" s="29"/>
      <c r="MTV104" s="29"/>
      <c r="MTW104" s="29"/>
      <c r="MTX104" s="29"/>
      <c r="MTY104" s="29"/>
      <c r="MTZ104" s="29"/>
      <c r="MUA104" s="29"/>
      <c r="MUB104" s="29"/>
      <c r="MUC104" s="29"/>
      <c r="MUD104" s="29"/>
      <c r="MUE104" s="29"/>
      <c r="MUF104" s="29"/>
      <c r="MUG104" s="29"/>
      <c r="MUH104" s="29"/>
      <c r="MUI104" s="29"/>
      <c r="MUJ104" s="29"/>
      <c r="MUK104" s="29"/>
      <c r="MUL104" s="29"/>
      <c r="MUM104" s="29"/>
      <c r="MUN104" s="29"/>
      <c r="MUO104" s="29"/>
      <c r="MUP104" s="29"/>
      <c r="MUQ104" s="29"/>
      <c r="MUR104" s="29"/>
      <c r="MUS104" s="29"/>
      <c r="MUT104" s="29"/>
      <c r="MUU104" s="29"/>
      <c r="MUV104" s="29"/>
      <c r="MUW104" s="29"/>
      <c r="MUX104" s="29"/>
      <c r="MUY104" s="29"/>
      <c r="MUZ104" s="29"/>
      <c r="MVA104" s="29"/>
      <c r="MVB104" s="29"/>
      <c r="MVC104" s="29"/>
      <c r="MVD104" s="29"/>
      <c r="MVE104" s="29"/>
      <c r="MVF104" s="29"/>
      <c r="MVG104" s="29"/>
      <c r="MVH104" s="29"/>
      <c r="MVI104" s="29"/>
      <c r="MVJ104" s="29"/>
      <c r="MVK104" s="29"/>
      <c r="MVL104" s="29"/>
      <c r="MVM104" s="29"/>
      <c r="MVN104" s="29"/>
      <c r="MVO104" s="29"/>
      <c r="MVP104" s="29"/>
      <c r="MVQ104" s="29"/>
      <c r="MVR104" s="29"/>
      <c r="MVS104" s="29"/>
      <c r="MVT104" s="29"/>
      <c r="MVU104" s="29"/>
      <c r="MVV104" s="29"/>
      <c r="MVW104" s="29"/>
      <c r="MVX104" s="29"/>
      <c r="MVY104" s="29"/>
      <c r="MVZ104" s="29"/>
      <c r="MWA104" s="29"/>
      <c r="MWB104" s="29"/>
      <c r="MWC104" s="29"/>
      <c r="MWD104" s="29"/>
      <c r="MWE104" s="29"/>
      <c r="MWF104" s="29"/>
      <c r="MWG104" s="29"/>
      <c r="MWH104" s="29"/>
      <c r="MWI104" s="29"/>
      <c r="MWJ104" s="29"/>
      <c r="MWK104" s="29"/>
      <c r="MWL104" s="29"/>
      <c r="MWM104" s="29"/>
      <c r="MWN104" s="29"/>
      <c r="MWO104" s="29"/>
      <c r="MWP104" s="29"/>
      <c r="MWQ104" s="29"/>
      <c r="MWR104" s="29"/>
      <c r="MWS104" s="29"/>
      <c r="MWT104" s="29"/>
      <c r="MWU104" s="29"/>
      <c r="MWV104" s="29"/>
      <c r="MWW104" s="29"/>
      <c r="MWX104" s="29"/>
      <c r="MWY104" s="29"/>
      <c r="MWZ104" s="29"/>
      <c r="MXA104" s="29"/>
      <c r="MXB104" s="29"/>
      <c r="MXC104" s="29"/>
      <c r="MXD104" s="29"/>
      <c r="MXE104" s="29"/>
      <c r="MXF104" s="29"/>
      <c r="MXG104" s="29"/>
      <c r="MXH104" s="29"/>
      <c r="MXI104" s="29"/>
      <c r="MXJ104" s="29"/>
      <c r="MXK104" s="29"/>
      <c r="MXL104" s="29"/>
      <c r="MXM104" s="29"/>
      <c r="MXN104" s="29"/>
      <c r="MXO104" s="29"/>
      <c r="MXP104" s="29"/>
      <c r="MXQ104" s="29"/>
      <c r="MXR104" s="29"/>
      <c r="MXS104" s="29"/>
      <c r="MXT104" s="29"/>
      <c r="MXU104" s="29"/>
      <c r="MXV104" s="29"/>
      <c r="MXW104" s="29"/>
      <c r="MXX104" s="29"/>
      <c r="MXY104" s="29"/>
      <c r="MXZ104" s="29"/>
      <c r="MYA104" s="29"/>
      <c r="MYB104" s="29"/>
      <c r="MYC104" s="29"/>
      <c r="MYD104" s="29"/>
      <c r="MYE104" s="29"/>
      <c r="MYF104" s="29"/>
      <c r="MYG104" s="29"/>
      <c r="MYH104" s="29"/>
      <c r="MYI104" s="29"/>
      <c r="MYJ104" s="29"/>
      <c r="MYK104" s="29"/>
      <c r="MYL104" s="29"/>
      <c r="MYM104" s="29"/>
      <c r="MYN104" s="29"/>
      <c r="MYO104" s="29"/>
      <c r="MYP104" s="29"/>
      <c r="MYQ104" s="29"/>
      <c r="MYR104" s="29"/>
      <c r="MYS104" s="29"/>
      <c r="MYT104" s="29"/>
      <c r="MYU104" s="29"/>
      <c r="MYV104" s="29"/>
      <c r="MYW104" s="29"/>
      <c r="MYX104" s="29"/>
      <c r="MYY104" s="29"/>
      <c r="MYZ104" s="29"/>
      <c r="MZA104" s="29"/>
      <c r="MZB104" s="29"/>
      <c r="MZC104" s="29"/>
      <c r="MZD104" s="29"/>
      <c r="MZE104" s="29"/>
      <c r="MZF104" s="29"/>
      <c r="MZG104" s="29"/>
      <c r="MZH104" s="29"/>
      <c r="MZI104" s="29"/>
      <c r="MZJ104" s="29"/>
      <c r="MZK104" s="29"/>
      <c r="MZL104" s="29"/>
      <c r="MZM104" s="29"/>
      <c r="MZN104" s="29"/>
      <c r="MZO104" s="29"/>
      <c r="MZP104" s="29"/>
      <c r="MZQ104" s="29"/>
      <c r="MZR104" s="29"/>
      <c r="MZS104" s="29"/>
      <c r="MZT104" s="29"/>
      <c r="MZU104" s="29"/>
      <c r="MZV104" s="29"/>
      <c r="MZW104" s="29"/>
      <c r="MZX104" s="29"/>
      <c r="MZY104" s="29"/>
      <c r="MZZ104" s="29"/>
      <c r="NAA104" s="29"/>
      <c r="NAB104" s="29"/>
      <c r="NAC104" s="29"/>
      <c r="NAD104" s="29"/>
      <c r="NAE104" s="29"/>
      <c r="NAF104" s="29"/>
      <c r="NAG104" s="29"/>
      <c r="NAH104" s="29"/>
      <c r="NAI104" s="29"/>
      <c r="NAJ104" s="29"/>
      <c r="NAK104" s="29"/>
      <c r="NAL104" s="29"/>
      <c r="NAM104" s="29"/>
      <c r="NAN104" s="29"/>
      <c r="NAO104" s="29"/>
      <c r="NAP104" s="29"/>
      <c r="NAQ104" s="29"/>
      <c r="NAR104" s="29"/>
      <c r="NAS104" s="29"/>
      <c r="NAT104" s="29"/>
      <c r="NAU104" s="29"/>
      <c r="NAV104" s="29"/>
      <c r="NAW104" s="29"/>
      <c r="NAX104" s="29"/>
      <c r="NAY104" s="29"/>
      <c r="NAZ104" s="29"/>
      <c r="NBA104" s="29"/>
      <c r="NBB104" s="29"/>
      <c r="NBC104" s="29"/>
      <c r="NBD104" s="29"/>
      <c r="NBE104" s="29"/>
      <c r="NBF104" s="29"/>
      <c r="NBG104" s="29"/>
      <c r="NBH104" s="29"/>
      <c r="NBI104" s="29"/>
      <c r="NBJ104" s="29"/>
      <c r="NBK104" s="29"/>
      <c r="NBL104" s="29"/>
      <c r="NBM104" s="29"/>
      <c r="NBN104" s="29"/>
      <c r="NBO104" s="29"/>
      <c r="NBP104" s="29"/>
      <c r="NBQ104" s="29"/>
      <c r="NBR104" s="29"/>
      <c r="NBS104" s="29"/>
      <c r="NBT104" s="29"/>
      <c r="NBU104" s="29"/>
      <c r="NBV104" s="29"/>
      <c r="NBW104" s="29"/>
      <c r="NBX104" s="29"/>
      <c r="NBY104" s="29"/>
      <c r="NBZ104" s="29"/>
      <c r="NCA104" s="29"/>
      <c r="NCB104" s="29"/>
      <c r="NCC104" s="29"/>
      <c r="NCD104" s="29"/>
      <c r="NCE104" s="29"/>
      <c r="NCF104" s="29"/>
      <c r="NCG104" s="29"/>
      <c r="NCH104" s="29"/>
      <c r="NCI104" s="29"/>
      <c r="NCJ104" s="29"/>
      <c r="NCK104" s="29"/>
      <c r="NCL104" s="29"/>
      <c r="NCM104" s="29"/>
      <c r="NCN104" s="29"/>
      <c r="NCO104" s="29"/>
      <c r="NCP104" s="29"/>
      <c r="NCQ104" s="29"/>
      <c r="NCR104" s="29"/>
      <c r="NCS104" s="29"/>
      <c r="NCT104" s="29"/>
      <c r="NCU104" s="29"/>
      <c r="NCV104" s="29"/>
      <c r="NCW104" s="29"/>
      <c r="NCX104" s="29"/>
      <c r="NCY104" s="29"/>
      <c r="NCZ104" s="29"/>
      <c r="NDA104" s="29"/>
      <c r="NDB104" s="29"/>
      <c r="NDC104" s="29"/>
      <c r="NDD104" s="29"/>
      <c r="NDE104" s="29"/>
      <c r="NDF104" s="29"/>
      <c r="NDG104" s="29"/>
      <c r="NDH104" s="29"/>
      <c r="NDI104" s="29"/>
      <c r="NDJ104" s="29"/>
      <c r="NDK104" s="29"/>
      <c r="NDL104" s="29"/>
      <c r="NDM104" s="29"/>
      <c r="NDN104" s="29"/>
      <c r="NDO104" s="29"/>
      <c r="NDP104" s="29"/>
      <c r="NDQ104" s="29"/>
      <c r="NDR104" s="29"/>
      <c r="NDS104" s="29"/>
      <c r="NDT104" s="29"/>
      <c r="NDU104" s="29"/>
      <c r="NDV104" s="29"/>
      <c r="NDW104" s="29"/>
      <c r="NDX104" s="29"/>
      <c r="NDY104" s="29"/>
      <c r="NDZ104" s="29"/>
      <c r="NEA104" s="29"/>
      <c r="NEB104" s="29"/>
      <c r="NEC104" s="29"/>
      <c r="NED104" s="29"/>
      <c r="NEE104" s="29"/>
      <c r="NEF104" s="29"/>
      <c r="NEG104" s="29"/>
      <c r="NEH104" s="29"/>
      <c r="NEI104" s="29"/>
      <c r="NEJ104" s="29"/>
      <c r="NEK104" s="29"/>
      <c r="NEL104" s="29"/>
      <c r="NEM104" s="29"/>
      <c r="NEN104" s="29"/>
      <c r="NEO104" s="29"/>
      <c r="NEP104" s="29"/>
      <c r="NEQ104" s="29"/>
      <c r="NER104" s="29"/>
      <c r="NES104" s="29"/>
      <c r="NET104" s="29"/>
      <c r="NEU104" s="29"/>
      <c r="NEV104" s="29"/>
      <c r="NEW104" s="29"/>
      <c r="NEX104" s="29"/>
      <c r="NEY104" s="29"/>
      <c r="NEZ104" s="29"/>
      <c r="NFA104" s="29"/>
      <c r="NFB104" s="29"/>
      <c r="NFC104" s="29"/>
      <c r="NFD104" s="29"/>
      <c r="NFE104" s="29"/>
      <c r="NFF104" s="29"/>
      <c r="NFG104" s="29"/>
      <c r="NFH104" s="29"/>
      <c r="NFI104" s="29"/>
      <c r="NFJ104" s="29"/>
      <c r="NFK104" s="29"/>
      <c r="NFL104" s="29"/>
      <c r="NFM104" s="29"/>
      <c r="NFN104" s="29"/>
      <c r="NFO104" s="29"/>
      <c r="NFP104" s="29"/>
      <c r="NFQ104" s="29"/>
      <c r="NFR104" s="29"/>
      <c r="NFS104" s="29"/>
      <c r="NFT104" s="29"/>
      <c r="NFU104" s="29"/>
      <c r="NFV104" s="29"/>
      <c r="NFW104" s="29"/>
      <c r="NFX104" s="29"/>
      <c r="NFY104" s="29"/>
      <c r="NFZ104" s="29"/>
      <c r="NGA104" s="29"/>
      <c r="NGB104" s="29"/>
      <c r="NGC104" s="29"/>
      <c r="NGD104" s="29"/>
      <c r="NGE104" s="29"/>
      <c r="NGF104" s="29"/>
      <c r="NGG104" s="29"/>
      <c r="NGH104" s="29"/>
      <c r="NGI104" s="29"/>
      <c r="NGJ104" s="29"/>
      <c r="NGK104" s="29"/>
      <c r="NGL104" s="29"/>
      <c r="NGM104" s="29"/>
      <c r="NGN104" s="29"/>
      <c r="NGO104" s="29"/>
      <c r="NGP104" s="29"/>
      <c r="NGQ104" s="29"/>
      <c r="NGR104" s="29"/>
      <c r="NGS104" s="29"/>
      <c r="NGT104" s="29"/>
      <c r="NGU104" s="29"/>
      <c r="NGV104" s="29"/>
      <c r="NGW104" s="29"/>
      <c r="NGX104" s="29"/>
      <c r="NGY104" s="29"/>
      <c r="NGZ104" s="29"/>
      <c r="NHA104" s="29"/>
      <c r="NHB104" s="29"/>
      <c r="NHC104" s="29"/>
      <c r="NHD104" s="29"/>
      <c r="NHE104" s="29"/>
      <c r="NHF104" s="29"/>
      <c r="NHG104" s="29"/>
      <c r="NHH104" s="29"/>
      <c r="NHI104" s="29"/>
      <c r="NHJ104" s="29"/>
      <c r="NHK104" s="29"/>
      <c r="NHL104" s="29"/>
      <c r="NHM104" s="29"/>
      <c r="NHN104" s="29"/>
      <c r="NHO104" s="29"/>
      <c r="NHP104" s="29"/>
      <c r="NHQ104" s="29"/>
      <c r="NHR104" s="29"/>
      <c r="NHS104" s="29"/>
      <c r="NHT104" s="29"/>
      <c r="NHU104" s="29"/>
      <c r="NHV104" s="29"/>
      <c r="NHW104" s="29"/>
      <c r="NHX104" s="29"/>
      <c r="NHY104" s="29"/>
      <c r="NHZ104" s="29"/>
      <c r="NIA104" s="29"/>
      <c r="NIB104" s="29"/>
      <c r="NIC104" s="29"/>
      <c r="NID104" s="29"/>
      <c r="NIE104" s="29"/>
      <c r="NIF104" s="29"/>
      <c r="NIG104" s="29"/>
      <c r="NIH104" s="29"/>
      <c r="NII104" s="29"/>
      <c r="NIJ104" s="29"/>
      <c r="NIK104" s="29"/>
      <c r="NIL104" s="29"/>
      <c r="NIM104" s="29"/>
      <c r="NIN104" s="29"/>
      <c r="NIO104" s="29"/>
      <c r="NIP104" s="29"/>
      <c r="NIQ104" s="29"/>
      <c r="NIR104" s="29"/>
      <c r="NIS104" s="29"/>
      <c r="NIT104" s="29"/>
      <c r="NIU104" s="29"/>
      <c r="NIV104" s="29"/>
      <c r="NIW104" s="29"/>
      <c r="NIX104" s="29"/>
      <c r="NIY104" s="29"/>
      <c r="NIZ104" s="29"/>
      <c r="NJA104" s="29"/>
      <c r="NJB104" s="29"/>
      <c r="NJC104" s="29"/>
      <c r="NJD104" s="29"/>
      <c r="NJE104" s="29"/>
      <c r="NJF104" s="29"/>
      <c r="NJG104" s="29"/>
      <c r="NJH104" s="29"/>
      <c r="NJI104" s="29"/>
      <c r="NJJ104" s="29"/>
      <c r="NJK104" s="29"/>
      <c r="NJL104" s="29"/>
      <c r="NJM104" s="29"/>
      <c r="NJN104" s="29"/>
      <c r="NJO104" s="29"/>
      <c r="NJP104" s="29"/>
      <c r="NJQ104" s="29"/>
      <c r="NJR104" s="29"/>
      <c r="NJS104" s="29"/>
      <c r="NJT104" s="29"/>
      <c r="NJU104" s="29"/>
      <c r="NJV104" s="29"/>
      <c r="NJW104" s="29"/>
      <c r="NJX104" s="29"/>
      <c r="NJY104" s="29"/>
      <c r="NJZ104" s="29"/>
      <c r="NKA104" s="29"/>
      <c r="NKB104" s="29"/>
      <c r="NKC104" s="29"/>
      <c r="NKD104" s="29"/>
      <c r="NKE104" s="29"/>
      <c r="NKF104" s="29"/>
      <c r="NKG104" s="29"/>
      <c r="NKH104" s="29"/>
      <c r="NKI104" s="29"/>
      <c r="NKJ104" s="29"/>
      <c r="NKK104" s="29"/>
      <c r="NKL104" s="29"/>
      <c r="NKM104" s="29"/>
      <c r="NKN104" s="29"/>
      <c r="NKO104" s="29"/>
      <c r="NKP104" s="29"/>
      <c r="NKQ104" s="29"/>
      <c r="NKR104" s="29"/>
      <c r="NKS104" s="29"/>
      <c r="NKT104" s="29"/>
      <c r="NKU104" s="29"/>
      <c r="NKV104" s="29"/>
      <c r="NKW104" s="29"/>
      <c r="NKX104" s="29"/>
      <c r="NKY104" s="29"/>
      <c r="NKZ104" s="29"/>
      <c r="NLA104" s="29"/>
      <c r="NLB104" s="29"/>
      <c r="NLC104" s="29"/>
      <c r="NLD104" s="29"/>
      <c r="NLE104" s="29"/>
      <c r="NLF104" s="29"/>
      <c r="NLG104" s="29"/>
      <c r="NLH104" s="29"/>
      <c r="NLI104" s="29"/>
      <c r="NLJ104" s="29"/>
      <c r="NLK104" s="29"/>
      <c r="NLL104" s="29"/>
      <c r="NLM104" s="29"/>
      <c r="NLN104" s="29"/>
      <c r="NLO104" s="29"/>
      <c r="NLP104" s="29"/>
      <c r="NLQ104" s="29"/>
      <c r="NLR104" s="29"/>
      <c r="NLS104" s="29"/>
      <c r="NLT104" s="29"/>
      <c r="NLU104" s="29"/>
      <c r="NLV104" s="29"/>
      <c r="NLW104" s="29"/>
      <c r="NLX104" s="29"/>
      <c r="NLY104" s="29"/>
      <c r="NLZ104" s="29"/>
      <c r="NMA104" s="29"/>
      <c r="NMB104" s="29"/>
      <c r="NMC104" s="29"/>
      <c r="NMD104" s="29"/>
      <c r="NME104" s="29"/>
      <c r="NMF104" s="29"/>
      <c r="NMG104" s="29"/>
      <c r="NMH104" s="29"/>
      <c r="NMI104" s="29"/>
      <c r="NMJ104" s="29"/>
      <c r="NMK104" s="29"/>
      <c r="NML104" s="29"/>
      <c r="NMM104" s="29"/>
      <c r="NMN104" s="29"/>
      <c r="NMO104" s="29"/>
      <c r="NMP104" s="29"/>
      <c r="NMQ104" s="29"/>
      <c r="NMR104" s="29"/>
      <c r="NMS104" s="29"/>
      <c r="NMT104" s="29"/>
      <c r="NMU104" s="29"/>
      <c r="NMV104" s="29"/>
      <c r="NMW104" s="29"/>
      <c r="NMX104" s="29"/>
      <c r="NMY104" s="29"/>
      <c r="NMZ104" s="29"/>
      <c r="NNA104" s="29"/>
      <c r="NNB104" s="29"/>
      <c r="NNC104" s="29"/>
      <c r="NND104" s="29"/>
      <c r="NNE104" s="29"/>
      <c r="NNF104" s="29"/>
      <c r="NNG104" s="29"/>
      <c r="NNH104" s="29"/>
      <c r="NNI104" s="29"/>
      <c r="NNJ104" s="29"/>
      <c r="NNK104" s="29"/>
      <c r="NNL104" s="29"/>
      <c r="NNM104" s="29"/>
      <c r="NNN104" s="29"/>
      <c r="NNO104" s="29"/>
      <c r="NNP104" s="29"/>
      <c r="NNQ104" s="29"/>
      <c r="NNR104" s="29"/>
      <c r="NNS104" s="29"/>
      <c r="NNT104" s="29"/>
      <c r="NNU104" s="29"/>
      <c r="NNV104" s="29"/>
      <c r="NNW104" s="29"/>
      <c r="NNX104" s="29"/>
      <c r="NNY104" s="29"/>
      <c r="NNZ104" s="29"/>
      <c r="NOA104" s="29"/>
      <c r="NOB104" s="29"/>
      <c r="NOC104" s="29"/>
      <c r="NOD104" s="29"/>
      <c r="NOE104" s="29"/>
      <c r="NOF104" s="29"/>
      <c r="NOG104" s="29"/>
      <c r="NOH104" s="29"/>
      <c r="NOI104" s="29"/>
      <c r="NOJ104" s="29"/>
      <c r="NOK104" s="29"/>
      <c r="NOL104" s="29"/>
      <c r="NOM104" s="29"/>
      <c r="NON104" s="29"/>
      <c r="NOO104" s="29"/>
      <c r="NOP104" s="29"/>
      <c r="NOQ104" s="29"/>
      <c r="NOR104" s="29"/>
      <c r="NOS104" s="29"/>
      <c r="NOT104" s="29"/>
      <c r="NOU104" s="29"/>
      <c r="NOV104" s="29"/>
      <c r="NOW104" s="29"/>
      <c r="NOX104" s="29"/>
      <c r="NOY104" s="29"/>
      <c r="NOZ104" s="29"/>
      <c r="NPA104" s="29"/>
      <c r="NPB104" s="29"/>
      <c r="NPC104" s="29"/>
      <c r="NPD104" s="29"/>
      <c r="NPE104" s="29"/>
      <c r="NPF104" s="29"/>
      <c r="NPG104" s="29"/>
      <c r="NPH104" s="29"/>
      <c r="NPI104" s="29"/>
      <c r="NPJ104" s="29"/>
      <c r="NPK104" s="29"/>
      <c r="NPL104" s="29"/>
      <c r="NPM104" s="29"/>
      <c r="NPN104" s="29"/>
      <c r="NPO104" s="29"/>
      <c r="NPP104" s="29"/>
      <c r="NPQ104" s="29"/>
      <c r="NPR104" s="29"/>
      <c r="NPS104" s="29"/>
      <c r="NPT104" s="29"/>
      <c r="NPU104" s="29"/>
      <c r="NPV104" s="29"/>
      <c r="NPW104" s="29"/>
      <c r="NPX104" s="29"/>
      <c r="NPY104" s="29"/>
      <c r="NPZ104" s="29"/>
      <c r="NQA104" s="29"/>
      <c r="NQB104" s="29"/>
      <c r="NQC104" s="29"/>
      <c r="NQD104" s="29"/>
      <c r="NQE104" s="29"/>
      <c r="NQF104" s="29"/>
      <c r="NQG104" s="29"/>
      <c r="NQH104" s="29"/>
      <c r="NQI104" s="29"/>
      <c r="NQJ104" s="29"/>
      <c r="NQK104" s="29"/>
      <c r="NQL104" s="29"/>
      <c r="NQM104" s="29"/>
      <c r="NQN104" s="29"/>
      <c r="NQO104" s="29"/>
      <c r="NQP104" s="29"/>
      <c r="NQQ104" s="29"/>
      <c r="NQR104" s="29"/>
      <c r="NQS104" s="29"/>
      <c r="NQT104" s="29"/>
      <c r="NQU104" s="29"/>
      <c r="NQV104" s="29"/>
      <c r="NQW104" s="29"/>
      <c r="NQX104" s="29"/>
      <c r="NQY104" s="29"/>
      <c r="NQZ104" s="29"/>
      <c r="NRA104" s="29"/>
      <c r="NRB104" s="29"/>
      <c r="NRC104" s="29"/>
      <c r="NRD104" s="29"/>
      <c r="NRE104" s="29"/>
      <c r="NRF104" s="29"/>
      <c r="NRG104" s="29"/>
      <c r="NRH104" s="29"/>
      <c r="NRI104" s="29"/>
      <c r="NRJ104" s="29"/>
      <c r="NRK104" s="29"/>
      <c r="NRL104" s="29"/>
      <c r="NRM104" s="29"/>
      <c r="NRN104" s="29"/>
      <c r="NRO104" s="29"/>
      <c r="NRP104" s="29"/>
      <c r="NRQ104" s="29"/>
      <c r="NRR104" s="29"/>
      <c r="NRS104" s="29"/>
      <c r="NRT104" s="29"/>
      <c r="NRU104" s="29"/>
      <c r="NRV104" s="29"/>
      <c r="NRW104" s="29"/>
      <c r="NRX104" s="29"/>
      <c r="NRY104" s="29"/>
      <c r="NRZ104" s="29"/>
      <c r="NSA104" s="29"/>
      <c r="NSB104" s="29"/>
      <c r="NSC104" s="29"/>
      <c r="NSD104" s="29"/>
      <c r="NSE104" s="29"/>
      <c r="NSF104" s="29"/>
      <c r="NSG104" s="29"/>
      <c r="NSH104" s="29"/>
      <c r="NSI104" s="29"/>
      <c r="NSJ104" s="29"/>
      <c r="NSK104" s="29"/>
      <c r="NSL104" s="29"/>
      <c r="NSM104" s="29"/>
      <c r="NSN104" s="29"/>
      <c r="NSO104" s="29"/>
      <c r="NSP104" s="29"/>
      <c r="NSQ104" s="29"/>
      <c r="NSR104" s="29"/>
      <c r="NSS104" s="29"/>
      <c r="NST104" s="29"/>
      <c r="NSU104" s="29"/>
      <c r="NSV104" s="29"/>
      <c r="NSW104" s="29"/>
      <c r="NSX104" s="29"/>
      <c r="NSY104" s="29"/>
      <c r="NSZ104" s="29"/>
      <c r="NTA104" s="29"/>
      <c r="NTB104" s="29"/>
      <c r="NTC104" s="29"/>
      <c r="NTD104" s="29"/>
      <c r="NTE104" s="29"/>
      <c r="NTF104" s="29"/>
      <c r="NTG104" s="29"/>
      <c r="NTH104" s="29"/>
      <c r="NTI104" s="29"/>
      <c r="NTJ104" s="29"/>
      <c r="NTK104" s="29"/>
      <c r="NTL104" s="29"/>
      <c r="NTM104" s="29"/>
      <c r="NTN104" s="29"/>
      <c r="NTO104" s="29"/>
      <c r="NTP104" s="29"/>
      <c r="NTQ104" s="29"/>
      <c r="NTR104" s="29"/>
      <c r="NTS104" s="29"/>
      <c r="NTT104" s="29"/>
      <c r="NTU104" s="29"/>
      <c r="NTV104" s="29"/>
      <c r="NTW104" s="29"/>
      <c r="NTX104" s="29"/>
      <c r="NTY104" s="29"/>
      <c r="NTZ104" s="29"/>
      <c r="NUA104" s="29"/>
      <c r="NUB104" s="29"/>
      <c r="NUC104" s="29"/>
      <c r="NUD104" s="29"/>
      <c r="NUE104" s="29"/>
      <c r="NUF104" s="29"/>
      <c r="NUG104" s="29"/>
      <c r="NUH104" s="29"/>
      <c r="NUI104" s="29"/>
      <c r="NUJ104" s="29"/>
      <c r="NUK104" s="29"/>
      <c r="NUL104" s="29"/>
      <c r="NUM104" s="29"/>
      <c r="NUN104" s="29"/>
      <c r="NUO104" s="29"/>
      <c r="NUP104" s="29"/>
      <c r="NUQ104" s="29"/>
      <c r="NUR104" s="29"/>
      <c r="NUS104" s="29"/>
      <c r="NUT104" s="29"/>
      <c r="NUU104" s="29"/>
      <c r="NUV104" s="29"/>
      <c r="NUW104" s="29"/>
      <c r="NUX104" s="29"/>
      <c r="NUY104" s="29"/>
      <c r="NUZ104" s="29"/>
      <c r="NVA104" s="29"/>
      <c r="NVB104" s="29"/>
      <c r="NVC104" s="29"/>
      <c r="NVD104" s="29"/>
      <c r="NVE104" s="29"/>
      <c r="NVF104" s="29"/>
      <c r="NVG104" s="29"/>
      <c r="NVH104" s="29"/>
      <c r="NVI104" s="29"/>
      <c r="NVJ104" s="29"/>
      <c r="NVK104" s="29"/>
      <c r="NVL104" s="29"/>
      <c r="NVM104" s="29"/>
      <c r="NVN104" s="29"/>
      <c r="NVO104" s="29"/>
      <c r="NVP104" s="29"/>
      <c r="NVQ104" s="29"/>
      <c r="NVR104" s="29"/>
      <c r="NVS104" s="29"/>
      <c r="NVT104" s="29"/>
      <c r="NVU104" s="29"/>
      <c r="NVV104" s="29"/>
      <c r="NVW104" s="29"/>
      <c r="NVX104" s="29"/>
      <c r="NVY104" s="29"/>
      <c r="NVZ104" s="29"/>
      <c r="NWA104" s="29"/>
      <c r="NWB104" s="29"/>
      <c r="NWC104" s="29"/>
      <c r="NWD104" s="29"/>
      <c r="NWE104" s="29"/>
      <c r="NWF104" s="29"/>
      <c r="NWG104" s="29"/>
      <c r="NWH104" s="29"/>
      <c r="NWI104" s="29"/>
      <c r="NWJ104" s="29"/>
      <c r="NWK104" s="29"/>
      <c r="NWL104" s="29"/>
      <c r="NWM104" s="29"/>
      <c r="NWN104" s="29"/>
      <c r="NWO104" s="29"/>
      <c r="NWP104" s="29"/>
      <c r="NWQ104" s="29"/>
      <c r="NWR104" s="29"/>
      <c r="NWS104" s="29"/>
      <c r="NWT104" s="29"/>
      <c r="NWU104" s="29"/>
      <c r="NWV104" s="29"/>
      <c r="NWW104" s="29"/>
      <c r="NWX104" s="29"/>
      <c r="NWY104" s="29"/>
      <c r="NWZ104" s="29"/>
      <c r="NXA104" s="29"/>
      <c r="NXB104" s="29"/>
      <c r="NXC104" s="29"/>
      <c r="NXD104" s="29"/>
      <c r="NXE104" s="29"/>
      <c r="NXF104" s="29"/>
      <c r="NXG104" s="29"/>
      <c r="NXH104" s="29"/>
      <c r="NXI104" s="29"/>
      <c r="NXJ104" s="29"/>
      <c r="NXK104" s="29"/>
      <c r="NXL104" s="29"/>
      <c r="NXM104" s="29"/>
      <c r="NXN104" s="29"/>
      <c r="NXO104" s="29"/>
      <c r="NXP104" s="29"/>
      <c r="NXQ104" s="29"/>
      <c r="NXR104" s="29"/>
      <c r="NXS104" s="29"/>
      <c r="NXT104" s="29"/>
      <c r="NXU104" s="29"/>
      <c r="NXV104" s="29"/>
      <c r="NXW104" s="29"/>
      <c r="NXX104" s="29"/>
      <c r="NXY104" s="29"/>
      <c r="NXZ104" s="29"/>
      <c r="NYA104" s="29"/>
      <c r="NYB104" s="29"/>
      <c r="NYC104" s="29"/>
      <c r="NYD104" s="29"/>
      <c r="NYE104" s="29"/>
      <c r="NYF104" s="29"/>
      <c r="NYG104" s="29"/>
      <c r="NYH104" s="29"/>
      <c r="NYI104" s="29"/>
      <c r="NYJ104" s="29"/>
      <c r="NYK104" s="29"/>
      <c r="NYL104" s="29"/>
      <c r="NYM104" s="29"/>
      <c r="NYN104" s="29"/>
      <c r="NYO104" s="29"/>
      <c r="NYP104" s="29"/>
      <c r="NYQ104" s="29"/>
      <c r="NYR104" s="29"/>
      <c r="NYS104" s="29"/>
      <c r="NYT104" s="29"/>
      <c r="NYU104" s="29"/>
      <c r="NYV104" s="29"/>
      <c r="NYW104" s="29"/>
      <c r="NYX104" s="29"/>
      <c r="NYY104" s="29"/>
      <c r="NYZ104" s="29"/>
      <c r="NZA104" s="29"/>
      <c r="NZB104" s="29"/>
      <c r="NZC104" s="29"/>
      <c r="NZD104" s="29"/>
      <c r="NZE104" s="29"/>
      <c r="NZF104" s="29"/>
      <c r="NZG104" s="29"/>
      <c r="NZH104" s="29"/>
      <c r="NZI104" s="29"/>
      <c r="NZJ104" s="29"/>
      <c r="NZK104" s="29"/>
      <c r="NZL104" s="29"/>
      <c r="NZM104" s="29"/>
      <c r="NZN104" s="29"/>
      <c r="NZO104" s="29"/>
      <c r="NZP104" s="29"/>
      <c r="NZQ104" s="29"/>
      <c r="NZR104" s="29"/>
      <c r="NZS104" s="29"/>
      <c r="NZT104" s="29"/>
      <c r="NZU104" s="29"/>
      <c r="NZV104" s="29"/>
      <c r="NZW104" s="29"/>
      <c r="NZX104" s="29"/>
      <c r="NZY104" s="29"/>
      <c r="NZZ104" s="29"/>
      <c r="OAA104" s="29"/>
      <c r="OAB104" s="29"/>
      <c r="OAC104" s="29"/>
      <c r="OAD104" s="29"/>
      <c r="OAE104" s="29"/>
      <c r="OAF104" s="29"/>
      <c r="OAG104" s="29"/>
      <c r="OAH104" s="29"/>
      <c r="OAI104" s="29"/>
      <c r="OAJ104" s="29"/>
      <c r="OAK104" s="29"/>
      <c r="OAL104" s="29"/>
      <c r="OAM104" s="29"/>
      <c r="OAN104" s="29"/>
      <c r="OAO104" s="29"/>
      <c r="OAP104" s="29"/>
      <c r="OAQ104" s="29"/>
      <c r="OAR104" s="29"/>
      <c r="OAS104" s="29"/>
      <c r="OAT104" s="29"/>
      <c r="OAU104" s="29"/>
      <c r="OAV104" s="29"/>
      <c r="OAW104" s="29"/>
      <c r="OAX104" s="29"/>
      <c r="OAY104" s="29"/>
      <c r="OAZ104" s="29"/>
      <c r="OBA104" s="29"/>
      <c r="OBB104" s="29"/>
      <c r="OBC104" s="29"/>
      <c r="OBD104" s="29"/>
      <c r="OBE104" s="29"/>
      <c r="OBF104" s="29"/>
      <c r="OBG104" s="29"/>
      <c r="OBH104" s="29"/>
      <c r="OBI104" s="29"/>
      <c r="OBJ104" s="29"/>
      <c r="OBK104" s="29"/>
      <c r="OBL104" s="29"/>
      <c r="OBM104" s="29"/>
      <c r="OBN104" s="29"/>
      <c r="OBO104" s="29"/>
      <c r="OBP104" s="29"/>
      <c r="OBQ104" s="29"/>
      <c r="OBR104" s="29"/>
      <c r="OBS104" s="29"/>
      <c r="OBT104" s="29"/>
      <c r="OBU104" s="29"/>
      <c r="OBV104" s="29"/>
      <c r="OBW104" s="29"/>
      <c r="OBX104" s="29"/>
      <c r="OBY104" s="29"/>
      <c r="OBZ104" s="29"/>
      <c r="OCA104" s="29"/>
      <c r="OCB104" s="29"/>
      <c r="OCC104" s="29"/>
      <c r="OCD104" s="29"/>
      <c r="OCE104" s="29"/>
      <c r="OCF104" s="29"/>
      <c r="OCG104" s="29"/>
      <c r="OCH104" s="29"/>
      <c r="OCI104" s="29"/>
      <c r="OCJ104" s="29"/>
      <c r="OCK104" s="29"/>
      <c r="OCL104" s="29"/>
      <c r="OCM104" s="29"/>
      <c r="OCN104" s="29"/>
      <c r="OCO104" s="29"/>
      <c r="OCP104" s="29"/>
      <c r="OCQ104" s="29"/>
      <c r="OCR104" s="29"/>
      <c r="OCS104" s="29"/>
      <c r="OCT104" s="29"/>
      <c r="OCU104" s="29"/>
      <c r="OCV104" s="29"/>
      <c r="OCW104" s="29"/>
      <c r="OCX104" s="29"/>
      <c r="OCY104" s="29"/>
      <c r="OCZ104" s="29"/>
      <c r="ODA104" s="29"/>
      <c r="ODB104" s="29"/>
      <c r="ODC104" s="29"/>
      <c r="ODD104" s="29"/>
      <c r="ODE104" s="29"/>
      <c r="ODF104" s="29"/>
      <c r="ODG104" s="29"/>
      <c r="ODH104" s="29"/>
      <c r="ODI104" s="29"/>
      <c r="ODJ104" s="29"/>
      <c r="ODK104" s="29"/>
      <c r="ODL104" s="29"/>
      <c r="ODM104" s="29"/>
      <c r="ODN104" s="29"/>
      <c r="ODO104" s="29"/>
      <c r="ODP104" s="29"/>
      <c r="ODQ104" s="29"/>
      <c r="ODR104" s="29"/>
      <c r="ODS104" s="29"/>
      <c r="ODT104" s="29"/>
      <c r="ODU104" s="29"/>
      <c r="ODV104" s="29"/>
      <c r="ODW104" s="29"/>
      <c r="ODX104" s="29"/>
      <c r="ODY104" s="29"/>
      <c r="ODZ104" s="29"/>
      <c r="OEA104" s="29"/>
      <c r="OEB104" s="29"/>
      <c r="OEC104" s="29"/>
      <c r="OED104" s="29"/>
      <c r="OEE104" s="29"/>
      <c r="OEF104" s="29"/>
      <c r="OEG104" s="29"/>
      <c r="OEH104" s="29"/>
      <c r="OEI104" s="29"/>
      <c r="OEJ104" s="29"/>
      <c r="OEK104" s="29"/>
      <c r="OEL104" s="29"/>
      <c r="OEM104" s="29"/>
      <c r="OEN104" s="29"/>
      <c r="OEO104" s="29"/>
      <c r="OEP104" s="29"/>
      <c r="OEQ104" s="29"/>
      <c r="OER104" s="29"/>
      <c r="OES104" s="29"/>
      <c r="OET104" s="29"/>
      <c r="OEU104" s="29"/>
      <c r="OEV104" s="29"/>
      <c r="OEW104" s="29"/>
      <c r="OEX104" s="29"/>
      <c r="OEY104" s="29"/>
      <c r="OEZ104" s="29"/>
      <c r="OFA104" s="29"/>
      <c r="OFB104" s="29"/>
      <c r="OFC104" s="29"/>
      <c r="OFD104" s="29"/>
      <c r="OFE104" s="29"/>
      <c r="OFF104" s="29"/>
      <c r="OFG104" s="29"/>
      <c r="OFH104" s="29"/>
      <c r="OFI104" s="29"/>
      <c r="OFJ104" s="29"/>
      <c r="OFK104" s="29"/>
      <c r="OFL104" s="29"/>
      <c r="OFM104" s="29"/>
      <c r="OFN104" s="29"/>
      <c r="OFO104" s="29"/>
      <c r="OFP104" s="29"/>
      <c r="OFQ104" s="29"/>
      <c r="OFR104" s="29"/>
      <c r="OFS104" s="29"/>
      <c r="OFT104" s="29"/>
      <c r="OFU104" s="29"/>
      <c r="OFV104" s="29"/>
      <c r="OFW104" s="29"/>
      <c r="OFX104" s="29"/>
      <c r="OFY104" s="29"/>
      <c r="OFZ104" s="29"/>
      <c r="OGA104" s="29"/>
      <c r="OGB104" s="29"/>
      <c r="OGC104" s="29"/>
      <c r="OGD104" s="29"/>
      <c r="OGE104" s="29"/>
      <c r="OGF104" s="29"/>
      <c r="OGG104" s="29"/>
      <c r="OGH104" s="29"/>
      <c r="OGI104" s="29"/>
      <c r="OGJ104" s="29"/>
      <c r="OGK104" s="29"/>
      <c r="OGL104" s="29"/>
      <c r="OGM104" s="29"/>
      <c r="OGN104" s="29"/>
      <c r="OGO104" s="29"/>
      <c r="OGP104" s="29"/>
      <c r="OGQ104" s="29"/>
      <c r="OGR104" s="29"/>
      <c r="OGS104" s="29"/>
      <c r="OGT104" s="29"/>
      <c r="OGU104" s="29"/>
      <c r="OGV104" s="29"/>
      <c r="OGW104" s="29"/>
      <c r="OGX104" s="29"/>
      <c r="OGY104" s="29"/>
      <c r="OGZ104" s="29"/>
      <c r="OHA104" s="29"/>
      <c r="OHB104" s="29"/>
      <c r="OHC104" s="29"/>
      <c r="OHD104" s="29"/>
      <c r="OHE104" s="29"/>
      <c r="OHF104" s="29"/>
      <c r="OHG104" s="29"/>
      <c r="OHH104" s="29"/>
      <c r="OHI104" s="29"/>
      <c r="OHJ104" s="29"/>
      <c r="OHK104" s="29"/>
      <c r="OHL104" s="29"/>
      <c r="OHM104" s="29"/>
      <c r="OHN104" s="29"/>
      <c r="OHO104" s="29"/>
      <c r="OHP104" s="29"/>
      <c r="OHQ104" s="29"/>
      <c r="OHR104" s="29"/>
      <c r="OHS104" s="29"/>
      <c r="OHT104" s="29"/>
      <c r="OHU104" s="29"/>
      <c r="OHV104" s="29"/>
      <c r="OHW104" s="29"/>
      <c r="OHX104" s="29"/>
      <c r="OHY104" s="29"/>
      <c r="OHZ104" s="29"/>
      <c r="OIA104" s="29"/>
      <c r="OIB104" s="29"/>
      <c r="OIC104" s="29"/>
      <c r="OID104" s="29"/>
      <c r="OIE104" s="29"/>
      <c r="OIF104" s="29"/>
      <c r="OIG104" s="29"/>
      <c r="OIH104" s="29"/>
      <c r="OII104" s="29"/>
      <c r="OIJ104" s="29"/>
      <c r="OIK104" s="29"/>
      <c r="OIL104" s="29"/>
      <c r="OIM104" s="29"/>
      <c r="OIN104" s="29"/>
      <c r="OIO104" s="29"/>
      <c r="OIP104" s="29"/>
      <c r="OIQ104" s="29"/>
      <c r="OIR104" s="29"/>
      <c r="OIS104" s="29"/>
      <c r="OIT104" s="29"/>
      <c r="OIU104" s="29"/>
      <c r="OIV104" s="29"/>
      <c r="OIW104" s="29"/>
      <c r="OIX104" s="29"/>
      <c r="OIY104" s="29"/>
      <c r="OIZ104" s="29"/>
      <c r="OJA104" s="29"/>
      <c r="OJB104" s="29"/>
      <c r="OJC104" s="29"/>
      <c r="OJD104" s="29"/>
      <c r="OJE104" s="29"/>
      <c r="OJF104" s="29"/>
      <c r="OJG104" s="29"/>
      <c r="OJH104" s="29"/>
      <c r="OJI104" s="29"/>
      <c r="OJJ104" s="29"/>
      <c r="OJK104" s="29"/>
      <c r="OJL104" s="29"/>
      <c r="OJM104" s="29"/>
      <c r="OJN104" s="29"/>
      <c r="OJO104" s="29"/>
      <c r="OJP104" s="29"/>
      <c r="OJQ104" s="29"/>
      <c r="OJR104" s="29"/>
      <c r="OJS104" s="29"/>
      <c r="OJT104" s="29"/>
      <c r="OJU104" s="29"/>
      <c r="OJV104" s="29"/>
      <c r="OJW104" s="29"/>
      <c r="OJX104" s="29"/>
      <c r="OJY104" s="29"/>
      <c r="OJZ104" s="29"/>
      <c r="OKA104" s="29"/>
      <c r="OKB104" s="29"/>
      <c r="OKC104" s="29"/>
      <c r="OKD104" s="29"/>
      <c r="OKE104" s="29"/>
      <c r="OKF104" s="29"/>
      <c r="OKG104" s="29"/>
      <c r="OKH104" s="29"/>
      <c r="OKI104" s="29"/>
      <c r="OKJ104" s="29"/>
      <c r="OKK104" s="29"/>
      <c r="OKL104" s="29"/>
      <c r="OKM104" s="29"/>
      <c r="OKN104" s="29"/>
      <c r="OKO104" s="29"/>
      <c r="OKP104" s="29"/>
      <c r="OKQ104" s="29"/>
      <c r="OKR104" s="29"/>
      <c r="OKS104" s="29"/>
      <c r="OKT104" s="29"/>
      <c r="OKU104" s="29"/>
      <c r="OKV104" s="29"/>
      <c r="OKW104" s="29"/>
      <c r="OKX104" s="29"/>
      <c r="OKY104" s="29"/>
      <c r="OKZ104" s="29"/>
      <c r="OLA104" s="29"/>
      <c r="OLB104" s="29"/>
      <c r="OLC104" s="29"/>
      <c r="OLD104" s="29"/>
      <c r="OLE104" s="29"/>
      <c r="OLF104" s="29"/>
      <c r="OLG104" s="29"/>
      <c r="OLH104" s="29"/>
      <c r="OLI104" s="29"/>
      <c r="OLJ104" s="29"/>
      <c r="OLK104" s="29"/>
      <c r="OLL104" s="29"/>
      <c r="OLM104" s="29"/>
      <c r="OLN104" s="29"/>
      <c r="OLO104" s="29"/>
      <c r="OLP104" s="29"/>
      <c r="OLQ104" s="29"/>
      <c r="OLR104" s="29"/>
      <c r="OLS104" s="29"/>
      <c r="OLT104" s="29"/>
      <c r="OLU104" s="29"/>
      <c r="OLV104" s="29"/>
      <c r="OLW104" s="29"/>
      <c r="OLX104" s="29"/>
      <c r="OLY104" s="29"/>
      <c r="OLZ104" s="29"/>
      <c r="OMA104" s="29"/>
      <c r="OMB104" s="29"/>
      <c r="OMC104" s="29"/>
      <c r="OMD104" s="29"/>
      <c r="OME104" s="29"/>
      <c r="OMF104" s="29"/>
      <c r="OMG104" s="29"/>
      <c r="OMH104" s="29"/>
      <c r="OMI104" s="29"/>
      <c r="OMJ104" s="29"/>
      <c r="OMK104" s="29"/>
      <c r="OML104" s="29"/>
      <c r="OMM104" s="29"/>
      <c r="OMN104" s="29"/>
      <c r="OMO104" s="29"/>
      <c r="OMP104" s="29"/>
      <c r="OMQ104" s="29"/>
      <c r="OMR104" s="29"/>
      <c r="OMS104" s="29"/>
      <c r="OMT104" s="29"/>
      <c r="OMU104" s="29"/>
      <c r="OMV104" s="29"/>
      <c r="OMW104" s="29"/>
      <c r="OMX104" s="29"/>
      <c r="OMY104" s="29"/>
      <c r="OMZ104" s="29"/>
      <c r="ONA104" s="29"/>
      <c r="ONB104" s="29"/>
      <c r="ONC104" s="29"/>
      <c r="OND104" s="29"/>
      <c r="ONE104" s="29"/>
      <c r="ONF104" s="29"/>
      <c r="ONG104" s="29"/>
      <c r="ONH104" s="29"/>
      <c r="ONI104" s="29"/>
      <c r="ONJ104" s="29"/>
      <c r="ONK104" s="29"/>
      <c r="ONL104" s="29"/>
      <c r="ONM104" s="29"/>
      <c r="ONN104" s="29"/>
      <c r="ONO104" s="29"/>
      <c r="ONP104" s="29"/>
      <c r="ONQ104" s="29"/>
      <c r="ONR104" s="29"/>
      <c r="ONS104" s="29"/>
      <c r="ONT104" s="29"/>
      <c r="ONU104" s="29"/>
      <c r="ONV104" s="29"/>
      <c r="ONW104" s="29"/>
      <c r="ONX104" s="29"/>
      <c r="ONY104" s="29"/>
      <c r="ONZ104" s="29"/>
      <c r="OOA104" s="29"/>
      <c r="OOB104" s="29"/>
      <c r="OOC104" s="29"/>
      <c r="OOD104" s="29"/>
      <c r="OOE104" s="29"/>
      <c r="OOF104" s="29"/>
      <c r="OOG104" s="29"/>
      <c r="OOH104" s="29"/>
      <c r="OOI104" s="29"/>
      <c r="OOJ104" s="29"/>
      <c r="OOK104" s="29"/>
      <c r="OOL104" s="29"/>
      <c r="OOM104" s="29"/>
      <c r="OON104" s="29"/>
      <c r="OOO104" s="29"/>
      <c r="OOP104" s="29"/>
      <c r="OOQ104" s="29"/>
      <c r="OOR104" s="29"/>
      <c r="OOS104" s="29"/>
      <c r="OOT104" s="29"/>
      <c r="OOU104" s="29"/>
      <c r="OOV104" s="29"/>
      <c r="OOW104" s="29"/>
      <c r="OOX104" s="29"/>
      <c r="OOY104" s="29"/>
      <c r="OOZ104" s="29"/>
      <c r="OPA104" s="29"/>
      <c r="OPB104" s="29"/>
      <c r="OPC104" s="29"/>
      <c r="OPD104" s="29"/>
      <c r="OPE104" s="29"/>
      <c r="OPF104" s="29"/>
      <c r="OPG104" s="29"/>
      <c r="OPH104" s="29"/>
      <c r="OPI104" s="29"/>
      <c r="OPJ104" s="29"/>
      <c r="OPK104" s="29"/>
      <c r="OPL104" s="29"/>
      <c r="OPM104" s="29"/>
      <c r="OPN104" s="29"/>
      <c r="OPO104" s="29"/>
      <c r="OPP104" s="29"/>
      <c r="OPQ104" s="29"/>
      <c r="OPR104" s="29"/>
      <c r="OPS104" s="29"/>
      <c r="OPT104" s="29"/>
      <c r="OPU104" s="29"/>
      <c r="OPV104" s="29"/>
      <c r="OPW104" s="29"/>
      <c r="OPX104" s="29"/>
      <c r="OPY104" s="29"/>
      <c r="OPZ104" s="29"/>
      <c r="OQA104" s="29"/>
      <c r="OQB104" s="29"/>
      <c r="OQC104" s="29"/>
      <c r="OQD104" s="29"/>
      <c r="OQE104" s="29"/>
      <c r="OQF104" s="29"/>
      <c r="OQG104" s="29"/>
      <c r="OQH104" s="29"/>
      <c r="OQI104" s="29"/>
      <c r="OQJ104" s="29"/>
      <c r="OQK104" s="29"/>
      <c r="OQL104" s="29"/>
      <c r="OQM104" s="29"/>
      <c r="OQN104" s="29"/>
      <c r="OQO104" s="29"/>
      <c r="OQP104" s="29"/>
      <c r="OQQ104" s="29"/>
      <c r="OQR104" s="29"/>
      <c r="OQS104" s="29"/>
      <c r="OQT104" s="29"/>
      <c r="OQU104" s="29"/>
      <c r="OQV104" s="29"/>
      <c r="OQW104" s="29"/>
      <c r="OQX104" s="29"/>
      <c r="OQY104" s="29"/>
      <c r="OQZ104" s="29"/>
      <c r="ORA104" s="29"/>
      <c r="ORB104" s="29"/>
      <c r="ORC104" s="29"/>
      <c r="ORD104" s="29"/>
      <c r="ORE104" s="29"/>
      <c r="ORF104" s="29"/>
      <c r="ORG104" s="29"/>
      <c r="ORH104" s="29"/>
      <c r="ORI104" s="29"/>
      <c r="ORJ104" s="29"/>
      <c r="ORK104" s="29"/>
      <c r="ORL104" s="29"/>
      <c r="ORM104" s="29"/>
      <c r="ORN104" s="29"/>
      <c r="ORO104" s="29"/>
      <c r="ORP104" s="29"/>
      <c r="ORQ104" s="29"/>
      <c r="ORR104" s="29"/>
      <c r="ORS104" s="29"/>
      <c r="ORT104" s="29"/>
      <c r="ORU104" s="29"/>
      <c r="ORV104" s="29"/>
      <c r="ORW104" s="29"/>
      <c r="ORX104" s="29"/>
      <c r="ORY104" s="29"/>
      <c r="ORZ104" s="29"/>
      <c r="OSA104" s="29"/>
      <c r="OSB104" s="29"/>
      <c r="OSC104" s="29"/>
      <c r="OSD104" s="29"/>
      <c r="OSE104" s="29"/>
      <c r="OSF104" s="29"/>
      <c r="OSG104" s="29"/>
      <c r="OSH104" s="29"/>
      <c r="OSI104" s="29"/>
      <c r="OSJ104" s="29"/>
      <c r="OSK104" s="29"/>
      <c r="OSL104" s="29"/>
      <c r="OSM104" s="29"/>
      <c r="OSN104" s="29"/>
      <c r="OSO104" s="29"/>
      <c r="OSP104" s="29"/>
      <c r="OSQ104" s="29"/>
      <c r="OSR104" s="29"/>
      <c r="OSS104" s="29"/>
      <c r="OST104" s="29"/>
      <c r="OSU104" s="29"/>
      <c r="OSV104" s="29"/>
      <c r="OSW104" s="29"/>
      <c r="OSX104" s="29"/>
      <c r="OSY104" s="29"/>
      <c r="OSZ104" s="29"/>
      <c r="OTA104" s="29"/>
      <c r="OTB104" s="29"/>
      <c r="OTC104" s="29"/>
      <c r="OTD104" s="29"/>
      <c r="OTE104" s="29"/>
      <c r="OTF104" s="29"/>
      <c r="OTG104" s="29"/>
      <c r="OTH104" s="29"/>
      <c r="OTI104" s="29"/>
      <c r="OTJ104" s="29"/>
      <c r="OTK104" s="29"/>
      <c r="OTL104" s="29"/>
      <c r="OTM104" s="29"/>
      <c r="OTN104" s="29"/>
      <c r="OTO104" s="29"/>
      <c r="OTP104" s="29"/>
      <c r="OTQ104" s="29"/>
      <c r="OTR104" s="29"/>
      <c r="OTS104" s="29"/>
      <c r="OTT104" s="29"/>
      <c r="OTU104" s="29"/>
      <c r="OTV104" s="29"/>
      <c r="OTW104" s="29"/>
      <c r="OTX104" s="29"/>
      <c r="OTY104" s="29"/>
      <c r="OTZ104" s="29"/>
      <c r="OUA104" s="29"/>
      <c r="OUB104" s="29"/>
      <c r="OUC104" s="29"/>
      <c r="OUD104" s="29"/>
      <c r="OUE104" s="29"/>
      <c r="OUF104" s="29"/>
      <c r="OUG104" s="29"/>
      <c r="OUH104" s="29"/>
      <c r="OUI104" s="29"/>
      <c r="OUJ104" s="29"/>
      <c r="OUK104" s="29"/>
      <c r="OUL104" s="29"/>
      <c r="OUM104" s="29"/>
      <c r="OUN104" s="29"/>
      <c r="OUO104" s="29"/>
      <c r="OUP104" s="29"/>
      <c r="OUQ104" s="29"/>
      <c r="OUR104" s="29"/>
      <c r="OUS104" s="29"/>
      <c r="OUT104" s="29"/>
      <c r="OUU104" s="29"/>
      <c r="OUV104" s="29"/>
      <c r="OUW104" s="29"/>
      <c r="OUX104" s="29"/>
      <c r="OUY104" s="29"/>
      <c r="OUZ104" s="29"/>
      <c r="OVA104" s="29"/>
      <c r="OVB104" s="29"/>
      <c r="OVC104" s="29"/>
      <c r="OVD104" s="29"/>
      <c r="OVE104" s="29"/>
      <c r="OVF104" s="29"/>
      <c r="OVG104" s="29"/>
      <c r="OVH104" s="29"/>
      <c r="OVI104" s="29"/>
      <c r="OVJ104" s="29"/>
      <c r="OVK104" s="29"/>
      <c r="OVL104" s="29"/>
      <c r="OVM104" s="29"/>
      <c r="OVN104" s="29"/>
      <c r="OVO104" s="29"/>
      <c r="OVP104" s="29"/>
      <c r="OVQ104" s="29"/>
      <c r="OVR104" s="29"/>
      <c r="OVS104" s="29"/>
      <c r="OVT104" s="29"/>
      <c r="OVU104" s="29"/>
      <c r="OVV104" s="29"/>
      <c r="OVW104" s="29"/>
      <c r="OVX104" s="29"/>
      <c r="OVY104" s="29"/>
      <c r="OVZ104" s="29"/>
      <c r="OWA104" s="29"/>
      <c r="OWB104" s="29"/>
      <c r="OWC104" s="29"/>
      <c r="OWD104" s="29"/>
      <c r="OWE104" s="29"/>
      <c r="OWF104" s="29"/>
      <c r="OWG104" s="29"/>
      <c r="OWH104" s="29"/>
      <c r="OWI104" s="29"/>
      <c r="OWJ104" s="29"/>
      <c r="OWK104" s="29"/>
      <c r="OWL104" s="29"/>
      <c r="OWM104" s="29"/>
      <c r="OWN104" s="29"/>
      <c r="OWO104" s="29"/>
      <c r="OWP104" s="29"/>
      <c r="OWQ104" s="29"/>
      <c r="OWR104" s="29"/>
      <c r="OWS104" s="29"/>
      <c r="OWT104" s="29"/>
      <c r="OWU104" s="29"/>
      <c r="OWV104" s="29"/>
      <c r="OWW104" s="29"/>
      <c r="OWX104" s="29"/>
      <c r="OWY104" s="29"/>
      <c r="OWZ104" s="29"/>
      <c r="OXA104" s="29"/>
      <c r="OXB104" s="29"/>
      <c r="OXC104" s="29"/>
      <c r="OXD104" s="29"/>
      <c r="OXE104" s="29"/>
      <c r="OXF104" s="29"/>
      <c r="OXG104" s="29"/>
      <c r="OXH104" s="29"/>
      <c r="OXI104" s="29"/>
      <c r="OXJ104" s="29"/>
      <c r="OXK104" s="29"/>
      <c r="OXL104" s="29"/>
      <c r="OXM104" s="29"/>
      <c r="OXN104" s="29"/>
      <c r="OXO104" s="29"/>
      <c r="OXP104" s="29"/>
      <c r="OXQ104" s="29"/>
      <c r="OXR104" s="29"/>
      <c r="OXS104" s="29"/>
      <c r="OXT104" s="29"/>
      <c r="OXU104" s="29"/>
      <c r="OXV104" s="29"/>
      <c r="OXW104" s="29"/>
      <c r="OXX104" s="29"/>
      <c r="OXY104" s="29"/>
      <c r="OXZ104" s="29"/>
      <c r="OYA104" s="29"/>
      <c r="OYB104" s="29"/>
      <c r="OYC104" s="29"/>
      <c r="OYD104" s="29"/>
      <c r="OYE104" s="29"/>
      <c r="OYF104" s="29"/>
      <c r="OYG104" s="29"/>
      <c r="OYH104" s="29"/>
      <c r="OYI104" s="29"/>
      <c r="OYJ104" s="29"/>
      <c r="OYK104" s="29"/>
      <c r="OYL104" s="29"/>
      <c r="OYM104" s="29"/>
      <c r="OYN104" s="29"/>
      <c r="OYO104" s="29"/>
      <c r="OYP104" s="29"/>
      <c r="OYQ104" s="29"/>
      <c r="OYR104" s="29"/>
      <c r="OYS104" s="29"/>
      <c r="OYT104" s="29"/>
      <c r="OYU104" s="29"/>
      <c r="OYV104" s="29"/>
      <c r="OYW104" s="29"/>
      <c r="OYX104" s="29"/>
      <c r="OYY104" s="29"/>
      <c r="OYZ104" s="29"/>
      <c r="OZA104" s="29"/>
      <c r="OZB104" s="29"/>
      <c r="OZC104" s="29"/>
      <c r="OZD104" s="29"/>
      <c r="OZE104" s="29"/>
      <c r="OZF104" s="29"/>
      <c r="OZG104" s="29"/>
      <c r="OZH104" s="29"/>
      <c r="OZI104" s="29"/>
      <c r="OZJ104" s="29"/>
      <c r="OZK104" s="29"/>
      <c r="OZL104" s="29"/>
      <c r="OZM104" s="29"/>
      <c r="OZN104" s="29"/>
      <c r="OZO104" s="29"/>
      <c r="OZP104" s="29"/>
      <c r="OZQ104" s="29"/>
      <c r="OZR104" s="29"/>
      <c r="OZS104" s="29"/>
      <c r="OZT104" s="29"/>
      <c r="OZU104" s="29"/>
      <c r="OZV104" s="29"/>
      <c r="OZW104" s="29"/>
      <c r="OZX104" s="29"/>
      <c r="OZY104" s="29"/>
      <c r="OZZ104" s="29"/>
      <c r="PAA104" s="29"/>
      <c r="PAB104" s="29"/>
      <c r="PAC104" s="29"/>
      <c r="PAD104" s="29"/>
      <c r="PAE104" s="29"/>
      <c r="PAF104" s="29"/>
      <c r="PAG104" s="29"/>
      <c r="PAH104" s="29"/>
      <c r="PAI104" s="29"/>
      <c r="PAJ104" s="29"/>
      <c r="PAK104" s="29"/>
      <c r="PAL104" s="29"/>
      <c r="PAM104" s="29"/>
      <c r="PAN104" s="29"/>
      <c r="PAO104" s="29"/>
      <c r="PAP104" s="29"/>
      <c r="PAQ104" s="29"/>
      <c r="PAR104" s="29"/>
      <c r="PAS104" s="29"/>
      <c r="PAT104" s="29"/>
      <c r="PAU104" s="29"/>
      <c r="PAV104" s="29"/>
      <c r="PAW104" s="29"/>
      <c r="PAX104" s="29"/>
      <c r="PAY104" s="29"/>
      <c r="PAZ104" s="29"/>
      <c r="PBA104" s="29"/>
      <c r="PBB104" s="29"/>
      <c r="PBC104" s="29"/>
      <c r="PBD104" s="29"/>
      <c r="PBE104" s="29"/>
      <c r="PBF104" s="29"/>
      <c r="PBG104" s="29"/>
      <c r="PBH104" s="29"/>
      <c r="PBI104" s="29"/>
      <c r="PBJ104" s="29"/>
      <c r="PBK104" s="29"/>
      <c r="PBL104" s="29"/>
      <c r="PBM104" s="29"/>
      <c r="PBN104" s="29"/>
      <c r="PBO104" s="29"/>
      <c r="PBP104" s="29"/>
      <c r="PBQ104" s="29"/>
      <c r="PBR104" s="29"/>
      <c r="PBS104" s="29"/>
      <c r="PBT104" s="29"/>
      <c r="PBU104" s="29"/>
      <c r="PBV104" s="29"/>
      <c r="PBW104" s="29"/>
      <c r="PBX104" s="29"/>
      <c r="PBY104" s="29"/>
      <c r="PBZ104" s="29"/>
      <c r="PCA104" s="29"/>
      <c r="PCB104" s="29"/>
      <c r="PCC104" s="29"/>
      <c r="PCD104" s="29"/>
      <c r="PCE104" s="29"/>
      <c r="PCF104" s="29"/>
      <c r="PCG104" s="29"/>
      <c r="PCH104" s="29"/>
      <c r="PCI104" s="29"/>
      <c r="PCJ104" s="29"/>
      <c r="PCK104" s="29"/>
      <c r="PCL104" s="29"/>
      <c r="PCM104" s="29"/>
      <c r="PCN104" s="29"/>
      <c r="PCO104" s="29"/>
      <c r="PCP104" s="29"/>
      <c r="PCQ104" s="29"/>
      <c r="PCR104" s="29"/>
      <c r="PCS104" s="29"/>
      <c r="PCT104" s="29"/>
      <c r="PCU104" s="29"/>
      <c r="PCV104" s="29"/>
      <c r="PCW104" s="29"/>
      <c r="PCX104" s="29"/>
      <c r="PCY104" s="29"/>
      <c r="PCZ104" s="29"/>
      <c r="PDA104" s="29"/>
      <c r="PDB104" s="29"/>
      <c r="PDC104" s="29"/>
      <c r="PDD104" s="29"/>
      <c r="PDE104" s="29"/>
      <c r="PDF104" s="29"/>
      <c r="PDG104" s="29"/>
      <c r="PDH104" s="29"/>
      <c r="PDI104" s="29"/>
      <c r="PDJ104" s="29"/>
      <c r="PDK104" s="29"/>
      <c r="PDL104" s="29"/>
      <c r="PDM104" s="29"/>
      <c r="PDN104" s="29"/>
      <c r="PDO104" s="29"/>
      <c r="PDP104" s="29"/>
      <c r="PDQ104" s="29"/>
      <c r="PDR104" s="29"/>
      <c r="PDS104" s="29"/>
      <c r="PDT104" s="29"/>
      <c r="PDU104" s="29"/>
      <c r="PDV104" s="29"/>
      <c r="PDW104" s="29"/>
      <c r="PDX104" s="29"/>
      <c r="PDY104" s="29"/>
      <c r="PDZ104" s="29"/>
      <c r="PEA104" s="29"/>
      <c r="PEB104" s="29"/>
      <c r="PEC104" s="29"/>
      <c r="PED104" s="29"/>
      <c r="PEE104" s="29"/>
      <c r="PEF104" s="29"/>
      <c r="PEG104" s="29"/>
      <c r="PEH104" s="29"/>
      <c r="PEI104" s="29"/>
      <c r="PEJ104" s="29"/>
      <c r="PEK104" s="29"/>
      <c r="PEL104" s="29"/>
      <c r="PEM104" s="29"/>
      <c r="PEN104" s="29"/>
      <c r="PEO104" s="29"/>
      <c r="PEP104" s="29"/>
      <c r="PEQ104" s="29"/>
      <c r="PER104" s="29"/>
      <c r="PES104" s="29"/>
      <c r="PET104" s="29"/>
      <c r="PEU104" s="29"/>
      <c r="PEV104" s="29"/>
      <c r="PEW104" s="29"/>
      <c r="PEX104" s="29"/>
      <c r="PEY104" s="29"/>
      <c r="PEZ104" s="29"/>
      <c r="PFA104" s="29"/>
      <c r="PFB104" s="29"/>
      <c r="PFC104" s="29"/>
      <c r="PFD104" s="29"/>
      <c r="PFE104" s="29"/>
      <c r="PFF104" s="29"/>
      <c r="PFG104" s="29"/>
      <c r="PFH104" s="29"/>
      <c r="PFI104" s="29"/>
      <c r="PFJ104" s="29"/>
      <c r="PFK104" s="29"/>
      <c r="PFL104" s="29"/>
      <c r="PFM104" s="29"/>
      <c r="PFN104" s="29"/>
      <c r="PFO104" s="29"/>
      <c r="PFP104" s="29"/>
      <c r="PFQ104" s="29"/>
      <c r="PFR104" s="29"/>
      <c r="PFS104" s="29"/>
      <c r="PFT104" s="29"/>
      <c r="PFU104" s="29"/>
      <c r="PFV104" s="29"/>
      <c r="PFW104" s="29"/>
      <c r="PFX104" s="29"/>
      <c r="PFY104" s="29"/>
      <c r="PFZ104" s="29"/>
      <c r="PGA104" s="29"/>
      <c r="PGB104" s="29"/>
      <c r="PGC104" s="29"/>
      <c r="PGD104" s="29"/>
      <c r="PGE104" s="29"/>
      <c r="PGF104" s="29"/>
      <c r="PGG104" s="29"/>
      <c r="PGH104" s="29"/>
      <c r="PGI104" s="29"/>
      <c r="PGJ104" s="29"/>
      <c r="PGK104" s="29"/>
      <c r="PGL104" s="29"/>
      <c r="PGM104" s="29"/>
      <c r="PGN104" s="29"/>
      <c r="PGO104" s="29"/>
      <c r="PGP104" s="29"/>
      <c r="PGQ104" s="29"/>
      <c r="PGR104" s="29"/>
      <c r="PGS104" s="29"/>
      <c r="PGT104" s="29"/>
      <c r="PGU104" s="29"/>
      <c r="PGV104" s="29"/>
      <c r="PGW104" s="29"/>
      <c r="PGX104" s="29"/>
      <c r="PGY104" s="29"/>
      <c r="PGZ104" s="29"/>
      <c r="PHA104" s="29"/>
      <c r="PHB104" s="29"/>
      <c r="PHC104" s="29"/>
      <c r="PHD104" s="29"/>
      <c r="PHE104" s="29"/>
      <c r="PHF104" s="29"/>
      <c r="PHG104" s="29"/>
      <c r="PHH104" s="29"/>
      <c r="PHI104" s="29"/>
      <c r="PHJ104" s="29"/>
      <c r="PHK104" s="29"/>
      <c r="PHL104" s="29"/>
      <c r="PHM104" s="29"/>
      <c r="PHN104" s="29"/>
      <c r="PHO104" s="29"/>
      <c r="PHP104" s="29"/>
      <c r="PHQ104" s="29"/>
      <c r="PHR104" s="29"/>
      <c r="PHS104" s="29"/>
      <c r="PHT104" s="29"/>
      <c r="PHU104" s="29"/>
      <c r="PHV104" s="29"/>
      <c r="PHW104" s="29"/>
      <c r="PHX104" s="29"/>
      <c r="PHY104" s="29"/>
      <c r="PHZ104" s="29"/>
      <c r="PIA104" s="29"/>
      <c r="PIB104" s="29"/>
      <c r="PIC104" s="29"/>
      <c r="PID104" s="29"/>
      <c r="PIE104" s="29"/>
      <c r="PIF104" s="29"/>
      <c r="PIG104" s="29"/>
      <c r="PIH104" s="29"/>
      <c r="PII104" s="29"/>
      <c r="PIJ104" s="29"/>
      <c r="PIK104" s="29"/>
      <c r="PIL104" s="29"/>
      <c r="PIM104" s="29"/>
      <c r="PIN104" s="29"/>
      <c r="PIO104" s="29"/>
      <c r="PIP104" s="29"/>
      <c r="PIQ104" s="29"/>
      <c r="PIR104" s="29"/>
      <c r="PIS104" s="29"/>
      <c r="PIT104" s="29"/>
      <c r="PIU104" s="29"/>
      <c r="PIV104" s="29"/>
      <c r="PIW104" s="29"/>
      <c r="PIX104" s="29"/>
      <c r="PIY104" s="29"/>
      <c r="PIZ104" s="29"/>
      <c r="PJA104" s="29"/>
      <c r="PJB104" s="29"/>
      <c r="PJC104" s="29"/>
      <c r="PJD104" s="29"/>
      <c r="PJE104" s="29"/>
      <c r="PJF104" s="29"/>
      <c r="PJG104" s="29"/>
      <c r="PJH104" s="29"/>
      <c r="PJI104" s="29"/>
      <c r="PJJ104" s="29"/>
      <c r="PJK104" s="29"/>
      <c r="PJL104" s="29"/>
      <c r="PJM104" s="29"/>
      <c r="PJN104" s="29"/>
      <c r="PJO104" s="29"/>
      <c r="PJP104" s="29"/>
      <c r="PJQ104" s="29"/>
      <c r="PJR104" s="29"/>
      <c r="PJS104" s="29"/>
      <c r="PJT104" s="29"/>
      <c r="PJU104" s="29"/>
      <c r="PJV104" s="29"/>
      <c r="PJW104" s="29"/>
      <c r="PJX104" s="29"/>
      <c r="PJY104" s="29"/>
      <c r="PJZ104" s="29"/>
      <c r="PKA104" s="29"/>
      <c r="PKB104" s="29"/>
      <c r="PKC104" s="29"/>
      <c r="PKD104" s="29"/>
      <c r="PKE104" s="29"/>
      <c r="PKF104" s="29"/>
      <c r="PKG104" s="29"/>
      <c r="PKH104" s="29"/>
      <c r="PKI104" s="29"/>
      <c r="PKJ104" s="29"/>
      <c r="PKK104" s="29"/>
      <c r="PKL104" s="29"/>
      <c r="PKM104" s="29"/>
      <c r="PKN104" s="29"/>
      <c r="PKO104" s="29"/>
      <c r="PKP104" s="29"/>
      <c r="PKQ104" s="29"/>
      <c r="PKR104" s="29"/>
      <c r="PKS104" s="29"/>
      <c r="PKT104" s="29"/>
      <c r="PKU104" s="29"/>
      <c r="PKV104" s="29"/>
      <c r="PKW104" s="29"/>
      <c r="PKX104" s="29"/>
      <c r="PKY104" s="29"/>
      <c r="PKZ104" s="29"/>
      <c r="PLA104" s="29"/>
      <c r="PLB104" s="29"/>
      <c r="PLC104" s="29"/>
      <c r="PLD104" s="29"/>
      <c r="PLE104" s="29"/>
      <c r="PLF104" s="29"/>
      <c r="PLG104" s="29"/>
      <c r="PLH104" s="29"/>
      <c r="PLI104" s="29"/>
      <c r="PLJ104" s="29"/>
      <c r="PLK104" s="29"/>
      <c r="PLL104" s="29"/>
      <c r="PLM104" s="29"/>
      <c r="PLN104" s="29"/>
      <c r="PLO104" s="29"/>
      <c r="PLP104" s="29"/>
      <c r="PLQ104" s="29"/>
      <c r="PLR104" s="29"/>
      <c r="PLS104" s="29"/>
      <c r="PLT104" s="29"/>
      <c r="PLU104" s="29"/>
      <c r="PLV104" s="29"/>
      <c r="PLW104" s="29"/>
      <c r="PLX104" s="29"/>
      <c r="PLY104" s="29"/>
      <c r="PLZ104" s="29"/>
      <c r="PMA104" s="29"/>
      <c r="PMB104" s="29"/>
      <c r="PMC104" s="29"/>
      <c r="PMD104" s="29"/>
      <c r="PME104" s="29"/>
      <c r="PMF104" s="29"/>
      <c r="PMG104" s="29"/>
      <c r="PMH104" s="29"/>
      <c r="PMI104" s="29"/>
      <c r="PMJ104" s="29"/>
      <c r="PMK104" s="29"/>
      <c r="PML104" s="29"/>
      <c r="PMM104" s="29"/>
      <c r="PMN104" s="29"/>
      <c r="PMO104" s="29"/>
      <c r="PMP104" s="29"/>
      <c r="PMQ104" s="29"/>
      <c r="PMR104" s="29"/>
      <c r="PMS104" s="29"/>
      <c r="PMT104" s="29"/>
      <c r="PMU104" s="29"/>
      <c r="PMV104" s="29"/>
      <c r="PMW104" s="29"/>
      <c r="PMX104" s="29"/>
      <c r="PMY104" s="29"/>
      <c r="PMZ104" s="29"/>
      <c r="PNA104" s="29"/>
      <c r="PNB104" s="29"/>
      <c r="PNC104" s="29"/>
      <c r="PND104" s="29"/>
      <c r="PNE104" s="29"/>
      <c r="PNF104" s="29"/>
      <c r="PNG104" s="29"/>
      <c r="PNH104" s="29"/>
      <c r="PNI104" s="29"/>
      <c r="PNJ104" s="29"/>
      <c r="PNK104" s="29"/>
      <c r="PNL104" s="29"/>
      <c r="PNM104" s="29"/>
      <c r="PNN104" s="29"/>
      <c r="PNO104" s="29"/>
      <c r="PNP104" s="29"/>
      <c r="PNQ104" s="29"/>
      <c r="PNR104" s="29"/>
      <c r="PNS104" s="29"/>
      <c r="PNT104" s="29"/>
      <c r="PNU104" s="29"/>
      <c r="PNV104" s="29"/>
      <c r="PNW104" s="29"/>
      <c r="PNX104" s="29"/>
      <c r="PNY104" s="29"/>
      <c r="PNZ104" s="29"/>
      <c r="POA104" s="29"/>
      <c r="POB104" s="29"/>
      <c r="POC104" s="29"/>
      <c r="POD104" s="29"/>
      <c r="POE104" s="29"/>
      <c r="POF104" s="29"/>
      <c r="POG104" s="29"/>
      <c r="POH104" s="29"/>
      <c r="POI104" s="29"/>
      <c r="POJ104" s="29"/>
      <c r="POK104" s="29"/>
      <c r="POL104" s="29"/>
      <c r="POM104" s="29"/>
      <c r="PON104" s="29"/>
      <c r="POO104" s="29"/>
      <c r="POP104" s="29"/>
      <c r="POQ104" s="29"/>
      <c r="POR104" s="29"/>
      <c r="POS104" s="29"/>
      <c r="POT104" s="29"/>
      <c r="POU104" s="29"/>
      <c r="POV104" s="29"/>
      <c r="POW104" s="29"/>
      <c r="POX104" s="29"/>
      <c r="POY104" s="29"/>
      <c r="POZ104" s="29"/>
      <c r="PPA104" s="29"/>
      <c r="PPB104" s="29"/>
      <c r="PPC104" s="29"/>
      <c r="PPD104" s="29"/>
      <c r="PPE104" s="29"/>
      <c r="PPF104" s="29"/>
      <c r="PPG104" s="29"/>
      <c r="PPH104" s="29"/>
      <c r="PPI104" s="29"/>
      <c r="PPJ104" s="29"/>
      <c r="PPK104" s="29"/>
      <c r="PPL104" s="29"/>
      <c r="PPM104" s="29"/>
      <c r="PPN104" s="29"/>
      <c r="PPO104" s="29"/>
      <c r="PPP104" s="29"/>
      <c r="PPQ104" s="29"/>
      <c r="PPR104" s="29"/>
      <c r="PPS104" s="29"/>
      <c r="PPT104" s="29"/>
      <c r="PPU104" s="29"/>
      <c r="PPV104" s="29"/>
      <c r="PPW104" s="29"/>
      <c r="PPX104" s="29"/>
      <c r="PPY104" s="29"/>
      <c r="PPZ104" s="29"/>
      <c r="PQA104" s="29"/>
      <c r="PQB104" s="29"/>
      <c r="PQC104" s="29"/>
      <c r="PQD104" s="29"/>
      <c r="PQE104" s="29"/>
      <c r="PQF104" s="29"/>
      <c r="PQG104" s="29"/>
      <c r="PQH104" s="29"/>
      <c r="PQI104" s="29"/>
      <c r="PQJ104" s="29"/>
      <c r="PQK104" s="29"/>
      <c r="PQL104" s="29"/>
      <c r="PQM104" s="29"/>
      <c r="PQN104" s="29"/>
      <c r="PQO104" s="29"/>
      <c r="PQP104" s="29"/>
      <c r="PQQ104" s="29"/>
      <c r="PQR104" s="29"/>
      <c r="PQS104" s="29"/>
      <c r="PQT104" s="29"/>
      <c r="PQU104" s="29"/>
      <c r="PQV104" s="29"/>
      <c r="PQW104" s="29"/>
      <c r="PQX104" s="29"/>
      <c r="PQY104" s="29"/>
      <c r="PQZ104" s="29"/>
      <c r="PRA104" s="29"/>
      <c r="PRB104" s="29"/>
      <c r="PRC104" s="29"/>
      <c r="PRD104" s="29"/>
      <c r="PRE104" s="29"/>
      <c r="PRF104" s="29"/>
      <c r="PRG104" s="29"/>
      <c r="PRH104" s="29"/>
      <c r="PRI104" s="29"/>
      <c r="PRJ104" s="29"/>
      <c r="PRK104" s="29"/>
      <c r="PRL104" s="29"/>
      <c r="PRM104" s="29"/>
      <c r="PRN104" s="29"/>
      <c r="PRO104" s="29"/>
      <c r="PRP104" s="29"/>
      <c r="PRQ104" s="29"/>
      <c r="PRR104" s="29"/>
      <c r="PRS104" s="29"/>
      <c r="PRT104" s="29"/>
      <c r="PRU104" s="29"/>
      <c r="PRV104" s="29"/>
      <c r="PRW104" s="29"/>
      <c r="PRX104" s="29"/>
      <c r="PRY104" s="29"/>
      <c r="PRZ104" s="29"/>
      <c r="PSA104" s="29"/>
      <c r="PSB104" s="29"/>
      <c r="PSC104" s="29"/>
      <c r="PSD104" s="29"/>
      <c r="PSE104" s="29"/>
      <c r="PSF104" s="29"/>
      <c r="PSG104" s="29"/>
      <c r="PSH104" s="29"/>
      <c r="PSI104" s="29"/>
      <c r="PSJ104" s="29"/>
      <c r="PSK104" s="29"/>
      <c r="PSL104" s="29"/>
      <c r="PSM104" s="29"/>
      <c r="PSN104" s="29"/>
      <c r="PSO104" s="29"/>
      <c r="PSP104" s="29"/>
      <c r="PSQ104" s="29"/>
      <c r="PSR104" s="29"/>
      <c r="PSS104" s="29"/>
      <c r="PST104" s="29"/>
      <c r="PSU104" s="29"/>
      <c r="PSV104" s="29"/>
      <c r="PSW104" s="29"/>
      <c r="PSX104" s="29"/>
      <c r="PSY104" s="29"/>
      <c r="PSZ104" s="29"/>
      <c r="PTA104" s="29"/>
      <c r="PTB104" s="29"/>
      <c r="PTC104" s="29"/>
      <c r="PTD104" s="29"/>
      <c r="PTE104" s="29"/>
      <c r="PTF104" s="29"/>
      <c r="PTG104" s="29"/>
      <c r="PTH104" s="29"/>
      <c r="PTI104" s="29"/>
      <c r="PTJ104" s="29"/>
      <c r="PTK104" s="29"/>
      <c r="PTL104" s="29"/>
      <c r="PTM104" s="29"/>
      <c r="PTN104" s="29"/>
      <c r="PTO104" s="29"/>
      <c r="PTP104" s="29"/>
      <c r="PTQ104" s="29"/>
      <c r="PTR104" s="29"/>
      <c r="PTS104" s="29"/>
      <c r="PTT104" s="29"/>
      <c r="PTU104" s="29"/>
      <c r="PTV104" s="29"/>
      <c r="PTW104" s="29"/>
      <c r="PTX104" s="29"/>
      <c r="PTY104" s="29"/>
      <c r="PTZ104" s="29"/>
      <c r="PUA104" s="29"/>
      <c r="PUB104" s="29"/>
      <c r="PUC104" s="29"/>
      <c r="PUD104" s="29"/>
      <c r="PUE104" s="29"/>
      <c r="PUF104" s="29"/>
      <c r="PUG104" s="29"/>
      <c r="PUH104" s="29"/>
      <c r="PUI104" s="29"/>
      <c r="PUJ104" s="29"/>
      <c r="PUK104" s="29"/>
      <c r="PUL104" s="29"/>
      <c r="PUM104" s="29"/>
      <c r="PUN104" s="29"/>
      <c r="PUO104" s="29"/>
      <c r="PUP104" s="29"/>
      <c r="PUQ104" s="29"/>
      <c r="PUR104" s="29"/>
      <c r="PUS104" s="29"/>
      <c r="PUT104" s="29"/>
      <c r="PUU104" s="29"/>
      <c r="PUV104" s="29"/>
      <c r="PUW104" s="29"/>
      <c r="PUX104" s="29"/>
      <c r="PUY104" s="29"/>
      <c r="PUZ104" s="29"/>
      <c r="PVA104" s="29"/>
      <c r="PVB104" s="29"/>
      <c r="PVC104" s="29"/>
      <c r="PVD104" s="29"/>
      <c r="PVE104" s="29"/>
      <c r="PVF104" s="29"/>
      <c r="PVG104" s="29"/>
      <c r="PVH104" s="29"/>
      <c r="PVI104" s="29"/>
      <c r="PVJ104" s="29"/>
      <c r="PVK104" s="29"/>
      <c r="PVL104" s="29"/>
      <c r="PVM104" s="29"/>
      <c r="PVN104" s="29"/>
      <c r="PVO104" s="29"/>
      <c r="PVP104" s="29"/>
      <c r="PVQ104" s="29"/>
      <c r="PVR104" s="29"/>
      <c r="PVS104" s="29"/>
      <c r="PVT104" s="29"/>
      <c r="PVU104" s="29"/>
      <c r="PVV104" s="29"/>
      <c r="PVW104" s="29"/>
      <c r="PVX104" s="29"/>
      <c r="PVY104" s="29"/>
      <c r="PVZ104" s="29"/>
      <c r="PWA104" s="29"/>
      <c r="PWB104" s="29"/>
      <c r="PWC104" s="29"/>
      <c r="PWD104" s="29"/>
      <c r="PWE104" s="29"/>
      <c r="PWF104" s="29"/>
      <c r="PWG104" s="29"/>
      <c r="PWH104" s="29"/>
      <c r="PWI104" s="29"/>
      <c r="PWJ104" s="29"/>
      <c r="PWK104" s="29"/>
      <c r="PWL104" s="29"/>
      <c r="PWM104" s="29"/>
      <c r="PWN104" s="29"/>
      <c r="PWO104" s="29"/>
      <c r="PWP104" s="29"/>
      <c r="PWQ104" s="29"/>
      <c r="PWR104" s="29"/>
      <c r="PWS104" s="29"/>
      <c r="PWT104" s="29"/>
      <c r="PWU104" s="29"/>
      <c r="PWV104" s="29"/>
      <c r="PWW104" s="29"/>
      <c r="PWX104" s="29"/>
      <c r="PWY104" s="29"/>
      <c r="PWZ104" s="29"/>
      <c r="PXA104" s="29"/>
      <c r="PXB104" s="29"/>
      <c r="PXC104" s="29"/>
      <c r="PXD104" s="29"/>
      <c r="PXE104" s="29"/>
      <c r="PXF104" s="29"/>
      <c r="PXG104" s="29"/>
      <c r="PXH104" s="29"/>
      <c r="PXI104" s="29"/>
      <c r="PXJ104" s="29"/>
      <c r="PXK104" s="29"/>
      <c r="PXL104" s="29"/>
      <c r="PXM104" s="29"/>
      <c r="PXN104" s="29"/>
      <c r="PXO104" s="29"/>
      <c r="PXP104" s="29"/>
      <c r="PXQ104" s="29"/>
      <c r="PXR104" s="29"/>
      <c r="PXS104" s="29"/>
      <c r="PXT104" s="29"/>
      <c r="PXU104" s="29"/>
      <c r="PXV104" s="29"/>
      <c r="PXW104" s="29"/>
      <c r="PXX104" s="29"/>
      <c r="PXY104" s="29"/>
      <c r="PXZ104" s="29"/>
      <c r="PYA104" s="29"/>
      <c r="PYB104" s="29"/>
      <c r="PYC104" s="29"/>
      <c r="PYD104" s="29"/>
      <c r="PYE104" s="29"/>
      <c r="PYF104" s="29"/>
      <c r="PYG104" s="29"/>
      <c r="PYH104" s="29"/>
      <c r="PYI104" s="29"/>
      <c r="PYJ104" s="29"/>
      <c r="PYK104" s="29"/>
      <c r="PYL104" s="29"/>
      <c r="PYM104" s="29"/>
      <c r="PYN104" s="29"/>
      <c r="PYO104" s="29"/>
      <c r="PYP104" s="29"/>
      <c r="PYQ104" s="29"/>
      <c r="PYR104" s="29"/>
      <c r="PYS104" s="29"/>
      <c r="PYT104" s="29"/>
      <c r="PYU104" s="29"/>
      <c r="PYV104" s="29"/>
      <c r="PYW104" s="29"/>
      <c r="PYX104" s="29"/>
      <c r="PYY104" s="29"/>
      <c r="PYZ104" s="29"/>
      <c r="PZA104" s="29"/>
      <c r="PZB104" s="29"/>
      <c r="PZC104" s="29"/>
      <c r="PZD104" s="29"/>
      <c r="PZE104" s="29"/>
      <c r="PZF104" s="29"/>
      <c r="PZG104" s="29"/>
      <c r="PZH104" s="29"/>
      <c r="PZI104" s="29"/>
      <c r="PZJ104" s="29"/>
      <c r="PZK104" s="29"/>
      <c r="PZL104" s="29"/>
      <c r="PZM104" s="29"/>
      <c r="PZN104" s="29"/>
      <c r="PZO104" s="29"/>
      <c r="PZP104" s="29"/>
      <c r="PZQ104" s="29"/>
      <c r="PZR104" s="29"/>
      <c r="PZS104" s="29"/>
      <c r="PZT104" s="29"/>
      <c r="PZU104" s="29"/>
      <c r="PZV104" s="29"/>
      <c r="PZW104" s="29"/>
      <c r="PZX104" s="29"/>
      <c r="PZY104" s="29"/>
      <c r="PZZ104" s="29"/>
      <c r="QAA104" s="29"/>
      <c r="QAB104" s="29"/>
      <c r="QAC104" s="29"/>
      <c r="QAD104" s="29"/>
      <c r="QAE104" s="29"/>
      <c r="QAF104" s="29"/>
      <c r="QAG104" s="29"/>
      <c r="QAH104" s="29"/>
      <c r="QAI104" s="29"/>
      <c r="QAJ104" s="29"/>
      <c r="QAK104" s="29"/>
      <c r="QAL104" s="29"/>
      <c r="QAM104" s="29"/>
      <c r="QAN104" s="29"/>
      <c r="QAO104" s="29"/>
      <c r="QAP104" s="29"/>
      <c r="QAQ104" s="29"/>
      <c r="QAR104" s="29"/>
      <c r="QAS104" s="29"/>
      <c r="QAT104" s="29"/>
      <c r="QAU104" s="29"/>
      <c r="QAV104" s="29"/>
      <c r="QAW104" s="29"/>
      <c r="QAX104" s="29"/>
      <c r="QAY104" s="29"/>
      <c r="QAZ104" s="29"/>
      <c r="QBA104" s="29"/>
      <c r="QBB104" s="29"/>
      <c r="QBC104" s="29"/>
      <c r="QBD104" s="29"/>
      <c r="QBE104" s="29"/>
      <c r="QBF104" s="29"/>
      <c r="QBG104" s="29"/>
      <c r="QBH104" s="29"/>
      <c r="QBI104" s="29"/>
      <c r="QBJ104" s="29"/>
      <c r="QBK104" s="29"/>
      <c r="QBL104" s="29"/>
      <c r="QBM104" s="29"/>
      <c r="QBN104" s="29"/>
      <c r="QBO104" s="29"/>
      <c r="QBP104" s="29"/>
      <c r="QBQ104" s="29"/>
      <c r="QBR104" s="29"/>
      <c r="QBS104" s="29"/>
      <c r="QBT104" s="29"/>
      <c r="QBU104" s="29"/>
      <c r="QBV104" s="29"/>
      <c r="QBW104" s="29"/>
      <c r="QBX104" s="29"/>
      <c r="QBY104" s="29"/>
      <c r="QBZ104" s="29"/>
      <c r="QCA104" s="29"/>
      <c r="QCB104" s="29"/>
      <c r="QCC104" s="29"/>
      <c r="QCD104" s="29"/>
      <c r="QCE104" s="29"/>
      <c r="QCF104" s="29"/>
      <c r="QCG104" s="29"/>
      <c r="QCH104" s="29"/>
      <c r="QCI104" s="29"/>
      <c r="QCJ104" s="29"/>
      <c r="QCK104" s="29"/>
      <c r="QCL104" s="29"/>
      <c r="QCM104" s="29"/>
      <c r="QCN104" s="29"/>
      <c r="QCO104" s="29"/>
      <c r="QCP104" s="29"/>
      <c r="QCQ104" s="29"/>
      <c r="QCR104" s="29"/>
      <c r="QCS104" s="29"/>
      <c r="QCT104" s="29"/>
      <c r="QCU104" s="29"/>
      <c r="QCV104" s="29"/>
      <c r="QCW104" s="29"/>
      <c r="QCX104" s="29"/>
      <c r="QCY104" s="29"/>
      <c r="QCZ104" s="29"/>
      <c r="QDA104" s="29"/>
      <c r="QDB104" s="29"/>
      <c r="QDC104" s="29"/>
      <c r="QDD104" s="29"/>
      <c r="QDE104" s="29"/>
      <c r="QDF104" s="29"/>
      <c r="QDG104" s="29"/>
      <c r="QDH104" s="29"/>
      <c r="QDI104" s="29"/>
      <c r="QDJ104" s="29"/>
      <c r="QDK104" s="29"/>
      <c r="QDL104" s="29"/>
      <c r="QDM104" s="29"/>
      <c r="QDN104" s="29"/>
      <c r="QDO104" s="29"/>
      <c r="QDP104" s="29"/>
      <c r="QDQ104" s="29"/>
      <c r="QDR104" s="29"/>
      <c r="QDS104" s="29"/>
      <c r="QDT104" s="29"/>
      <c r="QDU104" s="29"/>
      <c r="QDV104" s="29"/>
      <c r="QDW104" s="29"/>
      <c r="QDX104" s="29"/>
      <c r="QDY104" s="29"/>
      <c r="QDZ104" s="29"/>
      <c r="QEA104" s="29"/>
      <c r="QEB104" s="29"/>
      <c r="QEC104" s="29"/>
      <c r="QED104" s="29"/>
      <c r="QEE104" s="29"/>
      <c r="QEF104" s="29"/>
      <c r="QEG104" s="29"/>
      <c r="QEH104" s="29"/>
      <c r="QEI104" s="29"/>
      <c r="QEJ104" s="29"/>
      <c r="QEK104" s="29"/>
      <c r="QEL104" s="29"/>
      <c r="QEM104" s="29"/>
      <c r="QEN104" s="29"/>
      <c r="QEO104" s="29"/>
      <c r="QEP104" s="29"/>
      <c r="QEQ104" s="29"/>
      <c r="QER104" s="29"/>
      <c r="QES104" s="29"/>
      <c r="QET104" s="29"/>
      <c r="QEU104" s="29"/>
      <c r="QEV104" s="29"/>
      <c r="QEW104" s="29"/>
      <c r="QEX104" s="29"/>
      <c r="QEY104" s="29"/>
      <c r="QEZ104" s="29"/>
      <c r="QFA104" s="29"/>
      <c r="QFB104" s="29"/>
      <c r="QFC104" s="29"/>
      <c r="QFD104" s="29"/>
      <c r="QFE104" s="29"/>
      <c r="QFF104" s="29"/>
      <c r="QFG104" s="29"/>
      <c r="QFH104" s="29"/>
      <c r="QFI104" s="29"/>
      <c r="QFJ104" s="29"/>
      <c r="QFK104" s="29"/>
      <c r="QFL104" s="29"/>
      <c r="QFM104" s="29"/>
      <c r="QFN104" s="29"/>
      <c r="QFO104" s="29"/>
      <c r="QFP104" s="29"/>
      <c r="QFQ104" s="29"/>
      <c r="QFR104" s="29"/>
      <c r="QFS104" s="29"/>
      <c r="QFT104" s="29"/>
      <c r="QFU104" s="29"/>
      <c r="QFV104" s="29"/>
      <c r="QFW104" s="29"/>
      <c r="QFX104" s="29"/>
      <c r="QFY104" s="29"/>
      <c r="QFZ104" s="29"/>
      <c r="QGA104" s="29"/>
      <c r="QGB104" s="29"/>
      <c r="QGC104" s="29"/>
      <c r="QGD104" s="29"/>
      <c r="QGE104" s="29"/>
      <c r="QGF104" s="29"/>
      <c r="QGG104" s="29"/>
      <c r="QGH104" s="29"/>
      <c r="QGI104" s="29"/>
      <c r="QGJ104" s="29"/>
      <c r="QGK104" s="29"/>
      <c r="QGL104" s="29"/>
      <c r="QGM104" s="29"/>
      <c r="QGN104" s="29"/>
      <c r="QGO104" s="29"/>
      <c r="QGP104" s="29"/>
      <c r="QGQ104" s="29"/>
      <c r="QGR104" s="29"/>
      <c r="QGS104" s="29"/>
      <c r="QGT104" s="29"/>
      <c r="QGU104" s="29"/>
      <c r="QGV104" s="29"/>
      <c r="QGW104" s="29"/>
      <c r="QGX104" s="29"/>
      <c r="QGY104" s="29"/>
      <c r="QGZ104" s="29"/>
      <c r="QHA104" s="29"/>
      <c r="QHB104" s="29"/>
      <c r="QHC104" s="29"/>
      <c r="QHD104" s="29"/>
      <c r="QHE104" s="29"/>
      <c r="QHF104" s="29"/>
      <c r="QHG104" s="29"/>
      <c r="QHH104" s="29"/>
      <c r="QHI104" s="29"/>
      <c r="QHJ104" s="29"/>
      <c r="QHK104" s="29"/>
      <c r="QHL104" s="29"/>
      <c r="QHM104" s="29"/>
      <c r="QHN104" s="29"/>
      <c r="QHO104" s="29"/>
      <c r="QHP104" s="29"/>
      <c r="QHQ104" s="29"/>
      <c r="QHR104" s="29"/>
      <c r="QHS104" s="29"/>
      <c r="QHT104" s="29"/>
      <c r="QHU104" s="29"/>
      <c r="QHV104" s="29"/>
      <c r="QHW104" s="29"/>
      <c r="QHX104" s="29"/>
      <c r="QHY104" s="29"/>
      <c r="QHZ104" s="29"/>
      <c r="QIA104" s="29"/>
      <c r="QIB104" s="29"/>
      <c r="QIC104" s="29"/>
      <c r="QID104" s="29"/>
      <c r="QIE104" s="29"/>
      <c r="QIF104" s="29"/>
      <c r="QIG104" s="29"/>
      <c r="QIH104" s="29"/>
      <c r="QII104" s="29"/>
      <c r="QIJ104" s="29"/>
      <c r="QIK104" s="29"/>
      <c r="QIL104" s="29"/>
      <c r="QIM104" s="29"/>
      <c r="QIN104" s="29"/>
      <c r="QIO104" s="29"/>
      <c r="QIP104" s="29"/>
      <c r="QIQ104" s="29"/>
      <c r="QIR104" s="29"/>
      <c r="QIS104" s="29"/>
      <c r="QIT104" s="29"/>
      <c r="QIU104" s="29"/>
      <c r="QIV104" s="29"/>
      <c r="QIW104" s="29"/>
      <c r="QIX104" s="29"/>
      <c r="QIY104" s="29"/>
      <c r="QIZ104" s="29"/>
      <c r="QJA104" s="29"/>
      <c r="QJB104" s="29"/>
      <c r="QJC104" s="29"/>
      <c r="QJD104" s="29"/>
      <c r="QJE104" s="29"/>
      <c r="QJF104" s="29"/>
      <c r="QJG104" s="29"/>
      <c r="QJH104" s="29"/>
      <c r="QJI104" s="29"/>
      <c r="QJJ104" s="29"/>
      <c r="QJK104" s="29"/>
      <c r="QJL104" s="29"/>
      <c r="QJM104" s="29"/>
      <c r="QJN104" s="29"/>
      <c r="QJO104" s="29"/>
      <c r="QJP104" s="29"/>
      <c r="QJQ104" s="29"/>
      <c r="QJR104" s="29"/>
      <c r="QJS104" s="29"/>
      <c r="QJT104" s="29"/>
      <c r="QJU104" s="29"/>
      <c r="QJV104" s="29"/>
      <c r="QJW104" s="29"/>
      <c r="QJX104" s="29"/>
      <c r="QJY104" s="29"/>
      <c r="QJZ104" s="29"/>
      <c r="QKA104" s="29"/>
      <c r="QKB104" s="29"/>
      <c r="QKC104" s="29"/>
      <c r="QKD104" s="29"/>
      <c r="QKE104" s="29"/>
      <c r="QKF104" s="29"/>
      <c r="QKG104" s="29"/>
      <c r="QKH104" s="29"/>
      <c r="QKI104" s="29"/>
      <c r="QKJ104" s="29"/>
      <c r="QKK104" s="29"/>
      <c r="QKL104" s="29"/>
      <c r="QKM104" s="29"/>
      <c r="QKN104" s="29"/>
      <c r="QKO104" s="29"/>
      <c r="QKP104" s="29"/>
      <c r="QKQ104" s="29"/>
      <c r="QKR104" s="29"/>
      <c r="QKS104" s="29"/>
      <c r="QKT104" s="29"/>
      <c r="QKU104" s="29"/>
      <c r="QKV104" s="29"/>
      <c r="QKW104" s="29"/>
      <c r="QKX104" s="29"/>
      <c r="QKY104" s="29"/>
      <c r="QKZ104" s="29"/>
      <c r="QLA104" s="29"/>
      <c r="QLB104" s="29"/>
      <c r="QLC104" s="29"/>
      <c r="QLD104" s="29"/>
      <c r="QLE104" s="29"/>
      <c r="QLF104" s="29"/>
      <c r="QLG104" s="29"/>
      <c r="QLH104" s="29"/>
      <c r="QLI104" s="29"/>
      <c r="QLJ104" s="29"/>
      <c r="QLK104" s="29"/>
      <c r="QLL104" s="29"/>
      <c r="QLM104" s="29"/>
      <c r="QLN104" s="29"/>
      <c r="QLO104" s="29"/>
      <c r="QLP104" s="29"/>
      <c r="QLQ104" s="29"/>
      <c r="QLR104" s="29"/>
      <c r="QLS104" s="29"/>
      <c r="QLT104" s="29"/>
      <c r="QLU104" s="29"/>
      <c r="QLV104" s="29"/>
      <c r="QLW104" s="29"/>
      <c r="QLX104" s="29"/>
      <c r="QLY104" s="29"/>
      <c r="QLZ104" s="29"/>
      <c r="QMA104" s="29"/>
      <c r="QMB104" s="29"/>
      <c r="QMC104" s="29"/>
      <c r="QMD104" s="29"/>
      <c r="QME104" s="29"/>
      <c r="QMF104" s="29"/>
      <c r="QMG104" s="29"/>
      <c r="QMH104" s="29"/>
      <c r="QMI104" s="29"/>
      <c r="QMJ104" s="29"/>
      <c r="QMK104" s="29"/>
      <c r="QML104" s="29"/>
      <c r="QMM104" s="29"/>
      <c r="QMN104" s="29"/>
      <c r="QMO104" s="29"/>
      <c r="QMP104" s="29"/>
      <c r="QMQ104" s="29"/>
      <c r="QMR104" s="29"/>
      <c r="QMS104" s="29"/>
      <c r="QMT104" s="29"/>
      <c r="QMU104" s="29"/>
      <c r="QMV104" s="29"/>
      <c r="QMW104" s="29"/>
      <c r="QMX104" s="29"/>
      <c r="QMY104" s="29"/>
      <c r="QMZ104" s="29"/>
      <c r="QNA104" s="29"/>
      <c r="QNB104" s="29"/>
      <c r="QNC104" s="29"/>
      <c r="QND104" s="29"/>
      <c r="QNE104" s="29"/>
      <c r="QNF104" s="29"/>
      <c r="QNG104" s="29"/>
      <c r="QNH104" s="29"/>
      <c r="QNI104" s="29"/>
      <c r="QNJ104" s="29"/>
      <c r="QNK104" s="29"/>
      <c r="QNL104" s="29"/>
      <c r="QNM104" s="29"/>
      <c r="QNN104" s="29"/>
      <c r="QNO104" s="29"/>
      <c r="QNP104" s="29"/>
      <c r="QNQ104" s="29"/>
      <c r="QNR104" s="29"/>
      <c r="QNS104" s="29"/>
      <c r="QNT104" s="29"/>
      <c r="QNU104" s="29"/>
      <c r="QNV104" s="29"/>
      <c r="QNW104" s="29"/>
      <c r="QNX104" s="29"/>
      <c r="QNY104" s="29"/>
      <c r="QNZ104" s="29"/>
      <c r="QOA104" s="29"/>
      <c r="QOB104" s="29"/>
      <c r="QOC104" s="29"/>
      <c r="QOD104" s="29"/>
      <c r="QOE104" s="29"/>
      <c r="QOF104" s="29"/>
      <c r="QOG104" s="29"/>
      <c r="QOH104" s="29"/>
      <c r="QOI104" s="29"/>
      <c r="QOJ104" s="29"/>
      <c r="QOK104" s="29"/>
      <c r="QOL104" s="29"/>
      <c r="QOM104" s="29"/>
      <c r="QON104" s="29"/>
      <c r="QOO104" s="29"/>
      <c r="QOP104" s="29"/>
      <c r="QOQ104" s="29"/>
      <c r="QOR104" s="29"/>
      <c r="QOS104" s="29"/>
      <c r="QOT104" s="29"/>
      <c r="QOU104" s="29"/>
      <c r="QOV104" s="29"/>
      <c r="QOW104" s="29"/>
      <c r="QOX104" s="29"/>
      <c r="QOY104" s="29"/>
      <c r="QOZ104" s="29"/>
      <c r="QPA104" s="29"/>
      <c r="QPB104" s="29"/>
      <c r="QPC104" s="29"/>
      <c r="QPD104" s="29"/>
      <c r="QPE104" s="29"/>
      <c r="QPF104" s="29"/>
      <c r="QPG104" s="29"/>
      <c r="QPH104" s="29"/>
      <c r="QPI104" s="29"/>
      <c r="QPJ104" s="29"/>
      <c r="QPK104" s="29"/>
      <c r="QPL104" s="29"/>
      <c r="QPM104" s="29"/>
      <c r="QPN104" s="29"/>
      <c r="QPO104" s="29"/>
      <c r="QPP104" s="29"/>
      <c r="QPQ104" s="29"/>
      <c r="QPR104" s="29"/>
      <c r="QPS104" s="29"/>
      <c r="QPT104" s="29"/>
      <c r="QPU104" s="29"/>
      <c r="QPV104" s="29"/>
      <c r="QPW104" s="29"/>
      <c r="QPX104" s="29"/>
      <c r="QPY104" s="29"/>
      <c r="QPZ104" s="29"/>
      <c r="QQA104" s="29"/>
      <c r="QQB104" s="29"/>
      <c r="QQC104" s="29"/>
      <c r="QQD104" s="29"/>
      <c r="QQE104" s="29"/>
      <c r="QQF104" s="29"/>
      <c r="QQG104" s="29"/>
      <c r="QQH104" s="29"/>
      <c r="QQI104" s="29"/>
      <c r="QQJ104" s="29"/>
      <c r="QQK104" s="29"/>
      <c r="QQL104" s="29"/>
      <c r="QQM104" s="29"/>
      <c r="QQN104" s="29"/>
      <c r="QQO104" s="29"/>
      <c r="QQP104" s="29"/>
      <c r="QQQ104" s="29"/>
      <c r="QQR104" s="29"/>
      <c r="QQS104" s="29"/>
      <c r="QQT104" s="29"/>
      <c r="QQU104" s="29"/>
      <c r="QQV104" s="29"/>
      <c r="QQW104" s="29"/>
      <c r="QQX104" s="29"/>
      <c r="QQY104" s="29"/>
      <c r="QQZ104" s="29"/>
      <c r="QRA104" s="29"/>
      <c r="QRB104" s="29"/>
      <c r="QRC104" s="29"/>
      <c r="QRD104" s="29"/>
      <c r="QRE104" s="29"/>
      <c r="QRF104" s="29"/>
      <c r="QRG104" s="29"/>
      <c r="QRH104" s="29"/>
      <c r="QRI104" s="29"/>
      <c r="QRJ104" s="29"/>
      <c r="QRK104" s="29"/>
      <c r="QRL104" s="29"/>
      <c r="QRM104" s="29"/>
      <c r="QRN104" s="29"/>
      <c r="QRO104" s="29"/>
      <c r="QRP104" s="29"/>
      <c r="QRQ104" s="29"/>
      <c r="QRR104" s="29"/>
      <c r="QRS104" s="29"/>
      <c r="QRT104" s="29"/>
      <c r="QRU104" s="29"/>
      <c r="QRV104" s="29"/>
      <c r="QRW104" s="29"/>
      <c r="QRX104" s="29"/>
      <c r="QRY104" s="29"/>
      <c r="QRZ104" s="29"/>
      <c r="QSA104" s="29"/>
      <c r="QSB104" s="29"/>
      <c r="QSC104" s="29"/>
      <c r="QSD104" s="29"/>
      <c r="QSE104" s="29"/>
      <c r="QSF104" s="29"/>
      <c r="QSG104" s="29"/>
      <c r="QSH104" s="29"/>
      <c r="QSI104" s="29"/>
      <c r="QSJ104" s="29"/>
      <c r="QSK104" s="29"/>
      <c r="QSL104" s="29"/>
      <c r="QSM104" s="29"/>
      <c r="QSN104" s="29"/>
      <c r="QSO104" s="29"/>
      <c r="QSP104" s="29"/>
      <c r="QSQ104" s="29"/>
      <c r="QSR104" s="29"/>
      <c r="QSS104" s="29"/>
      <c r="QST104" s="29"/>
      <c r="QSU104" s="29"/>
      <c r="QSV104" s="29"/>
      <c r="QSW104" s="29"/>
      <c r="QSX104" s="29"/>
      <c r="QSY104" s="29"/>
      <c r="QSZ104" s="29"/>
      <c r="QTA104" s="29"/>
      <c r="QTB104" s="29"/>
      <c r="QTC104" s="29"/>
      <c r="QTD104" s="29"/>
      <c r="QTE104" s="29"/>
      <c r="QTF104" s="29"/>
      <c r="QTG104" s="29"/>
      <c r="QTH104" s="29"/>
      <c r="QTI104" s="29"/>
      <c r="QTJ104" s="29"/>
      <c r="QTK104" s="29"/>
      <c r="QTL104" s="29"/>
      <c r="QTM104" s="29"/>
      <c r="QTN104" s="29"/>
      <c r="QTO104" s="29"/>
      <c r="QTP104" s="29"/>
      <c r="QTQ104" s="29"/>
      <c r="QTR104" s="29"/>
      <c r="QTS104" s="29"/>
      <c r="QTT104" s="29"/>
      <c r="QTU104" s="29"/>
      <c r="QTV104" s="29"/>
      <c r="QTW104" s="29"/>
      <c r="QTX104" s="29"/>
      <c r="QTY104" s="29"/>
      <c r="QTZ104" s="29"/>
      <c r="QUA104" s="29"/>
      <c r="QUB104" s="29"/>
      <c r="QUC104" s="29"/>
      <c r="QUD104" s="29"/>
      <c r="QUE104" s="29"/>
      <c r="QUF104" s="29"/>
      <c r="QUG104" s="29"/>
      <c r="QUH104" s="29"/>
      <c r="QUI104" s="29"/>
      <c r="QUJ104" s="29"/>
      <c r="QUK104" s="29"/>
      <c r="QUL104" s="29"/>
      <c r="QUM104" s="29"/>
      <c r="QUN104" s="29"/>
      <c r="QUO104" s="29"/>
      <c r="QUP104" s="29"/>
      <c r="QUQ104" s="29"/>
      <c r="QUR104" s="29"/>
      <c r="QUS104" s="29"/>
      <c r="QUT104" s="29"/>
      <c r="QUU104" s="29"/>
      <c r="QUV104" s="29"/>
      <c r="QUW104" s="29"/>
      <c r="QUX104" s="29"/>
      <c r="QUY104" s="29"/>
      <c r="QUZ104" s="29"/>
      <c r="QVA104" s="29"/>
      <c r="QVB104" s="29"/>
      <c r="QVC104" s="29"/>
      <c r="QVD104" s="29"/>
      <c r="QVE104" s="29"/>
      <c r="QVF104" s="29"/>
      <c r="QVG104" s="29"/>
      <c r="QVH104" s="29"/>
      <c r="QVI104" s="29"/>
      <c r="QVJ104" s="29"/>
      <c r="QVK104" s="29"/>
      <c r="QVL104" s="29"/>
      <c r="QVM104" s="29"/>
      <c r="QVN104" s="29"/>
      <c r="QVO104" s="29"/>
      <c r="QVP104" s="29"/>
      <c r="QVQ104" s="29"/>
      <c r="QVR104" s="29"/>
      <c r="QVS104" s="29"/>
      <c r="QVT104" s="29"/>
      <c r="QVU104" s="29"/>
      <c r="QVV104" s="29"/>
      <c r="QVW104" s="29"/>
      <c r="QVX104" s="29"/>
      <c r="QVY104" s="29"/>
      <c r="QVZ104" s="29"/>
      <c r="QWA104" s="29"/>
      <c r="QWB104" s="29"/>
      <c r="QWC104" s="29"/>
      <c r="QWD104" s="29"/>
      <c r="QWE104" s="29"/>
      <c r="QWF104" s="29"/>
      <c r="QWG104" s="29"/>
      <c r="QWH104" s="29"/>
      <c r="QWI104" s="29"/>
      <c r="QWJ104" s="29"/>
      <c r="QWK104" s="29"/>
      <c r="QWL104" s="29"/>
      <c r="QWM104" s="29"/>
      <c r="QWN104" s="29"/>
      <c r="QWO104" s="29"/>
      <c r="QWP104" s="29"/>
      <c r="QWQ104" s="29"/>
      <c r="QWR104" s="29"/>
      <c r="QWS104" s="29"/>
      <c r="QWT104" s="29"/>
      <c r="QWU104" s="29"/>
      <c r="QWV104" s="29"/>
      <c r="QWW104" s="29"/>
      <c r="QWX104" s="29"/>
      <c r="QWY104" s="29"/>
      <c r="QWZ104" s="29"/>
      <c r="QXA104" s="29"/>
      <c r="QXB104" s="29"/>
      <c r="QXC104" s="29"/>
      <c r="QXD104" s="29"/>
      <c r="QXE104" s="29"/>
      <c r="QXF104" s="29"/>
      <c r="QXG104" s="29"/>
      <c r="QXH104" s="29"/>
      <c r="QXI104" s="29"/>
      <c r="QXJ104" s="29"/>
      <c r="QXK104" s="29"/>
      <c r="QXL104" s="29"/>
      <c r="QXM104" s="29"/>
      <c r="QXN104" s="29"/>
      <c r="QXO104" s="29"/>
      <c r="QXP104" s="29"/>
      <c r="QXQ104" s="29"/>
      <c r="QXR104" s="29"/>
      <c r="QXS104" s="29"/>
      <c r="QXT104" s="29"/>
      <c r="QXU104" s="29"/>
      <c r="QXV104" s="29"/>
      <c r="QXW104" s="29"/>
      <c r="QXX104" s="29"/>
      <c r="QXY104" s="29"/>
      <c r="QXZ104" s="29"/>
      <c r="QYA104" s="29"/>
      <c r="QYB104" s="29"/>
      <c r="QYC104" s="29"/>
      <c r="QYD104" s="29"/>
      <c r="QYE104" s="29"/>
      <c r="QYF104" s="29"/>
      <c r="QYG104" s="29"/>
      <c r="QYH104" s="29"/>
      <c r="QYI104" s="29"/>
      <c r="QYJ104" s="29"/>
      <c r="QYK104" s="29"/>
      <c r="QYL104" s="29"/>
      <c r="QYM104" s="29"/>
      <c r="QYN104" s="29"/>
      <c r="QYO104" s="29"/>
      <c r="QYP104" s="29"/>
      <c r="QYQ104" s="29"/>
      <c r="QYR104" s="29"/>
      <c r="QYS104" s="29"/>
      <c r="QYT104" s="29"/>
      <c r="QYU104" s="29"/>
      <c r="QYV104" s="29"/>
      <c r="QYW104" s="29"/>
      <c r="QYX104" s="29"/>
      <c r="QYY104" s="29"/>
      <c r="QYZ104" s="29"/>
      <c r="QZA104" s="29"/>
      <c r="QZB104" s="29"/>
      <c r="QZC104" s="29"/>
      <c r="QZD104" s="29"/>
      <c r="QZE104" s="29"/>
      <c r="QZF104" s="29"/>
      <c r="QZG104" s="29"/>
      <c r="QZH104" s="29"/>
      <c r="QZI104" s="29"/>
      <c r="QZJ104" s="29"/>
      <c r="QZK104" s="29"/>
      <c r="QZL104" s="29"/>
      <c r="QZM104" s="29"/>
      <c r="QZN104" s="29"/>
      <c r="QZO104" s="29"/>
      <c r="QZP104" s="29"/>
      <c r="QZQ104" s="29"/>
      <c r="QZR104" s="29"/>
      <c r="QZS104" s="29"/>
      <c r="QZT104" s="29"/>
      <c r="QZU104" s="29"/>
      <c r="QZV104" s="29"/>
      <c r="QZW104" s="29"/>
      <c r="QZX104" s="29"/>
      <c r="QZY104" s="29"/>
      <c r="QZZ104" s="29"/>
      <c r="RAA104" s="29"/>
      <c r="RAB104" s="29"/>
      <c r="RAC104" s="29"/>
      <c r="RAD104" s="29"/>
      <c r="RAE104" s="29"/>
      <c r="RAF104" s="29"/>
      <c r="RAG104" s="29"/>
      <c r="RAH104" s="29"/>
      <c r="RAI104" s="29"/>
      <c r="RAJ104" s="29"/>
      <c r="RAK104" s="29"/>
      <c r="RAL104" s="29"/>
      <c r="RAM104" s="29"/>
      <c r="RAN104" s="29"/>
      <c r="RAO104" s="29"/>
      <c r="RAP104" s="29"/>
      <c r="RAQ104" s="29"/>
      <c r="RAR104" s="29"/>
      <c r="RAS104" s="29"/>
      <c r="RAT104" s="29"/>
      <c r="RAU104" s="29"/>
      <c r="RAV104" s="29"/>
      <c r="RAW104" s="29"/>
      <c r="RAX104" s="29"/>
      <c r="RAY104" s="29"/>
      <c r="RAZ104" s="29"/>
      <c r="RBA104" s="29"/>
      <c r="RBB104" s="29"/>
      <c r="RBC104" s="29"/>
      <c r="RBD104" s="29"/>
      <c r="RBE104" s="29"/>
      <c r="RBF104" s="29"/>
      <c r="RBG104" s="29"/>
      <c r="RBH104" s="29"/>
      <c r="RBI104" s="29"/>
      <c r="RBJ104" s="29"/>
      <c r="RBK104" s="29"/>
      <c r="RBL104" s="29"/>
      <c r="RBM104" s="29"/>
      <c r="RBN104" s="29"/>
      <c r="RBO104" s="29"/>
      <c r="RBP104" s="29"/>
      <c r="RBQ104" s="29"/>
      <c r="RBR104" s="29"/>
      <c r="RBS104" s="29"/>
      <c r="RBT104" s="29"/>
      <c r="RBU104" s="29"/>
      <c r="RBV104" s="29"/>
      <c r="RBW104" s="29"/>
      <c r="RBX104" s="29"/>
      <c r="RBY104" s="29"/>
      <c r="RBZ104" s="29"/>
      <c r="RCA104" s="29"/>
      <c r="RCB104" s="29"/>
      <c r="RCC104" s="29"/>
      <c r="RCD104" s="29"/>
      <c r="RCE104" s="29"/>
      <c r="RCF104" s="29"/>
      <c r="RCG104" s="29"/>
      <c r="RCH104" s="29"/>
      <c r="RCI104" s="29"/>
      <c r="RCJ104" s="29"/>
      <c r="RCK104" s="29"/>
      <c r="RCL104" s="29"/>
      <c r="RCM104" s="29"/>
      <c r="RCN104" s="29"/>
      <c r="RCO104" s="29"/>
      <c r="RCP104" s="29"/>
      <c r="RCQ104" s="29"/>
      <c r="RCR104" s="29"/>
      <c r="RCS104" s="29"/>
      <c r="RCT104" s="29"/>
      <c r="RCU104" s="29"/>
      <c r="RCV104" s="29"/>
      <c r="RCW104" s="29"/>
      <c r="RCX104" s="29"/>
      <c r="RCY104" s="29"/>
      <c r="RCZ104" s="29"/>
      <c r="RDA104" s="29"/>
      <c r="RDB104" s="29"/>
      <c r="RDC104" s="29"/>
      <c r="RDD104" s="29"/>
      <c r="RDE104" s="29"/>
      <c r="RDF104" s="29"/>
      <c r="RDG104" s="29"/>
      <c r="RDH104" s="29"/>
      <c r="RDI104" s="29"/>
      <c r="RDJ104" s="29"/>
      <c r="RDK104" s="29"/>
      <c r="RDL104" s="29"/>
      <c r="RDM104" s="29"/>
      <c r="RDN104" s="29"/>
      <c r="RDO104" s="29"/>
      <c r="RDP104" s="29"/>
      <c r="RDQ104" s="29"/>
      <c r="RDR104" s="29"/>
      <c r="RDS104" s="29"/>
      <c r="RDT104" s="29"/>
      <c r="RDU104" s="29"/>
      <c r="RDV104" s="29"/>
      <c r="RDW104" s="29"/>
      <c r="RDX104" s="29"/>
      <c r="RDY104" s="29"/>
      <c r="RDZ104" s="29"/>
      <c r="REA104" s="29"/>
      <c r="REB104" s="29"/>
      <c r="REC104" s="29"/>
      <c r="RED104" s="29"/>
      <c r="REE104" s="29"/>
      <c r="REF104" s="29"/>
      <c r="REG104" s="29"/>
      <c r="REH104" s="29"/>
      <c r="REI104" s="29"/>
      <c r="REJ104" s="29"/>
      <c r="REK104" s="29"/>
      <c r="REL104" s="29"/>
      <c r="REM104" s="29"/>
      <c r="REN104" s="29"/>
      <c r="REO104" s="29"/>
      <c r="REP104" s="29"/>
      <c r="REQ104" s="29"/>
      <c r="RER104" s="29"/>
      <c r="RES104" s="29"/>
      <c r="RET104" s="29"/>
      <c r="REU104" s="29"/>
      <c r="REV104" s="29"/>
      <c r="REW104" s="29"/>
      <c r="REX104" s="29"/>
      <c r="REY104" s="29"/>
      <c r="REZ104" s="29"/>
      <c r="RFA104" s="29"/>
      <c r="RFB104" s="29"/>
      <c r="RFC104" s="29"/>
      <c r="RFD104" s="29"/>
      <c r="RFE104" s="29"/>
      <c r="RFF104" s="29"/>
      <c r="RFG104" s="29"/>
      <c r="RFH104" s="29"/>
      <c r="RFI104" s="29"/>
      <c r="RFJ104" s="29"/>
      <c r="RFK104" s="29"/>
      <c r="RFL104" s="29"/>
      <c r="RFM104" s="29"/>
      <c r="RFN104" s="29"/>
      <c r="RFO104" s="29"/>
      <c r="RFP104" s="29"/>
      <c r="RFQ104" s="29"/>
      <c r="RFR104" s="29"/>
      <c r="RFS104" s="29"/>
      <c r="RFT104" s="29"/>
      <c r="RFU104" s="29"/>
      <c r="RFV104" s="29"/>
      <c r="RFW104" s="29"/>
      <c r="RFX104" s="29"/>
      <c r="RFY104" s="29"/>
      <c r="RFZ104" s="29"/>
      <c r="RGA104" s="29"/>
      <c r="RGB104" s="29"/>
      <c r="RGC104" s="29"/>
      <c r="RGD104" s="29"/>
      <c r="RGE104" s="29"/>
      <c r="RGF104" s="29"/>
      <c r="RGG104" s="29"/>
      <c r="RGH104" s="29"/>
      <c r="RGI104" s="29"/>
      <c r="RGJ104" s="29"/>
      <c r="RGK104" s="29"/>
      <c r="RGL104" s="29"/>
      <c r="RGM104" s="29"/>
      <c r="RGN104" s="29"/>
      <c r="RGO104" s="29"/>
      <c r="RGP104" s="29"/>
      <c r="RGQ104" s="29"/>
      <c r="RGR104" s="29"/>
      <c r="RGS104" s="29"/>
      <c r="RGT104" s="29"/>
      <c r="RGU104" s="29"/>
      <c r="RGV104" s="29"/>
      <c r="RGW104" s="29"/>
      <c r="RGX104" s="29"/>
      <c r="RGY104" s="29"/>
      <c r="RGZ104" s="29"/>
      <c r="RHA104" s="29"/>
      <c r="RHB104" s="29"/>
      <c r="RHC104" s="29"/>
      <c r="RHD104" s="29"/>
      <c r="RHE104" s="29"/>
      <c r="RHF104" s="29"/>
      <c r="RHG104" s="29"/>
      <c r="RHH104" s="29"/>
      <c r="RHI104" s="29"/>
      <c r="RHJ104" s="29"/>
      <c r="RHK104" s="29"/>
      <c r="RHL104" s="29"/>
      <c r="RHM104" s="29"/>
      <c r="RHN104" s="29"/>
      <c r="RHO104" s="29"/>
      <c r="RHP104" s="29"/>
      <c r="RHQ104" s="29"/>
      <c r="RHR104" s="29"/>
      <c r="RHS104" s="29"/>
      <c r="RHT104" s="29"/>
      <c r="RHU104" s="29"/>
      <c r="RHV104" s="29"/>
      <c r="RHW104" s="29"/>
      <c r="RHX104" s="29"/>
      <c r="RHY104" s="29"/>
      <c r="RHZ104" s="29"/>
      <c r="RIA104" s="29"/>
      <c r="RIB104" s="29"/>
      <c r="RIC104" s="29"/>
      <c r="RID104" s="29"/>
      <c r="RIE104" s="29"/>
      <c r="RIF104" s="29"/>
      <c r="RIG104" s="29"/>
      <c r="RIH104" s="29"/>
      <c r="RII104" s="29"/>
      <c r="RIJ104" s="29"/>
      <c r="RIK104" s="29"/>
      <c r="RIL104" s="29"/>
      <c r="RIM104" s="29"/>
      <c r="RIN104" s="29"/>
      <c r="RIO104" s="29"/>
      <c r="RIP104" s="29"/>
      <c r="RIQ104" s="29"/>
      <c r="RIR104" s="29"/>
      <c r="RIS104" s="29"/>
      <c r="RIT104" s="29"/>
      <c r="RIU104" s="29"/>
      <c r="RIV104" s="29"/>
      <c r="RIW104" s="29"/>
      <c r="RIX104" s="29"/>
      <c r="RIY104" s="29"/>
      <c r="RIZ104" s="29"/>
      <c r="RJA104" s="29"/>
      <c r="RJB104" s="29"/>
      <c r="RJC104" s="29"/>
      <c r="RJD104" s="29"/>
      <c r="RJE104" s="29"/>
      <c r="RJF104" s="29"/>
      <c r="RJG104" s="29"/>
      <c r="RJH104" s="29"/>
      <c r="RJI104" s="29"/>
      <c r="RJJ104" s="29"/>
      <c r="RJK104" s="29"/>
      <c r="RJL104" s="29"/>
      <c r="RJM104" s="29"/>
      <c r="RJN104" s="29"/>
      <c r="RJO104" s="29"/>
      <c r="RJP104" s="29"/>
      <c r="RJQ104" s="29"/>
      <c r="RJR104" s="29"/>
      <c r="RJS104" s="29"/>
      <c r="RJT104" s="29"/>
      <c r="RJU104" s="29"/>
      <c r="RJV104" s="29"/>
      <c r="RJW104" s="29"/>
      <c r="RJX104" s="29"/>
      <c r="RJY104" s="29"/>
      <c r="RJZ104" s="29"/>
      <c r="RKA104" s="29"/>
      <c r="RKB104" s="29"/>
      <c r="RKC104" s="29"/>
      <c r="RKD104" s="29"/>
      <c r="RKE104" s="29"/>
      <c r="RKF104" s="29"/>
      <c r="RKG104" s="29"/>
      <c r="RKH104" s="29"/>
      <c r="RKI104" s="29"/>
      <c r="RKJ104" s="29"/>
      <c r="RKK104" s="29"/>
      <c r="RKL104" s="29"/>
      <c r="RKM104" s="29"/>
      <c r="RKN104" s="29"/>
      <c r="RKO104" s="29"/>
      <c r="RKP104" s="29"/>
      <c r="RKQ104" s="29"/>
      <c r="RKR104" s="29"/>
      <c r="RKS104" s="29"/>
      <c r="RKT104" s="29"/>
      <c r="RKU104" s="29"/>
      <c r="RKV104" s="29"/>
      <c r="RKW104" s="29"/>
      <c r="RKX104" s="29"/>
      <c r="RKY104" s="29"/>
      <c r="RKZ104" s="29"/>
      <c r="RLA104" s="29"/>
      <c r="RLB104" s="29"/>
      <c r="RLC104" s="29"/>
      <c r="RLD104" s="29"/>
      <c r="RLE104" s="29"/>
      <c r="RLF104" s="29"/>
      <c r="RLG104" s="29"/>
      <c r="RLH104" s="29"/>
      <c r="RLI104" s="29"/>
      <c r="RLJ104" s="29"/>
      <c r="RLK104" s="29"/>
      <c r="RLL104" s="29"/>
      <c r="RLM104" s="29"/>
      <c r="RLN104" s="29"/>
      <c r="RLO104" s="29"/>
      <c r="RLP104" s="29"/>
      <c r="RLQ104" s="29"/>
      <c r="RLR104" s="29"/>
      <c r="RLS104" s="29"/>
      <c r="RLT104" s="29"/>
      <c r="RLU104" s="29"/>
      <c r="RLV104" s="29"/>
      <c r="RLW104" s="29"/>
      <c r="RLX104" s="29"/>
      <c r="RLY104" s="29"/>
      <c r="RLZ104" s="29"/>
      <c r="RMA104" s="29"/>
      <c r="RMB104" s="29"/>
      <c r="RMC104" s="29"/>
      <c r="RMD104" s="29"/>
      <c r="RME104" s="29"/>
      <c r="RMF104" s="29"/>
      <c r="RMG104" s="29"/>
      <c r="RMH104" s="29"/>
      <c r="RMI104" s="29"/>
      <c r="RMJ104" s="29"/>
      <c r="RMK104" s="29"/>
      <c r="RML104" s="29"/>
      <c r="RMM104" s="29"/>
      <c r="RMN104" s="29"/>
      <c r="RMO104" s="29"/>
      <c r="RMP104" s="29"/>
      <c r="RMQ104" s="29"/>
      <c r="RMR104" s="29"/>
      <c r="RMS104" s="29"/>
      <c r="RMT104" s="29"/>
      <c r="RMU104" s="29"/>
      <c r="RMV104" s="29"/>
      <c r="RMW104" s="29"/>
      <c r="RMX104" s="29"/>
      <c r="RMY104" s="29"/>
      <c r="RMZ104" s="29"/>
      <c r="RNA104" s="29"/>
      <c r="RNB104" s="29"/>
      <c r="RNC104" s="29"/>
      <c r="RND104" s="29"/>
      <c r="RNE104" s="29"/>
      <c r="RNF104" s="29"/>
      <c r="RNG104" s="29"/>
      <c r="RNH104" s="29"/>
      <c r="RNI104" s="29"/>
      <c r="RNJ104" s="29"/>
      <c r="RNK104" s="29"/>
      <c r="RNL104" s="29"/>
      <c r="RNM104" s="29"/>
      <c r="RNN104" s="29"/>
      <c r="RNO104" s="29"/>
      <c r="RNP104" s="29"/>
      <c r="RNQ104" s="29"/>
      <c r="RNR104" s="29"/>
      <c r="RNS104" s="29"/>
      <c r="RNT104" s="29"/>
      <c r="RNU104" s="29"/>
      <c r="RNV104" s="29"/>
      <c r="RNW104" s="29"/>
      <c r="RNX104" s="29"/>
      <c r="RNY104" s="29"/>
      <c r="RNZ104" s="29"/>
      <c r="ROA104" s="29"/>
      <c r="ROB104" s="29"/>
      <c r="ROC104" s="29"/>
      <c r="ROD104" s="29"/>
      <c r="ROE104" s="29"/>
      <c r="ROF104" s="29"/>
      <c r="ROG104" s="29"/>
      <c r="ROH104" s="29"/>
      <c r="ROI104" s="29"/>
      <c r="ROJ104" s="29"/>
      <c r="ROK104" s="29"/>
      <c r="ROL104" s="29"/>
      <c r="ROM104" s="29"/>
      <c r="RON104" s="29"/>
      <c r="ROO104" s="29"/>
      <c r="ROP104" s="29"/>
      <c r="ROQ104" s="29"/>
      <c r="ROR104" s="29"/>
      <c r="ROS104" s="29"/>
      <c r="ROT104" s="29"/>
      <c r="ROU104" s="29"/>
      <c r="ROV104" s="29"/>
      <c r="ROW104" s="29"/>
      <c r="ROX104" s="29"/>
      <c r="ROY104" s="29"/>
      <c r="ROZ104" s="29"/>
      <c r="RPA104" s="29"/>
      <c r="RPB104" s="29"/>
      <c r="RPC104" s="29"/>
      <c r="RPD104" s="29"/>
      <c r="RPE104" s="29"/>
      <c r="RPF104" s="29"/>
      <c r="RPG104" s="29"/>
      <c r="RPH104" s="29"/>
      <c r="RPI104" s="29"/>
      <c r="RPJ104" s="29"/>
      <c r="RPK104" s="29"/>
      <c r="RPL104" s="29"/>
      <c r="RPM104" s="29"/>
      <c r="RPN104" s="29"/>
      <c r="RPO104" s="29"/>
      <c r="RPP104" s="29"/>
      <c r="RPQ104" s="29"/>
      <c r="RPR104" s="29"/>
      <c r="RPS104" s="29"/>
      <c r="RPT104" s="29"/>
      <c r="RPU104" s="29"/>
      <c r="RPV104" s="29"/>
      <c r="RPW104" s="29"/>
      <c r="RPX104" s="29"/>
      <c r="RPY104" s="29"/>
      <c r="RPZ104" s="29"/>
      <c r="RQA104" s="29"/>
      <c r="RQB104" s="29"/>
      <c r="RQC104" s="29"/>
      <c r="RQD104" s="29"/>
      <c r="RQE104" s="29"/>
      <c r="RQF104" s="29"/>
      <c r="RQG104" s="29"/>
      <c r="RQH104" s="29"/>
      <c r="RQI104" s="29"/>
      <c r="RQJ104" s="29"/>
      <c r="RQK104" s="29"/>
      <c r="RQL104" s="29"/>
      <c r="RQM104" s="29"/>
      <c r="RQN104" s="29"/>
      <c r="RQO104" s="29"/>
      <c r="RQP104" s="29"/>
      <c r="RQQ104" s="29"/>
      <c r="RQR104" s="29"/>
      <c r="RQS104" s="29"/>
      <c r="RQT104" s="29"/>
      <c r="RQU104" s="29"/>
      <c r="RQV104" s="29"/>
      <c r="RQW104" s="29"/>
      <c r="RQX104" s="29"/>
      <c r="RQY104" s="29"/>
      <c r="RQZ104" s="29"/>
      <c r="RRA104" s="29"/>
      <c r="RRB104" s="29"/>
      <c r="RRC104" s="29"/>
      <c r="RRD104" s="29"/>
      <c r="RRE104" s="29"/>
      <c r="RRF104" s="29"/>
      <c r="RRG104" s="29"/>
      <c r="RRH104" s="29"/>
      <c r="RRI104" s="29"/>
      <c r="RRJ104" s="29"/>
      <c r="RRK104" s="29"/>
      <c r="RRL104" s="29"/>
      <c r="RRM104" s="29"/>
      <c r="RRN104" s="29"/>
      <c r="RRO104" s="29"/>
      <c r="RRP104" s="29"/>
      <c r="RRQ104" s="29"/>
      <c r="RRR104" s="29"/>
      <c r="RRS104" s="29"/>
      <c r="RRT104" s="29"/>
      <c r="RRU104" s="29"/>
      <c r="RRV104" s="29"/>
      <c r="RRW104" s="29"/>
      <c r="RRX104" s="29"/>
      <c r="RRY104" s="29"/>
      <c r="RRZ104" s="29"/>
      <c r="RSA104" s="29"/>
      <c r="RSB104" s="29"/>
      <c r="RSC104" s="29"/>
      <c r="RSD104" s="29"/>
      <c r="RSE104" s="29"/>
      <c r="RSF104" s="29"/>
      <c r="RSG104" s="29"/>
      <c r="RSH104" s="29"/>
      <c r="RSI104" s="29"/>
      <c r="RSJ104" s="29"/>
      <c r="RSK104" s="29"/>
      <c r="RSL104" s="29"/>
      <c r="RSM104" s="29"/>
      <c r="RSN104" s="29"/>
      <c r="RSO104" s="29"/>
      <c r="RSP104" s="29"/>
      <c r="RSQ104" s="29"/>
      <c r="RSR104" s="29"/>
      <c r="RSS104" s="29"/>
      <c r="RST104" s="29"/>
      <c r="RSU104" s="29"/>
      <c r="RSV104" s="29"/>
      <c r="RSW104" s="29"/>
      <c r="RSX104" s="29"/>
      <c r="RSY104" s="29"/>
      <c r="RSZ104" s="29"/>
      <c r="RTA104" s="29"/>
      <c r="RTB104" s="29"/>
      <c r="RTC104" s="29"/>
      <c r="RTD104" s="29"/>
      <c r="RTE104" s="29"/>
      <c r="RTF104" s="29"/>
      <c r="RTG104" s="29"/>
      <c r="RTH104" s="29"/>
      <c r="RTI104" s="29"/>
      <c r="RTJ104" s="29"/>
      <c r="RTK104" s="29"/>
      <c r="RTL104" s="29"/>
      <c r="RTM104" s="29"/>
      <c r="RTN104" s="29"/>
      <c r="RTO104" s="29"/>
      <c r="RTP104" s="29"/>
      <c r="RTQ104" s="29"/>
      <c r="RTR104" s="29"/>
      <c r="RTS104" s="29"/>
      <c r="RTT104" s="29"/>
      <c r="RTU104" s="29"/>
      <c r="RTV104" s="29"/>
      <c r="RTW104" s="29"/>
      <c r="RTX104" s="29"/>
      <c r="RTY104" s="29"/>
      <c r="RTZ104" s="29"/>
      <c r="RUA104" s="29"/>
      <c r="RUB104" s="29"/>
      <c r="RUC104" s="29"/>
      <c r="RUD104" s="29"/>
      <c r="RUE104" s="29"/>
      <c r="RUF104" s="29"/>
      <c r="RUG104" s="29"/>
      <c r="RUH104" s="29"/>
      <c r="RUI104" s="29"/>
      <c r="RUJ104" s="29"/>
      <c r="RUK104" s="29"/>
      <c r="RUL104" s="29"/>
      <c r="RUM104" s="29"/>
      <c r="RUN104" s="29"/>
      <c r="RUO104" s="29"/>
      <c r="RUP104" s="29"/>
      <c r="RUQ104" s="29"/>
      <c r="RUR104" s="29"/>
      <c r="RUS104" s="29"/>
      <c r="RUT104" s="29"/>
      <c r="RUU104" s="29"/>
      <c r="RUV104" s="29"/>
      <c r="RUW104" s="29"/>
      <c r="RUX104" s="29"/>
      <c r="RUY104" s="29"/>
      <c r="RUZ104" s="29"/>
      <c r="RVA104" s="29"/>
      <c r="RVB104" s="29"/>
      <c r="RVC104" s="29"/>
      <c r="RVD104" s="29"/>
      <c r="RVE104" s="29"/>
      <c r="RVF104" s="29"/>
      <c r="RVG104" s="29"/>
      <c r="RVH104" s="29"/>
      <c r="RVI104" s="29"/>
      <c r="RVJ104" s="29"/>
      <c r="RVK104" s="29"/>
      <c r="RVL104" s="29"/>
      <c r="RVM104" s="29"/>
      <c r="RVN104" s="29"/>
      <c r="RVO104" s="29"/>
      <c r="RVP104" s="29"/>
      <c r="RVQ104" s="29"/>
      <c r="RVR104" s="29"/>
      <c r="RVS104" s="29"/>
      <c r="RVT104" s="29"/>
      <c r="RVU104" s="29"/>
      <c r="RVV104" s="29"/>
      <c r="RVW104" s="29"/>
      <c r="RVX104" s="29"/>
      <c r="RVY104" s="29"/>
      <c r="RVZ104" s="29"/>
      <c r="RWA104" s="29"/>
      <c r="RWB104" s="29"/>
      <c r="RWC104" s="29"/>
      <c r="RWD104" s="29"/>
      <c r="RWE104" s="29"/>
      <c r="RWF104" s="29"/>
      <c r="RWG104" s="29"/>
      <c r="RWH104" s="29"/>
      <c r="RWI104" s="29"/>
      <c r="RWJ104" s="29"/>
      <c r="RWK104" s="29"/>
      <c r="RWL104" s="29"/>
      <c r="RWM104" s="29"/>
      <c r="RWN104" s="29"/>
      <c r="RWO104" s="29"/>
      <c r="RWP104" s="29"/>
      <c r="RWQ104" s="29"/>
      <c r="RWR104" s="29"/>
      <c r="RWS104" s="29"/>
      <c r="RWT104" s="29"/>
      <c r="RWU104" s="29"/>
      <c r="RWV104" s="29"/>
      <c r="RWW104" s="29"/>
      <c r="RWX104" s="29"/>
      <c r="RWY104" s="29"/>
      <c r="RWZ104" s="29"/>
      <c r="RXA104" s="29"/>
      <c r="RXB104" s="29"/>
      <c r="RXC104" s="29"/>
      <c r="RXD104" s="29"/>
      <c r="RXE104" s="29"/>
      <c r="RXF104" s="29"/>
      <c r="RXG104" s="29"/>
      <c r="RXH104" s="29"/>
      <c r="RXI104" s="29"/>
      <c r="RXJ104" s="29"/>
      <c r="RXK104" s="29"/>
      <c r="RXL104" s="29"/>
      <c r="RXM104" s="29"/>
      <c r="RXN104" s="29"/>
      <c r="RXO104" s="29"/>
      <c r="RXP104" s="29"/>
      <c r="RXQ104" s="29"/>
      <c r="RXR104" s="29"/>
      <c r="RXS104" s="29"/>
      <c r="RXT104" s="29"/>
      <c r="RXU104" s="29"/>
      <c r="RXV104" s="29"/>
      <c r="RXW104" s="29"/>
      <c r="RXX104" s="29"/>
      <c r="RXY104" s="29"/>
      <c r="RXZ104" s="29"/>
      <c r="RYA104" s="29"/>
      <c r="RYB104" s="29"/>
      <c r="RYC104" s="29"/>
      <c r="RYD104" s="29"/>
      <c r="RYE104" s="29"/>
      <c r="RYF104" s="29"/>
      <c r="RYG104" s="29"/>
      <c r="RYH104" s="29"/>
      <c r="RYI104" s="29"/>
      <c r="RYJ104" s="29"/>
      <c r="RYK104" s="29"/>
      <c r="RYL104" s="29"/>
      <c r="RYM104" s="29"/>
      <c r="RYN104" s="29"/>
      <c r="RYO104" s="29"/>
      <c r="RYP104" s="29"/>
      <c r="RYQ104" s="29"/>
      <c r="RYR104" s="29"/>
      <c r="RYS104" s="29"/>
      <c r="RYT104" s="29"/>
      <c r="RYU104" s="29"/>
      <c r="RYV104" s="29"/>
      <c r="RYW104" s="29"/>
      <c r="RYX104" s="29"/>
      <c r="RYY104" s="29"/>
      <c r="RYZ104" s="29"/>
      <c r="RZA104" s="29"/>
      <c r="RZB104" s="29"/>
      <c r="RZC104" s="29"/>
      <c r="RZD104" s="29"/>
      <c r="RZE104" s="29"/>
      <c r="RZF104" s="29"/>
      <c r="RZG104" s="29"/>
      <c r="RZH104" s="29"/>
      <c r="RZI104" s="29"/>
      <c r="RZJ104" s="29"/>
      <c r="RZK104" s="29"/>
      <c r="RZL104" s="29"/>
      <c r="RZM104" s="29"/>
      <c r="RZN104" s="29"/>
      <c r="RZO104" s="29"/>
      <c r="RZP104" s="29"/>
      <c r="RZQ104" s="29"/>
      <c r="RZR104" s="29"/>
      <c r="RZS104" s="29"/>
      <c r="RZT104" s="29"/>
      <c r="RZU104" s="29"/>
      <c r="RZV104" s="29"/>
      <c r="RZW104" s="29"/>
      <c r="RZX104" s="29"/>
      <c r="RZY104" s="29"/>
      <c r="RZZ104" s="29"/>
      <c r="SAA104" s="29"/>
      <c r="SAB104" s="29"/>
      <c r="SAC104" s="29"/>
      <c r="SAD104" s="29"/>
      <c r="SAE104" s="29"/>
      <c r="SAF104" s="29"/>
      <c r="SAG104" s="29"/>
      <c r="SAH104" s="29"/>
      <c r="SAI104" s="29"/>
      <c r="SAJ104" s="29"/>
      <c r="SAK104" s="29"/>
      <c r="SAL104" s="29"/>
      <c r="SAM104" s="29"/>
      <c r="SAN104" s="29"/>
      <c r="SAO104" s="29"/>
      <c r="SAP104" s="29"/>
      <c r="SAQ104" s="29"/>
      <c r="SAR104" s="29"/>
      <c r="SAS104" s="29"/>
      <c r="SAT104" s="29"/>
      <c r="SAU104" s="29"/>
      <c r="SAV104" s="29"/>
      <c r="SAW104" s="29"/>
      <c r="SAX104" s="29"/>
      <c r="SAY104" s="29"/>
      <c r="SAZ104" s="29"/>
      <c r="SBA104" s="29"/>
      <c r="SBB104" s="29"/>
      <c r="SBC104" s="29"/>
      <c r="SBD104" s="29"/>
      <c r="SBE104" s="29"/>
      <c r="SBF104" s="29"/>
      <c r="SBG104" s="29"/>
      <c r="SBH104" s="29"/>
      <c r="SBI104" s="29"/>
      <c r="SBJ104" s="29"/>
      <c r="SBK104" s="29"/>
      <c r="SBL104" s="29"/>
      <c r="SBM104" s="29"/>
      <c r="SBN104" s="29"/>
      <c r="SBO104" s="29"/>
      <c r="SBP104" s="29"/>
      <c r="SBQ104" s="29"/>
      <c r="SBR104" s="29"/>
      <c r="SBS104" s="29"/>
      <c r="SBT104" s="29"/>
      <c r="SBU104" s="29"/>
      <c r="SBV104" s="29"/>
      <c r="SBW104" s="29"/>
      <c r="SBX104" s="29"/>
      <c r="SBY104" s="29"/>
      <c r="SBZ104" s="29"/>
      <c r="SCA104" s="29"/>
      <c r="SCB104" s="29"/>
      <c r="SCC104" s="29"/>
      <c r="SCD104" s="29"/>
      <c r="SCE104" s="29"/>
      <c r="SCF104" s="29"/>
      <c r="SCG104" s="29"/>
      <c r="SCH104" s="29"/>
      <c r="SCI104" s="29"/>
      <c r="SCJ104" s="29"/>
      <c r="SCK104" s="29"/>
      <c r="SCL104" s="29"/>
      <c r="SCM104" s="29"/>
      <c r="SCN104" s="29"/>
      <c r="SCO104" s="29"/>
      <c r="SCP104" s="29"/>
      <c r="SCQ104" s="29"/>
      <c r="SCR104" s="29"/>
      <c r="SCS104" s="29"/>
      <c r="SCT104" s="29"/>
      <c r="SCU104" s="29"/>
      <c r="SCV104" s="29"/>
      <c r="SCW104" s="29"/>
      <c r="SCX104" s="29"/>
      <c r="SCY104" s="29"/>
      <c r="SCZ104" s="29"/>
      <c r="SDA104" s="29"/>
      <c r="SDB104" s="29"/>
      <c r="SDC104" s="29"/>
      <c r="SDD104" s="29"/>
      <c r="SDE104" s="29"/>
      <c r="SDF104" s="29"/>
      <c r="SDG104" s="29"/>
      <c r="SDH104" s="29"/>
      <c r="SDI104" s="29"/>
      <c r="SDJ104" s="29"/>
      <c r="SDK104" s="29"/>
      <c r="SDL104" s="29"/>
      <c r="SDM104" s="29"/>
      <c r="SDN104" s="29"/>
      <c r="SDO104" s="29"/>
      <c r="SDP104" s="29"/>
      <c r="SDQ104" s="29"/>
      <c r="SDR104" s="29"/>
      <c r="SDS104" s="29"/>
      <c r="SDT104" s="29"/>
      <c r="SDU104" s="29"/>
      <c r="SDV104" s="29"/>
      <c r="SDW104" s="29"/>
      <c r="SDX104" s="29"/>
      <c r="SDY104" s="29"/>
      <c r="SDZ104" s="29"/>
      <c r="SEA104" s="29"/>
      <c r="SEB104" s="29"/>
      <c r="SEC104" s="29"/>
      <c r="SED104" s="29"/>
      <c r="SEE104" s="29"/>
      <c r="SEF104" s="29"/>
      <c r="SEG104" s="29"/>
      <c r="SEH104" s="29"/>
      <c r="SEI104" s="29"/>
      <c r="SEJ104" s="29"/>
      <c r="SEK104" s="29"/>
      <c r="SEL104" s="29"/>
      <c r="SEM104" s="29"/>
      <c r="SEN104" s="29"/>
      <c r="SEO104" s="29"/>
      <c r="SEP104" s="29"/>
      <c r="SEQ104" s="29"/>
      <c r="SER104" s="29"/>
      <c r="SES104" s="29"/>
      <c r="SET104" s="29"/>
      <c r="SEU104" s="29"/>
      <c r="SEV104" s="29"/>
      <c r="SEW104" s="29"/>
      <c r="SEX104" s="29"/>
      <c r="SEY104" s="29"/>
      <c r="SEZ104" s="29"/>
      <c r="SFA104" s="29"/>
      <c r="SFB104" s="29"/>
      <c r="SFC104" s="29"/>
      <c r="SFD104" s="29"/>
      <c r="SFE104" s="29"/>
      <c r="SFF104" s="29"/>
      <c r="SFG104" s="29"/>
      <c r="SFH104" s="29"/>
      <c r="SFI104" s="29"/>
      <c r="SFJ104" s="29"/>
      <c r="SFK104" s="29"/>
      <c r="SFL104" s="29"/>
      <c r="SFM104" s="29"/>
      <c r="SFN104" s="29"/>
      <c r="SFO104" s="29"/>
      <c r="SFP104" s="29"/>
      <c r="SFQ104" s="29"/>
      <c r="SFR104" s="29"/>
      <c r="SFS104" s="29"/>
      <c r="SFT104" s="29"/>
      <c r="SFU104" s="29"/>
      <c r="SFV104" s="29"/>
      <c r="SFW104" s="29"/>
      <c r="SFX104" s="29"/>
      <c r="SFY104" s="29"/>
      <c r="SFZ104" s="29"/>
      <c r="SGA104" s="29"/>
      <c r="SGB104" s="29"/>
      <c r="SGC104" s="29"/>
      <c r="SGD104" s="29"/>
      <c r="SGE104" s="29"/>
      <c r="SGF104" s="29"/>
      <c r="SGG104" s="29"/>
      <c r="SGH104" s="29"/>
      <c r="SGI104" s="29"/>
      <c r="SGJ104" s="29"/>
      <c r="SGK104" s="29"/>
      <c r="SGL104" s="29"/>
      <c r="SGM104" s="29"/>
      <c r="SGN104" s="29"/>
      <c r="SGO104" s="29"/>
      <c r="SGP104" s="29"/>
      <c r="SGQ104" s="29"/>
      <c r="SGR104" s="29"/>
      <c r="SGS104" s="29"/>
      <c r="SGT104" s="29"/>
      <c r="SGU104" s="29"/>
      <c r="SGV104" s="29"/>
      <c r="SGW104" s="29"/>
      <c r="SGX104" s="29"/>
      <c r="SGY104" s="29"/>
      <c r="SGZ104" s="29"/>
      <c r="SHA104" s="29"/>
      <c r="SHB104" s="29"/>
      <c r="SHC104" s="29"/>
      <c r="SHD104" s="29"/>
      <c r="SHE104" s="29"/>
      <c r="SHF104" s="29"/>
      <c r="SHG104" s="29"/>
      <c r="SHH104" s="29"/>
      <c r="SHI104" s="29"/>
      <c r="SHJ104" s="29"/>
      <c r="SHK104" s="29"/>
      <c r="SHL104" s="29"/>
      <c r="SHM104" s="29"/>
      <c r="SHN104" s="29"/>
      <c r="SHO104" s="29"/>
      <c r="SHP104" s="29"/>
      <c r="SHQ104" s="29"/>
      <c r="SHR104" s="29"/>
      <c r="SHS104" s="29"/>
      <c r="SHT104" s="29"/>
      <c r="SHU104" s="29"/>
      <c r="SHV104" s="29"/>
      <c r="SHW104" s="29"/>
      <c r="SHX104" s="29"/>
      <c r="SHY104" s="29"/>
      <c r="SHZ104" s="29"/>
      <c r="SIA104" s="29"/>
      <c r="SIB104" s="29"/>
      <c r="SIC104" s="29"/>
      <c r="SID104" s="29"/>
      <c r="SIE104" s="29"/>
      <c r="SIF104" s="29"/>
      <c r="SIG104" s="29"/>
      <c r="SIH104" s="29"/>
      <c r="SII104" s="29"/>
      <c r="SIJ104" s="29"/>
      <c r="SIK104" s="29"/>
      <c r="SIL104" s="29"/>
      <c r="SIM104" s="29"/>
      <c r="SIN104" s="29"/>
      <c r="SIO104" s="29"/>
      <c r="SIP104" s="29"/>
      <c r="SIQ104" s="29"/>
      <c r="SIR104" s="29"/>
      <c r="SIS104" s="29"/>
      <c r="SIT104" s="29"/>
      <c r="SIU104" s="29"/>
      <c r="SIV104" s="29"/>
      <c r="SIW104" s="29"/>
      <c r="SIX104" s="29"/>
      <c r="SIY104" s="29"/>
      <c r="SIZ104" s="29"/>
      <c r="SJA104" s="29"/>
      <c r="SJB104" s="29"/>
      <c r="SJC104" s="29"/>
      <c r="SJD104" s="29"/>
      <c r="SJE104" s="29"/>
      <c r="SJF104" s="29"/>
      <c r="SJG104" s="29"/>
      <c r="SJH104" s="29"/>
      <c r="SJI104" s="29"/>
      <c r="SJJ104" s="29"/>
      <c r="SJK104" s="29"/>
      <c r="SJL104" s="29"/>
      <c r="SJM104" s="29"/>
      <c r="SJN104" s="29"/>
      <c r="SJO104" s="29"/>
      <c r="SJP104" s="29"/>
      <c r="SJQ104" s="29"/>
      <c r="SJR104" s="29"/>
      <c r="SJS104" s="29"/>
      <c r="SJT104" s="29"/>
      <c r="SJU104" s="29"/>
      <c r="SJV104" s="29"/>
      <c r="SJW104" s="29"/>
      <c r="SJX104" s="29"/>
      <c r="SJY104" s="29"/>
      <c r="SJZ104" s="29"/>
      <c r="SKA104" s="29"/>
      <c r="SKB104" s="29"/>
      <c r="SKC104" s="29"/>
      <c r="SKD104" s="29"/>
      <c r="SKE104" s="29"/>
      <c r="SKF104" s="29"/>
      <c r="SKG104" s="29"/>
      <c r="SKH104" s="29"/>
      <c r="SKI104" s="29"/>
      <c r="SKJ104" s="29"/>
      <c r="SKK104" s="29"/>
      <c r="SKL104" s="29"/>
      <c r="SKM104" s="29"/>
      <c r="SKN104" s="29"/>
      <c r="SKO104" s="29"/>
      <c r="SKP104" s="29"/>
      <c r="SKQ104" s="29"/>
      <c r="SKR104" s="29"/>
      <c r="SKS104" s="29"/>
      <c r="SKT104" s="29"/>
      <c r="SKU104" s="29"/>
      <c r="SKV104" s="29"/>
      <c r="SKW104" s="29"/>
      <c r="SKX104" s="29"/>
      <c r="SKY104" s="29"/>
      <c r="SKZ104" s="29"/>
      <c r="SLA104" s="29"/>
      <c r="SLB104" s="29"/>
      <c r="SLC104" s="29"/>
      <c r="SLD104" s="29"/>
      <c r="SLE104" s="29"/>
      <c r="SLF104" s="29"/>
      <c r="SLG104" s="29"/>
      <c r="SLH104" s="29"/>
      <c r="SLI104" s="29"/>
      <c r="SLJ104" s="29"/>
      <c r="SLK104" s="29"/>
      <c r="SLL104" s="29"/>
      <c r="SLM104" s="29"/>
      <c r="SLN104" s="29"/>
      <c r="SLO104" s="29"/>
      <c r="SLP104" s="29"/>
      <c r="SLQ104" s="29"/>
      <c r="SLR104" s="29"/>
      <c r="SLS104" s="29"/>
      <c r="SLT104" s="29"/>
      <c r="SLU104" s="29"/>
      <c r="SLV104" s="29"/>
      <c r="SLW104" s="29"/>
      <c r="SLX104" s="29"/>
      <c r="SLY104" s="29"/>
      <c r="SLZ104" s="29"/>
      <c r="SMA104" s="29"/>
      <c r="SMB104" s="29"/>
      <c r="SMC104" s="29"/>
      <c r="SMD104" s="29"/>
      <c r="SME104" s="29"/>
      <c r="SMF104" s="29"/>
      <c r="SMG104" s="29"/>
      <c r="SMH104" s="29"/>
      <c r="SMI104" s="29"/>
      <c r="SMJ104" s="29"/>
      <c r="SMK104" s="29"/>
      <c r="SML104" s="29"/>
      <c r="SMM104" s="29"/>
      <c r="SMN104" s="29"/>
      <c r="SMO104" s="29"/>
      <c r="SMP104" s="29"/>
      <c r="SMQ104" s="29"/>
      <c r="SMR104" s="29"/>
      <c r="SMS104" s="29"/>
      <c r="SMT104" s="29"/>
      <c r="SMU104" s="29"/>
      <c r="SMV104" s="29"/>
      <c r="SMW104" s="29"/>
      <c r="SMX104" s="29"/>
      <c r="SMY104" s="29"/>
      <c r="SMZ104" s="29"/>
      <c r="SNA104" s="29"/>
      <c r="SNB104" s="29"/>
      <c r="SNC104" s="29"/>
      <c r="SND104" s="29"/>
      <c r="SNE104" s="29"/>
      <c r="SNF104" s="29"/>
      <c r="SNG104" s="29"/>
      <c r="SNH104" s="29"/>
      <c r="SNI104" s="29"/>
      <c r="SNJ104" s="29"/>
      <c r="SNK104" s="29"/>
      <c r="SNL104" s="29"/>
      <c r="SNM104" s="29"/>
      <c r="SNN104" s="29"/>
      <c r="SNO104" s="29"/>
      <c r="SNP104" s="29"/>
      <c r="SNQ104" s="29"/>
      <c r="SNR104" s="29"/>
      <c r="SNS104" s="29"/>
      <c r="SNT104" s="29"/>
      <c r="SNU104" s="29"/>
      <c r="SNV104" s="29"/>
      <c r="SNW104" s="29"/>
      <c r="SNX104" s="29"/>
      <c r="SNY104" s="29"/>
      <c r="SNZ104" s="29"/>
      <c r="SOA104" s="29"/>
      <c r="SOB104" s="29"/>
      <c r="SOC104" s="29"/>
      <c r="SOD104" s="29"/>
      <c r="SOE104" s="29"/>
      <c r="SOF104" s="29"/>
      <c r="SOG104" s="29"/>
      <c r="SOH104" s="29"/>
      <c r="SOI104" s="29"/>
      <c r="SOJ104" s="29"/>
      <c r="SOK104" s="29"/>
      <c r="SOL104" s="29"/>
      <c r="SOM104" s="29"/>
      <c r="SON104" s="29"/>
      <c r="SOO104" s="29"/>
      <c r="SOP104" s="29"/>
      <c r="SOQ104" s="29"/>
      <c r="SOR104" s="29"/>
      <c r="SOS104" s="29"/>
      <c r="SOT104" s="29"/>
      <c r="SOU104" s="29"/>
      <c r="SOV104" s="29"/>
      <c r="SOW104" s="29"/>
      <c r="SOX104" s="29"/>
      <c r="SOY104" s="29"/>
      <c r="SOZ104" s="29"/>
      <c r="SPA104" s="29"/>
      <c r="SPB104" s="29"/>
      <c r="SPC104" s="29"/>
      <c r="SPD104" s="29"/>
      <c r="SPE104" s="29"/>
      <c r="SPF104" s="29"/>
      <c r="SPG104" s="29"/>
      <c r="SPH104" s="29"/>
      <c r="SPI104" s="29"/>
      <c r="SPJ104" s="29"/>
      <c r="SPK104" s="29"/>
      <c r="SPL104" s="29"/>
      <c r="SPM104" s="29"/>
      <c r="SPN104" s="29"/>
      <c r="SPO104" s="29"/>
      <c r="SPP104" s="29"/>
      <c r="SPQ104" s="29"/>
      <c r="SPR104" s="29"/>
      <c r="SPS104" s="29"/>
      <c r="SPT104" s="29"/>
      <c r="SPU104" s="29"/>
      <c r="SPV104" s="29"/>
      <c r="SPW104" s="29"/>
      <c r="SPX104" s="29"/>
      <c r="SPY104" s="29"/>
      <c r="SPZ104" s="29"/>
      <c r="SQA104" s="29"/>
      <c r="SQB104" s="29"/>
      <c r="SQC104" s="29"/>
      <c r="SQD104" s="29"/>
      <c r="SQE104" s="29"/>
      <c r="SQF104" s="29"/>
      <c r="SQG104" s="29"/>
      <c r="SQH104" s="29"/>
      <c r="SQI104" s="29"/>
      <c r="SQJ104" s="29"/>
      <c r="SQK104" s="29"/>
      <c r="SQL104" s="29"/>
      <c r="SQM104" s="29"/>
      <c r="SQN104" s="29"/>
      <c r="SQO104" s="29"/>
      <c r="SQP104" s="29"/>
      <c r="SQQ104" s="29"/>
      <c r="SQR104" s="29"/>
      <c r="SQS104" s="29"/>
      <c r="SQT104" s="29"/>
      <c r="SQU104" s="29"/>
      <c r="SQV104" s="29"/>
      <c r="SQW104" s="29"/>
      <c r="SQX104" s="29"/>
      <c r="SQY104" s="29"/>
      <c r="SQZ104" s="29"/>
      <c r="SRA104" s="29"/>
      <c r="SRB104" s="29"/>
      <c r="SRC104" s="29"/>
      <c r="SRD104" s="29"/>
      <c r="SRE104" s="29"/>
      <c r="SRF104" s="29"/>
      <c r="SRG104" s="29"/>
      <c r="SRH104" s="29"/>
      <c r="SRI104" s="29"/>
      <c r="SRJ104" s="29"/>
      <c r="SRK104" s="29"/>
      <c r="SRL104" s="29"/>
      <c r="SRM104" s="29"/>
      <c r="SRN104" s="29"/>
      <c r="SRO104" s="29"/>
      <c r="SRP104" s="29"/>
      <c r="SRQ104" s="29"/>
      <c r="SRR104" s="29"/>
      <c r="SRS104" s="29"/>
      <c r="SRT104" s="29"/>
      <c r="SRU104" s="29"/>
      <c r="SRV104" s="29"/>
      <c r="SRW104" s="29"/>
      <c r="SRX104" s="29"/>
      <c r="SRY104" s="29"/>
      <c r="SRZ104" s="29"/>
      <c r="SSA104" s="29"/>
      <c r="SSB104" s="29"/>
      <c r="SSC104" s="29"/>
      <c r="SSD104" s="29"/>
      <c r="SSE104" s="29"/>
      <c r="SSF104" s="29"/>
      <c r="SSG104" s="29"/>
      <c r="SSH104" s="29"/>
      <c r="SSI104" s="29"/>
      <c r="SSJ104" s="29"/>
      <c r="SSK104" s="29"/>
      <c r="SSL104" s="29"/>
      <c r="SSM104" s="29"/>
      <c r="SSN104" s="29"/>
      <c r="SSO104" s="29"/>
      <c r="SSP104" s="29"/>
      <c r="SSQ104" s="29"/>
      <c r="SSR104" s="29"/>
      <c r="SSS104" s="29"/>
      <c r="SST104" s="29"/>
      <c r="SSU104" s="29"/>
      <c r="SSV104" s="29"/>
      <c r="SSW104" s="29"/>
      <c r="SSX104" s="29"/>
      <c r="SSY104" s="29"/>
      <c r="SSZ104" s="29"/>
      <c r="STA104" s="29"/>
      <c r="STB104" s="29"/>
      <c r="STC104" s="29"/>
      <c r="STD104" s="29"/>
      <c r="STE104" s="29"/>
      <c r="STF104" s="29"/>
      <c r="STG104" s="29"/>
      <c r="STH104" s="29"/>
      <c r="STI104" s="29"/>
      <c r="STJ104" s="29"/>
      <c r="STK104" s="29"/>
      <c r="STL104" s="29"/>
      <c r="STM104" s="29"/>
      <c r="STN104" s="29"/>
      <c r="STO104" s="29"/>
      <c r="STP104" s="29"/>
      <c r="STQ104" s="29"/>
      <c r="STR104" s="29"/>
      <c r="STS104" s="29"/>
      <c r="STT104" s="29"/>
      <c r="STU104" s="29"/>
      <c r="STV104" s="29"/>
      <c r="STW104" s="29"/>
      <c r="STX104" s="29"/>
      <c r="STY104" s="29"/>
      <c r="STZ104" s="29"/>
      <c r="SUA104" s="29"/>
      <c r="SUB104" s="29"/>
      <c r="SUC104" s="29"/>
      <c r="SUD104" s="29"/>
      <c r="SUE104" s="29"/>
      <c r="SUF104" s="29"/>
      <c r="SUG104" s="29"/>
      <c r="SUH104" s="29"/>
      <c r="SUI104" s="29"/>
      <c r="SUJ104" s="29"/>
      <c r="SUK104" s="29"/>
      <c r="SUL104" s="29"/>
      <c r="SUM104" s="29"/>
      <c r="SUN104" s="29"/>
      <c r="SUO104" s="29"/>
      <c r="SUP104" s="29"/>
      <c r="SUQ104" s="29"/>
      <c r="SUR104" s="29"/>
      <c r="SUS104" s="29"/>
      <c r="SUT104" s="29"/>
      <c r="SUU104" s="29"/>
      <c r="SUV104" s="29"/>
      <c r="SUW104" s="29"/>
      <c r="SUX104" s="29"/>
      <c r="SUY104" s="29"/>
      <c r="SUZ104" s="29"/>
      <c r="SVA104" s="29"/>
      <c r="SVB104" s="29"/>
      <c r="SVC104" s="29"/>
      <c r="SVD104" s="29"/>
      <c r="SVE104" s="29"/>
      <c r="SVF104" s="29"/>
      <c r="SVG104" s="29"/>
      <c r="SVH104" s="29"/>
      <c r="SVI104" s="29"/>
      <c r="SVJ104" s="29"/>
      <c r="SVK104" s="29"/>
      <c r="SVL104" s="29"/>
      <c r="SVM104" s="29"/>
      <c r="SVN104" s="29"/>
      <c r="SVO104" s="29"/>
      <c r="SVP104" s="29"/>
      <c r="SVQ104" s="29"/>
      <c r="SVR104" s="29"/>
      <c r="SVS104" s="29"/>
      <c r="SVT104" s="29"/>
      <c r="SVU104" s="29"/>
      <c r="SVV104" s="29"/>
      <c r="SVW104" s="29"/>
      <c r="SVX104" s="29"/>
      <c r="SVY104" s="29"/>
      <c r="SVZ104" s="29"/>
      <c r="SWA104" s="29"/>
      <c r="SWB104" s="29"/>
      <c r="SWC104" s="29"/>
      <c r="SWD104" s="29"/>
      <c r="SWE104" s="29"/>
      <c r="SWF104" s="29"/>
      <c r="SWG104" s="29"/>
      <c r="SWH104" s="29"/>
      <c r="SWI104" s="29"/>
      <c r="SWJ104" s="29"/>
      <c r="SWK104" s="29"/>
      <c r="SWL104" s="29"/>
      <c r="SWM104" s="29"/>
      <c r="SWN104" s="29"/>
      <c r="SWO104" s="29"/>
      <c r="SWP104" s="29"/>
      <c r="SWQ104" s="29"/>
      <c r="SWR104" s="29"/>
      <c r="SWS104" s="29"/>
      <c r="SWT104" s="29"/>
      <c r="SWU104" s="29"/>
      <c r="SWV104" s="29"/>
      <c r="SWW104" s="29"/>
      <c r="SWX104" s="29"/>
      <c r="SWY104" s="29"/>
      <c r="SWZ104" s="29"/>
      <c r="SXA104" s="29"/>
      <c r="SXB104" s="29"/>
      <c r="SXC104" s="29"/>
      <c r="SXD104" s="29"/>
      <c r="SXE104" s="29"/>
      <c r="SXF104" s="29"/>
      <c r="SXG104" s="29"/>
      <c r="SXH104" s="29"/>
      <c r="SXI104" s="29"/>
      <c r="SXJ104" s="29"/>
      <c r="SXK104" s="29"/>
      <c r="SXL104" s="29"/>
      <c r="SXM104" s="29"/>
      <c r="SXN104" s="29"/>
      <c r="SXO104" s="29"/>
      <c r="SXP104" s="29"/>
      <c r="SXQ104" s="29"/>
      <c r="SXR104" s="29"/>
      <c r="SXS104" s="29"/>
      <c r="SXT104" s="29"/>
      <c r="SXU104" s="29"/>
      <c r="SXV104" s="29"/>
      <c r="SXW104" s="29"/>
      <c r="SXX104" s="29"/>
      <c r="SXY104" s="29"/>
      <c r="SXZ104" s="29"/>
      <c r="SYA104" s="29"/>
      <c r="SYB104" s="29"/>
      <c r="SYC104" s="29"/>
      <c r="SYD104" s="29"/>
      <c r="SYE104" s="29"/>
      <c r="SYF104" s="29"/>
      <c r="SYG104" s="29"/>
      <c r="SYH104" s="29"/>
      <c r="SYI104" s="29"/>
      <c r="SYJ104" s="29"/>
      <c r="SYK104" s="29"/>
      <c r="SYL104" s="29"/>
      <c r="SYM104" s="29"/>
      <c r="SYN104" s="29"/>
      <c r="SYO104" s="29"/>
      <c r="SYP104" s="29"/>
      <c r="SYQ104" s="29"/>
      <c r="SYR104" s="29"/>
      <c r="SYS104" s="29"/>
      <c r="SYT104" s="29"/>
      <c r="SYU104" s="29"/>
      <c r="SYV104" s="29"/>
      <c r="SYW104" s="29"/>
      <c r="SYX104" s="29"/>
      <c r="SYY104" s="29"/>
      <c r="SYZ104" s="29"/>
      <c r="SZA104" s="29"/>
      <c r="SZB104" s="29"/>
      <c r="SZC104" s="29"/>
      <c r="SZD104" s="29"/>
      <c r="SZE104" s="29"/>
      <c r="SZF104" s="29"/>
      <c r="SZG104" s="29"/>
      <c r="SZH104" s="29"/>
      <c r="SZI104" s="29"/>
      <c r="SZJ104" s="29"/>
      <c r="SZK104" s="29"/>
      <c r="SZL104" s="29"/>
      <c r="SZM104" s="29"/>
      <c r="SZN104" s="29"/>
      <c r="SZO104" s="29"/>
      <c r="SZP104" s="29"/>
      <c r="SZQ104" s="29"/>
      <c r="SZR104" s="29"/>
      <c r="SZS104" s="29"/>
      <c r="SZT104" s="29"/>
      <c r="SZU104" s="29"/>
      <c r="SZV104" s="29"/>
      <c r="SZW104" s="29"/>
      <c r="SZX104" s="29"/>
      <c r="SZY104" s="29"/>
      <c r="SZZ104" s="29"/>
      <c r="TAA104" s="29"/>
      <c r="TAB104" s="29"/>
      <c r="TAC104" s="29"/>
      <c r="TAD104" s="29"/>
      <c r="TAE104" s="29"/>
      <c r="TAF104" s="29"/>
      <c r="TAG104" s="29"/>
      <c r="TAH104" s="29"/>
      <c r="TAI104" s="29"/>
      <c r="TAJ104" s="29"/>
      <c r="TAK104" s="29"/>
      <c r="TAL104" s="29"/>
      <c r="TAM104" s="29"/>
      <c r="TAN104" s="29"/>
      <c r="TAO104" s="29"/>
      <c r="TAP104" s="29"/>
      <c r="TAQ104" s="29"/>
      <c r="TAR104" s="29"/>
      <c r="TAS104" s="29"/>
      <c r="TAT104" s="29"/>
      <c r="TAU104" s="29"/>
      <c r="TAV104" s="29"/>
      <c r="TAW104" s="29"/>
      <c r="TAX104" s="29"/>
      <c r="TAY104" s="29"/>
      <c r="TAZ104" s="29"/>
      <c r="TBA104" s="29"/>
      <c r="TBB104" s="29"/>
      <c r="TBC104" s="29"/>
      <c r="TBD104" s="29"/>
      <c r="TBE104" s="29"/>
      <c r="TBF104" s="29"/>
      <c r="TBG104" s="29"/>
      <c r="TBH104" s="29"/>
      <c r="TBI104" s="29"/>
      <c r="TBJ104" s="29"/>
      <c r="TBK104" s="29"/>
      <c r="TBL104" s="29"/>
      <c r="TBM104" s="29"/>
      <c r="TBN104" s="29"/>
      <c r="TBO104" s="29"/>
      <c r="TBP104" s="29"/>
      <c r="TBQ104" s="29"/>
      <c r="TBR104" s="29"/>
      <c r="TBS104" s="29"/>
      <c r="TBT104" s="29"/>
      <c r="TBU104" s="29"/>
      <c r="TBV104" s="29"/>
      <c r="TBW104" s="29"/>
      <c r="TBX104" s="29"/>
      <c r="TBY104" s="29"/>
      <c r="TBZ104" s="29"/>
      <c r="TCA104" s="29"/>
      <c r="TCB104" s="29"/>
      <c r="TCC104" s="29"/>
      <c r="TCD104" s="29"/>
      <c r="TCE104" s="29"/>
      <c r="TCF104" s="29"/>
      <c r="TCG104" s="29"/>
      <c r="TCH104" s="29"/>
      <c r="TCI104" s="29"/>
      <c r="TCJ104" s="29"/>
      <c r="TCK104" s="29"/>
      <c r="TCL104" s="29"/>
      <c r="TCM104" s="29"/>
      <c r="TCN104" s="29"/>
      <c r="TCO104" s="29"/>
      <c r="TCP104" s="29"/>
      <c r="TCQ104" s="29"/>
      <c r="TCR104" s="29"/>
      <c r="TCS104" s="29"/>
      <c r="TCT104" s="29"/>
      <c r="TCU104" s="29"/>
      <c r="TCV104" s="29"/>
      <c r="TCW104" s="29"/>
      <c r="TCX104" s="29"/>
      <c r="TCY104" s="29"/>
      <c r="TCZ104" s="29"/>
      <c r="TDA104" s="29"/>
      <c r="TDB104" s="29"/>
      <c r="TDC104" s="29"/>
      <c r="TDD104" s="29"/>
      <c r="TDE104" s="29"/>
      <c r="TDF104" s="29"/>
      <c r="TDG104" s="29"/>
      <c r="TDH104" s="29"/>
      <c r="TDI104" s="29"/>
      <c r="TDJ104" s="29"/>
      <c r="TDK104" s="29"/>
      <c r="TDL104" s="29"/>
      <c r="TDM104" s="29"/>
      <c r="TDN104" s="29"/>
      <c r="TDO104" s="29"/>
      <c r="TDP104" s="29"/>
      <c r="TDQ104" s="29"/>
      <c r="TDR104" s="29"/>
      <c r="TDS104" s="29"/>
      <c r="TDT104" s="29"/>
      <c r="TDU104" s="29"/>
      <c r="TDV104" s="29"/>
      <c r="TDW104" s="29"/>
      <c r="TDX104" s="29"/>
      <c r="TDY104" s="29"/>
      <c r="TDZ104" s="29"/>
      <c r="TEA104" s="29"/>
      <c r="TEB104" s="29"/>
      <c r="TEC104" s="29"/>
      <c r="TED104" s="29"/>
      <c r="TEE104" s="29"/>
      <c r="TEF104" s="29"/>
      <c r="TEG104" s="29"/>
      <c r="TEH104" s="29"/>
      <c r="TEI104" s="29"/>
      <c r="TEJ104" s="29"/>
      <c r="TEK104" s="29"/>
      <c r="TEL104" s="29"/>
      <c r="TEM104" s="29"/>
      <c r="TEN104" s="29"/>
      <c r="TEO104" s="29"/>
      <c r="TEP104" s="29"/>
      <c r="TEQ104" s="29"/>
      <c r="TER104" s="29"/>
      <c r="TES104" s="29"/>
      <c r="TET104" s="29"/>
      <c r="TEU104" s="29"/>
      <c r="TEV104" s="29"/>
      <c r="TEW104" s="29"/>
      <c r="TEX104" s="29"/>
      <c r="TEY104" s="29"/>
      <c r="TEZ104" s="29"/>
      <c r="TFA104" s="29"/>
      <c r="TFB104" s="29"/>
      <c r="TFC104" s="29"/>
      <c r="TFD104" s="29"/>
      <c r="TFE104" s="29"/>
      <c r="TFF104" s="29"/>
      <c r="TFG104" s="29"/>
      <c r="TFH104" s="29"/>
      <c r="TFI104" s="29"/>
      <c r="TFJ104" s="29"/>
      <c r="TFK104" s="29"/>
      <c r="TFL104" s="29"/>
      <c r="TFM104" s="29"/>
      <c r="TFN104" s="29"/>
      <c r="TFO104" s="29"/>
      <c r="TFP104" s="29"/>
      <c r="TFQ104" s="29"/>
      <c r="TFR104" s="29"/>
      <c r="TFS104" s="29"/>
      <c r="TFT104" s="29"/>
      <c r="TFU104" s="29"/>
      <c r="TFV104" s="29"/>
      <c r="TFW104" s="29"/>
      <c r="TFX104" s="29"/>
      <c r="TFY104" s="29"/>
      <c r="TFZ104" s="29"/>
      <c r="TGA104" s="29"/>
      <c r="TGB104" s="29"/>
      <c r="TGC104" s="29"/>
      <c r="TGD104" s="29"/>
      <c r="TGE104" s="29"/>
      <c r="TGF104" s="29"/>
      <c r="TGG104" s="29"/>
      <c r="TGH104" s="29"/>
      <c r="TGI104" s="29"/>
      <c r="TGJ104" s="29"/>
      <c r="TGK104" s="29"/>
      <c r="TGL104" s="29"/>
      <c r="TGM104" s="29"/>
      <c r="TGN104" s="29"/>
      <c r="TGO104" s="29"/>
      <c r="TGP104" s="29"/>
      <c r="TGQ104" s="29"/>
      <c r="TGR104" s="29"/>
      <c r="TGS104" s="29"/>
      <c r="TGT104" s="29"/>
      <c r="TGU104" s="29"/>
      <c r="TGV104" s="29"/>
      <c r="TGW104" s="29"/>
      <c r="TGX104" s="29"/>
      <c r="TGY104" s="29"/>
      <c r="TGZ104" s="29"/>
      <c r="THA104" s="29"/>
      <c r="THB104" s="29"/>
      <c r="THC104" s="29"/>
      <c r="THD104" s="29"/>
      <c r="THE104" s="29"/>
      <c r="THF104" s="29"/>
      <c r="THG104" s="29"/>
      <c r="THH104" s="29"/>
      <c r="THI104" s="29"/>
      <c r="THJ104" s="29"/>
      <c r="THK104" s="29"/>
      <c r="THL104" s="29"/>
      <c r="THM104" s="29"/>
      <c r="THN104" s="29"/>
      <c r="THO104" s="29"/>
      <c r="THP104" s="29"/>
      <c r="THQ104" s="29"/>
      <c r="THR104" s="29"/>
      <c r="THS104" s="29"/>
      <c r="THT104" s="29"/>
      <c r="THU104" s="29"/>
      <c r="THV104" s="29"/>
      <c r="THW104" s="29"/>
      <c r="THX104" s="29"/>
      <c r="THY104" s="29"/>
      <c r="THZ104" s="29"/>
      <c r="TIA104" s="29"/>
      <c r="TIB104" s="29"/>
      <c r="TIC104" s="29"/>
      <c r="TID104" s="29"/>
      <c r="TIE104" s="29"/>
      <c r="TIF104" s="29"/>
      <c r="TIG104" s="29"/>
      <c r="TIH104" s="29"/>
      <c r="TII104" s="29"/>
      <c r="TIJ104" s="29"/>
      <c r="TIK104" s="29"/>
      <c r="TIL104" s="29"/>
      <c r="TIM104" s="29"/>
      <c r="TIN104" s="29"/>
      <c r="TIO104" s="29"/>
      <c r="TIP104" s="29"/>
      <c r="TIQ104" s="29"/>
      <c r="TIR104" s="29"/>
      <c r="TIS104" s="29"/>
      <c r="TIT104" s="29"/>
      <c r="TIU104" s="29"/>
      <c r="TIV104" s="29"/>
      <c r="TIW104" s="29"/>
      <c r="TIX104" s="29"/>
      <c r="TIY104" s="29"/>
      <c r="TIZ104" s="29"/>
      <c r="TJA104" s="29"/>
      <c r="TJB104" s="29"/>
      <c r="TJC104" s="29"/>
      <c r="TJD104" s="29"/>
      <c r="TJE104" s="29"/>
      <c r="TJF104" s="29"/>
      <c r="TJG104" s="29"/>
      <c r="TJH104" s="29"/>
      <c r="TJI104" s="29"/>
      <c r="TJJ104" s="29"/>
      <c r="TJK104" s="29"/>
      <c r="TJL104" s="29"/>
      <c r="TJM104" s="29"/>
      <c r="TJN104" s="29"/>
      <c r="TJO104" s="29"/>
      <c r="TJP104" s="29"/>
      <c r="TJQ104" s="29"/>
      <c r="TJR104" s="29"/>
      <c r="TJS104" s="29"/>
      <c r="TJT104" s="29"/>
      <c r="TJU104" s="29"/>
      <c r="TJV104" s="29"/>
      <c r="TJW104" s="29"/>
      <c r="TJX104" s="29"/>
      <c r="TJY104" s="29"/>
      <c r="TJZ104" s="29"/>
      <c r="TKA104" s="29"/>
      <c r="TKB104" s="29"/>
      <c r="TKC104" s="29"/>
      <c r="TKD104" s="29"/>
      <c r="TKE104" s="29"/>
      <c r="TKF104" s="29"/>
      <c r="TKG104" s="29"/>
      <c r="TKH104" s="29"/>
      <c r="TKI104" s="29"/>
      <c r="TKJ104" s="29"/>
      <c r="TKK104" s="29"/>
      <c r="TKL104" s="29"/>
      <c r="TKM104" s="29"/>
      <c r="TKN104" s="29"/>
      <c r="TKO104" s="29"/>
      <c r="TKP104" s="29"/>
      <c r="TKQ104" s="29"/>
      <c r="TKR104" s="29"/>
      <c r="TKS104" s="29"/>
      <c r="TKT104" s="29"/>
      <c r="TKU104" s="29"/>
      <c r="TKV104" s="29"/>
      <c r="TKW104" s="29"/>
      <c r="TKX104" s="29"/>
      <c r="TKY104" s="29"/>
      <c r="TKZ104" s="29"/>
      <c r="TLA104" s="29"/>
      <c r="TLB104" s="29"/>
      <c r="TLC104" s="29"/>
      <c r="TLD104" s="29"/>
      <c r="TLE104" s="29"/>
      <c r="TLF104" s="29"/>
      <c r="TLG104" s="29"/>
      <c r="TLH104" s="29"/>
      <c r="TLI104" s="29"/>
      <c r="TLJ104" s="29"/>
      <c r="TLK104" s="29"/>
      <c r="TLL104" s="29"/>
      <c r="TLM104" s="29"/>
      <c r="TLN104" s="29"/>
      <c r="TLO104" s="29"/>
      <c r="TLP104" s="29"/>
      <c r="TLQ104" s="29"/>
      <c r="TLR104" s="29"/>
      <c r="TLS104" s="29"/>
      <c r="TLT104" s="29"/>
      <c r="TLU104" s="29"/>
      <c r="TLV104" s="29"/>
      <c r="TLW104" s="29"/>
      <c r="TLX104" s="29"/>
      <c r="TLY104" s="29"/>
      <c r="TLZ104" s="29"/>
      <c r="TMA104" s="29"/>
      <c r="TMB104" s="29"/>
      <c r="TMC104" s="29"/>
      <c r="TMD104" s="29"/>
      <c r="TME104" s="29"/>
      <c r="TMF104" s="29"/>
      <c r="TMG104" s="29"/>
      <c r="TMH104" s="29"/>
      <c r="TMI104" s="29"/>
      <c r="TMJ104" s="29"/>
      <c r="TMK104" s="29"/>
      <c r="TML104" s="29"/>
      <c r="TMM104" s="29"/>
      <c r="TMN104" s="29"/>
      <c r="TMO104" s="29"/>
      <c r="TMP104" s="29"/>
      <c r="TMQ104" s="29"/>
      <c r="TMR104" s="29"/>
      <c r="TMS104" s="29"/>
      <c r="TMT104" s="29"/>
      <c r="TMU104" s="29"/>
      <c r="TMV104" s="29"/>
      <c r="TMW104" s="29"/>
      <c r="TMX104" s="29"/>
      <c r="TMY104" s="29"/>
      <c r="TMZ104" s="29"/>
      <c r="TNA104" s="29"/>
      <c r="TNB104" s="29"/>
      <c r="TNC104" s="29"/>
      <c r="TND104" s="29"/>
      <c r="TNE104" s="29"/>
      <c r="TNF104" s="29"/>
      <c r="TNG104" s="29"/>
      <c r="TNH104" s="29"/>
      <c r="TNI104" s="29"/>
      <c r="TNJ104" s="29"/>
      <c r="TNK104" s="29"/>
      <c r="TNL104" s="29"/>
      <c r="TNM104" s="29"/>
      <c r="TNN104" s="29"/>
      <c r="TNO104" s="29"/>
      <c r="TNP104" s="29"/>
      <c r="TNQ104" s="29"/>
      <c r="TNR104" s="29"/>
      <c r="TNS104" s="29"/>
      <c r="TNT104" s="29"/>
      <c r="TNU104" s="29"/>
      <c r="TNV104" s="29"/>
      <c r="TNW104" s="29"/>
      <c r="TNX104" s="29"/>
      <c r="TNY104" s="29"/>
      <c r="TNZ104" s="29"/>
      <c r="TOA104" s="29"/>
      <c r="TOB104" s="29"/>
      <c r="TOC104" s="29"/>
      <c r="TOD104" s="29"/>
      <c r="TOE104" s="29"/>
      <c r="TOF104" s="29"/>
      <c r="TOG104" s="29"/>
      <c r="TOH104" s="29"/>
      <c r="TOI104" s="29"/>
      <c r="TOJ104" s="29"/>
      <c r="TOK104" s="29"/>
      <c r="TOL104" s="29"/>
      <c r="TOM104" s="29"/>
      <c r="TON104" s="29"/>
      <c r="TOO104" s="29"/>
      <c r="TOP104" s="29"/>
      <c r="TOQ104" s="29"/>
      <c r="TOR104" s="29"/>
      <c r="TOS104" s="29"/>
      <c r="TOT104" s="29"/>
      <c r="TOU104" s="29"/>
      <c r="TOV104" s="29"/>
      <c r="TOW104" s="29"/>
      <c r="TOX104" s="29"/>
      <c r="TOY104" s="29"/>
      <c r="TOZ104" s="29"/>
      <c r="TPA104" s="29"/>
      <c r="TPB104" s="29"/>
      <c r="TPC104" s="29"/>
      <c r="TPD104" s="29"/>
      <c r="TPE104" s="29"/>
      <c r="TPF104" s="29"/>
      <c r="TPG104" s="29"/>
      <c r="TPH104" s="29"/>
      <c r="TPI104" s="29"/>
      <c r="TPJ104" s="29"/>
      <c r="TPK104" s="29"/>
      <c r="TPL104" s="29"/>
      <c r="TPM104" s="29"/>
      <c r="TPN104" s="29"/>
      <c r="TPO104" s="29"/>
      <c r="TPP104" s="29"/>
      <c r="TPQ104" s="29"/>
      <c r="TPR104" s="29"/>
      <c r="TPS104" s="29"/>
      <c r="TPT104" s="29"/>
      <c r="TPU104" s="29"/>
      <c r="TPV104" s="29"/>
      <c r="TPW104" s="29"/>
      <c r="TPX104" s="29"/>
      <c r="TPY104" s="29"/>
      <c r="TPZ104" s="29"/>
      <c r="TQA104" s="29"/>
      <c r="TQB104" s="29"/>
      <c r="TQC104" s="29"/>
      <c r="TQD104" s="29"/>
      <c r="TQE104" s="29"/>
      <c r="TQF104" s="29"/>
      <c r="TQG104" s="29"/>
      <c r="TQH104" s="29"/>
      <c r="TQI104" s="29"/>
      <c r="TQJ104" s="29"/>
      <c r="TQK104" s="29"/>
      <c r="TQL104" s="29"/>
      <c r="TQM104" s="29"/>
      <c r="TQN104" s="29"/>
      <c r="TQO104" s="29"/>
      <c r="TQP104" s="29"/>
      <c r="TQQ104" s="29"/>
      <c r="TQR104" s="29"/>
      <c r="TQS104" s="29"/>
      <c r="TQT104" s="29"/>
      <c r="TQU104" s="29"/>
      <c r="TQV104" s="29"/>
      <c r="TQW104" s="29"/>
      <c r="TQX104" s="29"/>
      <c r="TQY104" s="29"/>
      <c r="TQZ104" s="29"/>
      <c r="TRA104" s="29"/>
      <c r="TRB104" s="29"/>
      <c r="TRC104" s="29"/>
      <c r="TRD104" s="29"/>
      <c r="TRE104" s="29"/>
      <c r="TRF104" s="29"/>
      <c r="TRG104" s="29"/>
      <c r="TRH104" s="29"/>
      <c r="TRI104" s="29"/>
      <c r="TRJ104" s="29"/>
      <c r="TRK104" s="29"/>
      <c r="TRL104" s="29"/>
      <c r="TRM104" s="29"/>
      <c r="TRN104" s="29"/>
      <c r="TRO104" s="29"/>
      <c r="TRP104" s="29"/>
      <c r="TRQ104" s="29"/>
      <c r="TRR104" s="29"/>
      <c r="TRS104" s="29"/>
      <c r="TRT104" s="29"/>
      <c r="TRU104" s="29"/>
      <c r="TRV104" s="29"/>
      <c r="TRW104" s="29"/>
      <c r="TRX104" s="29"/>
      <c r="TRY104" s="29"/>
      <c r="TRZ104" s="29"/>
      <c r="TSA104" s="29"/>
      <c r="TSB104" s="29"/>
      <c r="TSC104" s="29"/>
      <c r="TSD104" s="29"/>
      <c r="TSE104" s="29"/>
      <c r="TSF104" s="29"/>
      <c r="TSG104" s="29"/>
      <c r="TSH104" s="29"/>
      <c r="TSI104" s="29"/>
      <c r="TSJ104" s="29"/>
      <c r="TSK104" s="29"/>
      <c r="TSL104" s="29"/>
      <c r="TSM104" s="29"/>
      <c r="TSN104" s="29"/>
      <c r="TSO104" s="29"/>
      <c r="TSP104" s="29"/>
      <c r="TSQ104" s="29"/>
      <c r="TSR104" s="29"/>
      <c r="TSS104" s="29"/>
      <c r="TST104" s="29"/>
      <c r="TSU104" s="29"/>
      <c r="TSV104" s="29"/>
      <c r="TSW104" s="29"/>
      <c r="TSX104" s="29"/>
      <c r="TSY104" s="29"/>
      <c r="TSZ104" s="29"/>
      <c r="TTA104" s="29"/>
      <c r="TTB104" s="29"/>
      <c r="TTC104" s="29"/>
      <c r="TTD104" s="29"/>
      <c r="TTE104" s="29"/>
      <c r="TTF104" s="29"/>
      <c r="TTG104" s="29"/>
      <c r="TTH104" s="29"/>
      <c r="TTI104" s="29"/>
      <c r="TTJ104" s="29"/>
      <c r="TTK104" s="29"/>
      <c r="TTL104" s="29"/>
      <c r="TTM104" s="29"/>
      <c r="TTN104" s="29"/>
      <c r="TTO104" s="29"/>
      <c r="TTP104" s="29"/>
      <c r="TTQ104" s="29"/>
      <c r="TTR104" s="29"/>
      <c r="TTS104" s="29"/>
      <c r="TTT104" s="29"/>
      <c r="TTU104" s="29"/>
      <c r="TTV104" s="29"/>
      <c r="TTW104" s="29"/>
      <c r="TTX104" s="29"/>
      <c r="TTY104" s="29"/>
      <c r="TTZ104" s="29"/>
      <c r="TUA104" s="29"/>
      <c r="TUB104" s="29"/>
      <c r="TUC104" s="29"/>
      <c r="TUD104" s="29"/>
      <c r="TUE104" s="29"/>
      <c r="TUF104" s="29"/>
      <c r="TUG104" s="29"/>
      <c r="TUH104" s="29"/>
      <c r="TUI104" s="29"/>
      <c r="TUJ104" s="29"/>
      <c r="TUK104" s="29"/>
      <c r="TUL104" s="29"/>
      <c r="TUM104" s="29"/>
      <c r="TUN104" s="29"/>
      <c r="TUO104" s="29"/>
      <c r="TUP104" s="29"/>
      <c r="TUQ104" s="29"/>
      <c r="TUR104" s="29"/>
      <c r="TUS104" s="29"/>
      <c r="TUT104" s="29"/>
      <c r="TUU104" s="29"/>
      <c r="TUV104" s="29"/>
      <c r="TUW104" s="29"/>
      <c r="TUX104" s="29"/>
      <c r="TUY104" s="29"/>
      <c r="TUZ104" s="29"/>
      <c r="TVA104" s="29"/>
      <c r="TVB104" s="29"/>
      <c r="TVC104" s="29"/>
      <c r="TVD104" s="29"/>
      <c r="TVE104" s="29"/>
      <c r="TVF104" s="29"/>
      <c r="TVG104" s="29"/>
      <c r="TVH104" s="29"/>
      <c r="TVI104" s="29"/>
      <c r="TVJ104" s="29"/>
      <c r="TVK104" s="29"/>
      <c r="TVL104" s="29"/>
      <c r="TVM104" s="29"/>
      <c r="TVN104" s="29"/>
      <c r="TVO104" s="29"/>
      <c r="TVP104" s="29"/>
      <c r="TVQ104" s="29"/>
      <c r="TVR104" s="29"/>
      <c r="TVS104" s="29"/>
      <c r="TVT104" s="29"/>
      <c r="TVU104" s="29"/>
      <c r="TVV104" s="29"/>
      <c r="TVW104" s="29"/>
      <c r="TVX104" s="29"/>
      <c r="TVY104" s="29"/>
      <c r="TVZ104" s="29"/>
      <c r="TWA104" s="29"/>
      <c r="TWB104" s="29"/>
      <c r="TWC104" s="29"/>
      <c r="TWD104" s="29"/>
      <c r="TWE104" s="29"/>
      <c r="TWF104" s="29"/>
      <c r="TWG104" s="29"/>
      <c r="TWH104" s="29"/>
      <c r="TWI104" s="29"/>
      <c r="TWJ104" s="29"/>
      <c r="TWK104" s="29"/>
      <c r="TWL104" s="29"/>
      <c r="TWM104" s="29"/>
      <c r="TWN104" s="29"/>
      <c r="TWO104" s="29"/>
      <c r="TWP104" s="29"/>
      <c r="TWQ104" s="29"/>
      <c r="TWR104" s="29"/>
      <c r="TWS104" s="29"/>
      <c r="TWT104" s="29"/>
      <c r="TWU104" s="29"/>
      <c r="TWV104" s="29"/>
      <c r="TWW104" s="29"/>
      <c r="TWX104" s="29"/>
      <c r="TWY104" s="29"/>
      <c r="TWZ104" s="29"/>
      <c r="TXA104" s="29"/>
      <c r="TXB104" s="29"/>
      <c r="TXC104" s="29"/>
      <c r="TXD104" s="29"/>
      <c r="TXE104" s="29"/>
      <c r="TXF104" s="29"/>
      <c r="TXG104" s="29"/>
      <c r="TXH104" s="29"/>
      <c r="TXI104" s="29"/>
      <c r="TXJ104" s="29"/>
      <c r="TXK104" s="29"/>
      <c r="TXL104" s="29"/>
      <c r="TXM104" s="29"/>
      <c r="TXN104" s="29"/>
      <c r="TXO104" s="29"/>
      <c r="TXP104" s="29"/>
      <c r="TXQ104" s="29"/>
      <c r="TXR104" s="29"/>
      <c r="TXS104" s="29"/>
      <c r="TXT104" s="29"/>
      <c r="TXU104" s="29"/>
      <c r="TXV104" s="29"/>
      <c r="TXW104" s="29"/>
      <c r="TXX104" s="29"/>
      <c r="TXY104" s="29"/>
      <c r="TXZ104" s="29"/>
      <c r="TYA104" s="29"/>
      <c r="TYB104" s="29"/>
      <c r="TYC104" s="29"/>
      <c r="TYD104" s="29"/>
      <c r="TYE104" s="29"/>
      <c r="TYF104" s="29"/>
      <c r="TYG104" s="29"/>
      <c r="TYH104" s="29"/>
      <c r="TYI104" s="29"/>
      <c r="TYJ104" s="29"/>
      <c r="TYK104" s="29"/>
      <c r="TYL104" s="29"/>
      <c r="TYM104" s="29"/>
      <c r="TYN104" s="29"/>
      <c r="TYO104" s="29"/>
      <c r="TYP104" s="29"/>
      <c r="TYQ104" s="29"/>
      <c r="TYR104" s="29"/>
      <c r="TYS104" s="29"/>
      <c r="TYT104" s="29"/>
      <c r="TYU104" s="29"/>
      <c r="TYV104" s="29"/>
      <c r="TYW104" s="29"/>
      <c r="TYX104" s="29"/>
      <c r="TYY104" s="29"/>
      <c r="TYZ104" s="29"/>
      <c r="TZA104" s="29"/>
      <c r="TZB104" s="29"/>
      <c r="TZC104" s="29"/>
      <c r="TZD104" s="29"/>
      <c r="TZE104" s="29"/>
      <c r="TZF104" s="29"/>
      <c r="TZG104" s="29"/>
      <c r="TZH104" s="29"/>
      <c r="TZI104" s="29"/>
      <c r="TZJ104" s="29"/>
      <c r="TZK104" s="29"/>
      <c r="TZL104" s="29"/>
      <c r="TZM104" s="29"/>
      <c r="TZN104" s="29"/>
      <c r="TZO104" s="29"/>
      <c r="TZP104" s="29"/>
      <c r="TZQ104" s="29"/>
      <c r="TZR104" s="29"/>
      <c r="TZS104" s="29"/>
      <c r="TZT104" s="29"/>
      <c r="TZU104" s="29"/>
      <c r="TZV104" s="29"/>
      <c r="TZW104" s="29"/>
      <c r="TZX104" s="29"/>
      <c r="TZY104" s="29"/>
      <c r="TZZ104" s="29"/>
      <c r="UAA104" s="29"/>
      <c r="UAB104" s="29"/>
      <c r="UAC104" s="29"/>
      <c r="UAD104" s="29"/>
      <c r="UAE104" s="29"/>
      <c r="UAF104" s="29"/>
      <c r="UAG104" s="29"/>
      <c r="UAH104" s="29"/>
      <c r="UAI104" s="29"/>
      <c r="UAJ104" s="29"/>
      <c r="UAK104" s="29"/>
      <c r="UAL104" s="29"/>
      <c r="UAM104" s="29"/>
      <c r="UAN104" s="29"/>
      <c r="UAO104" s="29"/>
      <c r="UAP104" s="29"/>
      <c r="UAQ104" s="29"/>
      <c r="UAR104" s="29"/>
      <c r="UAS104" s="29"/>
      <c r="UAT104" s="29"/>
      <c r="UAU104" s="29"/>
      <c r="UAV104" s="29"/>
      <c r="UAW104" s="29"/>
      <c r="UAX104" s="29"/>
      <c r="UAY104" s="29"/>
      <c r="UAZ104" s="29"/>
      <c r="UBA104" s="29"/>
      <c r="UBB104" s="29"/>
      <c r="UBC104" s="29"/>
      <c r="UBD104" s="29"/>
      <c r="UBE104" s="29"/>
      <c r="UBF104" s="29"/>
      <c r="UBG104" s="29"/>
      <c r="UBH104" s="29"/>
      <c r="UBI104" s="29"/>
      <c r="UBJ104" s="29"/>
      <c r="UBK104" s="29"/>
      <c r="UBL104" s="29"/>
      <c r="UBM104" s="29"/>
      <c r="UBN104" s="29"/>
      <c r="UBO104" s="29"/>
      <c r="UBP104" s="29"/>
      <c r="UBQ104" s="29"/>
      <c r="UBR104" s="29"/>
      <c r="UBS104" s="29"/>
      <c r="UBT104" s="29"/>
      <c r="UBU104" s="29"/>
      <c r="UBV104" s="29"/>
      <c r="UBW104" s="29"/>
      <c r="UBX104" s="29"/>
      <c r="UBY104" s="29"/>
      <c r="UBZ104" s="29"/>
      <c r="UCA104" s="29"/>
      <c r="UCB104" s="29"/>
      <c r="UCC104" s="29"/>
      <c r="UCD104" s="29"/>
      <c r="UCE104" s="29"/>
      <c r="UCF104" s="29"/>
      <c r="UCG104" s="29"/>
      <c r="UCH104" s="29"/>
      <c r="UCI104" s="29"/>
      <c r="UCJ104" s="29"/>
      <c r="UCK104" s="29"/>
      <c r="UCL104" s="29"/>
      <c r="UCM104" s="29"/>
      <c r="UCN104" s="29"/>
      <c r="UCO104" s="29"/>
      <c r="UCP104" s="29"/>
      <c r="UCQ104" s="29"/>
      <c r="UCR104" s="29"/>
      <c r="UCS104" s="29"/>
      <c r="UCT104" s="29"/>
      <c r="UCU104" s="29"/>
      <c r="UCV104" s="29"/>
      <c r="UCW104" s="29"/>
      <c r="UCX104" s="29"/>
      <c r="UCY104" s="29"/>
      <c r="UCZ104" s="29"/>
      <c r="UDA104" s="29"/>
      <c r="UDB104" s="29"/>
      <c r="UDC104" s="29"/>
      <c r="UDD104" s="29"/>
      <c r="UDE104" s="29"/>
      <c r="UDF104" s="29"/>
      <c r="UDG104" s="29"/>
      <c r="UDH104" s="29"/>
      <c r="UDI104" s="29"/>
      <c r="UDJ104" s="29"/>
      <c r="UDK104" s="29"/>
      <c r="UDL104" s="29"/>
      <c r="UDM104" s="29"/>
      <c r="UDN104" s="29"/>
      <c r="UDO104" s="29"/>
      <c r="UDP104" s="29"/>
      <c r="UDQ104" s="29"/>
      <c r="UDR104" s="29"/>
      <c r="UDS104" s="29"/>
      <c r="UDT104" s="29"/>
      <c r="UDU104" s="29"/>
      <c r="UDV104" s="29"/>
      <c r="UDW104" s="29"/>
      <c r="UDX104" s="29"/>
      <c r="UDY104" s="29"/>
      <c r="UDZ104" s="29"/>
      <c r="UEA104" s="29"/>
      <c r="UEB104" s="29"/>
      <c r="UEC104" s="29"/>
      <c r="UED104" s="29"/>
      <c r="UEE104" s="29"/>
      <c r="UEF104" s="29"/>
      <c r="UEG104" s="29"/>
      <c r="UEH104" s="29"/>
      <c r="UEI104" s="29"/>
      <c r="UEJ104" s="29"/>
      <c r="UEK104" s="29"/>
      <c r="UEL104" s="29"/>
      <c r="UEM104" s="29"/>
      <c r="UEN104" s="29"/>
      <c r="UEO104" s="29"/>
      <c r="UEP104" s="29"/>
      <c r="UEQ104" s="29"/>
      <c r="UER104" s="29"/>
      <c r="UES104" s="29"/>
      <c r="UET104" s="29"/>
      <c r="UEU104" s="29"/>
      <c r="UEV104" s="29"/>
      <c r="UEW104" s="29"/>
      <c r="UEX104" s="29"/>
      <c r="UEY104" s="29"/>
      <c r="UEZ104" s="29"/>
      <c r="UFA104" s="29"/>
      <c r="UFB104" s="29"/>
      <c r="UFC104" s="29"/>
      <c r="UFD104" s="29"/>
      <c r="UFE104" s="29"/>
      <c r="UFF104" s="29"/>
      <c r="UFG104" s="29"/>
      <c r="UFH104" s="29"/>
      <c r="UFI104" s="29"/>
      <c r="UFJ104" s="29"/>
      <c r="UFK104" s="29"/>
      <c r="UFL104" s="29"/>
      <c r="UFM104" s="29"/>
      <c r="UFN104" s="29"/>
      <c r="UFO104" s="29"/>
      <c r="UFP104" s="29"/>
      <c r="UFQ104" s="29"/>
      <c r="UFR104" s="29"/>
      <c r="UFS104" s="29"/>
      <c r="UFT104" s="29"/>
      <c r="UFU104" s="29"/>
      <c r="UFV104" s="29"/>
      <c r="UFW104" s="29"/>
      <c r="UFX104" s="29"/>
      <c r="UFY104" s="29"/>
      <c r="UFZ104" s="29"/>
      <c r="UGA104" s="29"/>
      <c r="UGB104" s="29"/>
      <c r="UGC104" s="29"/>
      <c r="UGD104" s="29"/>
      <c r="UGE104" s="29"/>
      <c r="UGF104" s="29"/>
      <c r="UGG104" s="29"/>
      <c r="UGH104" s="29"/>
      <c r="UGI104" s="29"/>
      <c r="UGJ104" s="29"/>
      <c r="UGK104" s="29"/>
      <c r="UGL104" s="29"/>
      <c r="UGM104" s="29"/>
      <c r="UGN104" s="29"/>
      <c r="UGO104" s="29"/>
      <c r="UGP104" s="29"/>
      <c r="UGQ104" s="29"/>
      <c r="UGR104" s="29"/>
      <c r="UGS104" s="29"/>
      <c r="UGT104" s="29"/>
      <c r="UGU104" s="29"/>
      <c r="UGV104" s="29"/>
      <c r="UGW104" s="29"/>
      <c r="UGX104" s="29"/>
      <c r="UGY104" s="29"/>
      <c r="UGZ104" s="29"/>
      <c r="UHA104" s="29"/>
      <c r="UHB104" s="29"/>
      <c r="UHC104" s="29"/>
      <c r="UHD104" s="29"/>
      <c r="UHE104" s="29"/>
      <c r="UHF104" s="29"/>
      <c r="UHG104" s="29"/>
      <c r="UHH104" s="29"/>
      <c r="UHI104" s="29"/>
      <c r="UHJ104" s="29"/>
      <c r="UHK104" s="29"/>
      <c r="UHL104" s="29"/>
      <c r="UHM104" s="29"/>
      <c r="UHN104" s="29"/>
      <c r="UHO104" s="29"/>
      <c r="UHP104" s="29"/>
      <c r="UHQ104" s="29"/>
      <c r="UHR104" s="29"/>
      <c r="UHS104" s="29"/>
      <c r="UHT104" s="29"/>
      <c r="UHU104" s="29"/>
      <c r="UHV104" s="29"/>
      <c r="UHW104" s="29"/>
      <c r="UHX104" s="29"/>
      <c r="UHY104" s="29"/>
      <c r="UHZ104" s="29"/>
      <c r="UIA104" s="29"/>
      <c r="UIB104" s="29"/>
      <c r="UIC104" s="29"/>
      <c r="UID104" s="29"/>
      <c r="UIE104" s="29"/>
      <c r="UIF104" s="29"/>
      <c r="UIG104" s="29"/>
      <c r="UIH104" s="29"/>
      <c r="UII104" s="29"/>
      <c r="UIJ104" s="29"/>
      <c r="UIK104" s="29"/>
      <c r="UIL104" s="29"/>
      <c r="UIM104" s="29"/>
      <c r="UIN104" s="29"/>
      <c r="UIO104" s="29"/>
      <c r="UIP104" s="29"/>
      <c r="UIQ104" s="29"/>
      <c r="UIR104" s="29"/>
      <c r="UIS104" s="29"/>
      <c r="UIT104" s="29"/>
      <c r="UIU104" s="29"/>
      <c r="UIV104" s="29"/>
      <c r="UIW104" s="29"/>
      <c r="UIX104" s="29"/>
      <c r="UIY104" s="29"/>
      <c r="UIZ104" s="29"/>
      <c r="UJA104" s="29"/>
      <c r="UJB104" s="29"/>
      <c r="UJC104" s="29"/>
      <c r="UJD104" s="29"/>
      <c r="UJE104" s="29"/>
      <c r="UJF104" s="29"/>
      <c r="UJG104" s="29"/>
      <c r="UJH104" s="29"/>
      <c r="UJI104" s="29"/>
      <c r="UJJ104" s="29"/>
      <c r="UJK104" s="29"/>
      <c r="UJL104" s="29"/>
      <c r="UJM104" s="29"/>
      <c r="UJN104" s="29"/>
      <c r="UJO104" s="29"/>
      <c r="UJP104" s="29"/>
      <c r="UJQ104" s="29"/>
      <c r="UJR104" s="29"/>
      <c r="UJS104" s="29"/>
      <c r="UJT104" s="29"/>
      <c r="UJU104" s="29"/>
      <c r="UJV104" s="29"/>
      <c r="UJW104" s="29"/>
      <c r="UJX104" s="29"/>
      <c r="UJY104" s="29"/>
      <c r="UJZ104" s="29"/>
      <c r="UKA104" s="29"/>
      <c r="UKB104" s="29"/>
      <c r="UKC104" s="29"/>
      <c r="UKD104" s="29"/>
      <c r="UKE104" s="29"/>
      <c r="UKF104" s="29"/>
      <c r="UKG104" s="29"/>
      <c r="UKH104" s="29"/>
      <c r="UKI104" s="29"/>
      <c r="UKJ104" s="29"/>
      <c r="UKK104" s="29"/>
      <c r="UKL104" s="29"/>
      <c r="UKM104" s="29"/>
      <c r="UKN104" s="29"/>
      <c r="UKO104" s="29"/>
      <c r="UKP104" s="29"/>
      <c r="UKQ104" s="29"/>
      <c r="UKR104" s="29"/>
      <c r="UKS104" s="29"/>
      <c r="UKT104" s="29"/>
      <c r="UKU104" s="29"/>
      <c r="UKV104" s="29"/>
      <c r="UKW104" s="29"/>
      <c r="UKX104" s="29"/>
      <c r="UKY104" s="29"/>
      <c r="UKZ104" s="29"/>
      <c r="ULA104" s="29"/>
      <c r="ULB104" s="29"/>
      <c r="ULC104" s="29"/>
      <c r="ULD104" s="29"/>
      <c r="ULE104" s="29"/>
      <c r="ULF104" s="29"/>
      <c r="ULG104" s="29"/>
      <c r="ULH104" s="29"/>
      <c r="ULI104" s="29"/>
      <c r="ULJ104" s="29"/>
      <c r="ULK104" s="29"/>
      <c r="ULL104" s="29"/>
      <c r="ULM104" s="29"/>
      <c r="ULN104" s="29"/>
      <c r="ULO104" s="29"/>
      <c r="ULP104" s="29"/>
      <c r="ULQ104" s="29"/>
      <c r="ULR104" s="29"/>
      <c r="ULS104" s="29"/>
      <c r="ULT104" s="29"/>
      <c r="ULU104" s="29"/>
      <c r="ULV104" s="29"/>
      <c r="ULW104" s="29"/>
      <c r="ULX104" s="29"/>
      <c r="ULY104" s="29"/>
      <c r="ULZ104" s="29"/>
      <c r="UMA104" s="29"/>
      <c r="UMB104" s="29"/>
      <c r="UMC104" s="29"/>
      <c r="UMD104" s="29"/>
      <c r="UME104" s="29"/>
      <c r="UMF104" s="29"/>
      <c r="UMG104" s="29"/>
      <c r="UMH104" s="29"/>
      <c r="UMI104" s="29"/>
      <c r="UMJ104" s="29"/>
      <c r="UMK104" s="29"/>
      <c r="UML104" s="29"/>
      <c r="UMM104" s="29"/>
      <c r="UMN104" s="29"/>
      <c r="UMO104" s="29"/>
      <c r="UMP104" s="29"/>
      <c r="UMQ104" s="29"/>
      <c r="UMR104" s="29"/>
      <c r="UMS104" s="29"/>
      <c r="UMT104" s="29"/>
      <c r="UMU104" s="29"/>
      <c r="UMV104" s="29"/>
      <c r="UMW104" s="29"/>
      <c r="UMX104" s="29"/>
      <c r="UMY104" s="29"/>
      <c r="UMZ104" s="29"/>
      <c r="UNA104" s="29"/>
      <c r="UNB104" s="29"/>
      <c r="UNC104" s="29"/>
      <c r="UND104" s="29"/>
      <c r="UNE104" s="29"/>
      <c r="UNF104" s="29"/>
      <c r="UNG104" s="29"/>
      <c r="UNH104" s="29"/>
      <c r="UNI104" s="29"/>
      <c r="UNJ104" s="29"/>
      <c r="UNK104" s="29"/>
      <c r="UNL104" s="29"/>
      <c r="UNM104" s="29"/>
      <c r="UNN104" s="29"/>
      <c r="UNO104" s="29"/>
      <c r="UNP104" s="29"/>
      <c r="UNQ104" s="29"/>
      <c r="UNR104" s="29"/>
      <c r="UNS104" s="29"/>
      <c r="UNT104" s="29"/>
      <c r="UNU104" s="29"/>
      <c r="UNV104" s="29"/>
      <c r="UNW104" s="29"/>
      <c r="UNX104" s="29"/>
      <c r="UNY104" s="29"/>
      <c r="UNZ104" s="29"/>
      <c r="UOA104" s="29"/>
      <c r="UOB104" s="29"/>
      <c r="UOC104" s="29"/>
      <c r="UOD104" s="29"/>
      <c r="UOE104" s="29"/>
      <c r="UOF104" s="29"/>
      <c r="UOG104" s="29"/>
      <c r="UOH104" s="29"/>
      <c r="UOI104" s="29"/>
      <c r="UOJ104" s="29"/>
      <c r="UOK104" s="29"/>
      <c r="UOL104" s="29"/>
      <c r="UOM104" s="29"/>
      <c r="UON104" s="29"/>
      <c r="UOO104" s="29"/>
      <c r="UOP104" s="29"/>
      <c r="UOQ104" s="29"/>
      <c r="UOR104" s="29"/>
      <c r="UOS104" s="29"/>
      <c r="UOT104" s="29"/>
      <c r="UOU104" s="29"/>
      <c r="UOV104" s="29"/>
      <c r="UOW104" s="29"/>
      <c r="UOX104" s="29"/>
      <c r="UOY104" s="29"/>
      <c r="UOZ104" s="29"/>
      <c r="UPA104" s="29"/>
      <c r="UPB104" s="29"/>
      <c r="UPC104" s="29"/>
      <c r="UPD104" s="29"/>
      <c r="UPE104" s="29"/>
      <c r="UPF104" s="29"/>
      <c r="UPG104" s="29"/>
      <c r="UPH104" s="29"/>
      <c r="UPI104" s="29"/>
      <c r="UPJ104" s="29"/>
      <c r="UPK104" s="29"/>
      <c r="UPL104" s="29"/>
      <c r="UPM104" s="29"/>
      <c r="UPN104" s="29"/>
      <c r="UPO104" s="29"/>
      <c r="UPP104" s="29"/>
      <c r="UPQ104" s="29"/>
      <c r="UPR104" s="29"/>
      <c r="UPS104" s="29"/>
      <c r="UPT104" s="29"/>
      <c r="UPU104" s="29"/>
      <c r="UPV104" s="29"/>
      <c r="UPW104" s="29"/>
      <c r="UPX104" s="29"/>
      <c r="UPY104" s="29"/>
      <c r="UPZ104" s="29"/>
      <c r="UQA104" s="29"/>
      <c r="UQB104" s="29"/>
      <c r="UQC104" s="29"/>
      <c r="UQD104" s="29"/>
      <c r="UQE104" s="29"/>
      <c r="UQF104" s="29"/>
      <c r="UQG104" s="29"/>
      <c r="UQH104" s="29"/>
      <c r="UQI104" s="29"/>
      <c r="UQJ104" s="29"/>
      <c r="UQK104" s="29"/>
      <c r="UQL104" s="29"/>
      <c r="UQM104" s="29"/>
      <c r="UQN104" s="29"/>
      <c r="UQO104" s="29"/>
      <c r="UQP104" s="29"/>
      <c r="UQQ104" s="29"/>
      <c r="UQR104" s="29"/>
      <c r="UQS104" s="29"/>
      <c r="UQT104" s="29"/>
      <c r="UQU104" s="29"/>
      <c r="UQV104" s="29"/>
      <c r="UQW104" s="29"/>
      <c r="UQX104" s="29"/>
      <c r="UQY104" s="29"/>
      <c r="UQZ104" s="29"/>
      <c r="URA104" s="29"/>
      <c r="URB104" s="29"/>
      <c r="URC104" s="29"/>
      <c r="URD104" s="29"/>
      <c r="URE104" s="29"/>
      <c r="URF104" s="29"/>
      <c r="URG104" s="29"/>
      <c r="URH104" s="29"/>
      <c r="URI104" s="29"/>
      <c r="URJ104" s="29"/>
      <c r="URK104" s="29"/>
      <c r="URL104" s="29"/>
      <c r="URM104" s="29"/>
      <c r="URN104" s="29"/>
      <c r="URO104" s="29"/>
      <c r="URP104" s="29"/>
      <c r="URQ104" s="29"/>
      <c r="URR104" s="29"/>
      <c r="URS104" s="29"/>
      <c r="URT104" s="29"/>
      <c r="URU104" s="29"/>
      <c r="URV104" s="29"/>
      <c r="URW104" s="29"/>
      <c r="URX104" s="29"/>
      <c r="URY104" s="29"/>
      <c r="URZ104" s="29"/>
      <c r="USA104" s="29"/>
      <c r="USB104" s="29"/>
      <c r="USC104" s="29"/>
      <c r="USD104" s="29"/>
      <c r="USE104" s="29"/>
      <c r="USF104" s="29"/>
      <c r="USG104" s="29"/>
      <c r="USH104" s="29"/>
      <c r="USI104" s="29"/>
      <c r="USJ104" s="29"/>
      <c r="USK104" s="29"/>
      <c r="USL104" s="29"/>
      <c r="USM104" s="29"/>
      <c r="USN104" s="29"/>
      <c r="USO104" s="29"/>
      <c r="USP104" s="29"/>
      <c r="USQ104" s="29"/>
      <c r="USR104" s="29"/>
      <c r="USS104" s="29"/>
      <c r="UST104" s="29"/>
      <c r="USU104" s="29"/>
      <c r="USV104" s="29"/>
      <c r="USW104" s="29"/>
      <c r="USX104" s="29"/>
      <c r="USY104" s="29"/>
      <c r="USZ104" s="29"/>
      <c r="UTA104" s="29"/>
      <c r="UTB104" s="29"/>
      <c r="UTC104" s="29"/>
      <c r="UTD104" s="29"/>
      <c r="UTE104" s="29"/>
      <c r="UTF104" s="29"/>
      <c r="UTG104" s="29"/>
      <c r="UTH104" s="29"/>
      <c r="UTI104" s="29"/>
      <c r="UTJ104" s="29"/>
      <c r="UTK104" s="29"/>
      <c r="UTL104" s="29"/>
      <c r="UTM104" s="29"/>
      <c r="UTN104" s="29"/>
      <c r="UTO104" s="29"/>
      <c r="UTP104" s="29"/>
      <c r="UTQ104" s="29"/>
      <c r="UTR104" s="29"/>
      <c r="UTS104" s="29"/>
      <c r="UTT104" s="29"/>
      <c r="UTU104" s="29"/>
      <c r="UTV104" s="29"/>
      <c r="UTW104" s="29"/>
      <c r="UTX104" s="29"/>
      <c r="UTY104" s="29"/>
      <c r="UTZ104" s="29"/>
      <c r="UUA104" s="29"/>
      <c r="UUB104" s="29"/>
      <c r="UUC104" s="29"/>
      <c r="UUD104" s="29"/>
      <c r="UUE104" s="29"/>
      <c r="UUF104" s="29"/>
      <c r="UUG104" s="29"/>
      <c r="UUH104" s="29"/>
      <c r="UUI104" s="29"/>
      <c r="UUJ104" s="29"/>
      <c r="UUK104" s="29"/>
      <c r="UUL104" s="29"/>
      <c r="UUM104" s="29"/>
      <c r="UUN104" s="29"/>
      <c r="UUO104" s="29"/>
      <c r="UUP104" s="29"/>
      <c r="UUQ104" s="29"/>
      <c r="UUR104" s="29"/>
      <c r="UUS104" s="29"/>
      <c r="UUT104" s="29"/>
      <c r="UUU104" s="29"/>
      <c r="UUV104" s="29"/>
      <c r="UUW104" s="29"/>
      <c r="UUX104" s="29"/>
      <c r="UUY104" s="29"/>
      <c r="UUZ104" s="29"/>
      <c r="UVA104" s="29"/>
      <c r="UVB104" s="29"/>
      <c r="UVC104" s="29"/>
      <c r="UVD104" s="29"/>
      <c r="UVE104" s="29"/>
      <c r="UVF104" s="29"/>
      <c r="UVG104" s="29"/>
      <c r="UVH104" s="29"/>
      <c r="UVI104" s="29"/>
      <c r="UVJ104" s="29"/>
      <c r="UVK104" s="29"/>
      <c r="UVL104" s="29"/>
      <c r="UVM104" s="29"/>
      <c r="UVN104" s="29"/>
      <c r="UVO104" s="29"/>
      <c r="UVP104" s="29"/>
      <c r="UVQ104" s="29"/>
      <c r="UVR104" s="29"/>
      <c r="UVS104" s="29"/>
      <c r="UVT104" s="29"/>
      <c r="UVU104" s="29"/>
      <c r="UVV104" s="29"/>
      <c r="UVW104" s="29"/>
      <c r="UVX104" s="29"/>
      <c r="UVY104" s="29"/>
      <c r="UVZ104" s="29"/>
      <c r="UWA104" s="29"/>
      <c r="UWB104" s="29"/>
      <c r="UWC104" s="29"/>
      <c r="UWD104" s="29"/>
      <c r="UWE104" s="29"/>
      <c r="UWF104" s="29"/>
      <c r="UWG104" s="29"/>
      <c r="UWH104" s="29"/>
      <c r="UWI104" s="29"/>
      <c r="UWJ104" s="29"/>
      <c r="UWK104" s="29"/>
      <c r="UWL104" s="29"/>
      <c r="UWM104" s="29"/>
      <c r="UWN104" s="29"/>
      <c r="UWO104" s="29"/>
      <c r="UWP104" s="29"/>
      <c r="UWQ104" s="29"/>
      <c r="UWR104" s="29"/>
      <c r="UWS104" s="29"/>
      <c r="UWT104" s="29"/>
      <c r="UWU104" s="29"/>
      <c r="UWV104" s="29"/>
      <c r="UWW104" s="29"/>
      <c r="UWX104" s="29"/>
      <c r="UWY104" s="29"/>
      <c r="UWZ104" s="29"/>
      <c r="UXA104" s="29"/>
      <c r="UXB104" s="29"/>
      <c r="UXC104" s="29"/>
      <c r="UXD104" s="29"/>
      <c r="UXE104" s="29"/>
      <c r="UXF104" s="29"/>
      <c r="UXG104" s="29"/>
      <c r="UXH104" s="29"/>
      <c r="UXI104" s="29"/>
      <c r="UXJ104" s="29"/>
      <c r="UXK104" s="29"/>
      <c r="UXL104" s="29"/>
      <c r="UXM104" s="29"/>
      <c r="UXN104" s="29"/>
      <c r="UXO104" s="29"/>
      <c r="UXP104" s="29"/>
      <c r="UXQ104" s="29"/>
      <c r="UXR104" s="29"/>
      <c r="UXS104" s="29"/>
      <c r="UXT104" s="29"/>
      <c r="UXU104" s="29"/>
      <c r="UXV104" s="29"/>
      <c r="UXW104" s="29"/>
      <c r="UXX104" s="29"/>
      <c r="UXY104" s="29"/>
      <c r="UXZ104" s="29"/>
      <c r="UYA104" s="29"/>
      <c r="UYB104" s="29"/>
      <c r="UYC104" s="29"/>
      <c r="UYD104" s="29"/>
      <c r="UYE104" s="29"/>
      <c r="UYF104" s="29"/>
      <c r="UYG104" s="29"/>
      <c r="UYH104" s="29"/>
      <c r="UYI104" s="29"/>
      <c r="UYJ104" s="29"/>
      <c r="UYK104" s="29"/>
      <c r="UYL104" s="29"/>
      <c r="UYM104" s="29"/>
      <c r="UYN104" s="29"/>
      <c r="UYO104" s="29"/>
      <c r="UYP104" s="29"/>
      <c r="UYQ104" s="29"/>
      <c r="UYR104" s="29"/>
      <c r="UYS104" s="29"/>
      <c r="UYT104" s="29"/>
      <c r="UYU104" s="29"/>
      <c r="UYV104" s="29"/>
      <c r="UYW104" s="29"/>
      <c r="UYX104" s="29"/>
      <c r="UYY104" s="29"/>
      <c r="UYZ104" s="29"/>
      <c r="UZA104" s="29"/>
      <c r="UZB104" s="29"/>
      <c r="UZC104" s="29"/>
      <c r="UZD104" s="29"/>
      <c r="UZE104" s="29"/>
      <c r="UZF104" s="29"/>
      <c r="UZG104" s="29"/>
      <c r="UZH104" s="29"/>
      <c r="UZI104" s="29"/>
      <c r="UZJ104" s="29"/>
      <c r="UZK104" s="29"/>
      <c r="UZL104" s="29"/>
      <c r="UZM104" s="29"/>
      <c r="UZN104" s="29"/>
      <c r="UZO104" s="29"/>
      <c r="UZP104" s="29"/>
      <c r="UZQ104" s="29"/>
      <c r="UZR104" s="29"/>
      <c r="UZS104" s="29"/>
      <c r="UZT104" s="29"/>
      <c r="UZU104" s="29"/>
      <c r="UZV104" s="29"/>
      <c r="UZW104" s="29"/>
      <c r="UZX104" s="29"/>
      <c r="UZY104" s="29"/>
      <c r="UZZ104" s="29"/>
      <c r="VAA104" s="29"/>
      <c r="VAB104" s="29"/>
      <c r="VAC104" s="29"/>
      <c r="VAD104" s="29"/>
      <c r="VAE104" s="29"/>
      <c r="VAF104" s="29"/>
      <c r="VAG104" s="29"/>
      <c r="VAH104" s="29"/>
      <c r="VAI104" s="29"/>
      <c r="VAJ104" s="29"/>
      <c r="VAK104" s="29"/>
      <c r="VAL104" s="29"/>
      <c r="VAM104" s="29"/>
      <c r="VAN104" s="29"/>
      <c r="VAO104" s="29"/>
      <c r="VAP104" s="29"/>
      <c r="VAQ104" s="29"/>
      <c r="VAR104" s="29"/>
      <c r="VAS104" s="29"/>
      <c r="VAT104" s="29"/>
      <c r="VAU104" s="29"/>
      <c r="VAV104" s="29"/>
      <c r="VAW104" s="29"/>
      <c r="VAX104" s="29"/>
      <c r="VAY104" s="29"/>
      <c r="VAZ104" s="29"/>
      <c r="VBA104" s="29"/>
      <c r="VBB104" s="29"/>
      <c r="VBC104" s="29"/>
      <c r="VBD104" s="29"/>
      <c r="VBE104" s="29"/>
      <c r="VBF104" s="29"/>
      <c r="VBG104" s="29"/>
      <c r="VBH104" s="29"/>
      <c r="VBI104" s="29"/>
      <c r="VBJ104" s="29"/>
      <c r="VBK104" s="29"/>
      <c r="VBL104" s="29"/>
      <c r="VBM104" s="29"/>
      <c r="VBN104" s="29"/>
      <c r="VBO104" s="29"/>
      <c r="VBP104" s="29"/>
      <c r="VBQ104" s="29"/>
      <c r="VBR104" s="29"/>
      <c r="VBS104" s="29"/>
      <c r="VBT104" s="29"/>
      <c r="VBU104" s="29"/>
      <c r="VBV104" s="29"/>
      <c r="VBW104" s="29"/>
      <c r="VBX104" s="29"/>
      <c r="VBY104" s="29"/>
      <c r="VBZ104" s="29"/>
      <c r="VCA104" s="29"/>
      <c r="VCB104" s="29"/>
      <c r="VCC104" s="29"/>
      <c r="VCD104" s="29"/>
      <c r="VCE104" s="29"/>
      <c r="VCF104" s="29"/>
      <c r="VCG104" s="29"/>
      <c r="VCH104" s="29"/>
      <c r="VCI104" s="29"/>
      <c r="VCJ104" s="29"/>
      <c r="VCK104" s="29"/>
      <c r="VCL104" s="29"/>
      <c r="VCM104" s="29"/>
      <c r="VCN104" s="29"/>
      <c r="VCO104" s="29"/>
      <c r="VCP104" s="29"/>
      <c r="VCQ104" s="29"/>
      <c r="VCR104" s="29"/>
      <c r="VCS104" s="29"/>
      <c r="VCT104" s="29"/>
      <c r="VCU104" s="29"/>
      <c r="VCV104" s="29"/>
      <c r="VCW104" s="29"/>
      <c r="VCX104" s="29"/>
      <c r="VCY104" s="29"/>
      <c r="VCZ104" s="29"/>
      <c r="VDA104" s="29"/>
      <c r="VDB104" s="29"/>
      <c r="VDC104" s="29"/>
      <c r="VDD104" s="29"/>
      <c r="VDE104" s="29"/>
      <c r="VDF104" s="29"/>
      <c r="VDG104" s="29"/>
      <c r="VDH104" s="29"/>
      <c r="VDI104" s="29"/>
      <c r="VDJ104" s="29"/>
      <c r="VDK104" s="29"/>
      <c r="VDL104" s="29"/>
      <c r="VDM104" s="29"/>
      <c r="VDN104" s="29"/>
      <c r="VDO104" s="29"/>
      <c r="VDP104" s="29"/>
      <c r="VDQ104" s="29"/>
      <c r="VDR104" s="29"/>
      <c r="VDS104" s="29"/>
      <c r="VDT104" s="29"/>
      <c r="VDU104" s="29"/>
      <c r="VDV104" s="29"/>
      <c r="VDW104" s="29"/>
      <c r="VDX104" s="29"/>
      <c r="VDY104" s="29"/>
      <c r="VDZ104" s="29"/>
      <c r="VEA104" s="29"/>
      <c r="VEB104" s="29"/>
      <c r="VEC104" s="29"/>
      <c r="VED104" s="29"/>
      <c r="VEE104" s="29"/>
      <c r="VEF104" s="29"/>
      <c r="VEG104" s="29"/>
      <c r="VEH104" s="29"/>
      <c r="VEI104" s="29"/>
      <c r="VEJ104" s="29"/>
      <c r="VEK104" s="29"/>
      <c r="VEL104" s="29"/>
      <c r="VEM104" s="29"/>
      <c r="VEN104" s="29"/>
      <c r="VEO104" s="29"/>
      <c r="VEP104" s="29"/>
      <c r="VEQ104" s="29"/>
      <c r="VER104" s="29"/>
      <c r="VES104" s="29"/>
      <c r="VET104" s="29"/>
      <c r="VEU104" s="29"/>
      <c r="VEV104" s="29"/>
      <c r="VEW104" s="29"/>
      <c r="VEX104" s="29"/>
      <c r="VEY104" s="29"/>
      <c r="VEZ104" s="29"/>
      <c r="VFA104" s="29"/>
      <c r="VFB104" s="29"/>
      <c r="VFC104" s="29"/>
      <c r="VFD104" s="29"/>
      <c r="VFE104" s="29"/>
      <c r="VFF104" s="29"/>
      <c r="VFG104" s="29"/>
      <c r="VFH104" s="29"/>
      <c r="VFI104" s="29"/>
      <c r="VFJ104" s="29"/>
      <c r="VFK104" s="29"/>
      <c r="VFL104" s="29"/>
      <c r="VFM104" s="29"/>
      <c r="VFN104" s="29"/>
      <c r="VFO104" s="29"/>
      <c r="VFP104" s="29"/>
      <c r="VFQ104" s="29"/>
      <c r="VFR104" s="29"/>
      <c r="VFS104" s="29"/>
      <c r="VFT104" s="29"/>
      <c r="VFU104" s="29"/>
      <c r="VFV104" s="29"/>
      <c r="VFW104" s="29"/>
      <c r="VFX104" s="29"/>
      <c r="VFY104" s="29"/>
      <c r="VFZ104" s="29"/>
      <c r="VGA104" s="29"/>
      <c r="VGB104" s="29"/>
      <c r="VGC104" s="29"/>
      <c r="VGD104" s="29"/>
      <c r="VGE104" s="29"/>
      <c r="VGF104" s="29"/>
      <c r="VGG104" s="29"/>
      <c r="VGH104" s="29"/>
      <c r="VGI104" s="29"/>
      <c r="VGJ104" s="29"/>
      <c r="VGK104" s="29"/>
      <c r="VGL104" s="29"/>
      <c r="VGM104" s="29"/>
      <c r="VGN104" s="29"/>
      <c r="VGO104" s="29"/>
      <c r="VGP104" s="29"/>
      <c r="VGQ104" s="29"/>
      <c r="VGR104" s="29"/>
      <c r="VGS104" s="29"/>
      <c r="VGT104" s="29"/>
      <c r="VGU104" s="29"/>
      <c r="VGV104" s="29"/>
      <c r="VGW104" s="29"/>
      <c r="VGX104" s="29"/>
      <c r="VGY104" s="29"/>
      <c r="VGZ104" s="29"/>
      <c r="VHA104" s="29"/>
      <c r="VHB104" s="29"/>
      <c r="VHC104" s="29"/>
      <c r="VHD104" s="29"/>
      <c r="VHE104" s="29"/>
      <c r="VHF104" s="29"/>
      <c r="VHG104" s="29"/>
      <c r="VHH104" s="29"/>
      <c r="VHI104" s="29"/>
      <c r="VHJ104" s="29"/>
      <c r="VHK104" s="29"/>
      <c r="VHL104" s="29"/>
      <c r="VHM104" s="29"/>
      <c r="VHN104" s="29"/>
      <c r="VHO104" s="29"/>
      <c r="VHP104" s="29"/>
      <c r="VHQ104" s="29"/>
      <c r="VHR104" s="29"/>
      <c r="VHS104" s="29"/>
      <c r="VHT104" s="29"/>
      <c r="VHU104" s="29"/>
      <c r="VHV104" s="29"/>
      <c r="VHW104" s="29"/>
      <c r="VHX104" s="29"/>
      <c r="VHY104" s="29"/>
      <c r="VHZ104" s="29"/>
      <c r="VIA104" s="29"/>
      <c r="VIB104" s="29"/>
      <c r="VIC104" s="29"/>
      <c r="VID104" s="29"/>
      <c r="VIE104" s="29"/>
      <c r="VIF104" s="29"/>
      <c r="VIG104" s="29"/>
      <c r="VIH104" s="29"/>
      <c r="VII104" s="29"/>
      <c r="VIJ104" s="29"/>
      <c r="VIK104" s="29"/>
      <c r="VIL104" s="29"/>
      <c r="VIM104" s="29"/>
      <c r="VIN104" s="29"/>
      <c r="VIO104" s="29"/>
      <c r="VIP104" s="29"/>
      <c r="VIQ104" s="29"/>
      <c r="VIR104" s="29"/>
      <c r="VIS104" s="29"/>
      <c r="VIT104" s="29"/>
      <c r="VIU104" s="29"/>
      <c r="VIV104" s="29"/>
      <c r="VIW104" s="29"/>
      <c r="VIX104" s="29"/>
      <c r="VIY104" s="29"/>
      <c r="VIZ104" s="29"/>
      <c r="VJA104" s="29"/>
      <c r="VJB104" s="29"/>
      <c r="VJC104" s="29"/>
      <c r="VJD104" s="29"/>
      <c r="VJE104" s="29"/>
      <c r="VJF104" s="29"/>
      <c r="VJG104" s="29"/>
      <c r="VJH104" s="29"/>
      <c r="VJI104" s="29"/>
      <c r="VJJ104" s="29"/>
      <c r="VJK104" s="29"/>
      <c r="VJL104" s="29"/>
      <c r="VJM104" s="29"/>
      <c r="VJN104" s="29"/>
      <c r="VJO104" s="29"/>
      <c r="VJP104" s="29"/>
      <c r="VJQ104" s="29"/>
      <c r="VJR104" s="29"/>
      <c r="VJS104" s="29"/>
      <c r="VJT104" s="29"/>
      <c r="VJU104" s="29"/>
      <c r="VJV104" s="29"/>
      <c r="VJW104" s="29"/>
      <c r="VJX104" s="29"/>
      <c r="VJY104" s="29"/>
      <c r="VJZ104" s="29"/>
      <c r="VKA104" s="29"/>
      <c r="VKB104" s="29"/>
      <c r="VKC104" s="29"/>
      <c r="VKD104" s="29"/>
      <c r="VKE104" s="29"/>
      <c r="VKF104" s="29"/>
      <c r="VKG104" s="29"/>
      <c r="VKH104" s="29"/>
      <c r="VKI104" s="29"/>
      <c r="VKJ104" s="29"/>
      <c r="VKK104" s="29"/>
      <c r="VKL104" s="29"/>
      <c r="VKM104" s="29"/>
      <c r="VKN104" s="29"/>
      <c r="VKO104" s="29"/>
      <c r="VKP104" s="29"/>
      <c r="VKQ104" s="29"/>
      <c r="VKR104" s="29"/>
      <c r="VKS104" s="29"/>
      <c r="VKT104" s="29"/>
      <c r="VKU104" s="29"/>
      <c r="VKV104" s="29"/>
      <c r="VKW104" s="29"/>
      <c r="VKX104" s="29"/>
      <c r="VKY104" s="29"/>
      <c r="VKZ104" s="29"/>
      <c r="VLA104" s="29"/>
      <c r="VLB104" s="29"/>
      <c r="VLC104" s="29"/>
      <c r="VLD104" s="29"/>
      <c r="VLE104" s="29"/>
      <c r="VLF104" s="29"/>
      <c r="VLG104" s="29"/>
      <c r="VLH104" s="29"/>
      <c r="VLI104" s="29"/>
      <c r="VLJ104" s="29"/>
      <c r="VLK104" s="29"/>
      <c r="VLL104" s="29"/>
      <c r="VLM104" s="29"/>
      <c r="VLN104" s="29"/>
      <c r="VLO104" s="29"/>
      <c r="VLP104" s="29"/>
      <c r="VLQ104" s="29"/>
      <c r="VLR104" s="29"/>
      <c r="VLS104" s="29"/>
      <c r="VLT104" s="29"/>
      <c r="VLU104" s="29"/>
      <c r="VLV104" s="29"/>
      <c r="VLW104" s="29"/>
      <c r="VLX104" s="29"/>
      <c r="VLY104" s="29"/>
      <c r="VLZ104" s="29"/>
      <c r="VMA104" s="29"/>
      <c r="VMB104" s="29"/>
      <c r="VMC104" s="29"/>
      <c r="VMD104" s="29"/>
      <c r="VME104" s="29"/>
      <c r="VMF104" s="29"/>
      <c r="VMG104" s="29"/>
      <c r="VMH104" s="29"/>
      <c r="VMI104" s="29"/>
      <c r="VMJ104" s="29"/>
      <c r="VMK104" s="29"/>
      <c r="VML104" s="29"/>
      <c r="VMM104" s="29"/>
      <c r="VMN104" s="29"/>
      <c r="VMO104" s="29"/>
      <c r="VMP104" s="29"/>
      <c r="VMQ104" s="29"/>
      <c r="VMR104" s="29"/>
      <c r="VMS104" s="29"/>
      <c r="VMT104" s="29"/>
      <c r="VMU104" s="29"/>
      <c r="VMV104" s="29"/>
      <c r="VMW104" s="29"/>
      <c r="VMX104" s="29"/>
      <c r="VMY104" s="29"/>
      <c r="VMZ104" s="29"/>
      <c r="VNA104" s="29"/>
      <c r="VNB104" s="29"/>
      <c r="VNC104" s="29"/>
      <c r="VND104" s="29"/>
      <c r="VNE104" s="29"/>
      <c r="VNF104" s="29"/>
      <c r="VNG104" s="29"/>
      <c r="VNH104" s="29"/>
      <c r="VNI104" s="29"/>
      <c r="VNJ104" s="29"/>
      <c r="VNK104" s="29"/>
      <c r="VNL104" s="29"/>
      <c r="VNM104" s="29"/>
      <c r="VNN104" s="29"/>
      <c r="VNO104" s="29"/>
      <c r="VNP104" s="29"/>
      <c r="VNQ104" s="29"/>
      <c r="VNR104" s="29"/>
      <c r="VNS104" s="29"/>
      <c r="VNT104" s="29"/>
      <c r="VNU104" s="29"/>
      <c r="VNV104" s="29"/>
      <c r="VNW104" s="29"/>
      <c r="VNX104" s="29"/>
      <c r="VNY104" s="29"/>
      <c r="VNZ104" s="29"/>
      <c r="VOA104" s="29"/>
      <c r="VOB104" s="29"/>
      <c r="VOC104" s="29"/>
      <c r="VOD104" s="29"/>
      <c r="VOE104" s="29"/>
      <c r="VOF104" s="29"/>
      <c r="VOG104" s="29"/>
      <c r="VOH104" s="29"/>
      <c r="VOI104" s="29"/>
      <c r="VOJ104" s="29"/>
      <c r="VOK104" s="29"/>
      <c r="VOL104" s="29"/>
      <c r="VOM104" s="29"/>
      <c r="VON104" s="29"/>
      <c r="VOO104" s="29"/>
      <c r="VOP104" s="29"/>
      <c r="VOQ104" s="29"/>
      <c r="VOR104" s="29"/>
      <c r="VOS104" s="29"/>
      <c r="VOT104" s="29"/>
      <c r="VOU104" s="29"/>
      <c r="VOV104" s="29"/>
      <c r="VOW104" s="29"/>
      <c r="VOX104" s="29"/>
      <c r="VOY104" s="29"/>
      <c r="VOZ104" s="29"/>
      <c r="VPA104" s="29"/>
      <c r="VPB104" s="29"/>
      <c r="VPC104" s="29"/>
      <c r="VPD104" s="29"/>
      <c r="VPE104" s="29"/>
      <c r="VPF104" s="29"/>
      <c r="VPG104" s="29"/>
      <c r="VPH104" s="29"/>
      <c r="VPI104" s="29"/>
      <c r="VPJ104" s="29"/>
      <c r="VPK104" s="29"/>
      <c r="VPL104" s="29"/>
      <c r="VPM104" s="29"/>
      <c r="VPN104" s="29"/>
      <c r="VPO104" s="29"/>
      <c r="VPP104" s="29"/>
      <c r="VPQ104" s="29"/>
      <c r="VPR104" s="29"/>
      <c r="VPS104" s="29"/>
      <c r="VPT104" s="29"/>
      <c r="VPU104" s="29"/>
      <c r="VPV104" s="29"/>
      <c r="VPW104" s="29"/>
      <c r="VPX104" s="29"/>
      <c r="VPY104" s="29"/>
      <c r="VPZ104" s="29"/>
      <c r="VQA104" s="29"/>
      <c r="VQB104" s="29"/>
      <c r="VQC104" s="29"/>
      <c r="VQD104" s="29"/>
      <c r="VQE104" s="29"/>
      <c r="VQF104" s="29"/>
      <c r="VQG104" s="29"/>
      <c r="VQH104" s="29"/>
      <c r="VQI104" s="29"/>
      <c r="VQJ104" s="29"/>
      <c r="VQK104" s="29"/>
      <c r="VQL104" s="29"/>
      <c r="VQM104" s="29"/>
      <c r="VQN104" s="29"/>
      <c r="VQO104" s="29"/>
      <c r="VQP104" s="29"/>
      <c r="VQQ104" s="29"/>
      <c r="VQR104" s="29"/>
      <c r="VQS104" s="29"/>
      <c r="VQT104" s="29"/>
      <c r="VQU104" s="29"/>
      <c r="VQV104" s="29"/>
      <c r="VQW104" s="29"/>
      <c r="VQX104" s="29"/>
      <c r="VQY104" s="29"/>
      <c r="VQZ104" s="29"/>
      <c r="VRA104" s="29"/>
      <c r="VRB104" s="29"/>
      <c r="VRC104" s="29"/>
      <c r="VRD104" s="29"/>
      <c r="VRE104" s="29"/>
      <c r="VRF104" s="29"/>
      <c r="VRG104" s="29"/>
      <c r="VRH104" s="29"/>
      <c r="VRI104" s="29"/>
      <c r="VRJ104" s="29"/>
      <c r="VRK104" s="29"/>
      <c r="VRL104" s="29"/>
      <c r="VRM104" s="29"/>
      <c r="VRN104" s="29"/>
      <c r="VRO104" s="29"/>
      <c r="VRP104" s="29"/>
      <c r="VRQ104" s="29"/>
      <c r="VRR104" s="29"/>
      <c r="VRS104" s="29"/>
      <c r="VRT104" s="29"/>
      <c r="VRU104" s="29"/>
      <c r="VRV104" s="29"/>
      <c r="VRW104" s="29"/>
      <c r="VRX104" s="29"/>
      <c r="VRY104" s="29"/>
      <c r="VRZ104" s="29"/>
      <c r="VSA104" s="29"/>
      <c r="VSB104" s="29"/>
      <c r="VSC104" s="29"/>
      <c r="VSD104" s="29"/>
      <c r="VSE104" s="29"/>
      <c r="VSF104" s="29"/>
      <c r="VSG104" s="29"/>
      <c r="VSH104" s="29"/>
      <c r="VSI104" s="29"/>
      <c r="VSJ104" s="29"/>
      <c r="VSK104" s="29"/>
      <c r="VSL104" s="29"/>
      <c r="VSM104" s="29"/>
      <c r="VSN104" s="29"/>
      <c r="VSO104" s="29"/>
      <c r="VSP104" s="29"/>
      <c r="VSQ104" s="29"/>
      <c r="VSR104" s="29"/>
      <c r="VSS104" s="29"/>
      <c r="VST104" s="29"/>
      <c r="VSU104" s="29"/>
      <c r="VSV104" s="29"/>
      <c r="VSW104" s="29"/>
      <c r="VSX104" s="29"/>
      <c r="VSY104" s="29"/>
      <c r="VSZ104" s="29"/>
      <c r="VTA104" s="29"/>
      <c r="VTB104" s="29"/>
      <c r="VTC104" s="29"/>
      <c r="VTD104" s="29"/>
      <c r="VTE104" s="29"/>
      <c r="VTF104" s="29"/>
      <c r="VTG104" s="29"/>
      <c r="VTH104" s="29"/>
      <c r="VTI104" s="29"/>
      <c r="VTJ104" s="29"/>
      <c r="VTK104" s="29"/>
      <c r="VTL104" s="29"/>
      <c r="VTM104" s="29"/>
      <c r="VTN104" s="29"/>
      <c r="VTO104" s="29"/>
      <c r="VTP104" s="29"/>
      <c r="VTQ104" s="29"/>
      <c r="VTR104" s="29"/>
      <c r="VTS104" s="29"/>
      <c r="VTT104" s="29"/>
      <c r="VTU104" s="29"/>
      <c r="VTV104" s="29"/>
      <c r="VTW104" s="29"/>
      <c r="VTX104" s="29"/>
      <c r="VTY104" s="29"/>
      <c r="VTZ104" s="29"/>
      <c r="VUA104" s="29"/>
      <c r="VUB104" s="29"/>
      <c r="VUC104" s="29"/>
      <c r="VUD104" s="29"/>
      <c r="VUE104" s="29"/>
      <c r="VUF104" s="29"/>
      <c r="VUG104" s="29"/>
      <c r="VUH104" s="29"/>
      <c r="VUI104" s="29"/>
      <c r="VUJ104" s="29"/>
      <c r="VUK104" s="29"/>
      <c r="VUL104" s="29"/>
      <c r="VUM104" s="29"/>
      <c r="VUN104" s="29"/>
      <c r="VUO104" s="29"/>
      <c r="VUP104" s="29"/>
      <c r="VUQ104" s="29"/>
      <c r="VUR104" s="29"/>
      <c r="VUS104" s="29"/>
      <c r="VUT104" s="29"/>
      <c r="VUU104" s="29"/>
      <c r="VUV104" s="29"/>
      <c r="VUW104" s="29"/>
      <c r="VUX104" s="29"/>
      <c r="VUY104" s="29"/>
      <c r="VUZ104" s="29"/>
      <c r="VVA104" s="29"/>
      <c r="VVB104" s="29"/>
      <c r="VVC104" s="29"/>
      <c r="VVD104" s="29"/>
      <c r="VVE104" s="29"/>
      <c r="VVF104" s="29"/>
      <c r="VVG104" s="29"/>
      <c r="VVH104" s="29"/>
      <c r="VVI104" s="29"/>
      <c r="VVJ104" s="29"/>
      <c r="VVK104" s="29"/>
      <c r="VVL104" s="29"/>
      <c r="VVM104" s="29"/>
      <c r="VVN104" s="29"/>
      <c r="VVO104" s="29"/>
      <c r="VVP104" s="29"/>
      <c r="VVQ104" s="29"/>
      <c r="VVR104" s="29"/>
      <c r="VVS104" s="29"/>
      <c r="VVT104" s="29"/>
      <c r="VVU104" s="29"/>
      <c r="VVV104" s="29"/>
      <c r="VVW104" s="29"/>
      <c r="VVX104" s="29"/>
      <c r="VVY104" s="29"/>
      <c r="VVZ104" s="29"/>
      <c r="VWA104" s="29"/>
      <c r="VWB104" s="29"/>
      <c r="VWC104" s="29"/>
      <c r="VWD104" s="29"/>
      <c r="VWE104" s="29"/>
      <c r="VWF104" s="29"/>
      <c r="VWG104" s="29"/>
      <c r="VWH104" s="29"/>
      <c r="VWI104" s="29"/>
      <c r="VWJ104" s="29"/>
      <c r="VWK104" s="29"/>
      <c r="VWL104" s="29"/>
      <c r="VWM104" s="29"/>
      <c r="VWN104" s="29"/>
      <c r="VWO104" s="29"/>
      <c r="VWP104" s="29"/>
      <c r="VWQ104" s="29"/>
      <c r="VWR104" s="29"/>
      <c r="VWS104" s="29"/>
      <c r="VWT104" s="29"/>
      <c r="VWU104" s="29"/>
      <c r="VWV104" s="29"/>
      <c r="VWW104" s="29"/>
      <c r="VWX104" s="29"/>
      <c r="VWY104" s="29"/>
      <c r="VWZ104" s="29"/>
      <c r="VXA104" s="29"/>
      <c r="VXB104" s="29"/>
      <c r="VXC104" s="29"/>
      <c r="VXD104" s="29"/>
      <c r="VXE104" s="29"/>
      <c r="VXF104" s="29"/>
      <c r="VXG104" s="29"/>
      <c r="VXH104" s="29"/>
      <c r="VXI104" s="29"/>
      <c r="VXJ104" s="29"/>
      <c r="VXK104" s="29"/>
      <c r="VXL104" s="29"/>
      <c r="VXM104" s="29"/>
      <c r="VXN104" s="29"/>
      <c r="VXO104" s="29"/>
      <c r="VXP104" s="29"/>
      <c r="VXQ104" s="29"/>
      <c r="VXR104" s="29"/>
      <c r="VXS104" s="29"/>
      <c r="VXT104" s="29"/>
      <c r="VXU104" s="29"/>
      <c r="VXV104" s="29"/>
      <c r="VXW104" s="29"/>
      <c r="VXX104" s="29"/>
      <c r="VXY104" s="29"/>
      <c r="VXZ104" s="29"/>
      <c r="VYA104" s="29"/>
      <c r="VYB104" s="29"/>
      <c r="VYC104" s="29"/>
      <c r="VYD104" s="29"/>
      <c r="VYE104" s="29"/>
      <c r="VYF104" s="29"/>
      <c r="VYG104" s="29"/>
      <c r="VYH104" s="29"/>
      <c r="VYI104" s="29"/>
      <c r="VYJ104" s="29"/>
      <c r="VYK104" s="29"/>
      <c r="VYL104" s="29"/>
      <c r="VYM104" s="29"/>
      <c r="VYN104" s="29"/>
      <c r="VYO104" s="29"/>
      <c r="VYP104" s="29"/>
      <c r="VYQ104" s="29"/>
      <c r="VYR104" s="29"/>
      <c r="VYS104" s="29"/>
      <c r="VYT104" s="29"/>
      <c r="VYU104" s="29"/>
      <c r="VYV104" s="29"/>
      <c r="VYW104" s="29"/>
      <c r="VYX104" s="29"/>
      <c r="VYY104" s="29"/>
      <c r="VYZ104" s="29"/>
      <c r="VZA104" s="29"/>
      <c r="VZB104" s="29"/>
      <c r="VZC104" s="29"/>
      <c r="VZD104" s="29"/>
      <c r="VZE104" s="29"/>
      <c r="VZF104" s="29"/>
      <c r="VZG104" s="29"/>
      <c r="VZH104" s="29"/>
      <c r="VZI104" s="29"/>
      <c r="VZJ104" s="29"/>
      <c r="VZK104" s="29"/>
      <c r="VZL104" s="29"/>
      <c r="VZM104" s="29"/>
      <c r="VZN104" s="29"/>
      <c r="VZO104" s="29"/>
      <c r="VZP104" s="29"/>
      <c r="VZQ104" s="29"/>
      <c r="VZR104" s="29"/>
      <c r="VZS104" s="29"/>
      <c r="VZT104" s="29"/>
      <c r="VZU104" s="29"/>
      <c r="VZV104" s="29"/>
      <c r="VZW104" s="29"/>
      <c r="VZX104" s="29"/>
      <c r="VZY104" s="29"/>
      <c r="VZZ104" s="29"/>
      <c r="WAA104" s="29"/>
      <c r="WAB104" s="29"/>
      <c r="WAC104" s="29"/>
      <c r="WAD104" s="29"/>
      <c r="WAE104" s="29"/>
      <c r="WAF104" s="29"/>
      <c r="WAG104" s="29"/>
      <c r="WAH104" s="29"/>
      <c r="WAI104" s="29"/>
      <c r="WAJ104" s="29"/>
      <c r="WAK104" s="29"/>
      <c r="WAL104" s="29"/>
      <c r="WAM104" s="29"/>
      <c r="WAN104" s="29"/>
      <c r="WAO104" s="29"/>
      <c r="WAP104" s="29"/>
      <c r="WAQ104" s="29"/>
      <c r="WAR104" s="29"/>
      <c r="WAS104" s="29"/>
      <c r="WAT104" s="29"/>
      <c r="WAU104" s="29"/>
      <c r="WAV104" s="29"/>
      <c r="WAW104" s="29"/>
      <c r="WAX104" s="29"/>
      <c r="WAY104" s="29"/>
      <c r="WAZ104" s="29"/>
      <c r="WBA104" s="29"/>
      <c r="WBB104" s="29"/>
      <c r="WBC104" s="29"/>
      <c r="WBD104" s="29"/>
      <c r="WBE104" s="29"/>
      <c r="WBF104" s="29"/>
      <c r="WBG104" s="29"/>
      <c r="WBH104" s="29"/>
      <c r="WBI104" s="29"/>
      <c r="WBJ104" s="29"/>
      <c r="WBK104" s="29"/>
      <c r="WBL104" s="29"/>
      <c r="WBM104" s="29"/>
      <c r="WBN104" s="29"/>
      <c r="WBO104" s="29"/>
      <c r="WBP104" s="29"/>
      <c r="WBQ104" s="29"/>
      <c r="WBR104" s="29"/>
      <c r="WBS104" s="29"/>
      <c r="WBT104" s="29"/>
      <c r="WBU104" s="29"/>
      <c r="WBV104" s="29"/>
      <c r="WBW104" s="29"/>
      <c r="WBX104" s="29"/>
      <c r="WBY104" s="29"/>
      <c r="WBZ104" s="29"/>
      <c r="WCA104" s="29"/>
      <c r="WCB104" s="29"/>
      <c r="WCC104" s="29"/>
      <c r="WCD104" s="29"/>
      <c r="WCE104" s="29"/>
      <c r="WCF104" s="29"/>
      <c r="WCG104" s="29"/>
      <c r="WCH104" s="29"/>
      <c r="WCI104" s="29"/>
      <c r="WCJ104" s="29"/>
      <c r="WCK104" s="29"/>
      <c r="WCL104" s="29"/>
      <c r="WCM104" s="29"/>
      <c r="WCN104" s="29"/>
      <c r="WCO104" s="29"/>
      <c r="WCP104" s="29"/>
      <c r="WCQ104" s="29"/>
      <c r="WCR104" s="29"/>
      <c r="WCS104" s="29"/>
      <c r="WCT104" s="29"/>
      <c r="WCU104" s="29"/>
      <c r="WCV104" s="29"/>
      <c r="WCW104" s="29"/>
      <c r="WCX104" s="29"/>
      <c r="WCY104" s="29"/>
      <c r="WCZ104" s="29"/>
      <c r="WDA104" s="29"/>
      <c r="WDB104" s="29"/>
      <c r="WDC104" s="29"/>
      <c r="WDD104" s="29"/>
      <c r="WDE104" s="29"/>
      <c r="WDF104" s="29"/>
      <c r="WDG104" s="29"/>
      <c r="WDH104" s="29"/>
      <c r="WDI104" s="29"/>
      <c r="WDJ104" s="29"/>
      <c r="WDK104" s="29"/>
      <c r="WDL104" s="29"/>
      <c r="WDM104" s="29"/>
      <c r="WDN104" s="29"/>
      <c r="WDO104" s="29"/>
      <c r="WDP104" s="29"/>
      <c r="WDQ104" s="29"/>
      <c r="WDR104" s="29"/>
      <c r="WDS104" s="29"/>
      <c r="WDT104" s="29"/>
      <c r="WDU104" s="29"/>
      <c r="WDV104" s="29"/>
      <c r="WDW104" s="29"/>
      <c r="WDX104" s="29"/>
      <c r="WDY104" s="29"/>
      <c r="WDZ104" s="29"/>
      <c r="WEA104" s="29"/>
      <c r="WEB104" s="29"/>
      <c r="WEC104" s="29"/>
      <c r="WED104" s="29"/>
      <c r="WEE104" s="29"/>
      <c r="WEF104" s="29"/>
      <c r="WEG104" s="29"/>
      <c r="WEH104" s="29"/>
      <c r="WEI104" s="29"/>
      <c r="WEJ104" s="29"/>
      <c r="WEK104" s="29"/>
      <c r="WEL104" s="29"/>
      <c r="WEM104" s="29"/>
      <c r="WEN104" s="29"/>
      <c r="WEO104" s="29"/>
      <c r="WEP104" s="29"/>
      <c r="WEQ104" s="29"/>
      <c r="WER104" s="29"/>
      <c r="WES104" s="29"/>
      <c r="WET104" s="29"/>
      <c r="WEU104" s="29"/>
      <c r="WEV104" s="29"/>
      <c r="WEW104" s="29"/>
      <c r="WEX104" s="29"/>
      <c r="WEY104" s="29"/>
      <c r="WEZ104" s="29"/>
      <c r="WFA104" s="29"/>
      <c r="WFB104" s="29"/>
      <c r="WFC104" s="29"/>
      <c r="WFD104" s="29"/>
      <c r="WFE104" s="29"/>
      <c r="WFF104" s="29"/>
      <c r="WFG104" s="29"/>
      <c r="WFH104" s="29"/>
      <c r="WFI104" s="29"/>
      <c r="WFJ104" s="29"/>
      <c r="WFK104" s="29"/>
      <c r="WFL104" s="29"/>
      <c r="WFM104" s="29"/>
      <c r="WFN104" s="29"/>
      <c r="WFO104" s="29"/>
      <c r="WFP104" s="29"/>
      <c r="WFQ104" s="29"/>
      <c r="WFR104" s="29"/>
      <c r="WFS104" s="29"/>
      <c r="WFT104" s="29"/>
      <c r="WFU104" s="29"/>
      <c r="WFV104" s="29"/>
      <c r="WFW104" s="29"/>
      <c r="WFX104" s="29"/>
      <c r="WFY104" s="29"/>
      <c r="WFZ104" s="29"/>
      <c r="WGA104" s="29"/>
      <c r="WGB104" s="29"/>
      <c r="WGC104" s="29"/>
      <c r="WGD104" s="29"/>
      <c r="WGE104" s="29"/>
      <c r="WGF104" s="29"/>
      <c r="WGG104" s="29"/>
      <c r="WGH104" s="29"/>
      <c r="WGI104" s="29"/>
      <c r="WGJ104" s="29"/>
      <c r="WGK104" s="29"/>
      <c r="WGL104" s="29"/>
      <c r="WGM104" s="29"/>
      <c r="WGN104" s="29"/>
      <c r="WGO104" s="29"/>
      <c r="WGP104" s="29"/>
      <c r="WGQ104" s="29"/>
      <c r="WGR104" s="29"/>
      <c r="WGS104" s="29"/>
      <c r="WGT104" s="29"/>
      <c r="WGU104" s="29"/>
      <c r="WGV104" s="29"/>
      <c r="WGW104" s="29"/>
      <c r="WGX104" s="29"/>
      <c r="WGY104" s="29"/>
      <c r="WGZ104" s="29"/>
      <c r="WHA104" s="29"/>
      <c r="WHB104" s="29"/>
      <c r="WHC104" s="29"/>
      <c r="WHD104" s="29"/>
      <c r="WHE104" s="29"/>
      <c r="WHF104" s="29"/>
      <c r="WHG104" s="29"/>
      <c r="WHH104" s="29"/>
      <c r="WHI104" s="29"/>
      <c r="WHJ104" s="29"/>
      <c r="WHK104" s="29"/>
      <c r="WHL104" s="29"/>
      <c r="WHM104" s="29"/>
      <c r="WHN104" s="29"/>
      <c r="WHO104" s="29"/>
      <c r="WHP104" s="29"/>
      <c r="WHQ104" s="29"/>
      <c r="WHR104" s="29"/>
      <c r="WHS104" s="29"/>
      <c r="WHT104" s="29"/>
      <c r="WHU104" s="29"/>
      <c r="WHV104" s="29"/>
      <c r="WHW104" s="29"/>
      <c r="WHX104" s="29"/>
      <c r="WHY104" s="29"/>
      <c r="WHZ104" s="29"/>
      <c r="WIA104" s="29"/>
      <c r="WIB104" s="29"/>
      <c r="WIC104" s="29"/>
      <c r="WID104" s="29"/>
      <c r="WIE104" s="29"/>
      <c r="WIF104" s="29"/>
      <c r="WIG104" s="29"/>
      <c r="WIH104" s="29"/>
      <c r="WII104" s="29"/>
      <c r="WIJ104" s="29"/>
      <c r="WIK104" s="29"/>
      <c r="WIL104" s="29"/>
      <c r="WIM104" s="29"/>
      <c r="WIN104" s="29"/>
      <c r="WIO104" s="29"/>
      <c r="WIP104" s="29"/>
      <c r="WIQ104" s="29"/>
      <c r="WIR104" s="29"/>
      <c r="WIS104" s="29"/>
      <c r="WIT104" s="29"/>
      <c r="WIU104" s="29"/>
      <c r="WIV104" s="29"/>
      <c r="WIW104" s="29"/>
      <c r="WIX104" s="29"/>
      <c r="WIY104" s="29"/>
      <c r="WIZ104" s="29"/>
      <c r="WJA104" s="29"/>
      <c r="WJB104" s="29"/>
      <c r="WJC104" s="29"/>
      <c r="WJD104" s="29"/>
      <c r="WJE104" s="29"/>
      <c r="WJF104" s="29"/>
      <c r="WJG104" s="29"/>
      <c r="WJH104" s="29"/>
      <c r="WJI104" s="29"/>
      <c r="WJJ104" s="29"/>
      <c r="WJK104" s="29"/>
      <c r="WJL104" s="29"/>
      <c r="WJM104" s="29"/>
      <c r="WJN104" s="29"/>
      <c r="WJO104" s="29"/>
      <c r="WJP104" s="29"/>
      <c r="WJQ104" s="29"/>
      <c r="WJR104" s="29"/>
      <c r="WJS104" s="29"/>
      <c r="WJT104" s="29"/>
      <c r="WJU104" s="29"/>
      <c r="WJV104" s="29"/>
      <c r="WJW104" s="29"/>
      <c r="WJX104" s="29"/>
      <c r="WJY104" s="29"/>
      <c r="WJZ104" s="29"/>
      <c r="WKA104" s="29"/>
      <c r="WKB104" s="29"/>
      <c r="WKC104" s="29"/>
      <c r="WKD104" s="29"/>
      <c r="WKE104" s="29"/>
      <c r="WKF104" s="29"/>
      <c r="WKG104" s="29"/>
      <c r="WKH104" s="29"/>
      <c r="WKI104" s="29"/>
      <c r="WKJ104" s="29"/>
      <c r="WKK104" s="29"/>
      <c r="WKL104" s="29"/>
      <c r="WKM104" s="29"/>
      <c r="WKN104" s="29"/>
      <c r="WKO104" s="29"/>
      <c r="WKP104" s="29"/>
      <c r="WKQ104" s="29"/>
      <c r="WKR104" s="29"/>
      <c r="WKS104" s="29"/>
      <c r="WKT104" s="29"/>
      <c r="WKU104" s="29"/>
      <c r="WKV104" s="29"/>
      <c r="WKW104" s="29"/>
      <c r="WKX104" s="29"/>
      <c r="WKY104" s="29"/>
      <c r="WKZ104" s="29"/>
      <c r="WLA104" s="29"/>
      <c r="WLB104" s="29"/>
      <c r="WLC104" s="29"/>
      <c r="WLD104" s="29"/>
      <c r="WLE104" s="29"/>
      <c r="WLF104" s="29"/>
      <c r="WLG104" s="29"/>
      <c r="WLH104" s="29"/>
      <c r="WLI104" s="29"/>
      <c r="WLJ104" s="29"/>
      <c r="WLK104" s="29"/>
      <c r="WLL104" s="29"/>
      <c r="WLM104" s="29"/>
      <c r="WLN104" s="29"/>
      <c r="WLO104" s="29"/>
      <c r="WLP104" s="29"/>
      <c r="WLQ104" s="29"/>
      <c r="WLR104" s="29"/>
      <c r="WLS104" s="29"/>
      <c r="WLT104" s="29"/>
      <c r="WLU104" s="29"/>
      <c r="WLV104" s="29"/>
      <c r="WLW104" s="29"/>
      <c r="WLX104" s="29"/>
      <c r="WLY104" s="29"/>
      <c r="WLZ104" s="29"/>
      <c r="WMA104" s="29"/>
      <c r="WMB104" s="29"/>
      <c r="WMC104" s="29"/>
      <c r="WMD104" s="29"/>
      <c r="WME104" s="29"/>
      <c r="WMF104" s="29"/>
      <c r="WMG104" s="29"/>
      <c r="WMH104" s="29"/>
      <c r="WMI104" s="29"/>
      <c r="WMJ104" s="29"/>
      <c r="WMK104" s="29"/>
      <c r="WML104" s="29"/>
      <c r="WMM104" s="29"/>
      <c r="WMN104" s="29"/>
      <c r="WMO104" s="29"/>
      <c r="WMP104" s="29"/>
      <c r="WMQ104" s="29"/>
      <c r="WMR104" s="29"/>
      <c r="WMS104" s="29"/>
      <c r="WMT104" s="29"/>
      <c r="WMU104" s="29"/>
      <c r="WMV104" s="29"/>
      <c r="WMW104" s="29"/>
      <c r="WMX104" s="29"/>
      <c r="WMY104" s="29"/>
      <c r="WMZ104" s="29"/>
      <c r="WNA104" s="29"/>
      <c r="WNB104" s="29"/>
      <c r="WNC104" s="29"/>
      <c r="WND104" s="29"/>
      <c r="WNE104" s="29"/>
      <c r="WNF104" s="29"/>
      <c r="WNG104" s="29"/>
      <c r="WNH104" s="29"/>
      <c r="WNI104" s="29"/>
      <c r="WNJ104" s="29"/>
      <c r="WNK104" s="29"/>
      <c r="WNL104" s="29"/>
      <c r="WNM104" s="29"/>
      <c r="WNN104" s="29"/>
      <c r="WNO104" s="29"/>
      <c r="WNP104" s="29"/>
      <c r="WNQ104" s="29"/>
      <c r="WNR104" s="29"/>
      <c r="WNS104" s="29"/>
      <c r="WNT104" s="29"/>
      <c r="WNU104" s="29"/>
      <c r="WNV104" s="29"/>
      <c r="WNW104" s="29"/>
      <c r="WNX104" s="29"/>
      <c r="WNY104" s="29"/>
      <c r="WNZ104" s="29"/>
      <c r="WOA104" s="29"/>
      <c r="WOB104" s="29"/>
      <c r="WOC104" s="29"/>
      <c r="WOD104" s="29"/>
      <c r="WOE104" s="29"/>
      <c r="WOF104" s="29"/>
      <c r="WOG104" s="29"/>
      <c r="WOH104" s="29"/>
      <c r="WOI104" s="29"/>
      <c r="WOJ104" s="29"/>
      <c r="WOK104" s="29"/>
      <c r="WOL104" s="29"/>
      <c r="WOM104" s="29"/>
      <c r="WON104" s="29"/>
      <c r="WOO104" s="29"/>
      <c r="WOP104" s="29"/>
      <c r="WOQ104" s="29"/>
      <c r="WOR104" s="29"/>
      <c r="WOS104" s="29"/>
      <c r="WOT104" s="29"/>
      <c r="WOU104" s="29"/>
      <c r="WOV104" s="29"/>
      <c r="WOW104" s="29"/>
      <c r="WOX104" s="29"/>
      <c r="WOY104" s="29"/>
      <c r="WOZ104" s="29"/>
      <c r="WPA104" s="29"/>
      <c r="WPB104" s="29"/>
      <c r="WPC104" s="29"/>
      <c r="WPD104" s="29"/>
      <c r="WPE104" s="29"/>
      <c r="WPF104" s="29"/>
      <c r="WPG104" s="29"/>
      <c r="WPH104" s="29"/>
      <c r="WPI104" s="29"/>
      <c r="WPJ104" s="29"/>
      <c r="WPK104" s="29"/>
      <c r="WPL104" s="29"/>
      <c r="WPM104" s="29"/>
      <c r="WPN104" s="29"/>
      <c r="WPO104" s="29"/>
      <c r="WPP104" s="29"/>
      <c r="WPQ104" s="29"/>
      <c r="WPR104" s="29"/>
      <c r="WPS104" s="29"/>
      <c r="WPT104" s="29"/>
      <c r="WPU104" s="29"/>
      <c r="WPV104" s="29"/>
      <c r="WPW104" s="29"/>
      <c r="WPX104" s="29"/>
      <c r="WPY104" s="29"/>
      <c r="WPZ104" s="29"/>
      <c r="WQA104" s="29"/>
      <c r="WQB104" s="29"/>
      <c r="WQC104" s="29"/>
      <c r="WQD104" s="29"/>
      <c r="WQE104" s="29"/>
      <c r="WQF104" s="29"/>
      <c r="WQG104" s="29"/>
      <c r="WQH104" s="29"/>
      <c r="WQI104" s="29"/>
      <c r="WQJ104" s="29"/>
      <c r="WQK104" s="29"/>
      <c r="WQL104" s="29"/>
      <c r="WQM104" s="29"/>
      <c r="WQN104" s="29"/>
      <c r="WQO104" s="29"/>
      <c r="WQP104" s="29"/>
      <c r="WQQ104" s="29"/>
      <c r="WQR104" s="29"/>
      <c r="WQS104" s="29"/>
      <c r="WQT104" s="29"/>
      <c r="WQU104" s="29"/>
      <c r="WQV104" s="29"/>
      <c r="WQW104" s="29"/>
      <c r="WQX104" s="29"/>
      <c r="WQY104" s="29"/>
      <c r="WQZ104" s="29"/>
      <c r="WRA104" s="29"/>
      <c r="WRB104" s="29"/>
      <c r="WRC104" s="29"/>
      <c r="WRD104" s="29"/>
      <c r="WRE104" s="29"/>
      <c r="WRF104" s="29"/>
      <c r="WRG104" s="29"/>
      <c r="WRH104" s="29"/>
      <c r="WRI104" s="29"/>
      <c r="WRJ104" s="29"/>
      <c r="WRK104" s="29"/>
      <c r="WRL104" s="29"/>
      <c r="WRM104" s="29"/>
      <c r="WRN104" s="29"/>
      <c r="WRO104" s="29"/>
      <c r="WRP104" s="29"/>
      <c r="WRQ104" s="29"/>
      <c r="WRR104" s="29"/>
      <c r="WRS104" s="29"/>
      <c r="WRT104" s="29"/>
      <c r="WRU104" s="29"/>
      <c r="WRV104" s="29"/>
      <c r="WRW104" s="29"/>
      <c r="WRX104" s="29"/>
      <c r="WRY104" s="29"/>
      <c r="WRZ104" s="29"/>
      <c r="WSA104" s="29"/>
      <c r="WSB104" s="29"/>
      <c r="WSC104" s="29"/>
      <c r="WSD104" s="29"/>
      <c r="WSE104" s="29"/>
      <c r="WSF104" s="29"/>
      <c r="WSG104" s="29"/>
      <c r="WSH104" s="29"/>
      <c r="WSI104" s="29"/>
      <c r="WSJ104" s="29"/>
      <c r="WSK104" s="29"/>
      <c r="WSL104" s="29"/>
      <c r="WSM104" s="29"/>
      <c r="WSN104" s="29"/>
      <c r="WSO104" s="29"/>
      <c r="WSP104" s="29"/>
      <c r="WSQ104" s="29"/>
      <c r="WSR104" s="29"/>
      <c r="WSS104" s="29"/>
      <c r="WST104" s="29"/>
      <c r="WSU104" s="29"/>
      <c r="WSV104" s="29"/>
      <c r="WSW104" s="29"/>
      <c r="WSX104" s="29"/>
      <c r="WSY104" s="29"/>
      <c r="WSZ104" s="29"/>
      <c r="WTA104" s="29"/>
      <c r="WTB104" s="29"/>
      <c r="WTC104" s="29"/>
      <c r="WTD104" s="29"/>
      <c r="WTE104" s="29"/>
      <c r="WTF104" s="29"/>
      <c r="WTG104" s="29"/>
      <c r="WTH104" s="29"/>
      <c r="WTI104" s="29"/>
      <c r="WTJ104" s="29"/>
      <c r="WTK104" s="29"/>
      <c r="WTL104" s="29"/>
      <c r="WTM104" s="29"/>
      <c r="WTN104" s="29"/>
      <c r="WTO104" s="29"/>
      <c r="WTP104" s="29"/>
      <c r="WTQ104" s="29"/>
      <c r="WTR104" s="29"/>
      <c r="WTS104" s="29"/>
      <c r="WTT104" s="29"/>
      <c r="WTU104" s="29"/>
      <c r="WTV104" s="29"/>
      <c r="WTW104" s="29"/>
      <c r="WTX104" s="29"/>
      <c r="WTY104" s="29"/>
      <c r="WTZ104" s="29"/>
      <c r="WUA104" s="29"/>
      <c r="WUB104" s="29"/>
      <c r="WUC104" s="29"/>
      <c r="WUD104" s="29"/>
      <c r="WUE104" s="29"/>
      <c r="WUF104" s="29"/>
      <c r="WUG104" s="29"/>
      <c r="WUH104" s="29"/>
      <c r="WUI104" s="29"/>
      <c r="WUJ104" s="29"/>
      <c r="WUK104" s="29"/>
      <c r="WUL104" s="29"/>
      <c r="WUM104" s="29"/>
      <c r="WUN104" s="29"/>
      <c r="WUO104" s="29"/>
      <c r="WUP104" s="29"/>
      <c r="WUQ104" s="29"/>
      <c r="WUR104" s="29"/>
      <c r="WUS104" s="29"/>
      <c r="WUT104" s="29"/>
      <c r="WUU104" s="29"/>
      <c r="WUV104" s="29"/>
      <c r="WUW104" s="29"/>
      <c r="WUX104" s="29"/>
      <c r="WUY104" s="29"/>
      <c r="WUZ104" s="29"/>
      <c r="WVA104" s="29"/>
      <c r="WVB104" s="29"/>
      <c r="WVC104" s="29"/>
      <c r="WVD104" s="29"/>
      <c r="WVE104" s="29"/>
      <c r="WVF104" s="29"/>
      <c r="WVG104" s="29"/>
      <c r="WVH104" s="29"/>
      <c r="WVI104" s="29"/>
      <c r="WVJ104" s="29"/>
      <c r="WVK104" s="29"/>
      <c r="WVL104" s="29"/>
      <c r="WVM104" s="29"/>
      <c r="WVN104" s="29"/>
      <c r="WVO104" s="29"/>
      <c r="WVP104" s="29"/>
      <c r="WVQ104" s="29"/>
      <c r="WVR104" s="29"/>
      <c r="WVS104" s="29"/>
      <c r="WVT104" s="29"/>
      <c r="WVU104" s="29"/>
      <c r="WVV104" s="29"/>
      <c r="WVW104" s="29"/>
      <c r="WVX104" s="29"/>
      <c r="WVY104" s="29"/>
      <c r="WVZ104" s="29"/>
      <c r="WWA104" s="29"/>
      <c r="WWB104" s="29"/>
      <c r="WWC104" s="29"/>
      <c r="WWD104" s="29"/>
      <c r="WWE104" s="29"/>
      <c r="WWF104" s="29"/>
      <c r="WWG104" s="29"/>
      <c r="WWH104" s="29"/>
      <c r="WWI104" s="29"/>
      <c r="WWJ104" s="29"/>
      <c r="WWK104" s="29"/>
      <c r="WWL104" s="29"/>
      <c r="WWM104" s="29"/>
      <c r="WWN104" s="29"/>
      <c r="WWO104" s="29"/>
      <c r="WWP104" s="29"/>
      <c r="WWQ104" s="29"/>
      <c r="WWR104" s="29"/>
      <c r="WWS104" s="29"/>
      <c r="WWT104" s="29"/>
      <c r="WWU104" s="29"/>
      <c r="WWV104" s="29"/>
      <c r="WWW104" s="29"/>
      <c r="WWX104" s="29"/>
      <c r="WWY104" s="29"/>
      <c r="WWZ104" s="29"/>
      <c r="WXA104" s="29"/>
      <c r="WXB104" s="29"/>
      <c r="WXC104" s="29"/>
      <c r="WXD104" s="29"/>
      <c r="WXE104" s="29"/>
      <c r="WXF104" s="29"/>
      <c r="WXG104" s="29"/>
      <c r="WXH104" s="29"/>
      <c r="WXI104" s="29"/>
      <c r="WXJ104" s="29"/>
      <c r="WXK104" s="29"/>
      <c r="WXL104" s="29"/>
      <c r="WXM104" s="29"/>
      <c r="WXN104" s="29"/>
      <c r="WXO104" s="29"/>
      <c r="WXP104" s="29"/>
      <c r="WXQ104" s="29"/>
      <c r="WXR104" s="29"/>
      <c r="WXS104" s="29"/>
      <c r="WXT104" s="29"/>
      <c r="WXU104" s="29"/>
      <c r="WXV104" s="29"/>
      <c r="WXW104" s="29"/>
      <c r="WXX104" s="29"/>
      <c r="WXY104" s="29"/>
      <c r="WXZ104" s="29"/>
      <c r="WYA104" s="29"/>
      <c r="WYB104" s="29"/>
      <c r="WYC104" s="29"/>
      <c r="WYD104" s="29"/>
      <c r="WYE104" s="29"/>
      <c r="WYF104" s="29"/>
      <c r="WYG104" s="29"/>
      <c r="WYH104" s="29"/>
      <c r="WYI104" s="29"/>
      <c r="WYJ104" s="29"/>
      <c r="WYK104" s="29"/>
      <c r="WYL104" s="29"/>
      <c r="WYM104" s="29"/>
      <c r="WYN104" s="29"/>
      <c r="WYO104" s="29"/>
      <c r="WYP104" s="29"/>
      <c r="WYQ104" s="29"/>
      <c r="WYR104" s="29"/>
      <c r="WYS104" s="29"/>
      <c r="WYT104" s="29"/>
      <c r="WYU104" s="29"/>
      <c r="WYV104" s="29"/>
      <c r="WYW104" s="29"/>
      <c r="WYX104" s="29"/>
      <c r="WYY104" s="29"/>
      <c r="WYZ104" s="29"/>
      <c r="WZA104" s="29"/>
      <c r="WZB104" s="29"/>
      <c r="WZC104" s="29"/>
      <c r="WZD104" s="29"/>
      <c r="WZE104" s="29"/>
      <c r="WZF104" s="29"/>
      <c r="WZG104" s="29"/>
      <c r="WZH104" s="29"/>
      <c r="WZI104" s="29"/>
      <c r="WZJ104" s="29"/>
      <c r="WZK104" s="29"/>
      <c r="WZL104" s="29"/>
      <c r="WZM104" s="29"/>
      <c r="WZN104" s="29"/>
      <c r="WZO104" s="29"/>
      <c r="WZP104" s="29"/>
      <c r="WZQ104" s="29"/>
      <c r="WZR104" s="29"/>
      <c r="WZS104" s="29"/>
      <c r="WZT104" s="29"/>
      <c r="WZU104" s="29"/>
      <c r="WZV104" s="29"/>
      <c r="WZW104" s="29"/>
      <c r="WZX104" s="29"/>
      <c r="WZY104" s="29"/>
      <c r="WZZ104" s="29"/>
      <c r="XAA104" s="29"/>
      <c r="XAB104" s="29"/>
      <c r="XAC104" s="29"/>
      <c r="XAD104" s="29"/>
      <c r="XAE104" s="29"/>
      <c r="XAF104" s="29"/>
      <c r="XAG104" s="29"/>
      <c r="XAH104" s="29"/>
      <c r="XAI104" s="29"/>
      <c r="XAJ104" s="29"/>
      <c r="XAK104" s="29"/>
      <c r="XAL104" s="29"/>
      <c r="XAM104" s="29"/>
      <c r="XAN104" s="29"/>
      <c r="XAO104" s="29"/>
      <c r="XAP104" s="29"/>
      <c r="XAQ104" s="29"/>
      <c r="XAR104" s="29"/>
      <c r="XAS104" s="29"/>
      <c r="XAT104" s="29"/>
      <c r="XAU104" s="29"/>
      <c r="XAV104" s="29"/>
      <c r="XAW104" s="29"/>
      <c r="XAX104" s="29"/>
      <c r="XAY104" s="29"/>
      <c r="XAZ104" s="29"/>
      <c r="XBA104" s="29"/>
      <c r="XBB104" s="29"/>
      <c r="XBC104" s="29"/>
      <c r="XBD104" s="29"/>
      <c r="XBE104" s="29"/>
      <c r="XBF104" s="29"/>
      <c r="XBG104" s="29"/>
      <c r="XBH104" s="29"/>
      <c r="XBI104" s="29"/>
      <c r="XBJ104" s="29"/>
      <c r="XBK104" s="29"/>
      <c r="XBL104" s="29"/>
      <c r="XBM104" s="29"/>
      <c r="XBN104" s="29"/>
      <c r="XBO104" s="29"/>
      <c r="XBP104" s="29"/>
      <c r="XBQ104" s="29"/>
      <c r="XBR104" s="29"/>
      <c r="XBS104" s="29"/>
      <c r="XBT104" s="29"/>
      <c r="XBU104" s="29"/>
      <c r="XBV104" s="29"/>
      <c r="XBW104" s="29"/>
      <c r="XBX104" s="29"/>
      <c r="XBY104" s="29"/>
      <c r="XBZ104" s="29"/>
      <c r="XCA104" s="29"/>
      <c r="XCB104" s="29"/>
      <c r="XCC104" s="29"/>
      <c r="XCD104" s="29"/>
      <c r="XCE104" s="29"/>
      <c r="XCF104" s="29"/>
      <c r="XCG104" s="29"/>
      <c r="XCH104" s="29"/>
      <c r="XCI104" s="29"/>
      <c r="XCJ104" s="29"/>
      <c r="XCK104" s="29"/>
      <c r="XCL104" s="29"/>
      <c r="XCM104" s="29"/>
      <c r="XCN104" s="29"/>
      <c r="XCO104" s="29"/>
      <c r="XCP104" s="29"/>
      <c r="XCQ104" s="29"/>
      <c r="XCR104" s="29"/>
      <c r="XCS104" s="29"/>
      <c r="XCT104" s="29"/>
      <c r="XCU104" s="29"/>
      <c r="XCV104" s="29"/>
      <c r="XCW104" s="29"/>
      <c r="XCX104" s="29"/>
      <c r="XCY104" s="29"/>
      <c r="XCZ104" s="29"/>
      <c r="XDA104" s="29"/>
      <c r="XDB104" s="29"/>
      <c r="XDC104" s="29"/>
      <c r="XDD104" s="29"/>
      <c r="XDE104" s="29"/>
      <c r="XDF104" s="29"/>
      <c r="XDG104" s="29"/>
      <c r="XDH104" s="29"/>
      <c r="XDI104" s="29"/>
      <c r="XDJ104" s="29"/>
      <c r="XDK104" s="29"/>
      <c r="XDL104" s="29"/>
      <c r="XDM104" s="29"/>
      <c r="XDN104" s="29"/>
      <c r="XDO104" s="29"/>
      <c r="XDP104" s="29"/>
      <c r="XDQ104" s="29"/>
      <c r="XDR104" s="29"/>
      <c r="XDS104" s="29"/>
      <c r="XDT104" s="29"/>
      <c r="XDU104" s="29"/>
      <c r="XDV104" s="29"/>
      <c r="XDW104" s="29"/>
      <c r="XDX104" s="29"/>
      <c r="XDY104" s="29"/>
      <c r="XDZ104" s="29"/>
      <c r="XEA104" s="29"/>
      <c r="XEB104" s="29"/>
      <c r="XEC104" s="29"/>
      <c r="XED104" s="29"/>
      <c r="XEE104" s="29"/>
      <c r="XEF104" s="29"/>
      <c r="XEG104" s="29"/>
      <c r="XEH104" s="29"/>
      <c r="XEI104" s="29"/>
      <c r="XEJ104" s="29"/>
      <c r="XEK104" s="29"/>
      <c r="XEL104" s="29"/>
      <c r="XEM104" s="29"/>
      <c r="XEN104" s="29"/>
      <c r="XEO104" s="29"/>
      <c r="XEP104" s="29"/>
      <c r="XEQ104" s="29"/>
      <c r="XER104" s="29"/>
      <c r="XES104" s="29"/>
      <c r="XET104" s="29"/>
      <c r="XEU104" s="29"/>
      <c r="XEV104" s="29"/>
      <c r="XEW104" s="29"/>
      <c r="XEX104" s="29"/>
      <c r="XEY104" s="29"/>
      <c r="XEZ104" s="29"/>
      <c r="XFA104" s="29"/>
      <c r="XFB104" s="29"/>
      <c r="XFC104" s="29"/>
      <c r="XFD104" s="29"/>
    </row>
    <row r="105" spans="1:16384">
      <c r="A105" s="29" t="s">
        <v>950</v>
      </c>
      <c r="B105" s="29"/>
      <c r="C105" s="29" t="s">
        <v>5</v>
      </c>
      <c r="D105" s="29">
        <v>0</v>
      </c>
      <c r="E105" s="29">
        <v>0</v>
      </c>
      <c r="F105" s="29">
        <v>8</v>
      </c>
      <c r="G105" s="29">
        <v>16</v>
      </c>
      <c r="H105" s="29">
        <v>24</v>
      </c>
      <c r="I105" s="29">
        <v>32</v>
      </c>
      <c r="J105" s="18">
        <f t="shared" ca="1" si="0"/>
        <v>0</v>
      </c>
      <c r="K105" s="18">
        <f t="shared" ca="1" si="0"/>
        <v>8</v>
      </c>
      <c r="L105" s="18">
        <f t="shared" ca="1" si="0"/>
        <v>0</v>
      </c>
      <c r="M105" s="18">
        <f t="shared" ca="1" si="0"/>
        <v>0</v>
      </c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  <c r="KO105" s="29"/>
      <c r="KP105" s="29"/>
      <c r="KQ105" s="29"/>
      <c r="KR105" s="29"/>
      <c r="KS105" s="29"/>
      <c r="KT105" s="29"/>
      <c r="KU105" s="29"/>
      <c r="KV105" s="29"/>
      <c r="KW105" s="29"/>
      <c r="KX105" s="29"/>
      <c r="KY105" s="29"/>
      <c r="KZ105" s="29"/>
      <c r="LA105" s="29"/>
      <c r="LB105" s="29"/>
      <c r="LC105" s="29"/>
      <c r="LD105" s="29"/>
      <c r="LE105" s="29"/>
      <c r="LF105" s="29"/>
      <c r="LG105" s="29"/>
      <c r="LH105" s="29"/>
      <c r="LI105" s="29"/>
      <c r="LJ105" s="29"/>
      <c r="LK105" s="29"/>
      <c r="LL105" s="29"/>
      <c r="LM105" s="29"/>
      <c r="LN105" s="29"/>
      <c r="LO105" s="29"/>
      <c r="LP105" s="29"/>
      <c r="LQ105" s="29"/>
      <c r="LR105" s="29"/>
      <c r="LS105" s="29"/>
      <c r="LT105" s="29"/>
      <c r="LU105" s="29"/>
      <c r="LV105" s="29"/>
      <c r="LW105" s="29"/>
      <c r="LX105" s="29"/>
      <c r="LY105" s="29"/>
      <c r="LZ105" s="29"/>
      <c r="MA105" s="29"/>
      <c r="MB105" s="29"/>
      <c r="MC105" s="29"/>
      <c r="MD105" s="29"/>
      <c r="ME105" s="29"/>
      <c r="MF105" s="29"/>
      <c r="MG105" s="29"/>
      <c r="MH105" s="29"/>
      <c r="MI105" s="29"/>
      <c r="MJ105" s="29"/>
      <c r="MK105" s="29"/>
      <c r="ML105" s="29"/>
      <c r="MM105" s="29"/>
      <c r="MN105" s="29"/>
      <c r="MO105" s="29"/>
      <c r="MP105" s="29"/>
      <c r="MQ105" s="29"/>
      <c r="MR105" s="29"/>
      <c r="MS105" s="29"/>
      <c r="MT105" s="29"/>
      <c r="MU105" s="29"/>
      <c r="MV105" s="29"/>
      <c r="MW105" s="29"/>
      <c r="MX105" s="29"/>
      <c r="MY105" s="29"/>
      <c r="MZ105" s="29"/>
      <c r="NA105" s="29"/>
      <c r="NB105" s="29"/>
      <c r="NC105" s="29"/>
      <c r="ND105" s="29"/>
      <c r="NE105" s="29"/>
      <c r="NF105" s="29"/>
      <c r="NG105" s="29"/>
      <c r="NH105" s="29"/>
      <c r="NI105" s="29"/>
      <c r="NJ105" s="29"/>
      <c r="NK105" s="29"/>
      <c r="NL105" s="29"/>
      <c r="NM105" s="29"/>
      <c r="NN105" s="29"/>
      <c r="NO105" s="29"/>
      <c r="NP105" s="29"/>
      <c r="NQ105" s="29"/>
      <c r="NR105" s="29"/>
      <c r="NS105" s="29"/>
      <c r="NT105" s="29"/>
      <c r="NU105" s="29"/>
      <c r="NV105" s="29"/>
      <c r="NW105" s="29"/>
      <c r="NX105" s="29"/>
      <c r="NY105" s="29"/>
      <c r="NZ105" s="29"/>
      <c r="OA105" s="29"/>
      <c r="OB105" s="29"/>
      <c r="OC105" s="29"/>
      <c r="OD105" s="29"/>
      <c r="OE105" s="29"/>
      <c r="OF105" s="29"/>
      <c r="OG105" s="29"/>
      <c r="OH105" s="29"/>
      <c r="OI105" s="29"/>
      <c r="OJ105" s="29"/>
      <c r="OK105" s="29"/>
      <c r="OL105" s="29"/>
      <c r="OM105" s="29"/>
      <c r="ON105" s="29"/>
      <c r="OO105" s="29"/>
      <c r="OP105" s="29"/>
      <c r="OQ105" s="29"/>
      <c r="OR105" s="29"/>
      <c r="OS105" s="29"/>
      <c r="OT105" s="29"/>
      <c r="OU105" s="29"/>
      <c r="OV105" s="29"/>
      <c r="OW105" s="29"/>
      <c r="OX105" s="29"/>
      <c r="OY105" s="29"/>
      <c r="OZ105" s="29"/>
      <c r="PA105" s="29"/>
      <c r="PB105" s="29"/>
      <c r="PC105" s="29"/>
      <c r="PD105" s="29"/>
      <c r="PE105" s="29"/>
      <c r="PF105" s="29"/>
      <c r="PG105" s="29"/>
      <c r="PH105" s="29"/>
      <c r="PI105" s="29"/>
      <c r="PJ105" s="29"/>
      <c r="PK105" s="29"/>
      <c r="PL105" s="29"/>
      <c r="PM105" s="29"/>
      <c r="PN105" s="29"/>
      <c r="PO105" s="29"/>
      <c r="PP105" s="29"/>
      <c r="PQ105" s="29"/>
      <c r="PR105" s="29"/>
      <c r="PS105" s="29"/>
      <c r="PT105" s="29"/>
      <c r="PU105" s="29"/>
      <c r="PV105" s="29"/>
      <c r="PW105" s="29"/>
      <c r="PX105" s="29"/>
      <c r="PY105" s="29"/>
      <c r="PZ105" s="29"/>
      <c r="QA105" s="29"/>
      <c r="QB105" s="29"/>
      <c r="QC105" s="29"/>
      <c r="QD105" s="29"/>
      <c r="QE105" s="29"/>
      <c r="QF105" s="29"/>
      <c r="QG105" s="29"/>
      <c r="QH105" s="29"/>
      <c r="QI105" s="29"/>
      <c r="QJ105" s="29"/>
      <c r="QK105" s="29"/>
      <c r="QL105" s="29"/>
      <c r="QM105" s="29"/>
      <c r="QN105" s="29"/>
      <c r="QO105" s="29"/>
      <c r="QP105" s="29"/>
      <c r="QQ105" s="29"/>
      <c r="QR105" s="29"/>
      <c r="QS105" s="29"/>
      <c r="QT105" s="29"/>
      <c r="QU105" s="29"/>
      <c r="QV105" s="29"/>
      <c r="QW105" s="29"/>
      <c r="QX105" s="29"/>
      <c r="QY105" s="29"/>
      <c r="QZ105" s="29"/>
      <c r="RA105" s="29"/>
      <c r="RB105" s="29"/>
      <c r="RC105" s="29"/>
      <c r="RD105" s="29"/>
      <c r="RE105" s="29"/>
      <c r="RF105" s="29"/>
      <c r="RG105" s="29"/>
      <c r="RH105" s="29"/>
      <c r="RI105" s="29"/>
      <c r="RJ105" s="29"/>
      <c r="RK105" s="29"/>
      <c r="RL105" s="29"/>
      <c r="RM105" s="29"/>
      <c r="RN105" s="29"/>
      <c r="RO105" s="29"/>
      <c r="RP105" s="29"/>
      <c r="RQ105" s="29"/>
      <c r="RR105" s="29"/>
      <c r="RS105" s="29"/>
      <c r="RT105" s="29"/>
      <c r="RU105" s="29"/>
      <c r="RV105" s="29"/>
      <c r="RW105" s="29"/>
      <c r="RX105" s="29"/>
      <c r="RY105" s="29"/>
      <c r="RZ105" s="29"/>
      <c r="SA105" s="29"/>
      <c r="SB105" s="29"/>
      <c r="SC105" s="29"/>
      <c r="SD105" s="29"/>
      <c r="SE105" s="29"/>
      <c r="SF105" s="29"/>
      <c r="SG105" s="29"/>
      <c r="SH105" s="29"/>
      <c r="SI105" s="29"/>
      <c r="SJ105" s="29"/>
      <c r="SK105" s="29"/>
      <c r="SL105" s="29"/>
      <c r="SM105" s="29"/>
      <c r="SN105" s="29"/>
      <c r="SO105" s="29"/>
      <c r="SP105" s="29"/>
      <c r="SQ105" s="29"/>
      <c r="SR105" s="29"/>
      <c r="SS105" s="29"/>
      <c r="ST105" s="29"/>
      <c r="SU105" s="29"/>
      <c r="SV105" s="29"/>
      <c r="SW105" s="29"/>
      <c r="SX105" s="29"/>
      <c r="SY105" s="29"/>
      <c r="SZ105" s="29"/>
      <c r="TA105" s="29"/>
      <c r="TB105" s="29"/>
      <c r="TC105" s="29"/>
      <c r="TD105" s="29"/>
      <c r="TE105" s="29"/>
      <c r="TF105" s="29"/>
      <c r="TG105" s="29"/>
      <c r="TH105" s="29"/>
      <c r="TI105" s="29"/>
      <c r="TJ105" s="29"/>
      <c r="TK105" s="29"/>
      <c r="TL105" s="29"/>
      <c r="TM105" s="29"/>
      <c r="TN105" s="29"/>
      <c r="TO105" s="29"/>
      <c r="TP105" s="29"/>
      <c r="TQ105" s="29"/>
      <c r="TR105" s="29"/>
      <c r="TS105" s="29"/>
      <c r="TT105" s="29"/>
      <c r="TU105" s="29"/>
      <c r="TV105" s="29"/>
      <c r="TW105" s="29"/>
      <c r="TX105" s="29"/>
      <c r="TY105" s="29"/>
      <c r="TZ105" s="29"/>
      <c r="UA105" s="29"/>
      <c r="UB105" s="29"/>
      <c r="UC105" s="29"/>
      <c r="UD105" s="29"/>
      <c r="UE105" s="29"/>
      <c r="UF105" s="29"/>
      <c r="UG105" s="29"/>
      <c r="UH105" s="29"/>
      <c r="UI105" s="29"/>
      <c r="UJ105" s="29"/>
      <c r="UK105" s="29"/>
      <c r="UL105" s="29"/>
      <c r="UM105" s="29"/>
      <c r="UN105" s="29"/>
      <c r="UO105" s="29"/>
      <c r="UP105" s="29"/>
      <c r="UQ105" s="29"/>
      <c r="UR105" s="29"/>
      <c r="US105" s="29"/>
      <c r="UT105" s="29"/>
      <c r="UU105" s="29"/>
      <c r="UV105" s="29"/>
      <c r="UW105" s="29"/>
      <c r="UX105" s="29"/>
      <c r="UY105" s="29"/>
      <c r="UZ105" s="29"/>
      <c r="VA105" s="29"/>
      <c r="VB105" s="29"/>
      <c r="VC105" s="29"/>
      <c r="VD105" s="29"/>
      <c r="VE105" s="29"/>
      <c r="VF105" s="29"/>
      <c r="VG105" s="29"/>
      <c r="VH105" s="29"/>
      <c r="VI105" s="29"/>
      <c r="VJ105" s="29"/>
      <c r="VK105" s="29"/>
      <c r="VL105" s="29"/>
      <c r="VM105" s="29"/>
      <c r="VN105" s="29"/>
      <c r="VO105" s="29"/>
      <c r="VP105" s="29"/>
      <c r="VQ105" s="29"/>
      <c r="VR105" s="29"/>
      <c r="VS105" s="29"/>
      <c r="VT105" s="29"/>
      <c r="VU105" s="29"/>
      <c r="VV105" s="29"/>
      <c r="VW105" s="29"/>
      <c r="VX105" s="29"/>
      <c r="VY105" s="29"/>
      <c r="VZ105" s="29"/>
      <c r="WA105" s="29"/>
      <c r="WB105" s="29"/>
      <c r="WC105" s="29"/>
      <c r="WD105" s="29"/>
      <c r="WE105" s="29"/>
      <c r="WF105" s="29"/>
      <c r="WG105" s="29"/>
      <c r="WH105" s="29"/>
      <c r="WI105" s="29"/>
      <c r="WJ105" s="29"/>
      <c r="WK105" s="29"/>
      <c r="WL105" s="29"/>
      <c r="WM105" s="29"/>
      <c r="WN105" s="29"/>
      <c r="WO105" s="29"/>
      <c r="WP105" s="29"/>
      <c r="WQ105" s="29"/>
      <c r="WR105" s="29"/>
      <c r="WS105" s="29"/>
      <c r="WT105" s="29"/>
      <c r="WU105" s="29"/>
      <c r="WV105" s="29"/>
      <c r="WW105" s="29"/>
      <c r="WX105" s="29"/>
      <c r="WY105" s="29"/>
      <c r="WZ105" s="29"/>
      <c r="XA105" s="29"/>
      <c r="XB105" s="29"/>
      <c r="XC105" s="29"/>
      <c r="XD105" s="29"/>
      <c r="XE105" s="29"/>
      <c r="XF105" s="29"/>
      <c r="XG105" s="29"/>
      <c r="XH105" s="29"/>
      <c r="XI105" s="29"/>
      <c r="XJ105" s="29"/>
      <c r="XK105" s="29"/>
      <c r="XL105" s="29"/>
      <c r="XM105" s="29"/>
      <c r="XN105" s="29"/>
      <c r="XO105" s="29"/>
      <c r="XP105" s="29"/>
      <c r="XQ105" s="29"/>
      <c r="XR105" s="29"/>
      <c r="XS105" s="29"/>
      <c r="XT105" s="29"/>
      <c r="XU105" s="29"/>
      <c r="XV105" s="29"/>
      <c r="XW105" s="29"/>
      <c r="XX105" s="29"/>
      <c r="XY105" s="29"/>
      <c r="XZ105" s="29"/>
      <c r="YA105" s="29"/>
      <c r="YB105" s="29"/>
      <c r="YC105" s="29"/>
      <c r="YD105" s="29"/>
      <c r="YE105" s="29"/>
      <c r="YF105" s="29"/>
      <c r="YG105" s="29"/>
      <c r="YH105" s="29"/>
      <c r="YI105" s="29"/>
      <c r="YJ105" s="29"/>
      <c r="YK105" s="29"/>
      <c r="YL105" s="29"/>
      <c r="YM105" s="29"/>
      <c r="YN105" s="29"/>
      <c r="YO105" s="29"/>
      <c r="YP105" s="29"/>
      <c r="YQ105" s="29"/>
      <c r="YR105" s="29"/>
      <c r="YS105" s="29"/>
      <c r="YT105" s="29"/>
      <c r="YU105" s="29"/>
      <c r="YV105" s="29"/>
      <c r="YW105" s="29"/>
      <c r="YX105" s="29"/>
      <c r="YY105" s="29"/>
      <c r="YZ105" s="29"/>
      <c r="ZA105" s="29"/>
      <c r="ZB105" s="29"/>
      <c r="ZC105" s="29"/>
      <c r="ZD105" s="29"/>
      <c r="ZE105" s="29"/>
      <c r="ZF105" s="29"/>
      <c r="ZG105" s="29"/>
      <c r="ZH105" s="29"/>
      <c r="ZI105" s="29"/>
      <c r="ZJ105" s="29"/>
      <c r="ZK105" s="29"/>
      <c r="ZL105" s="29"/>
      <c r="ZM105" s="29"/>
      <c r="ZN105" s="29"/>
      <c r="ZO105" s="29"/>
      <c r="ZP105" s="29"/>
      <c r="ZQ105" s="29"/>
      <c r="ZR105" s="29"/>
      <c r="ZS105" s="29"/>
      <c r="ZT105" s="29"/>
      <c r="ZU105" s="29"/>
      <c r="ZV105" s="29"/>
      <c r="ZW105" s="29"/>
      <c r="ZX105" s="29"/>
      <c r="ZY105" s="29"/>
      <c r="ZZ105" s="29"/>
      <c r="AAA105" s="29"/>
      <c r="AAB105" s="29"/>
      <c r="AAC105" s="29"/>
      <c r="AAD105" s="29"/>
      <c r="AAE105" s="29"/>
      <c r="AAF105" s="29"/>
      <c r="AAG105" s="29"/>
      <c r="AAH105" s="29"/>
      <c r="AAI105" s="29"/>
      <c r="AAJ105" s="29"/>
      <c r="AAK105" s="29"/>
      <c r="AAL105" s="29"/>
      <c r="AAM105" s="29"/>
      <c r="AAN105" s="29"/>
      <c r="AAO105" s="29"/>
      <c r="AAP105" s="29"/>
      <c r="AAQ105" s="29"/>
      <c r="AAR105" s="29"/>
      <c r="AAS105" s="29"/>
      <c r="AAT105" s="29"/>
      <c r="AAU105" s="29"/>
      <c r="AAV105" s="29"/>
      <c r="AAW105" s="29"/>
      <c r="AAX105" s="29"/>
      <c r="AAY105" s="29"/>
      <c r="AAZ105" s="29"/>
      <c r="ABA105" s="29"/>
      <c r="ABB105" s="29"/>
      <c r="ABC105" s="29"/>
      <c r="ABD105" s="29"/>
      <c r="ABE105" s="29"/>
      <c r="ABF105" s="29"/>
      <c r="ABG105" s="29"/>
      <c r="ABH105" s="29"/>
      <c r="ABI105" s="29"/>
      <c r="ABJ105" s="29"/>
      <c r="ABK105" s="29"/>
      <c r="ABL105" s="29"/>
      <c r="ABM105" s="29"/>
      <c r="ABN105" s="29"/>
      <c r="ABO105" s="29"/>
      <c r="ABP105" s="29"/>
      <c r="ABQ105" s="29"/>
      <c r="ABR105" s="29"/>
      <c r="ABS105" s="29"/>
      <c r="ABT105" s="29"/>
      <c r="ABU105" s="29"/>
      <c r="ABV105" s="29"/>
      <c r="ABW105" s="29"/>
      <c r="ABX105" s="29"/>
      <c r="ABY105" s="29"/>
      <c r="ABZ105" s="29"/>
      <c r="ACA105" s="29"/>
      <c r="ACB105" s="29"/>
      <c r="ACC105" s="29"/>
      <c r="ACD105" s="29"/>
      <c r="ACE105" s="29"/>
      <c r="ACF105" s="29"/>
      <c r="ACG105" s="29"/>
      <c r="ACH105" s="29"/>
      <c r="ACI105" s="29"/>
      <c r="ACJ105" s="29"/>
      <c r="ACK105" s="29"/>
      <c r="ACL105" s="29"/>
      <c r="ACM105" s="29"/>
      <c r="ACN105" s="29"/>
      <c r="ACO105" s="29"/>
      <c r="ACP105" s="29"/>
      <c r="ACQ105" s="29"/>
      <c r="ACR105" s="29"/>
      <c r="ACS105" s="29"/>
      <c r="ACT105" s="29"/>
      <c r="ACU105" s="29"/>
      <c r="ACV105" s="29"/>
      <c r="ACW105" s="29"/>
      <c r="ACX105" s="29"/>
      <c r="ACY105" s="29"/>
      <c r="ACZ105" s="29"/>
      <c r="ADA105" s="29"/>
      <c r="ADB105" s="29"/>
      <c r="ADC105" s="29"/>
      <c r="ADD105" s="29"/>
      <c r="ADE105" s="29"/>
      <c r="ADF105" s="29"/>
      <c r="ADG105" s="29"/>
      <c r="ADH105" s="29"/>
      <c r="ADI105" s="29"/>
      <c r="ADJ105" s="29"/>
      <c r="ADK105" s="29"/>
      <c r="ADL105" s="29"/>
      <c r="ADM105" s="29"/>
      <c r="ADN105" s="29"/>
      <c r="ADO105" s="29"/>
      <c r="ADP105" s="29"/>
      <c r="ADQ105" s="29"/>
      <c r="ADR105" s="29"/>
      <c r="ADS105" s="29"/>
      <c r="ADT105" s="29"/>
      <c r="ADU105" s="29"/>
      <c r="ADV105" s="29"/>
      <c r="ADW105" s="29"/>
      <c r="ADX105" s="29"/>
      <c r="ADY105" s="29"/>
      <c r="ADZ105" s="29"/>
      <c r="AEA105" s="29"/>
      <c r="AEB105" s="29"/>
      <c r="AEC105" s="29"/>
      <c r="AED105" s="29"/>
      <c r="AEE105" s="29"/>
      <c r="AEF105" s="29"/>
      <c r="AEG105" s="29"/>
      <c r="AEH105" s="29"/>
      <c r="AEI105" s="29"/>
      <c r="AEJ105" s="29"/>
      <c r="AEK105" s="29"/>
      <c r="AEL105" s="29"/>
      <c r="AEM105" s="29"/>
      <c r="AEN105" s="29"/>
      <c r="AEO105" s="29"/>
      <c r="AEP105" s="29"/>
      <c r="AEQ105" s="29"/>
      <c r="AER105" s="29"/>
      <c r="AES105" s="29"/>
      <c r="AET105" s="29"/>
      <c r="AEU105" s="29"/>
      <c r="AEV105" s="29"/>
      <c r="AEW105" s="29"/>
      <c r="AEX105" s="29"/>
      <c r="AEY105" s="29"/>
      <c r="AEZ105" s="29"/>
      <c r="AFA105" s="29"/>
      <c r="AFB105" s="29"/>
      <c r="AFC105" s="29"/>
      <c r="AFD105" s="29"/>
      <c r="AFE105" s="29"/>
      <c r="AFF105" s="29"/>
      <c r="AFG105" s="29"/>
      <c r="AFH105" s="29"/>
      <c r="AFI105" s="29"/>
      <c r="AFJ105" s="29"/>
      <c r="AFK105" s="29"/>
      <c r="AFL105" s="29"/>
      <c r="AFM105" s="29"/>
      <c r="AFN105" s="29"/>
      <c r="AFO105" s="29"/>
      <c r="AFP105" s="29"/>
      <c r="AFQ105" s="29"/>
      <c r="AFR105" s="29"/>
      <c r="AFS105" s="29"/>
      <c r="AFT105" s="29"/>
      <c r="AFU105" s="29"/>
      <c r="AFV105" s="29"/>
      <c r="AFW105" s="29"/>
      <c r="AFX105" s="29"/>
      <c r="AFY105" s="29"/>
      <c r="AFZ105" s="29"/>
      <c r="AGA105" s="29"/>
      <c r="AGB105" s="29"/>
      <c r="AGC105" s="29"/>
      <c r="AGD105" s="29"/>
      <c r="AGE105" s="29"/>
      <c r="AGF105" s="29"/>
      <c r="AGG105" s="29"/>
      <c r="AGH105" s="29"/>
      <c r="AGI105" s="29"/>
      <c r="AGJ105" s="29"/>
      <c r="AGK105" s="29"/>
      <c r="AGL105" s="29"/>
      <c r="AGM105" s="29"/>
      <c r="AGN105" s="29"/>
      <c r="AGO105" s="29"/>
      <c r="AGP105" s="29"/>
      <c r="AGQ105" s="29"/>
      <c r="AGR105" s="29"/>
      <c r="AGS105" s="29"/>
      <c r="AGT105" s="29"/>
      <c r="AGU105" s="29"/>
      <c r="AGV105" s="29"/>
      <c r="AGW105" s="29"/>
      <c r="AGX105" s="29"/>
      <c r="AGY105" s="29"/>
      <c r="AGZ105" s="29"/>
      <c r="AHA105" s="29"/>
      <c r="AHB105" s="29"/>
      <c r="AHC105" s="29"/>
      <c r="AHD105" s="29"/>
      <c r="AHE105" s="29"/>
      <c r="AHF105" s="29"/>
      <c r="AHG105" s="29"/>
      <c r="AHH105" s="29"/>
      <c r="AHI105" s="29"/>
      <c r="AHJ105" s="29"/>
      <c r="AHK105" s="29"/>
      <c r="AHL105" s="29"/>
      <c r="AHM105" s="29"/>
      <c r="AHN105" s="29"/>
      <c r="AHO105" s="29"/>
      <c r="AHP105" s="29"/>
      <c r="AHQ105" s="29"/>
      <c r="AHR105" s="29"/>
      <c r="AHS105" s="29"/>
      <c r="AHT105" s="29"/>
      <c r="AHU105" s="29"/>
      <c r="AHV105" s="29"/>
      <c r="AHW105" s="29"/>
      <c r="AHX105" s="29"/>
      <c r="AHY105" s="29"/>
      <c r="AHZ105" s="29"/>
      <c r="AIA105" s="29"/>
      <c r="AIB105" s="29"/>
      <c r="AIC105" s="29"/>
      <c r="AID105" s="29"/>
      <c r="AIE105" s="29"/>
      <c r="AIF105" s="29"/>
      <c r="AIG105" s="29"/>
      <c r="AIH105" s="29"/>
      <c r="AII105" s="29"/>
      <c r="AIJ105" s="29"/>
      <c r="AIK105" s="29"/>
      <c r="AIL105" s="29"/>
      <c r="AIM105" s="29"/>
      <c r="AIN105" s="29"/>
      <c r="AIO105" s="29"/>
      <c r="AIP105" s="29"/>
      <c r="AIQ105" s="29"/>
      <c r="AIR105" s="29"/>
      <c r="AIS105" s="29"/>
      <c r="AIT105" s="29"/>
      <c r="AIU105" s="29"/>
      <c r="AIV105" s="29"/>
      <c r="AIW105" s="29"/>
      <c r="AIX105" s="29"/>
      <c r="AIY105" s="29"/>
      <c r="AIZ105" s="29"/>
      <c r="AJA105" s="29"/>
      <c r="AJB105" s="29"/>
      <c r="AJC105" s="29"/>
      <c r="AJD105" s="29"/>
      <c r="AJE105" s="29"/>
      <c r="AJF105" s="29"/>
      <c r="AJG105" s="29"/>
      <c r="AJH105" s="29"/>
      <c r="AJI105" s="29"/>
      <c r="AJJ105" s="29"/>
      <c r="AJK105" s="29"/>
      <c r="AJL105" s="29"/>
      <c r="AJM105" s="29"/>
      <c r="AJN105" s="29"/>
      <c r="AJO105" s="29"/>
      <c r="AJP105" s="29"/>
      <c r="AJQ105" s="29"/>
      <c r="AJR105" s="29"/>
      <c r="AJS105" s="29"/>
      <c r="AJT105" s="29"/>
      <c r="AJU105" s="29"/>
      <c r="AJV105" s="29"/>
      <c r="AJW105" s="29"/>
      <c r="AJX105" s="29"/>
      <c r="AJY105" s="29"/>
      <c r="AJZ105" s="29"/>
      <c r="AKA105" s="29"/>
      <c r="AKB105" s="29"/>
      <c r="AKC105" s="29"/>
      <c r="AKD105" s="29"/>
      <c r="AKE105" s="29"/>
      <c r="AKF105" s="29"/>
      <c r="AKG105" s="29"/>
      <c r="AKH105" s="29"/>
      <c r="AKI105" s="29"/>
      <c r="AKJ105" s="29"/>
      <c r="AKK105" s="29"/>
      <c r="AKL105" s="29"/>
      <c r="AKM105" s="29"/>
      <c r="AKN105" s="29"/>
      <c r="AKO105" s="29"/>
      <c r="AKP105" s="29"/>
      <c r="AKQ105" s="29"/>
      <c r="AKR105" s="29"/>
      <c r="AKS105" s="29"/>
      <c r="AKT105" s="29"/>
      <c r="AKU105" s="29"/>
      <c r="AKV105" s="29"/>
      <c r="AKW105" s="29"/>
      <c r="AKX105" s="29"/>
      <c r="AKY105" s="29"/>
      <c r="AKZ105" s="29"/>
      <c r="ALA105" s="29"/>
      <c r="ALB105" s="29"/>
      <c r="ALC105" s="29"/>
      <c r="ALD105" s="29"/>
      <c r="ALE105" s="29"/>
      <c r="ALF105" s="29"/>
      <c r="ALG105" s="29"/>
      <c r="ALH105" s="29"/>
      <c r="ALI105" s="29"/>
      <c r="ALJ105" s="29"/>
      <c r="ALK105" s="29"/>
      <c r="ALL105" s="29"/>
      <c r="ALM105" s="29"/>
      <c r="ALN105" s="29"/>
      <c r="ALO105" s="29"/>
      <c r="ALP105" s="29"/>
      <c r="ALQ105" s="29"/>
      <c r="ALR105" s="29"/>
      <c r="ALS105" s="29"/>
      <c r="ALT105" s="29"/>
      <c r="ALU105" s="29"/>
      <c r="ALV105" s="29"/>
      <c r="ALW105" s="29"/>
      <c r="ALX105" s="29"/>
      <c r="ALY105" s="29"/>
      <c r="ALZ105" s="29"/>
      <c r="AMA105" s="29"/>
      <c r="AMB105" s="29"/>
      <c r="AMC105" s="29"/>
      <c r="AMD105" s="29"/>
      <c r="AME105" s="29"/>
      <c r="AMF105" s="29"/>
      <c r="AMG105" s="29"/>
      <c r="AMH105" s="29"/>
      <c r="AMI105" s="29"/>
      <c r="AMJ105" s="29"/>
      <c r="AMK105" s="29"/>
      <c r="AML105" s="29"/>
      <c r="AMM105" s="29"/>
      <c r="AMN105" s="29"/>
      <c r="AMO105" s="29"/>
      <c r="AMP105" s="29"/>
      <c r="AMQ105" s="29"/>
      <c r="AMR105" s="29"/>
      <c r="AMS105" s="29"/>
      <c r="AMT105" s="29"/>
      <c r="AMU105" s="29"/>
      <c r="AMV105" s="29"/>
      <c r="AMW105" s="29"/>
      <c r="AMX105" s="29"/>
      <c r="AMY105" s="29"/>
      <c r="AMZ105" s="29"/>
      <c r="ANA105" s="29"/>
      <c r="ANB105" s="29"/>
      <c r="ANC105" s="29"/>
      <c r="AND105" s="29"/>
      <c r="ANE105" s="29"/>
      <c r="ANF105" s="29"/>
      <c r="ANG105" s="29"/>
      <c r="ANH105" s="29"/>
      <c r="ANI105" s="29"/>
      <c r="ANJ105" s="29"/>
      <c r="ANK105" s="29"/>
      <c r="ANL105" s="29"/>
      <c r="ANM105" s="29"/>
      <c r="ANN105" s="29"/>
      <c r="ANO105" s="29"/>
      <c r="ANP105" s="29"/>
      <c r="ANQ105" s="29"/>
      <c r="ANR105" s="29"/>
      <c r="ANS105" s="29"/>
      <c r="ANT105" s="29"/>
      <c r="ANU105" s="29"/>
      <c r="ANV105" s="29"/>
      <c r="ANW105" s="29"/>
      <c r="ANX105" s="29"/>
      <c r="ANY105" s="29"/>
      <c r="ANZ105" s="29"/>
      <c r="AOA105" s="29"/>
      <c r="AOB105" s="29"/>
      <c r="AOC105" s="29"/>
      <c r="AOD105" s="29"/>
      <c r="AOE105" s="29"/>
      <c r="AOF105" s="29"/>
      <c r="AOG105" s="29"/>
      <c r="AOH105" s="29"/>
      <c r="AOI105" s="29"/>
      <c r="AOJ105" s="29"/>
      <c r="AOK105" s="29"/>
      <c r="AOL105" s="29"/>
      <c r="AOM105" s="29"/>
      <c r="AON105" s="29"/>
      <c r="AOO105" s="29"/>
      <c r="AOP105" s="29"/>
      <c r="AOQ105" s="29"/>
      <c r="AOR105" s="29"/>
      <c r="AOS105" s="29"/>
      <c r="AOT105" s="29"/>
      <c r="AOU105" s="29"/>
      <c r="AOV105" s="29"/>
      <c r="AOW105" s="29"/>
      <c r="AOX105" s="29"/>
      <c r="AOY105" s="29"/>
      <c r="AOZ105" s="29"/>
      <c r="APA105" s="29"/>
      <c r="APB105" s="29"/>
      <c r="APC105" s="29"/>
      <c r="APD105" s="29"/>
      <c r="APE105" s="29"/>
      <c r="APF105" s="29"/>
      <c r="APG105" s="29"/>
      <c r="APH105" s="29"/>
      <c r="API105" s="29"/>
      <c r="APJ105" s="29"/>
      <c r="APK105" s="29"/>
      <c r="APL105" s="29"/>
      <c r="APM105" s="29"/>
      <c r="APN105" s="29"/>
      <c r="APO105" s="29"/>
      <c r="APP105" s="29"/>
      <c r="APQ105" s="29"/>
      <c r="APR105" s="29"/>
      <c r="APS105" s="29"/>
      <c r="APT105" s="29"/>
      <c r="APU105" s="29"/>
      <c r="APV105" s="29"/>
      <c r="APW105" s="29"/>
      <c r="APX105" s="29"/>
      <c r="APY105" s="29"/>
      <c r="APZ105" s="29"/>
      <c r="AQA105" s="29"/>
      <c r="AQB105" s="29"/>
      <c r="AQC105" s="29"/>
      <c r="AQD105" s="29"/>
      <c r="AQE105" s="29"/>
      <c r="AQF105" s="29"/>
      <c r="AQG105" s="29"/>
      <c r="AQH105" s="29"/>
      <c r="AQI105" s="29"/>
      <c r="AQJ105" s="29"/>
      <c r="AQK105" s="29"/>
      <c r="AQL105" s="29"/>
      <c r="AQM105" s="29"/>
      <c r="AQN105" s="29"/>
      <c r="AQO105" s="29"/>
      <c r="AQP105" s="29"/>
      <c r="AQQ105" s="29"/>
      <c r="AQR105" s="29"/>
      <c r="AQS105" s="29"/>
      <c r="AQT105" s="29"/>
      <c r="AQU105" s="29"/>
      <c r="AQV105" s="29"/>
      <c r="AQW105" s="29"/>
      <c r="AQX105" s="29"/>
      <c r="AQY105" s="29"/>
      <c r="AQZ105" s="29"/>
      <c r="ARA105" s="29"/>
      <c r="ARB105" s="29"/>
      <c r="ARC105" s="29"/>
      <c r="ARD105" s="29"/>
      <c r="ARE105" s="29"/>
      <c r="ARF105" s="29"/>
      <c r="ARG105" s="29"/>
      <c r="ARH105" s="29"/>
      <c r="ARI105" s="29"/>
      <c r="ARJ105" s="29"/>
      <c r="ARK105" s="29"/>
      <c r="ARL105" s="29"/>
      <c r="ARM105" s="29"/>
      <c r="ARN105" s="29"/>
      <c r="ARO105" s="29"/>
      <c r="ARP105" s="29"/>
      <c r="ARQ105" s="29"/>
      <c r="ARR105" s="29"/>
      <c r="ARS105" s="29"/>
      <c r="ART105" s="29"/>
      <c r="ARU105" s="29"/>
      <c r="ARV105" s="29"/>
      <c r="ARW105" s="29"/>
      <c r="ARX105" s="29"/>
      <c r="ARY105" s="29"/>
      <c r="ARZ105" s="29"/>
      <c r="ASA105" s="29"/>
      <c r="ASB105" s="29"/>
      <c r="ASC105" s="29"/>
      <c r="ASD105" s="29"/>
      <c r="ASE105" s="29"/>
      <c r="ASF105" s="29"/>
      <c r="ASG105" s="29"/>
      <c r="ASH105" s="29"/>
      <c r="ASI105" s="29"/>
      <c r="ASJ105" s="29"/>
      <c r="ASK105" s="29"/>
      <c r="ASL105" s="29"/>
      <c r="ASM105" s="29"/>
      <c r="ASN105" s="29"/>
      <c r="ASO105" s="29"/>
      <c r="ASP105" s="29"/>
      <c r="ASQ105" s="29"/>
      <c r="ASR105" s="29"/>
      <c r="ASS105" s="29"/>
      <c r="AST105" s="29"/>
      <c r="ASU105" s="29"/>
      <c r="ASV105" s="29"/>
      <c r="ASW105" s="29"/>
      <c r="ASX105" s="29"/>
      <c r="ASY105" s="29"/>
      <c r="ASZ105" s="29"/>
      <c r="ATA105" s="29"/>
      <c r="ATB105" s="29"/>
      <c r="ATC105" s="29"/>
      <c r="ATD105" s="29"/>
      <c r="ATE105" s="29"/>
      <c r="ATF105" s="29"/>
      <c r="ATG105" s="29"/>
      <c r="ATH105" s="29"/>
      <c r="ATI105" s="29"/>
      <c r="ATJ105" s="29"/>
      <c r="ATK105" s="29"/>
      <c r="ATL105" s="29"/>
      <c r="ATM105" s="29"/>
      <c r="ATN105" s="29"/>
      <c r="ATO105" s="29"/>
      <c r="ATP105" s="29"/>
      <c r="ATQ105" s="29"/>
      <c r="ATR105" s="29"/>
      <c r="ATS105" s="29"/>
      <c r="ATT105" s="29"/>
      <c r="ATU105" s="29"/>
      <c r="ATV105" s="29"/>
      <c r="ATW105" s="29"/>
      <c r="ATX105" s="29"/>
      <c r="ATY105" s="29"/>
      <c r="ATZ105" s="29"/>
      <c r="AUA105" s="29"/>
      <c r="AUB105" s="29"/>
      <c r="AUC105" s="29"/>
      <c r="AUD105" s="29"/>
      <c r="AUE105" s="29"/>
      <c r="AUF105" s="29"/>
      <c r="AUG105" s="29"/>
      <c r="AUH105" s="29"/>
      <c r="AUI105" s="29"/>
      <c r="AUJ105" s="29"/>
      <c r="AUK105" s="29"/>
      <c r="AUL105" s="29"/>
      <c r="AUM105" s="29"/>
      <c r="AUN105" s="29"/>
      <c r="AUO105" s="29"/>
      <c r="AUP105" s="29"/>
      <c r="AUQ105" s="29"/>
      <c r="AUR105" s="29"/>
      <c r="AUS105" s="29"/>
      <c r="AUT105" s="29"/>
      <c r="AUU105" s="29"/>
      <c r="AUV105" s="29"/>
      <c r="AUW105" s="29"/>
      <c r="AUX105" s="29"/>
      <c r="AUY105" s="29"/>
      <c r="AUZ105" s="29"/>
      <c r="AVA105" s="29"/>
      <c r="AVB105" s="29"/>
      <c r="AVC105" s="29"/>
      <c r="AVD105" s="29"/>
      <c r="AVE105" s="29"/>
      <c r="AVF105" s="29"/>
      <c r="AVG105" s="29"/>
      <c r="AVH105" s="29"/>
      <c r="AVI105" s="29"/>
      <c r="AVJ105" s="29"/>
      <c r="AVK105" s="29"/>
      <c r="AVL105" s="29"/>
      <c r="AVM105" s="29"/>
      <c r="AVN105" s="29"/>
      <c r="AVO105" s="29"/>
      <c r="AVP105" s="29"/>
      <c r="AVQ105" s="29"/>
      <c r="AVR105" s="29"/>
      <c r="AVS105" s="29"/>
      <c r="AVT105" s="29"/>
      <c r="AVU105" s="29"/>
      <c r="AVV105" s="29"/>
      <c r="AVW105" s="29"/>
      <c r="AVX105" s="29"/>
      <c r="AVY105" s="29"/>
      <c r="AVZ105" s="29"/>
      <c r="AWA105" s="29"/>
      <c r="AWB105" s="29"/>
      <c r="AWC105" s="29"/>
      <c r="AWD105" s="29"/>
      <c r="AWE105" s="29"/>
      <c r="AWF105" s="29"/>
      <c r="AWG105" s="29"/>
      <c r="AWH105" s="29"/>
      <c r="AWI105" s="29"/>
      <c r="AWJ105" s="29"/>
      <c r="AWK105" s="29"/>
      <c r="AWL105" s="29"/>
      <c r="AWM105" s="29"/>
      <c r="AWN105" s="29"/>
      <c r="AWO105" s="29"/>
      <c r="AWP105" s="29"/>
      <c r="AWQ105" s="29"/>
      <c r="AWR105" s="29"/>
      <c r="AWS105" s="29"/>
      <c r="AWT105" s="29"/>
      <c r="AWU105" s="29"/>
      <c r="AWV105" s="29"/>
      <c r="AWW105" s="29"/>
      <c r="AWX105" s="29"/>
      <c r="AWY105" s="29"/>
      <c r="AWZ105" s="29"/>
      <c r="AXA105" s="29"/>
      <c r="AXB105" s="29"/>
      <c r="AXC105" s="29"/>
      <c r="AXD105" s="29"/>
      <c r="AXE105" s="29"/>
      <c r="AXF105" s="29"/>
      <c r="AXG105" s="29"/>
      <c r="AXH105" s="29"/>
      <c r="AXI105" s="29"/>
      <c r="AXJ105" s="29"/>
      <c r="AXK105" s="29"/>
      <c r="AXL105" s="29"/>
      <c r="AXM105" s="29"/>
      <c r="AXN105" s="29"/>
      <c r="AXO105" s="29"/>
      <c r="AXP105" s="29"/>
      <c r="AXQ105" s="29"/>
      <c r="AXR105" s="29"/>
      <c r="AXS105" s="29"/>
      <c r="AXT105" s="29"/>
      <c r="AXU105" s="29"/>
      <c r="AXV105" s="29"/>
      <c r="AXW105" s="29"/>
      <c r="AXX105" s="29"/>
      <c r="AXY105" s="29"/>
      <c r="AXZ105" s="29"/>
      <c r="AYA105" s="29"/>
      <c r="AYB105" s="29"/>
      <c r="AYC105" s="29"/>
      <c r="AYD105" s="29"/>
      <c r="AYE105" s="29"/>
      <c r="AYF105" s="29"/>
      <c r="AYG105" s="29"/>
      <c r="AYH105" s="29"/>
      <c r="AYI105" s="29"/>
      <c r="AYJ105" s="29"/>
      <c r="AYK105" s="29"/>
      <c r="AYL105" s="29"/>
      <c r="AYM105" s="29"/>
      <c r="AYN105" s="29"/>
      <c r="AYO105" s="29"/>
      <c r="AYP105" s="29"/>
      <c r="AYQ105" s="29"/>
      <c r="AYR105" s="29"/>
      <c r="AYS105" s="29"/>
      <c r="AYT105" s="29"/>
      <c r="AYU105" s="29"/>
      <c r="AYV105" s="29"/>
      <c r="AYW105" s="29"/>
      <c r="AYX105" s="29"/>
      <c r="AYY105" s="29"/>
      <c r="AYZ105" s="29"/>
      <c r="AZA105" s="29"/>
      <c r="AZB105" s="29"/>
      <c r="AZC105" s="29"/>
      <c r="AZD105" s="29"/>
      <c r="AZE105" s="29"/>
      <c r="AZF105" s="29"/>
      <c r="AZG105" s="29"/>
      <c r="AZH105" s="29"/>
      <c r="AZI105" s="29"/>
      <c r="AZJ105" s="29"/>
      <c r="AZK105" s="29"/>
      <c r="AZL105" s="29"/>
      <c r="AZM105" s="29"/>
      <c r="AZN105" s="29"/>
      <c r="AZO105" s="29"/>
      <c r="AZP105" s="29"/>
      <c r="AZQ105" s="29"/>
      <c r="AZR105" s="29"/>
      <c r="AZS105" s="29"/>
      <c r="AZT105" s="29"/>
      <c r="AZU105" s="29"/>
      <c r="AZV105" s="29"/>
      <c r="AZW105" s="29"/>
      <c r="AZX105" s="29"/>
      <c r="AZY105" s="29"/>
      <c r="AZZ105" s="29"/>
      <c r="BAA105" s="29"/>
      <c r="BAB105" s="29"/>
      <c r="BAC105" s="29"/>
      <c r="BAD105" s="29"/>
      <c r="BAE105" s="29"/>
      <c r="BAF105" s="29"/>
      <c r="BAG105" s="29"/>
      <c r="BAH105" s="29"/>
      <c r="BAI105" s="29"/>
      <c r="BAJ105" s="29"/>
      <c r="BAK105" s="29"/>
      <c r="BAL105" s="29"/>
      <c r="BAM105" s="29"/>
      <c r="BAN105" s="29"/>
      <c r="BAO105" s="29"/>
      <c r="BAP105" s="29"/>
      <c r="BAQ105" s="29"/>
      <c r="BAR105" s="29"/>
      <c r="BAS105" s="29"/>
      <c r="BAT105" s="29"/>
      <c r="BAU105" s="29"/>
      <c r="BAV105" s="29"/>
      <c r="BAW105" s="29"/>
      <c r="BAX105" s="29"/>
      <c r="BAY105" s="29"/>
      <c r="BAZ105" s="29"/>
      <c r="BBA105" s="29"/>
      <c r="BBB105" s="29"/>
      <c r="BBC105" s="29"/>
      <c r="BBD105" s="29"/>
      <c r="BBE105" s="29"/>
      <c r="BBF105" s="29"/>
      <c r="BBG105" s="29"/>
      <c r="BBH105" s="29"/>
      <c r="BBI105" s="29"/>
      <c r="BBJ105" s="29"/>
      <c r="BBK105" s="29"/>
      <c r="BBL105" s="29"/>
      <c r="BBM105" s="29"/>
      <c r="BBN105" s="29"/>
      <c r="BBO105" s="29"/>
      <c r="BBP105" s="29"/>
      <c r="BBQ105" s="29"/>
      <c r="BBR105" s="29"/>
      <c r="BBS105" s="29"/>
      <c r="BBT105" s="29"/>
      <c r="BBU105" s="29"/>
      <c r="BBV105" s="29"/>
      <c r="BBW105" s="29"/>
      <c r="BBX105" s="29"/>
      <c r="BBY105" s="29"/>
      <c r="BBZ105" s="29"/>
      <c r="BCA105" s="29"/>
      <c r="BCB105" s="29"/>
      <c r="BCC105" s="29"/>
      <c r="BCD105" s="29"/>
      <c r="BCE105" s="29"/>
      <c r="BCF105" s="29"/>
      <c r="BCG105" s="29"/>
      <c r="BCH105" s="29"/>
      <c r="BCI105" s="29"/>
      <c r="BCJ105" s="29"/>
      <c r="BCK105" s="29"/>
      <c r="BCL105" s="29"/>
      <c r="BCM105" s="29"/>
      <c r="BCN105" s="29"/>
      <c r="BCO105" s="29"/>
      <c r="BCP105" s="29"/>
      <c r="BCQ105" s="29"/>
      <c r="BCR105" s="29"/>
      <c r="BCS105" s="29"/>
      <c r="BCT105" s="29"/>
      <c r="BCU105" s="29"/>
      <c r="BCV105" s="29"/>
      <c r="BCW105" s="29"/>
      <c r="BCX105" s="29"/>
      <c r="BCY105" s="29"/>
      <c r="BCZ105" s="29"/>
      <c r="BDA105" s="29"/>
      <c r="BDB105" s="29"/>
      <c r="BDC105" s="29"/>
      <c r="BDD105" s="29"/>
      <c r="BDE105" s="29"/>
      <c r="BDF105" s="29"/>
      <c r="BDG105" s="29"/>
      <c r="BDH105" s="29"/>
      <c r="BDI105" s="29"/>
      <c r="BDJ105" s="29"/>
      <c r="BDK105" s="29"/>
      <c r="BDL105" s="29"/>
      <c r="BDM105" s="29"/>
      <c r="BDN105" s="29"/>
      <c r="BDO105" s="29"/>
      <c r="BDP105" s="29"/>
      <c r="BDQ105" s="29"/>
      <c r="BDR105" s="29"/>
      <c r="BDS105" s="29"/>
      <c r="BDT105" s="29"/>
      <c r="BDU105" s="29"/>
      <c r="BDV105" s="29"/>
      <c r="BDW105" s="29"/>
      <c r="BDX105" s="29"/>
      <c r="BDY105" s="29"/>
      <c r="BDZ105" s="29"/>
      <c r="BEA105" s="29"/>
      <c r="BEB105" s="29"/>
      <c r="BEC105" s="29"/>
      <c r="BED105" s="29"/>
      <c r="BEE105" s="29"/>
      <c r="BEF105" s="29"/>
      <c r="BEG105" s="29"/>
      <c r="BEH105" s="29"/>
      <c r="BEI105" s="29"/>
      <c r="BEJ105" s="29"/>
      <c r="BEK105" s="29"/>
      <c r="BEL105" s="29"/>
      <c r="BEM105" s="29"/>
      <c r="BEN105" s="29"/>
      <c r="BEO105" s="29"/>
      <c r="BEP105" s="29"/>
      <c r="BEQ105" s="29"/>
      <c r="BER105" s="29"/>
      <c r="BES105" s="29"/>
      <c r="BET105" s="29"/>
      <c r="BEU105" s="29"/>
      <c r="BEV105" s="29"/>
      <c r="BEW105" s="29"/>
      <c r="BEX105" s="29"/>
      <c r="BEY105" s="29"/>
      <c r="BEZ105" s="29"/>
      <c r="BFA105" s="29"/>
      <c r="BFB105" s="29"/>
      <c r="BFC105" s="29"/>
      <c r="BFD105" s="29"/>
      <c r="BFE105" s="29"/>
      <c r="BFF105" s="29"/>
      <c r="BFG105" s="29"/>
      <c r="BFH105" s="29"/>
      <c r="BFI105" s="29"/>
      <c r="BFJ105" s="29"/>
      <c r="BFK105" s="29"/>
      <c r="BFL105" s="29"/>
      <c r="BFM105" s="29"/>
      <c r="BFN105" s="29"/>
      <c r="BFO105" s="29"/>
      <c r="BFP105" s="29"/>
      <c r="BFQ105" s="29"/>
      <c r="BFR105" s="29"/>
      <c r="BFS105" s="29"/>
      <c r="BFT105" s="29"/>
      <c r="BFU105" s="29"/>
      <c r="BFV105" s="29"/>
      <c r="BFW105" s="29"/>
      <c r="BFX105" s="29"/>
      <c r="BFY105" s="29"/>
      <c r="BFZ105" s="29"/>
      <c r="BGA105" s="29"/>
      <c r="BGB105" s="29"/>
      <c r="BGC105" s="29"/>
      <c r="BGD105" s="29"/>
      <c r="BGE105" s="29"/>
      <c r="BGF105" s="29"/>
      <c r="BGG105" s="29"/>
      <c r="BGH105" s="29"/>
      <c r="BGI105" s="29"/>
      <c r="BGJ105" s="29"/>
      <c r="BGK105" s="29"/>
      <c r="BGL105" s="29"/>
      <c r="BGM105" s="29"/>
      <c r="BGN105" s="29"/>
      <c r="BGO105" s="29"/>
      <c r="BGP105" s="29"/>
      <c r="BGQ105" s="29"/>
      <c r="BGR105" s="29"/>
      <c r="BGS105" s="29"/>
      <c r="BGT105" s="29"/>
      <c r="BGU105" s="29"/>
      <c r="BGV105" s="29"/>
      <c r="BGW105" s="29"/>
      <c r="BGX105" s="29"/>
      <c r="BGY105" s="29"/>
      <c r="BGZ105" s="29"/>
      <c r="BHA105" s="29"/>
      <c r="BHB105" s="29"/>
      <c r="BHC105" s="29"/>
      <c r="BHD105" s="29"/>
      <c r="BHE105" s="29"/>
      <c r="BHF105" s="29"/>
      <c r="BHG105" s="29"/>
      <c r="BHH105" s="29"/>
      <c r="BHI105" s="29"/>
      <c r="BHJ105" s="29"/>
      <c r="BHK105" s="29"/>
      <c r="BHL105" s="29"/>
      <c r="BHM105" s="29"/>
      <c r="BHN105" s="29"/>
      <c r="BHO105" s="29"/>
      <c r="BHP105" s="29"/>
      <c r="BHQ105" s="29"/>
      <c r="BHR105" s="29"/>
      <c r="BHS105" s="29"/>
      <c r="BHT105" s="29"/>
      <c r="BHU105" s="29"/>
      <c r="BHV105" s="29"/>
      <c r="BHW105" s="29"/>
      <c r="BHX105" s="29"/>
      <c r="BHY105" s="29"/>
      <c r="BHZ105" s="29"/>
      <c r="BIA105" s="29"/>
      <c r="BIB105" s="29"/>
      <c r="BIC105" s="29"/>
      <c r="BID105" s="29"/>
      <c r="BIE105" s="29"/>
      <c r="BIF105" s="29"/>
      <c r="BIG105" s="29"/>
      <c r="BIH105" s="29"/>
      <c r="BII105" s="29"/>
      <c r="BIJ105" s="29"/>
      <c r="BIK105" s="29"/>
      <c r="BIL105" s="29"/>
      <c r="BIM105" s="29"/>
      <c r="BIN105" s="29"/>
      <c r="BIO105" s="29"/>
      <c r="BIP105" s="29"/>
      <c r="BIQ105" s="29"/>
      <c r="BIR105" s="29"/>
      <c r="BIS105" s="29"/>
      <c r="BIT105" s="29"/>
      <c r="BIU105" s="29"/>
      <c r="BIV105" s="29"/>
      <c r="BIW105" s="29"/>
      <c r="BIX105" s="29"/>
      <c r="BIY105" s="29"/>
      <c r="BIZ105" s="29"/>
      <c r="BJA105" s="29"/>
      <c r="BJB105" s="29"/>
      <c r="BJC105" s="29"/>
      <c r="BJD105" s="29"/>
      <c r="BJE105" s="29"/>
      <c r="BJF105" s="29"/>
      <c r="BJG105" s="29"/>
      <c r="BJH105" s="29"/>
      <c r="BJI105" s="29"/>
      <c r="BJJ105" s="29"/>
      <c r="BJK105" s="29"/>
      <c r="BJL105" s="29"/>
      <c r="BJM105" s="29"/>
      <c r="BJN105" s="29"/>
      <c r="BJO105" s="29"/>
      <c r="BJP105" s="29"/>
      <c r="BJQ105" s="29"/>
      <c r="BJR105" s="29"/>
      <c r="BJS105" s="29"/>
      <c r="BJT105" s="29"/>
      <c r="BJU105" s="29"/>
      <c r="BJV105" s="29"/>
      <c r="BJW105" s="29"/>
      <c r="BJX105" s="29"/>
      <c r="BJY105" s="29"/>
      <c r="BJZ105" s="29"/>
      <c r="BKA105" s="29"/>
      <c r="BKB105" s="29"/>
      <c r="BKC105" s="29"/>
      <c r="BKD105" s="29"/>
      <c r="BKE105" s="29"/>
      <c r="BKF105" s="29"/>
      <c r="BKG105" s="29"/>
      <c r="BKH105" s="29"/>
      <c r="BKI105" s="29"/>
      <c r="BKJ105" s="29"/>
      <c r="BKK105" s="29"/>
      <c r="BKL105" s="29"/>
      <c r="BKM105" s="29"/>
      <c r="BKN105" s="29"/>
      <c r="BKO105" s="29"/>
      <c r="BKP105" s="29"/>
      <c r="BKQ105" s="29"/>
      <c r="BKR105" s="29"/>
      <c r="BKS105" s="29"/>
      <c r="BKT105" s="29"/>
      <c r="BKU105" s="29"/>
      <c r="BKV105" s="29"/>
      <c r="BKW105" s="29"/>
      <c r="BKX105" s="29"/>
      <c r="BKY105" s="29"/>
      <c r="BKZ105" s="29"/>
      <c r="BLA105" s="29"/>
      <c r="BLB105" s="29"/>
      <c r="BLC105" s="29"/>
      <c r="BLD105" s="29"/>
      <c r="BLE105" s="29"/>
      <c r="BLF105" s="29"/>
      <c r="BLG105" s="29"/>
      <c r="BLH105" s="29"/>
      <c r="BLI105" s="29"/>
      <c r="BLJ105" s="29"/>
      <c r="BLK105" s="29"/>
      <c r="BLL105" s="29"/>
      <c r="BLM105" s="29"/>
      <c r="BLN105" s="29"/>
      <c r="BLO105" s="29"/>
      <c r="BLP105" s="29"/>
      <c r="BLQ105" s="29"/>
      <c r="BLR105" s="29"/>
      <c r="BLS105" s="29"/>
      <c r="BLT105" s="29"/>
      <c r="BLU105" s="29"/>
      <c r="BLV105" s="29"/>
      <c r="BLW105" s="29"/>
      <c r="BLX105" s="29"/>
      <c r="BLY105" s="29"/>
      <c r="BLZ105" s="29"/>
      <c r="BMA105" s="29"/>
      <c r="BMB105" s="29"/>
      <c r="BMC105" s="29"/>
      <c r="BMD105" s="29"/>
      <c r="BME105" s="29"/>
      <c r="BMF105" s="29"/>
      <c r="BMG105" s="29"/>
      <c r="BMH105" s="29"/>
      <c r="BMI105" s="29"/>
      <c r="BMJ105" s="29"/>
      <c r="BMK105" s="29"/>
      <c r="BML105" s="29"/>
      <c r="BMM105" s="29"/>
      <c r="BMN105" s="29"/>
      <c r="BMO105" s="29"/>
      <c r="BMP105" s="29"/>
      <c r="BMQ105" s="29"/>
      <c r="BMR105" s="29"/>
      <c r="BMS105" s="29"/>
      <c r="BMT105" s="29"/>
      <c r="BMU105" s="29"/>
      <c r="BMV105" s="29"/>
      <c r="BMW105" s="29"/>
      <c r="BMX105" s="29"/>
      <c r="BMY105" s="29"/>
      <c r="BMZ105" s="29"/>
      <c r="BNA105" s="29"/>
      <c r="BNB105" s="29"/>
      <c r="BNC105" s="29"/>
      <c r="BND105" s="29"/>
      <c r="BNE105" s="29"/>
      <c r="BNF105" s="29"/>
      <c r="BNG105" s="29"/>
      <c r="BNH105" s="29"/>
      <c r="BNI105" s="29"/>
      <c r="BNJ105" s="29"/>
      <c r="BNK105" s="29"/>
      <c r="BNL105" s="29"/>
      <c r="BNM105" s="29"/>
      <c r="BNN105" s="29"/>
      <c r="BNO105" s="29"/>
      <c r="BNP105" s="29"/>
      <c r="BNQ105" s="29"/>
      <c r="BNR105" s="29"/>
      <c r="BNS105" s="29"/>
      <c r="BNT105" s="29"/>
      <c r="BNU105" s="29"/>
      <c r="BNV105" s="29"/>
      <c r="BNW105" s="29"/>
      <c r="BNX105" s="29"/>
      <c r="BNY105" s="29"/>
      <c r="BNZ105" s="29"/>
      <c r="BOA105" s="29"/>
      <c r="BOB105" s="29"/>
      <c r="BOC105" s="29"/>
      <c r="BOD105" s="29"/>
      <c r="BOE105" s="29"/>
      <c r="BOF105" s="29"/>
      <c r="BOG105" s="29"/>
      <c r="BOH105" s="29"/>
      <c r="BOI105" s="29"/>
      <c r="BOJ105" s="29"/>
      <c r="BOK105" s="29"/>
      <c r="BOL105" s="29"/>
      <c r="BOM105" s="29"/>
      <c r="BON105" s="29"/>
      <c r="BOO105" s="29"/>
      <c r="BOP105" s="29"/>
      <c r="BOQ105" s="29"/>
      <c r="BOR105" s="29"/>
      <c r="BOS105" s="29"/>
      <c r="BOT105" s="29"/>
      <c r="BOU105" s="29"/>
      <c r="BOV105" s="29"/>
      <c r="BOW105" s="29"/>
      <c r="BOX105" s="29"/>
      <c r="BOY105" s="29"/>
      <c r="BOZ105" s="29"/>
      <c r="BPA105" s="29"/>
      <c r="BPB105" s="29"/>
      <c r="BPC105" s="29"/>
      <c r="BPD105" s="29"/>
      <c r="BPE105" s="29"/>
      <c r="BPF105" s="29"/>
      <c r="BPG105" s="29"/>
      <c r="BPH105" s="29"/>
      <c r="BPI105" s="29"/>
      <c r="BPJ105" s="29"/>
      <c r="BPK105" s="29"/>
      <c r="BPL105" s="29"/>
      <c r="BPM105" s="29"/>
      <c r="BPN105" s="29"/>
      <c r="BPO105" s="29"/>
      <c r="BPP105" s="29"/>
      <c r="BPQ105" s="29"/>
      <c r="BPR105" s="29"/>
      <c r="BPS105" s="29"/>
      <c r="BPT105" s="29"/>
      <c r="BPU105" s="29"/>
      <c r="BPV105" s="29"/>
      <c r="BPW105" s="29"/>
      <c r="BPX105" s="29"/>
      <c r="BPY105" s="29"/>
      <c r="BPZ105" s="29"/>
      <c r="BQA105" s="29"/>
      <c r="BQB105" s="29"/>
      <c r="BQC105" s="29"/>
      <c r="BQD105" s="29"/>
      <c r="BQE105" s="29"/>
      <c r="BQF105" s="29"/>
      <c r="BQG105" s="29"/>
      <c r="BQH105" s="29"/>
      <c r="BQI105" s="29"/>
      <c r="BQJ105" s="29"/>
      <c r="BQK105" s="29"/>
      <c r="BQL105" s="29"/>
      <c r="BQM105" s="29"/>
      <c r="BQN105" s="29"/>
      <c r="BQO105" s="29"/>
      <c r="BQP105" s="29"/>
      <c r="BQQ105" s="29"/>
      <c r="BQR105" s="29"/>
      <c r="BQS105" s="29"/>
      <c r="BQT105" s="29"/>
      <c r="BQU105" s="29"/>
      <c r="BQV105" s="29"/>
      <c r="BQW105" s="29"/>
      <c r="BQX105" s="29"/>
      <c r="BQY105" s="29"/>
      <c r="BQZ105" s="29"/>
      <c r="BRA105" s="29"/>
      <c r="BRB105" s="29"/>
      <c r="BRC105" s="29"/>
      <c r="BRD105" s="29"/>
      <c r="BRE105" s="29"/>
      <c r="BRF105" s="29"/>
      <c r="BRG105" s="29"/>
      <c r="BRH105" s="29"/>
      <c r="BRI105" s="29"/>
      <c r="BRJ105" s="29"/>
      <c r="BRK105" s="29"/>
      <c r="BRL105" s="29"/>
      <c r="BRM105" s="29"/>
      <c r="BRN105" s="29"/>
      <c r="BRO105" s="29"/>
      <c r="BRP105" s="29"/>
      <c r="BRQ105" s="29"/>
      <c r="BRR105" s="29"/>
      <c r="BRS105" s="29"/>
      <c r="BRT105" s="29"/>
      <c r="BRU105" s="29"/>
      <c r="BRV105" s="29"/>
      <c r="BRW105" s="29"/>
      <c r="BRX105" s="29"/>
      <c r="BRY105" s="29"/>
      <c r="BRZ105" s="29"/>
      <c r="BSA105" s="29"/>
      <c r="BSB105" s="29"/>
      <c r="BSC105" s="29"/>
      <c r="BSD105" s="29"/>
      <c r="BSE105" s="29"/>
      <c r="BSF105" s="29"/>
      <c r="BSG105" s="29"/>
      <c r="BSH105" s="29"/>
      <c r="BSI105" s="29"/>
      <c r="BSJ105" s="29"/>
      <c r="BSK105" s="29"/>
      <c r="BSL105" s="29"/>
      <c r="BSM105" s="29"/>
      <c r="BSN105" s="29"/>
      <c r="BSO105" s="29"/>
      <c r="BSP105" s="29"/>
      <c r="BSQ105" s="29"/>
      <c r="BSR105" s="29"/>
      <c r="BSS105" s="29"/>
      <c r="BST105" s="29"/>
      <c r="BSU105" s="29"/>
      <c r="BSV105" s="29"/>
      <c r="BSW105" s="29"/>
      <c r="BSX105" s="29"/>
      <c r="BSY105" s="29"/>
      <c r="BSZ105" s="29"/>
      <c r="BTA105" s="29"/>
      <c r="BTB105" s="29"/>
      <c r="BTC105" s="29"/>
      <c r="BTD105" s="29"/>
      <c r="BTE105" s="29"/>
      <c r="BTF105" s="29"/>
      <c r="BTG105" s="29"/>
      <c r="BTH105" s="29"/>
      <c r="BTI105" s="29"/>
      <c r="BTJ105" s="29"/>
      <c r="BTK105" s="29"/>
      <c r="BTL105" s="29"/>
      <c r="BTM105" s="29"/>
      <c r="BTN105" s="29"/>
      <c r="BTO105" s="29"/>
      <c r="BTP105" s="29"/>
      <c r="BTQ105" s="29"/>
      <c r="BTR105" s="29"/>
      <c r="BTS105" s="29"/>
      <c r="BTT105" s="29"/>
      <c r="BTU105" s="29"/>
      <c r="BTV105" s="29"/>
      <c r="BTW105" s="29"/>
      <c r="BTX105" s="29"/>
      <c r="BTY105" s="29"/>
      <c r="BTZ105" s="29"/>
      <c r="BUA105" s="29"/>
      <c r="BUB105" s="29"/>
      <c r="BUC105" s="29"/>
      <c r="BUD105" s="29"/>
      <c r="BUE105" s="29"/>
      <c r="BUF105" s="29"/>
      <c r="BUG105" s="29"/>
      <c r="BUH105" s="29"/>
      <c r="BUI105" s="29"/>
      <c r="BUJ105" s="29"/>
      <c r="BUK105" s="29"/>
      <c r="BUL105" s="29"/>
      <c r="BUM105" s="29"/>
      <c r="BUN105" s="29"/>
      <c r="BUO105" s="29"/>
      <c r="BUP105" s="29"/>
      <c r="BUQ105" s="29"/>
      <c r="BUR105" s="29"/>
      <c r="BUS105" s="29"/>
      <c r="BUT105" s="29"/>
      <c r="BUU105" s="29"/>
      <c r="BUV105" s="29"/>
      <c r="BUW105" s="29"/>
      <c r="BUX105" s="29"/>
      <c r="BUY105" s="29"/>
      <c r="BUZ105" s="29"/>
      <c r="BVA105" s="29"/>
      <c r="BVB105" s="29"/>
      <c r="BVC105" s="29"/>
      <c r="BVD105" s="29"/>
      <c r="BVE105" s="29"/>
      <c r="BVF105" s="29"/>
      <c r="BVG105" s="29"/>
      <c r="BVH105" s="29"/>
      <c r="BVI105" s="29"/>
      <c r="BVJ105" s="29"/>
      <c r="BVK105" s="29"/>
      <c r="BVL105" s="29"/>
      <c r="BVM105" s="29"/>
      <c r="BVN105" s="29"/>
      <c r="BVO105" s="29"/>
      <c r="BVP105" s="29"/>
      <c r="BVQ105" s="29"/>
      <c r="BVR105" s="29"/>
      <c r="BVS105" s="29"/>
      <c r="BVT105" s="29"/>
      <c r="BVU105" s="29"/>
      <c r="BVV105" s="29"/>
      <c r="BVW105" s="29"/>
      <c r="BVX105" s="29"/>
      <c r="BVY105" s="29"/>
      <c r="BVZ105" s="29"/>
      <c r="BWA105" s="29"/>
      <c r="BWB105" s="29"/>
      <c r="BWC105" s="29"/>
      <c r="BWD105" s="29"/>
      <c r="BWE105" s="29"/>
      <c r="BWF105" s="29"/>
      <c r="BWG105" s="29"/>
      <c r="BWH105" s="29"/>
      <c r="BWI105" s="29"/>
      <c r="BWJ105" s="29"/>
      <c r="BWK105" s="29"/>
      <c r="BWL105" s="29"/>
      <c r="BWM105" s="29"/>
      <c r="BWN105" s="29"/>
      <c r="BWO105" s="29"/>
      <c r="BWP105" s="29"/>
      <c r="BWQ105" s="29"/>
      <c r="BWR105" s="29"/>
      <c r="BWS105" s="29"/>
      <c r="BWT105" s="29"/>
      <c r="BWU105" s="29"/>
      <c r="BWV105" s="29"/>
      <c r="BWW105" s="29"/>
      <c r="BWX105" s="29"/>
      <c r="BWY105" s="29"/>
      <c r="BWZ105" s="29"/>
      <c r="BXA105" s="29"/>
      <c r="BXB105" s="29"/>
      <c r="BXC105" s="29"/>
      <c r="BXD105" s="29"/>
      <c r="BXE105" s="29"/>
      <c r="BXF105" s="29"/>
      <c r="BXG105" s="29"/>
      <c r="BXH105" s="29"/>
      <c r="BXI105" s="29"/>
      <c r="BXJ105" s="29"/>
      <c r="BXK105" s="29"/>
      <c r="BXL105" s="29"/>
      <c r="BXM105" s="29"/>
      <c r="BXN105" s="29"/>
      <c r="BXO105" s="29"/>
      <c r="BXP105" s="29"/>
      <c r="BXQ105" s="29"/>
      <c r="BXR105" s="29"/>
      <c r="BXS105" s="29"/>
      <c r="BXT105" s="29"/>
      <c r="BXU105" s="29"/>
      <c r="BXV105" s="29"/>
      <c r="BXW105" s="29"/>
      <c r="BXX105" s="29"/>
      <c r="BXY105" s="29"/>
      <c r="BXZ105" s="29"/>
      <c r="BYA105" s="29"/>
      <c r="BYB105" s="29"/>
      <c r="BYC105" s="29"/>
      <c r="BYD105" s="29"/>
      <c r="BYE105" s="29"/>
      <c r="BYF105" s="29"/>
      <c r="BYG105" s="29"/>
      <c r="BYH105" s="29"/>
      <c r="BYI105" s="29"/>
      <c r="BYJ105" s="29"/>
      <c r="BYK105" s="29"/>
      <c r="BYL105" s="29"/>
      <c r="BYM105" s="29"/>
      <c r="BYN105" s="29"/>
      <c r="BYO105" s="29"/>
      <c r="BYP105" s="29"/>
      <c r="BYQ105" s="29"/>
      <c r="BYR105" s="29"/>
      <c r="BYS105" s="29"/>
      <c r="BYT105" s="29"/>
      <c r="BYU105" s="29"/>
      <c r="BYV105" s="29"/>
      <c r="BYW105" s="29"/>
      <c r="BYX105" s="29"/>
      <c r="BYY105" s="29"/>
      <c r="BYZ105" s="29"/>
      <c r="BZA105" s="29"/>
      <c r="BZB105" s="29"/>
      <c r="BZC105" s="29"/>
      <c r="BZD105" s="29"/>
      <c r="BZE105" s="29"/>
      <c r="BZF105" s="29"/>
      <c r="BZG105" s="29"/>
      <c r="BZH105" s="29"/>
      <c r="BZI105" s="29"/>
      <c r="BZJ105" s="29"/>
      <c r="BZK105" s="29"/>
      <c r="BZL105" s="29"/>
      <c r="BZM105" s="29"/>
      <c r="BZN105" s="29"/>
      <c r="BZO105" s="29"/>
      <c r="BZP105" s="29"/>
      <c r="BZQ105" s="29"/>
      <c r="BZR105" s="29"/>
      <c r="BZS105" s="29"/>
      <c r="BZT105" s="29"/>
      <c r="BZU105" s="29"/>
      <c r="BZV105" s="29"/>
      <c r="BZW105" s="29"/>
      <c r="BZX105" s="29"/>
      <c r="BZY105" s="29"/>
      <c r="BZZ105" s="29"/>
      <c r="CAA105" s="29"/>
      <c r="CAB105" s="29"/>
      <c r="CAC105" s="29"/>
      <c r="CAD105" s="29"/>
      <c r="CAE105" s="29"/>
      <c r="CAF105" s="29"/>
      <c r="CAG105" s="29"/>
      <c r="CAH105" s="29"/>
      <c r="CAI105" s="29"/>
      <c r="CAJ105" s="29"/>
      <c r="CAK105" s="29"/>
      <c r="CAL105" s="29"/>
      <c r="CAM105" s="29"/>
      <c r="CAN105" s="29"/>
      <c r="CAO105" s="29"/>
      <c r="CAP105" s="29"/>
      <c r="CAQ105" s="29"/>
      <c r="CAR105" s="29"/>
      <c r="CAS105" s="29"/>
      <c r="CAT105" s="29"/>
      <c r="CAU105" s="29"/>
      <c r="CAV105" s="29"/>
      <c r="CAW105" s="29"/>
      <c r="CAX105" s="29"/>
      <c r="CAY105" s="29"/>
      <c r="CAZ105" s="29"/>
      <c r="CBA105" s="29"/>
      <c r="CBB105" s="29"/>
      <c r="CBC105" s="29"/>
      <c r="CBD105" s="29"/>
      <c r="CBE105" s="29"/>
      <c r="CBF105" s="29"/>
      <c r="CBG105" s="29"/>
      <c r="CBH105" s="29"/>
      <c r="CBI105" s="29"/>
      <c r="CBJ105" s="29"/>
      <c r="CBK105" s="29"/>
      <c r="CBL105" s="29"/>
      <c r="CBM105" s="29"/>
      <c r="CBN105" s="29"/>
      <c r="CBO105" s="29"/>
      <c r="CBP105" s="29"/>
      <c r="CBQ105" s="29"/>
      <c r="CBR105" s="29"/>
      <c r="CBS105" s="29"/>
      <c r="CBT105" s="29"/>
      <c r="CBU105" s="29"/>
      <c r="CBV105" s="29"/>
      <c r="CBW105" s="29"/>
      <c r="CBX105" s="29"/>
      <c r="CBY105" s="29"/>
      <c r="CBZ105" s="29"/>
      <c r="CCA105" s="29"/>
      <c r="CCB105" s="29"/>
      <c r="CCC105" s="29"/>
      <c r="CCD105" s="29"/>
      <c r="CCE105" s="29"/>
      <c r="CCF105" s="29"/>
      <c r="CCG105" s="29"/>
      <c r="CCH105" s="29"/>
      <c r="CCI105" s="29"/>
      <c r="CCJ105" s="29"/>
      <c r="CCK105" s="29"/>
      <c r="CCL105" s="29"/>
      <c r="CCM105" s="29"/>
      <c r="CCN105" s="29"/>
      <c r="CCO105" s="29"/>
      <c r="CCP105" s="29"/>
      <c r="CCQ105" s="29"/>
      <c r="CCR105" s="29"/>
      <c r="CCS105" s="29"/>
      <c r="CCT105" s="29"/>
      <c r="CCU105" s="29"/>
      <c r="CCV105" s="29"/>
      <c r="CCW105" s="29"/>
      <c r="CCX105" s="29"/>
      <c r="CCY105" s="29"/>
      <c r="CCZ105" s="29"/>
      <c r="CDA105" s="29"/>
      <c r="CDB105" s="29"/>
      <c r="CDC105" s="29"/>
      <c r="CDD105" s="29"/>
      <c r="CDE105" s="29"/>
      <c r="CDF105" s="29"/>
      <c r="CDG105" s="29"/>
      <c r="CDH105" s="29"/>
      <c r="CDI105" s="29"/>
      <c r="CDJ105" s="29"/>
      <c r="CDK105" s="29"/>
      <c r="CDL105" s="29"/>
      <c r="CDM105" s="29"/>
      <c r="CDN105" s="29"/>
      <c r="CDO105" s="29"/>
      <c r="CDP105" s="29"/>
      <c r="CDQ105" s="29"/>
      <c r="CDR105" s="29"/>
      <c r="CDS105" s="29"/>
      <c r="CDT105" s="29"/>
      <c r="CDU105" s="29"/>
      <c r="CDV105" s="29"/>
      <c r="CDW105" s="29"/>
      <c r="CDX105" s="29"/>
      <c r="CDY105" s="29"/>
      <c r="CDZ105" s="29"/>
      <c r="CEA105" s="29"/>
      <c r="CEB105" s="29"/>
      <c r="CEC105" s="29"/>
      <c r="CED105" s="29"/>
      <c r="CEE105" s="29"/>
      <c r="CEF105" s="29"/>
      <c r="CEG105" s="29"/>
      <c r="CEH105" s="29"/>
      <c r="CEI105" s="29"/>
      <c r="CEJ105" s="29"/>
      <c r="CEK105" s="29"/>
      <c r="CEL105" s="29"/>
      <c r="CEM105" s="29"/>
      <c r="CEN105" s="29"/>
      <c r="CEO105" s="29"/>
      <c r="CEP105" s="29"/>
      <c r="CEQ105" s="29"/>
      <c r="CER105" s="29"/>
      <c r="CES105" s="29"/>
      <c r="CET105" s="29"/>
      <c r="CEU105" s="29"/>
      <c r="CEV105" s="29"/>
      <c r="CEW105" s="29"/>
      <c r="CEX105" s="29"/>
      <c r="CEY105" s="29"/>
      <c r="CEZ105" s="29"/>
      <c r="CFA105" s="29"/>
      <c r="CFB105" s="29"/>
      <c r="CFC105" s="29"/>
      <c r="CFD105" s="29"/>
      <c r="CFE105" s="29"/>
      <c r="CFF105" s="29"/>
      <c r="CFG105" s="29"/>
      <c r="CFH105" s="29"/>
      <c r="CFI105" s="29"/>
      <c r="CFJ105" s="29"/>
      <c r="CFK105" s="29"/>
      <c r="CFL105" s="29"/>
      <c r="CFM105" s="29"/>
      <c r="CFN105" s="29"/>
      <c r="CFO105" s="29"/>
      <c r="CFP105" s="29"/>
      <c r="CFQ105" s="29"/>
      <c r="CFR105" s="29"/>
      <c r="CFS105" s="29"/>
      <c r="CFT105" s="29"/>
      <c r="CFU105" s="29"/>
      <c r="CFV105" s="29"/>
      <c r="CFW105" s="29"/>
      <c r="CFX105" s="29"/>
      <c r="CFY105" s="29"/>
      <c r="CFZ105" s="29"/>
      <c r="CGA105" s="29"/>
      <c r="CGB105" s="29"/>
      <c r="CGC105" s="29"/>
      <c r="CGD105" s="29"/>
      <c r="CGE105" s="29"/>
      <c r="CGF105" s="29"/>
      <c r="CGG105" s="29"/>
      <c r="CGH105" s="29"/>
      <c r="CGI105" s="29"/>
      <c r="CGJ105" s="29"/>
      <c r="CGK105" s="29"/>
      <c r="CGL105" s="29"/>
      <c r="CGM105" s="29"/>
      <c r="CGN105" s="29"/>
      <c r="CGO105" s="29"/>
      <c r="CGP105" s="29"/>
      <c r="CGQ105" s="29"/>
      <c r="CGR105" s="29"/>
      <c r="CGS105" s="29"/>
      <c r="CGT105" s="29"/>
      <c r="CGU105" s="29"/>
      <c r="CGV105" s="29"/>
      <c r="CGW105" s="29"/>
      <c r="CGX105" s="29"/>
      <c r="CGY105" s="29"/>
      <c r="CGZ105" s="29"/>
      <c r="CHA105" s="29"/>
      <c r="CHB105" s="29"/>
      <c r="CHC105" s="29"/>
      <c r="CHD105" s="29"/>
      <c r="CHE105" s="29"/>
      <c r="CHF105" s="29"/>
      <c r="CHG105" s="29"/>
      <c r="CHH105" s="29"/>
      <c r="CHI105" s="29"/>
      <c r="CHJ105" s="29"/>
      <c r="CHK105" s="29"/>
      <c r="CHL105" s="29"/>
      <c r="CHM105" s="29"/>
      <c r="CHN105" s="29"/>
      <c r="CHO105" s="29"/>
      <c r="CHP105" s="29"/>
      <c r="CHQ105" s="29"/>
      <c r="CHR105" s="29"/>
      <c r="CHS105" s="29"/>
      <c r="CHT105" s="29"/>
      <c r="CHU105" s="29"/>
      <c r="CHV105" s="29"/>
      <c r="CHW105" s="29"/>
      <c r="CHX105" s="29"/>
      <c r="CHY105" s="29"/>
      <c r="CHZ105" s="29"/>
      <c r="CIA105" s="29"/>
      <c r="CIB105" s="29"/>
      <c r="CIC105" s="29"/>
      <c r="CID105" s="29"/>
      <c r="CIE105" s="29"/>
      <c r="CIF105" s="29"/>
      <c r="CIG105" s="29"/>
      <c r="CIH105" s="29"/>
      <c r="CII105" s="29"/>
      <c r="CIJ105" s="29"/>
      <c r="CIK105" s="29"/>
      <c r="CIL105" s="29"/>
      <c r="CIM105" s="29"/>
      <c r="CIN105" s="29"/>
      <c r="CIO105" s="29"/>
      <c r="CIP105" s="29"/>
      <c r="CIQ105" s="29"/>
      <c r="CIR105" s="29"/>
      <c r="CIS105" s="29"/>
      <c r="CIT105" s="29"/>
      <c r="CIU105" s="29"/>
      <c r="CIV105" s="29"/>
      <c r="CIW105" s="29"/>
      <c r="CIX105" s="29"/>
      <c r="CIY105" s="29"/>
      <c r="CIZ105" s="29"/>
      <c r="CJA105" s="29"/>
      <c r="CJB105" s="29"/>
      <c r="CJC105" s="29"/>
      <c r="CJD105" s="29"/>
      <c r="CJE105" s="29"/>
      <c r="CJF105" s="29"/>
      <c r="CJG105" s="29"/>
      <c r="CJH105" s="29"/>
      <c r="CJI105" s="29"/>
      <c r="CJJ105" s="29"/>
      <c r="CJK105" s="29"/>
      <c r="CJL105" s="29"/>
      <c r="CJM105" s="29"/>
      <c r="CJN105" s="29"/>
      <c r="CJO105" s="29"/>
      <c r="CJP105" s="29"/>
      <c r="CJQ105" s="29"/>
      <c r="CJR105" s="29"/>
      <c r="CJS105" s="29"/>
      <c r="CJT105" s="29"/>
      <c r="CJU105" s="29"/>
      <c r="CJV105" s="29"/>
      <c r="CJW105" s="29"/>
      <c r="CJX105" s="29"/>
      <c r="CJY105" s="29"/>
      <c r="CJZ105" s="29"/>
      <c r="CKA105" s="29"/>
      <c r="CKB105" s="29"/>
      <c r="CKC105" s="29"/>
      <c r="CKD105" s="29"/>
      <c r="CKE105" s="29"/>
      <c r="CKF105" s="29"/>
      <c r="CKG105" s="29"/>
      <c r="CKH105" s="29"/>
      <c r="CKI105" s="29"/>
      <c r="CKJ105" s="29"/>
      <c r="CKK105" s="29"/>
      <c r="CKL105" s="29"/>
      <c r="CKM105" s="29"/>
      <c r="CKN105" s="29"/>
      <c r="CKO105" s="29"/>
      <c r="CKP105" s="29"/>
      <c r="CKQ105" s="29"/>
      <c r="CKR105" s="29"/>
      <c r="CKS105" s="29"/>
      <c r="CKT105" s="29"/>
      <c r="CKU105" s="29"/>
      <c r="CKV105" s="29"/>
      <c r="CKW105" s="29"/>
      <c r="CKX105" s="29"/>
      <c r="CKY105" s="29"/>
      <c r="CKZ105" s="29"/>
      <c r="CLA105" s="29"/>
      <c r="CLB105" s="29"/>
      <c r="CLC105" s="29"/>
      <c r="CLD105" s="29"/>
      <c r="CLE105" s="29"/>
      <c r="CLF105" s="29"/>
      <c r="CLG105" s="29"/>
      <c r="CLH105" s="29"/>
      <c r="CLI105" s="29"/>
      <c r="CLJ105" s="29"/>
      <c r="CLK105" s="29"/>
      <c r="CLL105" s="29"/>
      <c r="CLM105" s="29"/>
      <c r="CLN105" s="29"/>
      <c r="CLO105" s="29"/>
      <c r="CLP105" s="29"/>
      <c r="CLQ105" s="29"/>
      <c r="CLR105" s="29"/>
      <c r="CLS105" s="29"/>
      <c r="CLT105" s="29"/>
      <c r="CLU105" s="29"/>
      <c r="CLV105" s="29"/>
      <c r="CLW105" s="29"/>
      <c r="CLX105" s="29"/>
      <c r="CLY105" s="29"/>
      <c r="CLZ105" s="29"/>
      <c r="CMA105" s="29"/>
      <c r="CMB105" s="29"/>
      <c r="CMC105" s="29"/>
      <c r="CMD105" s="29"/>
      <c r="CME105" s="29"/>
      <c r="CMF105" s="29"/>
      <c r="CMG105" s="29"/>
      <c r="CMH105" s="29"/>
      <c r="CMI105" s="29"/>
      <c r="CMJ105" s="29"/>
      <c r="CMK105" s="29"/>
      <c r="CML105" s="29"/>
      <c r="CMM105" s="29"/>
      <c r="CMN105" s="29"/>
      <c r="CMO105" s="29"/>
      <c r="CMP105" s="29"/>
      <c r="CMQ105" s="29"/>
      <c r="CMR105" s="29"/>
      <c r="CMS105" s="29"/>
      <c r="CMT105" s="29"/>
      <c r="CMU105" s="29"/>
      <c r="CMV105" s="29"/>
      <c r="CMW105" s="29"/>
      <c r="CMX105" s="29"/>
      <c r="CMY105" s="29"/>
      <c r="CMZ105" s="29"/>
      <c r="CNA105" s="29"/>
      <c r="CNB105" s="29"/>
      <c r="CNC105" s="29"/>
      <c r="CND105" s="29"/>
      <c r="CNE105" s="29"/>
      <c r="CNF105" s="29"/>
      <c r="CNG105" s="29"/>
      <c r="CNH105" s="29"/>
      <c r="CNI105" s="29"/>
      <c r="CNJ105" s="29"/>
      <c r="CNK105" s="29"/>
      <c r="CNL105" s="29"/>
      <c r="CNM105" s="29"/>
      <c r="CNN105" s="29"/>
      <c r="CNO105" s="29"/>
      <c r="CNP105" s="29"/>
      <c r="CNQ105" s="29"/>
      <c r="CNR105" s="29"/>
      <c r="CNS105" s="29"/>
      <c r="CNT105" s="29"/>
      <c r="CNU105" s="29"/>
      <c r="CNV105" s="29"/>
      <c r="CNW105" s="29"/>
      <c r="CNX105" s="29"/>
      <c r="CNY105" s="29"/>
      <c r="CNZ105" s="29"/>
      <c r="COA105" s="29"/>
      <c r="COB105" s="29"/>
      <c r="COC105" s="29"/>
      <c r="COD105" s="29"/>
      <c r="COE105" s="29"/>
      <c r="COF105" s="29"/>
      <c r="COG105" s="29"/>
      <c r="COH105" s="29"/>
      <c r="COI105" s="29"/>
      <c r="COJ105" s="29"/>
      <c r="COK105" s="29"/>
      <c r="COL105" s="29"/>
      <c r="COM105" s="29"/>
      <c r="CON105" s="29"/>
      <c r="COO105" s="29"/>
      <c r="COP105" s="29"/>
      <c r="COQ105" s="29"/>
      <c r="COR105" s="29"/>
      <c r="COS105" s="29"/>
      <c r="COT105" s="29"/>
      <c r="COU105" s="29"/>
      <c r="COV105" s="29"/>
      <c r="COW105" s="29"/>
      <c r="COX105" s="29"/>
      <c r="COY105" s="29"/>
      <c r="COZ105" s="29"/>
      <c r="CPA105" s="29"/>
      <c r="CPB105" s="29"/>
      <c r="CPC105" s="29"/>
      <c r="CPD105" s="29"/>
      <c r="CPE105" s="29"/>
      <c r="CPF105" s="29"/>
      <c r="CPG105" s="29"/>
      <c r="CPH105" s="29"/>
      <c r="CPI105" s="29"/>
      <c r="CPJ105" s="29"/>
      <c r="CPK105" s="29"/>
      <c r="CPL105" s="29"/>
      <c r="CPM105" s="29"/>
      <c r="CPN105" s="29"/>
      <c r="CPO105" s="29"/>
      <c r="CPP105" s="29"/>
      <c r="CPQ105" s="29"/>
      <c r="CPR105" s="29"/>
      <c r="CPS105" s="29"/>
      <c r="CPT105" s="29"/>
      <c r="CPU105" s="29"/>
      <c r="CPV105" s="29"/>
      <c r="CPW105" s="29"/>
      <c r="CPX105" s="29"/>
      <c r="CPY105" s="29"/>
      <c r="CPZ105" s="29"/>
      <c r="CQA105" s="29"/>
      <c r="CQB105" s="29"/>
      <c r="CQC105" s="29"/>
      <c r="CQD105" s="29"/>
      <c r="CQE105" s="29"/>
      <c r="CQF105" s="29"/>
      <c r="CQG105" s="29"/>
      <c r="CQH105" s="29"/>
      <c r="CQI105" s="29"/>
      <c r="CQJ105" s="29"/>
      <c r="CQK105" s="29"/>
      <c r="CQL105" s="29"/>
      <c r="CQM105" s="29"/>
      <c r="CQN105" s="29"/>
      <c r="CQO105" s="29"/>
      <c r="CQP105" s="29"/>
      <c r="CQQ105" s="29"/>
      <c r="CQR105" s="29"/>
      <c r="CQS105" s="29"/>
      <c r="CQT105" s="29"/>
      <c r="CQU105" s="29"/>
      <c r="CQV105" s="29"/>
      <c r="CQW105" s="29"/>
      <c r="CQX105" s="29"/>
      <c r="CQY105" s="29"/>
      <c r="CQZ105" s="29"/>
      <c r="CRA105" s="29"/>
      <c r="CRB105" s="29"/>
      <c r="CRC105" s="29"/>
      <c r="CRD105" s="29"/>
      <c r="CRE105" s="29"/>
      <c r="CRF105" s="29"/>
      <c r="CRG105" s="29"/>
      <c r="CRH105" s="29"/>
      <c r="CRI105" s="29"/>
      <c r="CRJ105" s="29"/>
      <c r="CRK105" s="29"/>
      <c r="CRL105" s="29"/>
      <c r="CRM105" s="29"/>
      <c r="CRN105" s="29"/>
      <c r="CRO105" s="29"/>
      <c r="CRP105" s="29"/>
      <c r="CRQ105" s="29"/>
      <c r="CRR105" s="29"/>
      <c r="CRS105" s="29"/>
      <c r="CRT105" s="29"/>
      <c r="CRU105" s="29"/>
      <c r="CRV105" s="29"/>
      <c r="CRW105" s="29"/>
      <c r="CRX105" s="29"/>
      <c r="CRY105" s="29"/>
      <c r="CRZ105" s="29"/>
      <c r="CSA105" s="29"/>
      <c r="CSB105" s="29"/>
      <c r="CSC105" s="29"/>
      <c r="CSD105" s="29"/>
      <c r="CSE105" s="29"/>
      <c r="CSF105" s="29"/>
      <c r="CSG105" s="29"/>
      <c r="CSH105" s="29"/>
      <c r="CSI105" s="29"/>
      <c r="CSJ105" s="29"/>
      <c r="CSK105" s="29"/>
      <c r="CSL105" s="29"/>
      <c r="CSM105" s="29"/>
      <c r="CSN105" s="29"/>
      <c r="CSO105" s="29"/>
      <c r="CSP105" s="29"/>
      <c r="CSQ105" s="29"/>
      <c r="CSR105" s="29"/>
      <c r="CSS105" s="29"/>
      <c r="CST105" s="29"/>
      <c r="CSU105" s="29"/>
      <c r="CSV105" s="29"/>
      <c r="CSW105" s="29"/>
      <c r="CSX105" s="29"/>
      <c r="CSY105" s="29"/>
      <c r="CSZ105" s="29"/>
      <c r="CTA105" s="29"/>
      <c r="CTB105" s="29"/>
      <c r="CTC105" s="29"/>
      <c r="CTD105" s="29"/>
      <c r="CTE105" s="29"/>
      <c r="CTF105" s="29"/>
      <c r="CTG105" s="29"/>
      <c r="CTH105" s="29"/>
      <c r="CTI105" s="29"/>
      <c r="CTJ105" s="29"/>
      <c r="CTK105" s="29"/>
      <c r="CTL105" s="29"/>
      <c r="CTM105" s="29"/>
      <c r="CTN105" s="29"/>
      <c r="CTO105" s="29"/>
      <c r="CTP105" s="29"/>
      <c r="CTQ105" s="29"/>
      <c r="CTR105" s="29"/>
      <c r="CTS105" s="29"/>
      <c r="CTT105" s="29"/>
      <c r="CTU105" s="29"/>
      <c r="CTV105" s="29"/>
      <c r="CTW105" s="29"/>
      <c r="CTX105" s="29"/>
      <c r="CTY105" s="29"/>
      <c r="CTZ105" s="29"/>
      <c r="CUA105" s="29"/>
      <c r="CUB105" s="29"/>
      <c r="CUC105" s="29"/>
      <c r="CUD105" s="29"/>
      <c r="CUE105" s="29"/>
      <c r="CUF105" s="29"/>
      <c r="CUG105" s="29"/>
      <c r="CUH105" s="29"/>
      <c r="CUI105" s="29"/>
      <c r="CUJ105" s="29"/>
      <c r="CUK105" s="29"/>
      <c r="CUL105" s="29"/>
      <c r="CUM105" s="29"/>
      <c r="CUN105" s="29"/>
      <c r="CUO105" s="29"/>
      <c r="CUP105" s="29"/>
      <c r="CUQ105" s="29"/>
      <c r="CUR105" s="29"/>
      <c r="CUS105" s="29"/>
      <c r="CUT105" s="29"/>
      <c r="CUU105" s="29"/>
      <c r="CUV105" s="29"/>
      <c r="CUW105" s="29"/>
      <c r="CUX105" s="29"/>
      <c r="CUY105" s="29"/>
      <c r="CUZ105" s="29"/>
      <c r="CVA105" s="29"/>
      <c r="CVB105" s="29"/>
      <c r="CVC105" s="29"/>
      <c r="CVD105" s="29"/>
      <c r="CVE105" s="29"/>
      <c r="CVF105" s="29"/>
      <c r="CVG105" s="29"/>
      <c r="CVH105" s="29"/>
      <c r="CVI105" s="29"/>
      <c r="CVJ105" s="29"/>
      <c r="CVK105" s="29"/>
      <c r="CVL105" s="29"/>
      <c r="CVM105" s="29"/>
      <c r="CVN105" s="29"/>
      <c r="CVO105" s="29"/>
      <c r="CVP105" s="29"/>
      <c r="CVQ105" s="29"/>
      <c r="CVR105" s="29"/>
      <c r="CVS105" s="29"/>
      <c r="CVT105" s="29"/>
      <c r="CVU105" s="29"/>
      <c r="CVV105" s="29"/>
      <c r="CVW105" s="29"/>
      <c r="CVX105" s="29"/>
      <c r="CVY105" s="29"/>
      <c r="CVZ105" s="29"/>
      <c r="CWA105" s="29"/>
      <c r="CWB105" s="29"/>
      <c r="CWC105" s="29"/>
      <c r="CWD105" s="29"/>
      <c r="CWE105" s="29"/>
      <c r="CWF105" s="29"/>
      <c r="CWG105" s="29"/>
      <c r="CWH105" s="29"/>
      <c r="CWI105" s="29"/>
      <c r="CWJ105" s="29"/>
      <c r="CWK105" s="29"/>
      <c r="CWL105" s="29"/>
      <c r="CWM105" s="29"/>
      <c r="CWN105" s="29"/>
      <c r="CWO105" s="29"/>
      <c r="CWP105" s="29"/>
      <c r="CWQ105" s="29"/>
      <c r="CWR105" s="29"/>
      <c r="CWS105" s="29"/>
      <c r="CWT105" s="29"/>
      <c r="CWU105" s="29"/>
      <c r="CWV105" s="29"/>
      <c r="CWW105" s="29"/>
      <c r="CWX105" s="29"/>
      <c r="CWY105" s="29"/>
      <c r="CWZ105" s="29"/>
      <c r="CXA105" s="29"/>
      <c r="CXB105" s="29"/>
      <c r="CXC105" s="29"/>
      <c r="CXD105" s="29"/>
      <c r="CXE105" s="29"/>
      <c r="CXF105" s="29"/>
      <c r="CXG105" s="29"/>
      <c r="CXH105" s="29"/>
      <c r="CXI105" s="29"/>
      <c r="CXJ105" s="29"/>
      <c r="CXK105" s="29"/>
      <c r="CXL105" s="29"/>
      <c r="CXM105" s="29"/>
      <c r="CXN105" s="29"/>
      <c r="CXO105" s="29"/>
      <c r="CXP105" s="29"/>
      <c r="CXQ105" s="29"/>
      <c r="CXR105" s="29"/>
      <c r="CXS105" s="29"/>
      <c r="CXT105" s="29"/>
      <c r="CXU105" s="29"/>
      <c r="CXV105" s="29"/>
      <c r="CXW105" s="29"/>
      <c r="CXX105" s="29"/>
      <c r="CXY105" s="29"/>
      <c r="CXZ105" s="29"/>
      <c r="CYA105" s="29"/>
      <c r="CYB105" s="29"/>
      <c r="CYC105" s="29"/>
      <c r="CYD105" s="29"/>
      <c r="CYE105" s="29"/>
      <c r="CYF105" s="29"/>
      <c r="CYG105" s="29"/>
      <c r="CYH105" s="29"/>
      <c r="CYI105" s="29"/>
      <c r="CYJ105" s="29"/>
      <c r="CYK105" s="29"/>
      <c r="CYL105" s="29"/>
      <c r="CYM105" s="29"/>
      <c r="CYN105" s="29"/>
      <c r="CYO105" s="29"/>
      <c r="CYP105" s="29"/>
      <c r="CYQ105" s="29"/>
      <c r="CYR105" s="29"/>
      <c r="CYS105" s="29"/>
      <c r="CYT105" s="29"/>
      <c r="CYU105" s="29"/>
      <c r="CYV105" s="29"/>
      <c r="CYW105" s="29"/>
      <c r="CYX105" s="29"/>
      <c r="CYY105" s="29"/>
      <c r="CYZ105" s="29"/>
      <c r="CZA105" s="29"/>
      <c r="CZB105" s="29"/>
      <c r="CZC105" s="29"/>
      <c r="CZD105" s="29"/>
      <c r="CZE105" s="29"/>
      <c r="CZF105" s="29"/>
      <c r="CZG105" s="29"/>
      <c r="CZH105" s="29"/>
      <c r="CZI105" s="29"/>
      <c r="CZJ105" s="29"/>
      <c r="CZK105" s="29"/>
      <c r="CZL105" s="29"/>
      <c r="CZM105" s="29"/>
      <c r="CZN105" s="29"/>
      <c r="CZO105" s="29"/>
      <c r="CZP105" s="29"/>
      <c r="CZQ105" s="29"/>
      <c r="CZR105" s="29"/>
      <c r="CZS105" s="29"/>
      <c r="CZT105" s="29"/>
      <c r="CZU105" s="29"/>
      <c r="CZV105" s="29"/>
      <c r="CZW105" s="29"/>
      <c r="CZX105" s="29"/>
      <c r="CZY105" s="29"/>
      <c r="CZZ105" s="29"/>
      <c r="DAA105" s="29"/>
      <c r="DAB105" s="29"/>
      <c r="DAC105" s="29"/>
      <c r="DAD105" s="29"/>
      <c r="DAE105" s="29"/>
      <c r="DAF105" s="29"/>
      <c r="DAG105" s="29"/>
      <c r="DAH105" s="29"/>
      <c r="DAI105" s="29"/>
      <c r="DAJ105" s="29"/>
      <c r="DAK105" s="29"/>
      <c r="DAL105" s="29"/>
      <c r="DAM105" s="29"/>
      <c r="DAN105" s="29"/>
      <c r="DAO105" s="29"/>
      <c r="DAP105" s="29"/>
      <c r="DAQ105" s="29"/>
      <c r="DAR105" s="29"/>
      <c r="DAS105" s="29"/>
      <c r="DAT105" s="29"/>
      <c r="DAU105" s="29"/>
      <c r="DAV105" s="29"/>
      <c r="DAW105" s="29"/>
      <c r="DAX105" s="29"/>
      <c r="DAY105" s="29"/>
      <c r="DAZ105" s="29"/>
      <c r="DBA105" s="29"/>
      <c r="DBB105" s="29"/>
      <c r="DBC105" s="29"/>
      <c r="DBD105" s="29"/>
      <c r="DBE105" s="29"/>
      <c r="DBF105" s="29"/>
      <c r="DBG105" s="29"/>
      <c r="DBH105" s="29"/>
      <c r="DBI105" s="29"/>
      <c r="DBJ105" s="29"/>
      <c r="DBK105" s="29"/>
      <c r="DBL105" s="29"/>
      <c r="DBM105" s="29"/>
      <c r="DBN105" s="29"/>
      <c r="DBO105" s="29"/>
      <c r="DBP105" s="29"/>
      <c r="DBQ105" s="29"/>
      <c r="DBR105" s="29"/>
      <c r="DBS105" s="29"/>
      <c r="DBT105" s="29"/>
      <c r="DBU105" s="29"/>
      <c r="DBV105" s="29"/>
      <c r="DBW105" s="29"/>
      <c r="DBX105" s="29"/>
      <c r="DBY105" s="29"/>
      <c r="DBZ105" s="29"/>
      <c r="DCA105" s="29"/>
      <c r="DCB105" s="29"/>
      <c r="DCC105" s="29"/>
      <c r="DCD105" s="29"/>
      <c r="DCE105" s="29"/>
      <c r="DCF105" s="29"/>
      <c r="DCG105" s="29"/>
      <c r="DCH105" s="29"/>
      <c r="DCI105" s="29"/>
      <c r="DCJ105" s="29"/>
      <c r="DCK105" s="29"/>
      <c r="DCL105" s="29"/>
      <c r="DCM105" s="29"/>
      <c r="DCN105" s="29"/>
      <c r="DCO105" s="29"/>
      <c r="DCP105" s="29"/>
      <c r="DCQ105" s="29"/>
      <c r="DCR105" s="29"/>
      <c r="DCS105" s="29"/>
      <c r="DCT105" s="29"/>
      <c r="DCU105" s="29"/>
      <c r="DCV105" s="29"/>
      <c r="DCW105" s="29"/>
      <c r="DCX105" s="29"/>
      <c r="DCY105" s="29"/>
      <c r="DCZ105" s="29"/>
      <c r="DDA105" s="29"/>
      <c r="DDB105" s="29"/>
      <c r="DDC105" s="29"/>
      <c r="DDD105" s="29"/>
      <c r="DDE105" s="29"/>
      <c r="DDF105" s="29"/>
      <c r="DDG105" s="29"/>
      <c r="DDH105" s="29"/>
      <c r="DDI105" s="29"/>
      <c r="DDJ105" s="29"/>
      <c r="DDK105" s="29"/>
      <c r="DDL105" s="29"/>
      <c r="DDM105" s="29"/>
      <c r="DDN105" s="29"/>
      <c r="DDO105" s="29"/>
      <c r="DDP105" s="29"/>
      <c r="DDQ105" s="29"/>
      <c r="DDR105" s="29"/>
      <c r="DDS105" s="29"/>
      <c r="DDT105" s="29"/>
      <c r="DDU105" s="29"/>
      <c r="DDV105" s="29"/>
      <c r="DDW105" s="29"/>
      <c r="DDX105" s="29"/>
      <c r="DDY105" s="29"/>
      <c r="DDZ105" s="29"/>
      <c r="DEA105" s="29"/>
      <c r="DEB105" s="29"/>
      <c r="DEC105" s="29"/>
      <c r="DED105" s="29"/>
      <c r="DEE105" s="29"/>
      <c r="DEF105" s="29"/>
      <c r="DEG105" s="29"/>
      <c r="DEH105" s="29"/>
      <c r="DEI105" s="29"/>
      <c r="DEJ105" s="29"/>
      <c r="DEK105" s="29"/>
      <c r="DEL105" s="29"/>
      <c r="DEM105" s="29"/>
      <c r="DEN105" s="29"/>
      <c r="DEO105" s="29"/>
      <c r="DEP105" s="29"/>
      <c r="DEQ105" s="29"/>
      <c r="DER105" s="29"/>
      <c r="DES105" s="29"/>
      <c r="DET105" s="29"/>
      <c r="DEU105" s="29"/>
      <c r="DEV105" s="29"/>
      <c r="DEW105" s="29"/>
      <c r="DEX105" s="29"/>
      <c r="DEY105" s="29"/>
      <c r="DEZ105" s="29"/>
      <c r="DFA105" s="29"/>
      <c r="DFB105" s="29"/>
      <c r="DFC105" s="29"/>
      <c r="DFD105" s="29"/>
      <c r="DFE105" s="29"/>
      <c r="DFF105" s="29"/>
      <c r="DFG105" s="29"/>
      <c r="DFH105" s="29"/>
      <c r="DFI105" s="29"/>
      <c r="DFJ105" s="29"/>
      <c r="DFK105" s="29"/>
      <c r="DFL105" s="29"/>
      <c r="DFM105" s="29"/>
      <c r="DFN105" s="29"/>
      <c r="DFO105" s="29"/>
      <c r="DFP105" s="29"/>
      <c r="DFQ105" s="29"/>
      <c r="DFR105" s="29"/>
      <c r="DFS105" s="29"/>
      <c r="DFT105" s="29"/>
      <c r="DFU105" s="29"/>
      <c r="DFV105" s="29"/>
      <c r="DFW105" s="29"/>
      <c r="DFX105" s="29"/>
      <c r="DFY105" s="29"/>
      <c r="DFZ105" s="29"/>
      <c r="DGA105" s="29"/>
      <c r="DGB105" s="29"/>
      <c r="DGC105" s="29"/>
      <c r="DGD105" s="29"/>
      <c r="DGE105" s="29"/>
      <c r="DGF105" s="29"/>
      <c r="DGG105" s="29"/>
      <c r="DGH105" s="29"/>
      <c r="DGI105" s="29"/>
      <c r="DGJ105" s="29"/>
      <c r="DGK105" s="29"/>
      <c r="DGL105" s="29"/>
      <c r="DGM105" s="29"/>
      <c r="DGN105" s="29"/>
      <c r="DGO105" s="29"/>
      <c r="DGP105" s="29"/>
      <c r="DGQ105" s="29"/>
      <c r="DGR105" s="29"/>
      <c r="DGS105" s="29"/>
      <c r="DGT105" s="29"/>
      <c r="DGU105" s="29"/>
      <c r="DGV105" s="29"/>
      <c r="DGW105" s="29"/>
      <c r="DGX105" s="29"/>
      <c r="DGY105" s="29"/>
      <c r="DGZ105" s="29"/>
      <c r="DHA105" s="29"/>
      <c r="DHB105" s="29"/>
      <c r="DHC105" s="29"/>
      <c r="DHD105" s="29"/>
      <c r="DHE105" s="29"/>
      <c r="DHF105" s="29"/>
      <c r="DHG105" s="29"/>
      <c r="DHH105" s="29"/>
      <c r="DHI105" s="29"/>
      <c r="DHJ105" s="29"/>
      <c r="DHK105" s="29"/>
      <c r="DHL105" s="29"/>
      <c r="DHM105" s="29"/>
      <c r="DHN105" s="29"/>
      <c r="DHO105" s="29"/>
      <c r="DHP105" s="29"/>
      <c r="DHQ105" s="29"/>
      <c r="DHR105" s="29"/>
      <c r="DHS105" s="29"/>
      <c r="DHT105" s="29"/>
      <c r="DHU105" s="29"/>
      <c r="DHV105" s="29"/>
      <c r="DHW105" s="29"/>
      <c r="DHX105" s="29"/>
      <c r="DHY105" s="29"/>
      <c r="DHZ105" s="29"/>
      <c r="DIA105" s="29"/>
      <c r="DIB105" s="29"/>
      <c r="DIC105" s="29"/>
      <c r="DID105" s="29"/>
      <c r="DIE105" s="29"/>
      <c r="DIF105" s="29"/>
      <c r="DIG105" s="29"/>
      <c r="DIH105" s="29"/>
      <c r="DII105" s="29"/>
      <c r="DIJ105" s="29"/>
      <c r="DIK105" s="29"/>
      <c r="DIL105" s="29"/>
      <c r="DIM105" s="29"/>
      <c r="DIN105" s="29"/>
      <c r="DIO105" s="29"/>
      <c r="DIP105" s="29"/>
      <c r="DIQ105" s="29"/>
      <c r="DIR105" s="29"/>
      <c r="DIS105" s="29"/>
      <c r="DIT105" s="29"/>
      <c r="DIU105" s="29"/>
      <c r="DIV105" s="29"/>
      <c r="DIW105" s="29"/>
      <c r="DIX105" s="29"/>
      <c r="DIY105" s="29"/>
      <c r="DIZ105" s="29"/>
      <c r="DJA105" s="29"/>
      <c r="DJB105" s="29"/>
      <c r="DJC105" s="29"/>
      <c r="DJD105" s="29"/>
      <c r="DJE105" s="29"/>
      <c r="DJF105" s="29"/>
      <c r="DJG105" s="29"/>
      <c r="DJH105" s="29"/>
      <c r="DJI105" s="29"/>
      <c r="DJJ105" s="29"/>
      <c r="DJK105" s="29"/>
      <c r="DJL105" s="29"/>
      <c r="DJM105" s="29"/>
      <c r="DJN105" s="29"/>
      <c r="DJO105" s="29"/>
      <c r="DJP105" s="29"/>
      <c r="DJQ105" s="29"/>
      <c r="DJR105" s="29"/>
      <c r="DJS105" s="29"/>
      <c r="DJT105" s="29"/>
      <c r="DJU105" s="29"/>
      <c r="DJV105" s="29"/>
      <c r="DJW105" s="29"/>
      <c r="DJX105" s="29"/>
      <c r="DJY105" s="29"/>
      <c r="DJZ105" s="29"/>
      <c r="DKA105" s="29"/>
      <c r="DKB105" s="29"/>
      <c r="DKC105" s="29"/>
      <c r="DKD105" s="29"/>
      <c r="DKE105" s="29"/>
      <c r="DKF105" s="29"/>
      <c r="DKG105" s="29"/>
      <c r="DKH105" s="29"/>
      <c r="DKI105" s="29"/>
      <c r="DKJ105" s="29"/>
      <c r="DKK105" s="29"/>
      <c r="DKL105" s="29"/>
      <c r="DKM105" s="29"/>
      <c r="DKN105" s="29"/>
      <c r="DKO105" s="29"/>
      <c r="DKP105" s="29"/>
      <c r="DKQ105" s="29"/>
      <c r="DKR105" s="29"/>
      <c r="DKS105" s="29"/>
      <c r="DKT105" s="29"/>
      <c r="DKU105" s="29"/>
      <c r="DKV105" s="29"/>
      <c r="DKW105" s="29"/>
      <c r="DKX105" s="29"/>
      <c r="DKY105" s="29"/>
      <c r="DKZ105" s="29"/>
      <c r="DLA105" s="29"/>
      <c r="DLB105" s="29"/>
      <c r="DLC105" s="29"/>
      <c r="DLD105" s="29"/>
      <c r="DLE105" s="29"/>
      <c r="DLF105" s="29"/>
      <c r="DLG105" s="29"/>
      <c r="DLH105" s="29"/>
      <c r="DLI105" s="29"/>
      <c r="DLJ105" s="29"/>
      <c r="DLK105" s="29"/>
      <c r="DLL105" s="29"/>
      <c r="DLM105" s="29"/>
      <c r="DLN105" s="29"/>
      <c r="DLO105" s="29"/>
      <c r="DLP105" s="29"/>
      <c r="DLQ105" s="29"/>
      <c r="DLR105" s="29"/>
      <c r="DLS105" s="29"/>
      <c r="DLT105" s="29"/>
      <c r="DLU105" s="29"/>
      <c r="DLV105" s="29"/>
      <c r="DLW105" s="29"/>
      <c r="DLX105" s="29"/>
      <c r="DLY105" s="29"/>
      <c r="DLZ105" s="29"/>
      <c r="DMA105" s="29"/>
      <c r="DMB105" s="29"/>
      <c r="DMC105" s="29"/>
      <c r="DMD105" s="29"/>
      <c r="DME105" s="29"/>
      <c r="DMF105" s="29"/>
      <c r="DMG105" s="29"/>
      <c r="DMH105" s="29"/>
      <c r="DMI105" s="29"/>
      <c r="DMJ105" s="29"/>
      <c r="DMK105" s="29"/>
      <c r="DML105" s="29"/>
      <c r="DMM105" s="29"/>
      <c r="DMN105" s="29"/>
      <c r="DMO105" s="29"/>
      <c r="DMP105" s="29"/>
      <c r="DMQ105" s="29"/>
      <c r="DMR105" s="29"/>
      <c r="DMS105" s="29"/>
      <c r="DMT105" s="29"/>
      <c r="DMU105" s="29"/>
      <c r="DMV105" s="29"/>
      <c r="DMW105" s="29"/>
      <c r="DMX105" s="29"/>
      <c r="DMY105" s="29"/>
      <c r="DMZ105" s="29"/>
      <c r="DNA105" s="29"/>
      <c r="DNB105" s="29"/>
      <c r="DNC105" s="29"/>
      <c r="DND105" s="29"/>
      <c r="DNE105" s="29"/>
      <c r="DNF105" s="29"/>
      <c r="DNG105" s="29"/>
      <c r="DNH105" s="29"/>
      <c r="DNI105" s="29"/>
      <c r="DNJ105" s="29"/>
      <c r="DNK105" s="29"/>
      <c r="DNL105" s="29"/>
      <c r="DNM105" s="29"/>
      <c r="DNN105" s="29"/>
      <c r="DNO105" s="29"/>
      <c r="DNP105" s="29"/>
      <c r="DNQ105" s="29"/>
      <c r="DNR105" s="29"/>
      <c r="DNS105" s="29"/>
      <c r="DNT105" s="29"/>
      <c r="DNU105" s="29"/>
      <c r="DNV105" s="29"/>
      <c r="DNW105" s="29"/>
      <c r="DNX105" s="29"/>
      <c r="DNY105" s="29"/>
      <c r="DNZ105" s="29"/>
      <c r="DOA105" s="29"/>
      <c r="DOB105" s="29"/>
      <c r="DOC105" s="29"/>
      <c r="DOD105" s="29"/>
      <c r="DOE105" s="29"/>
      <c r="DOF105" s="29"/>
      <c r="DOG105" s="29"/>
      <c r="DOH105" s="29"/>
      <c r="DOI105" s="29"/>
      <c r="DOJ105" s="29"/>
      <c r="DOK105" s="29"/>
      <c r="DOL105" s="29"/>
      <c r="DOM105" s="29"/>
      <c r="DON105" s="29"/>
      <c r="DOO105" s="29"/>
      <c r="DOP105" s="29"/>
      <c r="DOQ105" s="29"/>
      <c r="DOR105" s="29"/>
      <c r="DOS105" s="29"/>
      <c r="DOT105" s="29"/>
      <c r="DOU105" s="29"/>
      <c r="DOV105" s="29"/>
      <c r="DOW105" s="29"/>
      <c r="DOX105" s="29"/>
      <c r="DOY105" s="29"/>
      <c r="DOZ105" s="29"/>
      <c r="DPA105" s="29"/>
      <c r="DPB105" s="29"/>
      <c r="DPC105" s="29"/>
      <c r="DPD105" s="29"/>
      <c r="DPE105" s="29"/>
      <c r="DPF105" s="29"/>
      <c r="DPG105" s="29"/>
      <c r="DPH105" s="29"/>
      <c r="DPI105" s="29"/>
      <c r="DPJ105" s="29"/>
      <c r="DPK105" s="29"/>
      <c r="DPL105" s="29"/>
      <c r="DPM105" s="29"/>
      <c r="DPN105" s="29"/>
      <c r="DPO105" s="29"/>
      <c r="DPP105" s="29"/>
      <c r="DPQ105" s="29"/>
      <c r="DPR105" s="29"/>
      <c r="DPS105" s="29"/>
      <c r="DPT105" s="29"/>
      <c r="DPU105" s="29"/>
      <c r="DPV105" s="29"/>
      <c r="DPW105" s="29"/>
      <c r="DPX105" s="29"/>
      <c r="DPY105" s="29"/>
      <c r="DPZ105" s="29"/>
      <c r="DQA105" s="29"/>
      <c r="DQB105" s="29"/>
      <c r="DQC105" s="29"/>
      <c r="DQD105" s="29"/>
      <c r="DQE105" s="29"/>
      <c r="DQF105" s="29"/>
      <c r="DQG105" s="29"/>
      <c r="DQH105" s="29"/>
      <c r="DQI105" s="29"/>
      <c r="DQJ105" s="29"/>
      <c r="DQK105" s="29"/>
      <c r="DQL105" s="29"/>
      <c r="DQM105" s="29"/>
      <c r="DQN105" s="29"/>
      <c r="DQO105" s="29"/>
      <c r="DQP105" s="29"/>
      <c r="DQQ105" s="29"/>
      <c r="DQR105" s="29"/>
      <c r="DQS105" s="29"/>
      <c r="DQT105" s="29"/>
      <c r="DQU105" s="29"/>
      <c r="DQV105" s="29"/>
      <c r="DQW105" s="29"/>
      <c r="DQX105" s="29"/>
      <c r="DQY105" s="29"/>
      <c r="DQZ105" s="29"/>
      <c r="DRA105" s="29"/>
      <c r="DRB105" s="29"/>
      <c r="DRC105" s="29"/>
      <c r="DRD105" s="29"/>
      <c r="DRE105" s="29"/>
      <c r="DRF105" s="29"/>
      <c r="DRG105" s="29"/>
      <c r="DRH105" s="29"/>
      <c r="DRI105" s="29"/>
      <c r="DRJ105" s="29"/>
      <c r="DRK105" s="29"/>
      <c r="DRL105" s="29"/>
      <c r="DRM105" s="29"/>
      <c r="DRN105" s="29"/>
      <c r="DRO105" s="29"/>
      <c r="DRP105" s="29"/>
      <c r="DRQ105" s="29"/>
      <c r="DRR105" s="29"/>
      <c r="DRS105" s="29"/>
      <c r="DRT105" s="29"/>
      <c r="DRU105" s="29"/>
      <c r="DRV105" s="29"/>
      <c r="DRW105" s="29"/>
      <c r="DRX105" s="29"/>
      <c r="DRY105" s="29"/>
      <c r="DRZ105" s="29"/>
      <c r="DSA105" s="29"/>
      <c r="DSB105" s="29"/>
      <c r="DSC105" s="29"/>
      <c r="DSD105" s="29"/>
      <c r="DSE105" s="29"/>
      <c r="DSF105" s="29"/>
      <c r="DSG105" s="29"/>
      <c r="DSH105" s="29"/>
      <c r="DSI105" s="29"/>
      <c r="DSJ105" s="29"/>
      <c r="DSK105" s="29"/>
      <c r="DSL105" s="29"/>
      <c r="DSM105" s="29"/>
      <c r="DSN105" s="29"/>
      <c r="DSO105" s="29"/>
      <c r="DSP105" s="29"/>
      <c r="DSQ105" s="29"/>
      <c r="DSR105" s="29"/>
      <c r="DSS105" s="29"/>
      <c r="DST105" s="29"/>
      <c r="DSU105" s="29"/>
      <c r="DSV105" s="29"/>
      <c r="DSW105" s="29"/>
      <c r="DSX105" s="29"/>
      <c r="DSY105" s="29"/>
      <c r="DSZ105" s="29"/>
      <c r="DTA105" s="29"/>
      <c r="DTB105" s="29"/>
      <c r="DTC105" s="29"/>
      <c r="DTD105" s="29"/>
      <c r="DTE105" s="29"/>
      <c r="DTF105" s="29"/>
      <c r="DTG105" s="29"/>
      <c r="DTH105" s="29"/>
      <c r="DTI105" s="29"/>
      <c r="DTJ105" s="29"/>
      <c r="DTK105" s="29"/>
      <c r="DTL105" s="29"/>
      <c r="DTM105" s="29"/>
      <c r="DTN105" s="29"/>
      <c r="DTO105" s="29"/>
      <c r="DTP105" s="29"/>
      <c r="DTQ105" s="29"/>
      <c r="DTR105" s="29"/>
      <c r="DTS105" s="29"/>
      <c r="DTT105" s="29"/>
      <c r="DTU105" s="29"/>
      <c r="DTV105" s="29"/>
      <c r="DTW105" s="29"/>
      <c r="DTX105" s="29"/>
      <c r="DTY105" s="29"/>
      <c r="DTZ105" s="29"/>
      <c r="DUA105" s="29"/>
      <c r="DUB105" s="29"/>
      <c r="DUC105" s="29"/>
      <c r="DUD105" s="29"/>
      <c r="DUE105" s="29"/>
      <c r="DUF105" s="29"/>
      <c r="DUG105" s="29"/>
      <c r="DUH105" s="29"/>
      <c r="DUI105" s="29"/>
      <c r="DUJ105" s="29"/>
      <c r="DUK105" s="29"/>
      <c r="DUL105" s="29"/>
      <c r="DUM105" s="29"/>
      <c r="DUN105" s="29"/>
      <c r="DUO105" s="29"/>
      <c r="DUP105" s="29"/>
      <c r="DUQ105" s="29"/>
      <c r="DUR105" s="29"/>
      <c r="DUS105" s="29"/>
      <c r="DUT105" s="29"/>
      <c r="DUU105" s="29"/>
      <c r="DUV105" s="29"/>
      <c r="DUW105" s="29"/>
      <c r="DUX105" s="29"/>
      <c r="DUY105" s="29"/>
      <c r="DUZ105" s="29"/>
      <c r="DVA105" s="29"/>
      <c r="DVB105" s="29"/>
      <c r="DVC105" s="29"/>
      <c r="DVD105" s="29"/>
      <c r="DVE105" s="29"/>
      <c r="DVF105" s="29"/>
      <c r="DVG105" s="29"/>
      <c r="DVH105" s="29"/>
      <c r="DVI105" s="29"/>
      <c r="DVJ105" s="29"/>
      <c r="DVK105" s="29"/>
      <c r="DVL105" s="29"/>
      <c r="DVM105" s="29"/>
      <c r="DVN105" s="29"/>
      <c r="DVO105" s="29"/>
      <c r="DVP105" s="29"/>
      <c r="DVQ105" s="29"/>
      <c r="DVR105" s="29"/>
      <c r="DVS105" s="29"/>
      <c r="DVT105" s="29"/>
      <c r="DVU105" s="29"/>
      <c r="DVV105" s="29"/>
      <c r="DVW105" s="29"/>
      <c r="DVX105" s="29"/>
      <c r="DVY105" s="29"/>
      <c r="DVZ105" s="29"/>
      <c r="DWA105" s="29"/>
      <c r="DWB105" s="29"/>
      <c r="DWC105" s="29"/>
      <c r="DWD105" s="29"/>
      <c r="DWE105" s="29"/>
      <c r="DWF105" s="29"/>
      <c r="DWG105" s="29"/>
      <c r="DWH105" s="29"/>
      <c r="DWI105" s="29"/>
      <c r="DWJ105" s="29"/>
      <c r="DWK105" s="29"/>
      <c r="DWL105" s="29"/>
      <c r="DWM105" s="29"/>
      <c r="DWN105" s="29"/>
      <c r="DWO105" s="29"/>
      <c r="DWP105" s="29"/>
      <c r="DWQ105" s="29"/>
      <c r="DWR105" s="29"/>
      <c r="DWS105" s="29"/>
      <c r="DWT105" s="29"/>
      <c r="DWU105" s="29"/>
      <c r="DWV105" s="29"/>
      <c r="DWW105" s="29"/>
      <c r="DWX105" s="29"/>
      <c r="DWY105" s="29"/>
      <c r="DWZ105" s="29"/>
      <c r="DXA105" s="29"/>
      <c r="DXB105" s="29"/>
      <c r="DXC105" s="29"/>
      <c r="DXD105" s="29"/>
      <c r="DXE105" s="29"/>
      <c r="DXF105" s="29"/>
      <c r="DXG105" s="29"/>
      <c r="DXH105" s="29"/>
      <c r="DXI105" s="29"/>
      <c r="DXJ105" s="29"/>
      <c r="DXK105" s="29"/>
      <c r="DXL105" s="29"/>
      <c r="DXM105" s="29"/>
      <c r="DXN105" s="29"/>
      <c r="DXO105" s="29"/>
      <c r="DXP105" s="29"/>
      <c r="DXQ105" s="29"/>
      <c r="DXR105" s="29"/>
      <c r="DXS105" s="29"/>
      <c r="DXT105" s="29"/>
      <c r="DXU105" s="29"/>
      <c r="DXV105" s="29"/>
      <c r="DXW105" s="29"/>
      <c r="DXX105" s="29"/>
      <c r="DXY105" s="29"/>
      <c r="DXZ105" s="29"/>
      <c r="DYA105" s="29"/>
      <c r="DYB105" s="29"/>
      <c r="DYC105" s="29"/>
      <c r="DYD105" s="29"/>
      <c r="DYE105" s="29"/>
      <c r="DYF105" s="29"/>
      <c r="DYG105" s="29"/>
      <c r="DYH105" s="29"/>
      <c r="DYI105" s="29"/>
      <c r="DYJ105" s="29"/>
      <c r="DYK105" s="29"/>
      <c r="DYL105" s="29"/>
      <c r="DYM105" s="29"/>
      <c r="DYN105" s="29"/>
      <c r="DYO105" s="29"/>
      <c r="DYP105" s="29"/>
      <c r="DYQ105" s="29"/>
      <c r="DYR105" s="29"/>
      <c r="DYS105" s="29"/>
      <c r="DYT105" s="29"/>
      <c r="DYU105" s="29"/>
      <c r="DYV105" s="29"/>
      <c r="DYW105" s="29"/>
      <c r="DYX105" s="29"/>
      <c r="DYY105" s="29"/>
      <c r="DYZ105" s="29"/>
      <c r="DZA105" s="29"/>
      <c r="DZB105" s="29"/>
      <c r="DZC105" s="29"/>
      <c r="DZD105" s="29"/>
      <c r="DZE105" s="29"/>
      <c r="DZF105" s="29"/>
      <c r="DZG105" s="29"/>
      <c r="DZH105" s="29"/>
      <c r="DZI105" s="29"/>
      <c r="DZJ105" s="29"/>
      <c r="DZK105" s="29"/>
      <c r="DZL105" s="29"/>
      <c r="DZM105" s="29"/>
      <c r="DZN105" s="29"/>
      <c r="DZO105" s="29"/>
      <c r="DZP105" s="29"/>
      <c r="DZQ105" s="29"/>
      <c r="DZR105" s="29"/>
      <c r="DZS105" s="29"/>
      <c r="DZT105" s="29"/>
      <c r="DZU105" s="29"/>
      <c r="DZV105" s="29"/>
      <c r="DZW105" s="29"/>
      <c r="DZX105" s="29"/>
      <c r="DZY105" s="29"/>
      <c r="DZZ105" s="29"/>
      <c r="EAA105" s="29"/>
      <c r="EAB105" s="29"/>
      <c r="EAC105" s="29"/>
      <c r="EAD105" s="29"/>
      <c r="EAE105" s="29"/>
      <c r="EAF105" s="29"/>
      <c r="EAG105" s="29"/>
      <c r="EAH105" s="29"/>
      <c r="EAI105" s="29"/>
      <c r="EAJ105" s="29"/>
      <c r="EAK105" s="29"/>
      <c r="EAL105" s="29"/>
      <c r="EAM105" s="29"/>
      <c r="EAN105" s="29"/>
      <c r="EAO105" s="29"/>
      <c r="EAP105" s="29"/>
      <c r="EAQ105" s="29"/>
      <c r="EAR105" s="29"/>
      <c r="EAS105" s="29"/>
      <c r="EAT105" s="29"/>
      <c r="EAU105" s="29"/>
      <c r="EAV105" s="29"/>
      <c r="EAW105" s="29"/>
      <c r="EAX105" s="29"/>
      <c r="EAY105" s="29"/>
      <c r="EAZ105" s="29"/>
      <c r="EBA105" s="29"/>
      <c r="EBB105" s="29"/>
      <c r="EBC105" s="29"/>
      <c r="EBD105" s="29"/>
      <c r="EBE105" s="29"/>
      <c r="EBF105" s="29"/>
      <c r="EBG105" s="29"/>
      <c r="EBH105" s="29"/>
      <c r="EBI105" s="29"/>
      <c r="EBJ105" s="29"/>
      <c r="EBK105" s="29"/>
      <c r="EBL105" s="29"/>
      <c r="EBM105" s="29"/>
      <c r="EBN105" s="29"/>
      <c r="EBO105" s="29"/>
      <c r="EBP105" s="29"/>
      <c r="EBQ105" s="29"/>
      <c r="EBR105" s="29"/>
      <c r="EBS105" s="29"/>
      <c r="EBT105" s="29"/>
      <c r="EBU105" s="29"/>
      <c r="EBV105" s="29"/>
      <c r="EBW105" s="29"/>
      <c r="EBX105" s="29"/>
      <c r="EBY105" s="29"/>
      <c r="EBZ105" s="29"/>
      <c r="ECA105" s="29"/>
      <c r="ECB105" s="29"/>
      <c r="ECC105" s="29"/>
      <c r="ECD105" s="29"/>
      <c r="ECE105" s="29"/>
      <c r="ECF105" s="29"/>
      <c r="ECG105" s="29"/>
      <c r="ECH105" s="29"/>
      <c r="ECI105" s="29"/>
      <c r="ECJ105" s="29"/>
      <c r="ECK105" s="29"/>
      <c r="ECL105" s="29"/>
      <c r="ECM105" s="29"/>
      <c r="ECN105" s="29"/>
      <c r="ECO105" s="29"/>
      <c r="ECP105" s="29"/>
      <c r="ECQ105" s="29"/>
      <c r="ECR105" s="29"/>
      <c r="ECS105" s="29"/>
      <c r="ECT105" s="29"/>
      <c r="ECU105" s="29"/>
      <c r="ECV105" s="29"/>
      <c r="ECW105" s="29"/>
      <c r="ECX105" s="29"/>
      <c r="ECY105" s="29"/>
      <c r="ECZ105" s="29"/>
      <c r="EDA105" s="29"/>
      <c r="EDB105" s="29"/>
      <c r="EDC105" s="29"/>
      <c r="EDD105" s="29"/>
      <c r="EDE105" s="29"/>
      <c r="EDF105" s="29"/>
      <c r="EDG105" s="29"/>
      <c r="EDH105" s="29"/>
      <c r="EDI105" s="29"/>
      <c r="EDJ105" s="29"/>
      <c r="EDK105" s="29"/>
      <c r="EDL105" s="29"/>
      <c r="EDM105" s="29"/>
      <c r="EDN105" s="29"/>
      <c r="EDO105" s="29"/>
      <c r="EDP105" s="29"/>
      <c r="EDQ105" s="29"/>
      <c r="EDR105" s="29"/>
      <c r="EDS105" s="29"/>
      <c r="EDT105" s="29"/>
      <c r="EDU105" s="29"/>
      <c r="EDV105" s="29"/>
      <c r="EDW105" s="29"/>
      <c r="EDX105" s="29"/>
      <c r="EDY105" s="29"/>
      <c r="EDZ105" s="29"/>
      <c r="EEA105" s="29"/>
      <c r="EEB105" s="29"/>
      <c r="EEC105" s="29"/>
      <c r="EED105" s="29"/>
      <c r="EEE105" s="29"/>
      <c r="EEF105" s="29"/>
      <c r="EEG105" s="29"/>
      <c r="EEH105" s="29"/>
      <c r="EEI105" s="29"/>
      <c r="EEJ105" s="29"/>
      <c r="EEK105" s="29"/>
      <c r="EEL105" s="29"/>
      <c r="EEM105" s="29"/>
      <c r="EEN105" s="29"/>
      <c r="EEO105" s="29"/>
      <c r="EEP105" s="29"/>
      <c r="EEQ105" s="29"/>
      <c r="EER105" s="29"/>
      <c r="EES105" s="29"/>
      <c r="EET105" s="29"/>
      <c r="EEU105" s="29"/>
      <c r="EEV105" s="29"/>
      <c r="EEW105" s="29"/>
      <c r="EEX105" s="29"/>
      <c r="EEY105" s="29"/>
      <c r="EEZ105" s="29"/>
      <c r="EFA105" s="29"/>
      <c r="EFB105" s="29"/>
      <c r="EFC105" s="29"/>
      <c r="EFD105" s="29"/>
      <c r="EFE105" s="29"/>
      <c r="EFF105" s="29"/>
      <c r="EFG105" s="29"/>
      <c r="EFH105" s="29"/>
      <c r="EFI105" s="29"/>
      <c r="EFJ105" s="29"/>
      <c r="EFK105" s="29"/>
      <c r="EFL105" s="29"/>
      <c r="EFM105" s="29"/>
      <c r="EFN105" s="29"/>
      <c r="EFO105" s="29"/>
      <c r="EFP105" s="29"/>
      <c r="EFQ105" s="29"/>
      <c r="EFR105" s="29"/>
      <c r="EFS105" s="29"/>
      <c r="EFT105" s="29"/>
      <c r="EFU105" s="29"/>
      <c r="EFV105" s="29"/>
      <c r="EFW105" s="29"/>
      <c r="EFX105" s="29"/>
      <c r="EFY105" s="29"/>
      <c r="EFZ105" s="29"/>
      <c r="EGA105" s="29"/>
      <c r="EGB105" s="29"/>
      <c r="EGC105" s="29"/>
      <c r="EGD105" s="29"/>
      <c r="EGE105" s="29"/>
      <c r="EGF105" s="29"/>
      <c r="EGG105" s="29"/>
      <c r="EGH105" s="29"/>
      <c r="EGI105" s="29"/>
      <c r="EGJ105" s="29"/>
      <c r="EGK105" s="29"/>
      <c r="EGL105" s="29"/>
      <c r="EGM105" s="29"/>
      <c r="EGN105" s="29"/>
      <c r="EGO105" s="29"/>
      <c r="EGP105" s="29"/>
      <c r="EGQ105" s="29"/>
      <c r="EGR105" s="29"/>
      <c r="EGS105" s="29"/>
      <c r="EGT105" s="29"/>
      <c r="EGU105" s="29"/>
      <c r="EGV105" s="29"/>
      <c r="EGW105" s="29"/>
      <c r="EGX105" s="29"/>
      <c r="EGY105" s="29"/>
      <c r="EGZ105" s="29"/>
      <c r="EHA105" s="29"/>
      <c r="EHB105" s="29"/>
      <c r="EHC105" s="29"/>
      <c r="EHD105" s="29"/>
      <c r="EHE105" s="29"/>
      <c r="EHF105" s="29"/>
      <c r="EHG105" s="29"/>
      <c r="EHH105" s="29"/>
      <c r="EHI105" s="29"/>
      <c r="EHJ105" s="29"/>
      <c r="EHK105" s="29"/>
      <c r="EHL105" s="29"/>
      <c r="EHM105" s="29"/>
      <c r="EHN105" s="29"/>
      <c r="EHO105" s="29"/>
      <c r="EHP105" s="29"/>
      <c r="EHQ105" s="29"/>
      <c r="EHR105" s="29"/>
      <c r="EHS105" s="29"/>
      <c r="EHT105" s="29"/>
      <c r="EHU105" s="29"/>
      <c r="EHV105" s="29"/>
      <c r="EHW105" s="29"/>
      <c r="EHX105" s="29"/>
      <c r="EHY105" s="29"/>
      <c r="EHZ105" s="29"/>
      <c r="EIA105" s="29"/>
      <c r="EIB105" s="29"/>
      <c r="EIC105" s="29"/>
      <c r="EID105" s="29"/>
      <c r="EIE105" s="29"/>
      <c r="EIF105" s="29"/>
      <c r="EIG105" s="29"/>
      <c r="EIH105" s="29"/>
      <c r="EII105" s="29"/>
      <c r="EIJ105" s="29"/>
      <c r="EIK105" s="29"/>
      <c r="EIL105" s="29"/>
      <c r="EIM105" s="29"/>
      <c r="EIN105" s="29"/>
      <c r="EIO105" s="29"/>
      <c r="EIP105" s="29"/>
      <c r="EIQ105" s="29"/>
      <c r="EIR105" s="29"/>
      <c r="EIS105" s="29"/>
      <c r="EIT105" s="29"/>
      <c r="EIU105" s="29"/>
      <c r="EIV105" s="29"/>
      <c r="EIW105" s="29"/>
      <c r="EIX105" s="29"/>
      <c r="EIY105" s="29"/>
      <c r="EIZ105" s="29"/>
      <c r="EJA105" s="29"/>
      <c r="EJB105" s="29"/>
      <c r="EJC105" s="29"/>
      <c r="EJD105" s="29"/>
      <c r="EJE105" s="29"/>
      <c r="EJF105" s="29"/>
      <c r="EJG105" s="29"/>
      <c r="EJH105" s="29"/>
      <c r="EJI105" s="29"/>
      <c r="EJJ105" s="29"/>
      <c r="EJK105" s="29"/>
      <c r="EJL105" s="29"/>
      <c r="EJM105" s="29"/>
      <c r="EJN105" s="29"/>
      <c r="EJO105" s="29"/>
      <c r="EJP105" s="29"/>
      <c r="EJQ105" s="29"/>
      <c r="EJR105" s="29"/>
      <c r="EJS105" s="29"/>
      <c r="EJT105" s="29"/>
      <c r="EJU105" s="29"/>
      <c r="EJV105" s="29"/>
      <c r="EJW105" s="29"/>
      <c r="EJX105" s="29"/>
      <c r="EJY105" s="29"/>
      <c r="EJZ105" s="29"/>
      <c r="EKA105" s="29"/>
      <c r="EKB105" s="29"/>
      <c r="EKC105" s="29"/>
      <c r="EKD105" s="29"/>
      <c r="EKE105" s="29"/>
      <c r="EKF105" s="29"/>
      <c r="EKG105" s="29"/>
      <c r="EKH105" s="29"/>
      <c r="EKI105" s="29"/>
      <c r="EKJ105" s="29"/>
      <c r="EKK105" s="29"/>
      <c r="EKL105" s="29"/>
      <c r="EKM105" s="29"/>
      <c r="EKN105" s="29"/>
      <c r="EKO105" s="29"/>
      <c r="EKP105" s="29"/>
      <c r="EKQ105" s="29"/>
      <c r="EKR105" s="29"/>
      <c r="EKS105" s="29"/>
      <c r="EKT105" s="29"/>
      <c r="EKU105" s="29"/>
      <c r="EKV105" s="29"/>
      <c r="EKW105" s="29"/>
      <c r="EKX105" s="29"/>
      <c r="EKY105" s="29"/>
      <c r="EKZ105" s="29"/>
      <c r="ELA105" s="29"/>
      <c r="ELB105" s="29"/>
      <c r="ELC105" s="29"/>
      <c r="ELD105" s="29"/>
      <c r="ELE105" s="29"/>
      <c r="ELF105" s="29"/>
      <c r="ELG105" s="29"/>
      <c r="ELH105" s="29"/>
      <c r="ELI105" s="29"/>
      <c r="ELJ105" s="29"/>
      <c r="ELK105" s="29"/>
      <c r="ELL105" s="29"/>
      <c r="ELM105" s="29"/>
      <c r="ELN105" s="29"/>
      <c r="ELO105" s="29"/>
      <c r="ELP105" s="29"/>
      <c r="ELQ105" s="29"/>
      <c r="ELR105" s="29"/>
      <c r="ELS105" s="29"/>
      <c r="ELT105" s="29"/>
      <c r="ELU105" s="29"/>
      <c r="ELV105" s="29"/>
      <c r="ELW105" s="29"/>
      <c r="ELX105" s="29"/>
      <c r="ELY105" s="29"/>
      <c r="ELZ105" s="29"/>
      <c r="EMA105" s="29"/>
      <c r="EMB105" s="29"/>
      <c r="EMC105" s="29"/>
      <c r="EMD105" s="29"/>
      <c r="EME105" s="29"/>
      <c r="EMF105" s="29"/>
      <c r="EMG105" s="29"/>
      <c r="EMH105" s="29"/>
      <c r="EMI105" s="29"/>
      <c r="EMJ105" s="29"/>
      <c r="EMK105" s="29"/>
      <c r="EML105" s="29"/>
      <c r="EMM105" s="29"/>
      <c r="EMN105" s="29"/>
      <c r="EMO105" s="29"/>
      <c r="EMP105" s="29"/>
      <c r="EMQ105" s="29"/>
      <c r="EMR105" s="29"/>
      <c r="EMS105" s="29"/>
      <c r="EMT105" s="29"/>
      <c r="EMU105" s="29"/>
      <c r="EMV105" s="29"/>
      <c r="EMW105" s="29"/>
      <c r="EMX105" s="29"/>
      <c r="EMY105" s="29"/>
      <c r="EMZ105" s="29"/>
      <c r="ENA105" s="29"/>
      <c r="ENB105" s="29"/>
      <c r="ENC105" s="29"/>
      <c r="END105" s="29"/>
      <c r="ENE105" s="29"/>
      <c r="ENF105" s="29"/>
      <c r="ENG105" s="29"/>
      <c r="ENH105" s="29"/>
      <c r="ENI105" s="29"/>
      <c r="ENJ105" s="29"/>
      <c r="ENK105" s="29"/>
      <c r="ENL105" s="29"/>
      <c r="ENM105" s="29"/>
      <c r="ENN105" s="29"/>
      <c r="ENO105" s="29"/>
      <c r="ENP105" s="29"/>
      <c r="ENQ105" s="29"/>
      <c r="ENR105" s="29"/>
      <c r="ENS105" s="29"/>
      <c r="ENT105" s="29"/>
      <c r="ENU105" s="29"/>
      <c r="ENV105" s="29"/>
      <c r="ENW105" s="29"/>
      <c r="ENX105" s="29"/>
      <c r="ENY105" s="29"/>
      <c r="ENZ105" s="29"/>
      <c r="EOA105" s="29"/>
      <c r="EOB105" s="29"/>
      <c r="EOC105" s="29"/>
      <c r="EOD105" s="29"/>
      <c r="EOE105" s="29"/>
      <c r="EOF105" s="29"/>
      <c r="EOG105" s="29"/>
      <c r="EOH105" s="29"/>
      <c r="EOI105" s="29"/>
      <c r="EOJ105" s="29"/>
      <c r="EOK105" s="29"/>
      <c r="EOL105" s="29"/>
      <c r="EOM105" s="29"/>
      <c r="EON105" s="29"/>
      <c r="EOO105" s="29"/>
      <c r="EOP105" s="29"/>
      <c r="EOQ105" s="29"/>
      <c r="EOR105" s="29"/>
      <c r="EOS105" s="29"/>
      <c r="EOT105" s="29"/>
      <c r="EOU105" s="29"/>
      <c r="EOV105" s="29"/>
      <c r="EOW105" s="29"/>
      <c r="EOX105" s="29"/>
      <c r="EOY105" s="29"/>
      <c r="EOZ105" s="29"/>
      <c r="EPA105" s="29"/>
      <c r="EPB105" s="29"/>
      <c r="EPC105" s="29"/>
      <c r="EPD105" s="29"/>
      <c r="EPE105" s="29"/>
      <c r="EPF105" s="29"/>
      <c r="EPG105" s="29"/>
      <c r="EPH105" s="29"/>
      <c r="EPI105" s="29"/>
      <c r="EPJ105" s="29"/>
      <c r="EPK105" s="29"/>
      <c r="EPL105" s="29"/>
      <c r="EPM105" s="29"/>
      <c r="EPN105" s="29"/>
      <c r="EPO105" s="29"/>
      <c r="EPP105" s="29"/>
      <c r="EPQ105" s="29"/>
      <c r="EPR105" s="29"/>
      <c r="EPS105" s="29"/>
      <c r="EPT105" s="29"/>
      <c r="EPU105" s="29"/>
      <c r="EPV105" s="29"/>
      <c r="EPW105" s="29"/>
      <c r="EPX105" s="29"/>
      <c r="EPY105" s="29"/>
      <c r="EPZ105" s="29"/>
      <c r="EQA105" s="29"/>
      <c r="EQB105" s="29"/>
      <c r="EQC105" s="29"/>
      <c r="EQD105" s="29"/>
      <c r="EQE105" s="29"/>
      <c r="EQF105" s="29"/>
      <c r="EQG105" s="29"/>
      <c r="EQH105" s="29"/>
      <c r="EQI105" s="29"/>
      <c r="EQJ105" s="29"/>
      <c r="EQK105" s="29"/>
      <c r="EQL105" s="29"/>
      <c r="EQM105" s="29"/>
      <c r="EQN105" s="29"/>
      <c r="EQO105" s="29"/>
      <c r="EQP105" s="29"/>
      <c r="EQQ105" s="29"/>
      <c r="EQR105" s="29"/>
      <c r="EQS105" s="29"/>
      <c r="EQT105" s="29"/>
      <c r="EQU105" s="29"/>
      <c r="EQV105" s="29"/>
      <c r="EQW105" s="29"/>
      <c r="EQX105" s="29"/>
      <c r="EQY105" s="29"/>
      <c r="EQZ105" s="29"/>
      <c r="ERA105" s="29"/>
      <c r="ERB105" s="29"/>
      <c r="ERC105" s="29"/>
      <c r="ERD105" s="29"/>
      <c r="ERE105" s="29"/>
      <c r="ERF105" s="29"/>
      <c r="ERG105" s="29"/>
      <c r="ERH105" s="29"/>
      <c r="ERI105" s="29"/>
      <c r="ERJ105" s="29"/>
      <c r="ERK105" s="29"/>
      <c r="ERL105" s="29"/>
      <c r="ERM105" s="29"/>
      <c r="ERN105" s="29"/>
      <c r="ERO105" s="29"/>
      <c r="ERP105" s="29"/>
      <c r="ERQ105" s="29"/>
      <c r="ERR105" s="29"/>
      <c r="ERS105" s="29"/>
      <c r="ERT105" s="29"/>
      <c r="ERU105" s="29"/>
      <c r="ERV105" s="29"/>
      <c r="ERW105" s="29"/>
      <c r="ERX105" s="29"/>
      <c r="ERY105" s="29"/>
      <c r="ERZ105" s="29"/>
      <c r="ESA105" s="29"/>
      <c r="ESB105" s="29"/>
      <c r="ESC105" s="29"/>
      <c r="ESD105" s="29"/>
      <c r="ESE105" s="29"/>
      <c r="ESF105" s="29"/>
      <c r="ESG105" s="29"/>
      <c r="ESH105" s="29"/>
      <c r="ESI105" s="29"/>
      <c r="ESJ105" s="29"/>
      <c r="ESK105" s="29"/>
      <c r="ESL105" s="29"/>
      <c r="ESM105" s="29"/>
      <c r="ESN105" s="29"/>
      <c r="ESO105" s="29"/>
      <c r="ESP105" s="29"/>
      <c r="ESQ105" s="29"/>
      <c r="ESR105" s="29"/>
      <c r="ESS105" s="29"/>
      <c r="EST105" s="29"/>
      <c r="ESU105" s="29"/>
      <c r="ESV105" s="29"/>
      <c r="ESW105" s="29"/>
      <c r="ESX105" s="29"/>
      <c r="ESY105" s="29"/>
      <c r="ESZ105" s="29"/>
      <c r="ETA105" s="29"/>
      <c r="ETB105" s="29"/>
      <c r="ETC105" s="29"/>
      <c r="ETD105" s="29"/>
      <c r="ETE105" s="29"/>
      <c r="ETF105" s="29"/>
      <c r="ETG105" s="29"/>
      <c r="ETH105" s="29"/>
      <c r="ETI105" s="29"/>
      <c r="ETJ105" s="29"/>
      <c r="ETK105" s="29"/>
      <c r="ETL105" s="29"/>
      <c r="ETM105" s="29"/>
      <c r="ETN105" s="29"/>
      <c r="ETO105" s="29"/>
      <c r="ETP105" s="29"/>
      <c r="ETQ105" s="29"/>
      <c r="ETR105" s="29"/>
      <c r="ETS105" s="29"/>
      <c r="ETT105" s="29"/>
      <c r="ETU105" s="29"/>
      <c r="ETV105" s="29"/>
      <c r="ETW105" s="29"/>
      <c r="ETX105" s="29"/>
      <c r="ETY105" s="29"/>
      <c r="ETZ105" s="29"/>
      <c r="EUA105" s="29"/>
      <c r="EUB105" s="29"/>
      <c r="EUC105" s="29"/>
      <c r="EUD105" s="29"/>
      <c r="EUE105" s="29"/>
      <c r="EUF105" s="29"/>
      <c r="EUG105" s="29"/>
      <c r="EUH105" s="29"/>
      <c r="EUI105" s="29"/>
      <c r="EUJ105" s="29"/>
      <c r="EUK105" s="29"/>
      <c r="EUL105" s="29"/>
      <c r="EUM105" s="29"/>
      <c r="EUN105" s="29"/>
      <c r="EUO105" s="29"/>
      <c r="EUP105" s="29"/>
      <c r="EUQ105" s="29"/>
      <c r="EUR105" s="29"/>
      <c r="EUS105" s="29"/>
      <c r="EUT105" s="29"/>
      <c r="EUU105" s="29"/>
      <c r="EUV105" s="29"/>
      <c r="EUW105" s="29"/>
      <c r="EUX105" s="29"/>
      <c r="EUY105" s="29"/>
      <c r="EUZ105" s="29"/>
      <c r="EVA105" s="29"/>
      <c r="EVB105" s="29"/>
      <c r="EVC105" s="29"/>
      <c r="EVD105" s="29"/>
      <c r="EVE105" s="29"/>
      <c r="EVF105" s="29"/>
      <c r="EVG105" s="29"/>
      <c r="EVH105" s="29"/>
      <c r="EVI105" s="29"/>
      <c r="EVJ105" s="29"/>
      <c r="EVK105" s="29"/>
      <c r="EVL105" s="29"/>
      <c r="EVM105" s="29"/>
      <c r="EVN105" s="29"/>
      <c r="EVO105" s="29"/>
      <c r="EVP105" s="29"/>
      <c r="EVQ105" s="29"/>
      <c r="EVR105" s="29"/>
      <c r="EVS105" s="29"/>
      <c r="EVT105" s="29"/>
      <c r="EVU105" s="29"/>
      <c r="EVV105" s="29"/>
      <c r="EVW105" s="29"/>
      <c r="EVX105" s="29"/>
      <c r="EVY105" s="29"/>
      <c r="EVZ105" s="29"/>
      <c r="EWA105" s="29"/>
      <c r="EWB105" s="29"/>
      <c r="EWC105" s="29"/>
      <c r="EWD105" s="29"/>
      <c r="EWE105" s="29"/>
      <c r="EWF105" s="29"/>
      <c r="EWG105" s="29"/>
      <c r="EWH105" s="29"/>
      <c r="EWI105" s="29"/>
      <c r="EWJ105" s="29"/>
      <c r="EWK105" s="29"/>
      <c r="EWL105" s="29"/>
      <c r="EWM105" s="29"/>
      <c r="EWN105" s="29"/>
      <c r="EWO105" s="29"/>
      <c r="EWP105" s="29"/>
      <c r="EWQ105" s="29"/>
      <c r="EWR105" s="29"/>
      <c r="EWS105" s="29"/>
      <c r="EWT105" s="29"/>
      <c r="EWU105" s="29"/>
      <c r="EWV105" s="29"/>
      <c r="EWW105" s="29"/>
      <c r="EWX105" s="29"/>
      <c r="EWY105" s="29"/>
      <c r="EWZ105" s="29"/>
      <c r="EXA105" s="29"/>
      <c r="EXB105" s="29"/>
      <c r="EXC105" s="29"/>
      <c r="EXD105" s="29"/>
      <c r="EXE105" s="29"/>
      <c r="EXF105" s="29"/>
      <c r="EXG105" s="29"/>
      <c r="EXH105" s="29"/>
      <c r="EXI105" s="29"/>
      <c r="EXJ105" s="29"/>
      <c r="EXK105" s="29"/>
      <c r="EXL105" s="29"/>
      <c r="EXM105" s="29"/>
      <c r="EXN105" s="29"/>
      <c r="EXO105" s="29"/>
      <c r="EXP105" s="29"/>
      <c r="EXQ105" s="29"/>
      <c r="EXR105" s="29"/>
      <c r="EXS105" s="29"/>
      <c r="EXT105" s="29"/>
      <c r="EXU105" s="29"/>
      <c r="EXV105" s="29"/>
      <c r="EXW105" s="29"/>
      <c r="EXX105" s="29"/>
      <c r="EXY105" s="29"/>
      <c r="EXZ105" s="29"/>
      <c r="EYA105" s="29"/>
      <c r="EYB105" s="29"/>
      <c r="EYC105" s="29"/>
      <c r="EYD105" s="29"/>
      <c r="EYE105" s="29"/>
      <c r="EYF105" s="29"/>
      <c r="EYG105" s="29"/>
      <c r="EYH105" s="29"/>
      <c r="EYI105" s="29"/>
      <c r="EYJ105" s="29"/>
      <c r="EYK105" s="29"/>
      <c r="EYL105" s="29"/>
      <c r="EYM105" s="29"/>
      <c r="EYN105" s="29"/>
      <c r="EYO105" s="29"/>
      <c r="EYP105" s="29"/>
      <c r="EYQ105" s="29"/>
      <c r="EYR105" s="29"/>
      <c r="EYS105" s="29"/>
      <c r="EYT105" s="29"/>
      <c r="EYU105" s="29"/>
      <c r="EYV105" s="29"/>
      <c r="EYW105" s="29"/>
      <c r="EYX105" s="29"/>
      <c r="EYY105" s="29"/>
      <c r="EYZ105" s="29"/>
      <c r="EZA105" s="29"/>
      <c r="EZB105" s="29"/>
      <c r="EZC105" s="29"/>
      <c r="EZD105" s="29"/>
      <c r="EZE105" s="29"/>
      <c r="EZF105" s="29"/>
      <c r="EZG105" s="29"/>
      <c r="EZH105" s="29"/>
      <c r="EZI105" s="29"/>
      <c r="EZJ105" s="29"/>
      <c r="EZK105" s="29"/>
      <c r="EZL105" s="29"/>
      <c r="EZM105" s="29"/>
      <c r="EZN105" s="29"/>
      <c r="EZO105" s="29"/>
      <c r="EZP105" s="29"/>
      <c r="EZQ105" s="29"/>
      <c r="EZR105" s="29"/>
      <c r="EZS105" s="29"/>
      <c r="EZT105" s="29"/>
      <c r="EZU105" s="29"/>
      <c r="EZV105" s="29"/>
      <c r="EZW105" s="29"/>
      <c r="EZX105" s="29"/>
      <c r="EZY105" s="29"/>
      <c r="EZZ105" s="29"/>
      <c r="FAA105" s="29"/>
      <c r="FAB105" s="29"/>
      <c r="FAC105" s="29"/>
      <c r="FAD105" s="29"/>
      <c r="FAE105" s="29"/>
      <c r="FAF105" s="29"/>
      <c r="FAG105" s="29"/>
      <c r="FAH105" s="29"/>
      <c r="FAI105" s="29"/>
      <c r="FAJ105" s="29"/>
      <c r="FAK105" s="29"/>
      <c r="FAL105" s="29"/>
      <c r="FAM105" s="29"/>
      <c r="FAN105" s="29"/>
      <c r="FAO105" s="29"/>
      <c r="FAP105" s="29"/>
      <c r="FAQ105" s="29"/>
      <c r="FAR105" s="29"/>
      <c r="FAS105" s="29"/>
      <c r="FAT105" s="29"/>
      <c r="FAU105" s="29"/>
      <c r="FAV105" s="29"/>
      <c r="FAW105" s="29"/>
      <c r="FAX105" s="29"/>
      <c r="FAY105" s="29"/>
      <c r="FAZ105" s="29"/>
      <c r="FBA105" s="29"/>
      <c r="FBB105" s="29"/>
      <c r="FBC105" s="29"/>
      <c r="FBD105" s="29"/>
      <c r="FBE105" s="29"/>
      <c r="FBF105" s="29"/>
      <c r="FBG105" s="29"/>
      <c r="FBH105" s="29"/>
      <c r="FBI105" s="29"/>
      <c r="FBJ105" s="29"/>
      <c r="FBK105" s="29"/>
      <c r="FBL105" s="29"/>
      <c r="FBM105" s="29"/>
      <c r="FBN105" s="29"/>
      <c r="FBO105" s="29"/>
      <c r="FBP105" s="29"/>
      <c r="FBQ105" s="29"/>
      <c r="FBR105" s="29"/>
      <c r="FBS105" s="29"/>
      <c r="FBT105" s="29"/>
      <c r="FBU105" s="29"/>
      <c r="FBV105" s="29"/>
      <c r="FBW105" s="29"/>
      <c r="FBX105" s="29"/>
      <c r="FBY105" s="29"/>
      <c r="FBZ105" s="29"/>
      <c r="FCA105" s="29"/>
      <c r="FCB105" s="29"/>
      <c r="FCC105" s="29"/>
      <c r="FCD105" s="29"/>
      <c r="FCE105" s="29"/>
      <c r="FCF105" s="29"/>
      <c r="FCG105" s="29"/>
      <c r="FCH105" s="29"/>
      <c r="FCI105" s="29"/>
      <c r="FCJ105" s="29"/>
      <c r="FCK105" s="29"/>
      <c r="FCL105" s="29"/>
      <c r="FCM105" s="29"/>
      <c r="FCN105" s="29"/>
      <c r="FCO105" s="29"/>
      <c r="FCP105" s="29"/>
      <c r="FCQ105" s="29"/>
      <c r="FCR105" s="29"/>
      <c r="FCS105" s="29"/>
      <c r="FCT105" s="29"/>
      <c r="FCU105" s="29"/>
      <c r="FCV105" s="29"/>
      <c r="FCW105" s="29"/>
      <c r="FCX105" s="29"/>
      <c r="FCY105" s="29"/>
      <c r="FCZ105" s="29"/>
      <c r="FDA105" s="29"/>
      <c r="FDB105" s="29"/>
      <c r="FDC105" s="29"/>
      <c r="FDD105" s="29"/>
      <c r="FDE105" s="29"/>
      <c r="FDF105" s="29"/>
      <c r="FDG105" s="29"/>
      <c r="FDH105" s="29"/>
      <c r="FDI105" s="29"/>
      <c r="FDJ105" s="29"/>
      <c r="FDK105" s="29"/>
      <c r="FDL105" s="29"/>
      <c r="FDM105" s="29"/>
      <c r="FDN105" s="29"/>
      <c r="FDO105" s="29"/>
      <c r="FDP105" s="29"/>
      <c r="FDQ105" s="29"/>
      <c r="FDR105" s="29"/>
      <c r="FDS105" s="29"/>
      <c r="FDT105" s="29"/>
      <c r="FDU105" s="29"/>
      <c r="FDV105" s="29"/>
      <c r="FDW105" s="29"/>
      <c r="FDX105" s="29"/>
      <c r="FDY105" s="29"/>
      <c r="FDZ105" s="29"/>
      <c r="FEA105" s="29"/>
      <c r="FEB105" s="29"/>
      <c r="FEC105" s="29"/>
      <c r="FED105" s="29"/>
      <c r="FEE105" s="29"/>
      <c r="FEF105" s="29"/>
      <c r="FEG105" s="29"/>
      <c r="FEH105" s="29"/>
      <c r="FEI105" s="29"/>
      <c r="FEJ105" s="29"/>
      <c r="FEK105" s="29"/>
      <c r="FEL105" s="29"/>
      <c r="FEM105" s="29"/>
      <c r="FEN105" s="29"/>
      <c r="FEO105" s="29"/>
      <c r="FEP105" s="29"/>
      <c r="FEQ105" s="29"/>
      <c r="FER105" s="29"/>
      <c r="FES105" s="29"/>
      <c r="FET105" s="29"/>
      <c r="FEU105" s="29"/>
      <c r="FEV105" s="29"/>
      <c r="FEW105" s="29"/>
      <c r="FEX105" s="29"/>
      <c r="FEY105" s="29"/>
      <c r="FEZ105" s="29"/>
      <c r="FFA105" s="29"/>
      <c r="FFB105" s="29"/>
      <c r="FFC105" s="29"/>
      <c r="FFD105" s="29"/>
      <c r="FFE105" s="29"/>
      <c r="FFF105" s="29"/>
      <c r="FFG105" s="29"/>
      <c r="FFH105" s="29"/>
      <c r="FFI105" s="29"/>
      <c r="FFJ105" s="29"/>
      <c r="FFK105" s="29"/>
      <c r="FFL105" s="29"/>
      <c r="FFM105" s="29"/>
      <c r="FFN105" s="29"/>
      <c r="FFO105" s="29"/>
      <c r="FFP105" s="29"/>
      <c r="FFQ105" s="29"/>
      <c r="FFR105" s="29"/>
      <c r="FFS105" s="29"/>
      <c r="FFT105" s="29"/>
      <c r="FFU105" s="29"/>
      <c r="FFV105" s="29"/>
      <c r="FFW105" s="29"/>
      <c r="FFX105" s="29"/>
      <c r="FFY105" s="29"/>
      <c r="FFZ105" s="29"/>
      <c r="FGA105" s="29"/>
      <c r="FGB105" s="29"/>
      <c r="FGC105" s="29"/>
      <c r="FGD105" s="29"/>
      <c r="FGE105" s="29"/>
      <c r="FGF105" s="29"/>
      <c r="FGG105" s="29"/>
      <c r="FGH105" s="29"/>
      <c r="FGI105" s="29"/>
      <c r="FGJ105" s="29"/>
      <c r="FGK105" s="29"/>
      <c r="FGL105" s="29"/>
      <c r="FGM105" s="29"/>
      <c r="FGN105" s="29"/>
      <c r="FGO105" s="29"/>
      <c r="FGP105" s="29"/>
      <c r="FGQ105" s="29"/>
      <c r="FGR105" s="29"/>
      <c r="FGS105" s="29"/>
      <c r="FGT105" s="29"/>
      <c r="FGU105" s="29"/>
      <c r="FGV105" s="29"/>
      <c r="FGW105" s="29"/>
      <c r="FGX105" s="29"/>
      <c r="FGY105" s="29"/>
      <c r="FGZ105" s="29"/>
      <c r="FHA105" s="29"/>
      <c r="FHB105" s="29"/>
      <c r="FHC105" s="29"/>
      <c r="FHD105" s="29"/>
      <c r="FHE105" s="29"/>
      <c r="FHF105" s="29"/>
      <c r="FHG105" s="29"/>
      <c r="FHH105" s="29"/>
      <c r="FHI105" s="29"/>
      <c r="FHJ105" s="29"/>
      <c r="FHK105" s="29"/>
      <c r="FHL105" s="29"/>
      <c r="FHM105" s="29"/>
      <c r="FHN105" s="29"/>
      <c r="FHO105" s="29"/>
      <c r="FHP105" s="29"/>
      <c r="FHQ105" s="29"/>
      <c r="FHR105" s="29"/>
      <c r="FHS105" s="29"/>
      <c r="FHT105" s="29"/>
      <c r="FHU105" s="29"/>
      <c r="FHV105" s="29"/>
      <c r="FHW105" s="29"/>
      <c r="FHX105" s="29"/>
      <c r="FHY105" s="29"/>
      <c r="FHZ105" s="29"/>
      <c r="FIA105" s="29"/>
      <c r="FIB105" s="29"/>
      <c r="FIC105" s="29"/>
      <c r="FID105" s="29"/>
      <c r="FIE105" s="29"/>
      <c r="FIF105" s="29"/>
      <c r="FIG105" s="29"/>
      <c r="FIH105" s="29"/>
      <c r="FII105" s="29"/>
      <c r="FIJ105" s="29"/>
      <c r="FIK105" s="29"/>
      <c r="FIL105" s="29"/>
      <c r="FIM105" s="29"/>
      <c r="FIN105" s="29"/>
      <c r="FIO105" s="29"/>
      <c r="FIP105" s="29"/>
      <c r="FIQ105" s="29"/>
      <c r="FIR105" s="29"/>
      <c r="FIS105" s="29"/>
      <c r="FIT105" s="29"/>
      <c r="FIU105" s="29"/>
      <c r="FIV105" s="29"/>
      <c r="FIW105" s="29"/>
      <c r="FIX105" s="29"/>
      <c r="FIY105" s="29"/>
      <c r="FIZ105" s="29"/>
      <c r="FJA105" s="29"/>
      <c r="FJB105" s="29"/>
      <c r="FJC105" s="29"/>
      <c r="FJD105" s="29"/>
      <c r="FJE105" s="29"/>
      <c r="FJF105" s="29"/>
      <c r="FJG105" s="29"/>
      <c r="FJH105" s="29"/>
      <c r="FJI105" s="29"/>
      <c r="FJJ105" s="29"/>
      <c r="FJK105" s="29"/>
      <c r="FJL105" s="29"/>
      <c r="FJM105" s="29"/>
      <c r="FJN105" s="29"/>
      <c r="FJO105" s="29"/>
      <c r="FJP105" s="29"/>
      <c r="FJQ105" s="29"/>
      <c r="FJR105" s="29"/>
      <c r="FJS105" s="29"/>
      <c r="FJT105" s="29"/>
      <c r="FJU105" s="29"/>
      <c r="FJV105" s="29"/>
      <c r="FJW105" s="29"/>
      <c r="FJX105" s="29"/>
      <c r="FJY105" s="29"/>
      <c r="FJZ105" s="29"/>
      <c r="FKA105" s="29"/>
      <c r="FKB105" s="29"/>
      <c r="FKC105" s="29"/>
      <c r="FKD105" s="29"/>
      <c r="FKE105" s="29"/>
      <c r="FKF105" s="29"/>
      <c r="FKG105" s="29"/>
      <c r="FKH105" s="29"/>
      <c r="FKI105" s="29"/>
      <c r="FKJ105" s="29"/>
      <c r="FKK105" s="29"/>
      <c r="FKL105" s="29"/>
      <c r="FKM105" s="29"/>
      <c r="FKN105" s="29"/>
      <c r="FKO105" s="29"/>
      <c r="FKP105" s="29"/>
      <c r="FKQ105" s="29"/>
      <c r="FKR105" s="29"/>
      <c r="FKS105" s="29"/>
      <c r="FKT105" s="29"/>
      <c r="FKU105" s="29"/>
      <c r="FKV105" s="29"/>
      <c r="FKW105" s="29"/>
      <c r="FKX105" s="29"/>
      <c r="FKY105" s="29"/>
      <c r="FKZ105" s="29"/>
      <c r="FLA105" s="29"/>
      <c r="FLB105" s="29"/>
      <c r="FLC105" s="29"/>
      <c r="FLD105" s="29"/>
      <c r="FLE105" s="29"/>
      <c r="FLF105" s="29"/>
      <c r="FLG105" s="29"/>
      <c r="FLH105" s="29"/>
      <c r="FLI105" s="29"/>
      <c r="FLJ105" s="29"/>
      <c r="FLK105" s="29"/>
      <c r="FLL105" s="29"/>
      <c r="FLM105" s="29"/>
      <c r="FLN105" s="29"/>
      <c r="FLO105" s="29"/>
      <c r="FLP105" s="29"/>
      <c r="FLQ105" s="29"/>
      <c r="FLR105" s="29"/>
      <c r="FLS105" s="29"/>
      <c r="FLT105" s="29"/>
      <c r="FLU105" s="29"/>
      <c r="FLV105" s="29"/>
      <c r="FLW105" s="29"/>
      <c r="FLX105" s="29"/>
      <c r="FLY105" s="29"/>
      <c r="FLZ105" s="29"/>
      <c r="FMA105" s="29"/>
      <c r="FMB105" s="29"/>
      <c r="FMC105" s="29"/>
      <c r="FMD105" s="29"/>
      <c r="FME105" s="29"/>
      <c r="FMF105" s="29"/>
      <c r="FMG105" s="29"/>
      <c r="FMH105" s="29"/>
      <c r="FMI105" s="29"/>
      <c r="FMJ105" s="29"/>
      <c r="FMK105" s="29"/>
      <c r="FML105" s="29"/>
      <c r="FMM105" s="29"/>
      <c r="FMN105" s="29"/>
      <c r="FMO105" s="29"/>
      <c r="FMP105" s="29"/>
      <c r="FMQ105" s="29"/>
      <c r="FMR105" s="29"/>
      <c r="FMS105" s="29"/>
      <c r="FMT105" s="29"/>
      <c r="FMU105" s="29"/>
      <c r="FMV105" s="29"/>
      <c r="FMW105" s="29"/>
      <c r="FMX105" s="29"/>
      <c r="FMY105" s="29"/>
      <c r="FMZ105" s="29"/>
      <c r="FNA105" s="29"/>
      <c r="FNB105" s="29"/>
      <c r="FNC105" s="29"/>
      <c r="FND105" s="29"/>
      <c r="FNE105" s="29"/>
      <c r="FNF105" s="29"/>
      <c r="FNG105" s="29"/>
      <c r="FNH105" s="29"/>
      <c r="FNI105" s="29"/>
      <c r="FNJ105" s="29"/>
      <c r="FNK105" s="29"/>
      <c r="FNL105" s="29"/>
      <c r="FNM105" s="29"/>
      <c r="FNN105" s="29"/>
      <c r="FNO105" s="29"/>
      <c r="FNP105" s="29"/>
      <c r="FNQ105" s="29"/>
      <c r="FNR105" s="29"/>
      <c r="FNS105" s="29"/>
      <c r="FNT105" s="29"/>
      <c r="FNU105" s="29"/>
      <c r="FNV105" s="29"/>
      <c r="FNW105" s="29"/>
      <c r="FNX105" s="29"/>
      <c r="FNY105" s="29"/>
      <c r="FNZ105" s="29"/>
      <c r="FOA105" s="29"/>
      <c r="FOB105" s="29"/>
      <c r="FOC105" s="29"/>
      <c r="FOD105" s="29"/>
      <c r="FOE105" s="29"/>
      <c r="FOF105" s="29"/>
      <c r="FOG105" s="29"/>
      <c r="FOH105" s="29"/>
      <c r="FOI105" s="29"/>
      <c r="FOJ105" s="29"/>
      <c r="FOK105" s="29"/>
      <c r="FOL105" s="29"/>
      <c r="FOM105" s="29"/>
      <c r="FON105" s="29"/>
      <c r="FOO105" s="29"/>
      <c r="FOP105" s="29"/>
      <c r="FOQ105" s="29"/>
      <c r="FOR105" s="29"/>
      <c r="FOS105" s="29"/>
      <c r="FOT105" s="29"/>
      <c r="FOU105" s="29"/>
      <c r="FOV105" s="29"/>
      <c r="FOW105" s="29"/>
      <c r="FOX105" s="29"/>
      <c r="FOY105" s="29"/>
      <c r="FOZ105" s="29"/>
      <c r="FPA105" s="29"/>
      <c r="FPB105" s="29"/>
      <c r="FPC105" s="29"/>
      <c r="FPD105" s="29"/>
      <c r="FPE105" s="29"/>
      <c r="FPF105" s="29"/>
      <c r="FPG105" s="29"/>
      <c r="FPH105" s="29"/>
      <c r="FPI105" s="29"/>
      <c r="FPJ105" s="29"/>
      <c r="FPK105" s="29"/>
      <c r="FPL105" s="29"/>
      <c r="FPM105" s="29"/>
      <c r="FPN105" s="29"/>
      <c r="FPO105" s="29"/>
      <c r="FPP105" s="29"/>
      <c r="FPQ105" s="29"/>
      <c r="FPR105" s="29"/>
      <c r="FPS105" s="29"/>
      <c r="FPT105" s="29"/>
      <c r="FPU105" s="29"/>
      <c r="FPV105" s="29"/>
      <c r="FPW105" s="29"/>
      <c r="FPX105" s="29"/>
      <c r="FPY105" s="29"/>
      <c r="FPZ105" s="29"/>
      <c r="FQA105" s="29"/>
      <c r="FQB105" s="29"/>
      <c r="FQC105" s="29"/>
      <c r="FQD105" s="29"/>
      <c r="FQE105" s="29"/>
      <c r="FQF105" s="29"/>
      <c r="FQG105" s="29"/>
      <c r="FQH105" s="29"/>
      <c r="FQI105" s="29"/>
      <c r="FQJ105" s="29"/>
      <c r="FQK105" s="29"/>
      <c r="FQL105" s="29"/>
      <c r="FQM105" s="29"/>
      <c r="FQN105" s="29"/>
      <c r="FQO105" s="29"/>
      <c r="FQP105" s="29"/>
      <c r="FQQ105" s="29"/>
      <c r="FQR105" s="29"/>
      <c r="FQS105" s="29"/>
      <c r="FQT105" s="29"/>
      <c r="FQU105" s="29"/>
      <c r="FQV105" s="29"/>
      <c r="FQW105" s="29"/>
      <c r="FQX105" s="29"/>
      <c r="FQY105" s="29"/>
      <c r="FQZ105" s="29"/>
      <c r="FRA105" s="29"/>
      <c r="FRB105" s="29"/>
      <c r="FRC105" s="29"/>
      <c r="FRD105" s="29"/>
      <c r="FRE105" s="29"/>
      <c r="FRF105" s="29"/>
      <c r="FRG105" s="29"/>
      <c r="FRH105" s="29"/>
      <c r="FRI105" s="29"/>
      <c r="FRJ105" s="29"/>
      <c r="FRK105" s="29"/>
      <c r="FRL105" s="29"/>
      <c r="FRM105" s="29"/>
      <c r="FRN105" s="29"/>
      <c r="FRO105" s="29"/>
      <c r="FRP105" s="29"/>
      <c r="FRQ105" s="29"/>
      <c r="FRR105" s="29"/>
      <c r="FRS105" s="29"/>
      <c r="FRT105" s="29"/>
      <c r="FRU105" s="29"/>
      <c r="FRV105" s="29"/>
      <c r="FRW105" s="29"/>
      <c r="FRX105" s="29"/>
      <c r="FRY105" s="29"/>
      <c r="FRZ105" s="29"/>
      <c r="FSA105" s="29"/>
      <c r="FSB105" s="29"/>
      <c r="FSC105" s="29"/>
      <c r="FSD105" s="29"/>
      <c r="FSE105" s="29"/>
      <c r="FSF105" s="29"/>
      <c r="FSG105" s="29"/>
      <c r="FSH105" s="29"/>
      <c r="FSI105" s="29"/>
      <c r="FSJ105" s="29"/>
      <c r="FSK105" s="29"/>
      <c r="FSL105" s="29"/>
      <c r="FSM105" s="29"/>
      <c r="FSN105" s="29"/>
      <c r="FSO105" s="29"/>
      <c r="FSP105" s="29"/>
      <c r="FSQ105" s="29"/>
      <c r="FSR105" s="29"/>
      <c r="FSS105" s="29"/>
      <c r="FST105" s="29"/>
      <c r="FSU105" s="29"/>
      <c r="FSV105" s="29"/>
      <c r="FSW105" s="29"/>
      <c r="FSX105" s="29"/>
      <c r="FSY105" s="29"/>
      <c r="FSZ105" s="29"/>
      <c r="FTA105" s="29"/>
      <c r="FTB105" s="29"/>
      <c r="FTC105" s="29"/>
      <c r="FTD105" s="29"/>
      <c r="FTE105" s="29"/>
      <c r="FTF105" s="29"/>
      <c r="FTG105" s="29"/>
      <c r="FTH105" s="29"/>
      <c r="FTI105" s="29"/>
      <c r="FTJ105" s="29"/>
      <c r="FTK105" s="29"/>
      <c r="FTL105" s="29"/>
      <c r="FTM105" s="29"/>
      <c r="FTN105" s="29"/>
      <c r="FTO105" s="29"/>
      <c r="FTP105" s="29"/>
      <c r="FTQ105" s="29"/>
      <c r="FTR105" s="29"/>
      <c r="FTS105" s="29"/>
      <c r="FTT105" s="29"/>
      <c r="FTU105" s="29"/>
      <c r="FTV105" s="29"/>
      <c r="FTW105" s="29"/>
      <c r="FTX105" s="29"/>
      <c r="FTY105" s="29"/>
      <c r="FTZ105" s="29"/>
      <c r="FUA105" s="29"/>
      <c r="FUB105" s="29"/>
      <c r="FUC105" s="29"/>
      <c r="FUD105" s="29"/>
      <c r="FUE105" s="29"/>
      <c r="FUF105" s="29"/>
      <c r="FUG105" s="29"/>
      <c r="FUH105" s="29"/>
      <c r="FUI105" s="29"/>
      <c r="FUJ105" s="29"/>
      <c r="FUK105" s="29"/>
      <c r="FUL105" s="29"/>
      <c r="FUM105" s="29"/>
      <c r="FUN105" s="29"/>
      <c r="FUO105" s="29"/>
      <c r="FUP105" s="29"/>
      <c r="FUQ105" s="29"/>
      <c r="FUR105" s="29"/>
      <c r="FUS105" s="29"/>
      <c r="FUT105" s="29"/>
      <c r="FUU105" s="29"/>
      <c r="FUV105" s="29"/>
      <c r="FUW105" s="29"/>
      <c r="FUX105" s="29"/>
      <c r="FUY105" s="29"/>
      <c r="FUZ105" s="29"/>
      <c r="FVA105" s="29"/>
      <c r="FVB105" s="29"/>
      <c r="FVC105" s="29"/>
      <c r="FVD105" s="29"/>
      <c r="FVE105" s="29"/>
      <c r="FVF105" s="29"/>
      <c r="FVG105" s="29"/>
      <c r="FVH105" s="29"/>
      <c r="FVI105" s="29"/>
      <c r="FVJ105" s="29"/>
      <c r="FVK105" s="29"/>
      <c r="FVL105" s="29"/>
      <c r="FVM105" s="29"/>
      <c r="FVN105" s="29"/>
      <c r="FVO105" s="29"/>
      <c r="FVP105" s="29"/>
      <c r="FVQ105" s="29"/>
      <c r="FVR105" s="29"/>
      <c r="FVS105" s="29"/>
      <c r="FVT105" s="29"/>
      <c r="FVU105" s="29"/>
      <c r="FVV105" s="29"/>
      <c r="FVW105" s="29"/>
      <c r="FVX105" s="29"/>
      <c r="FVY105" s="29"/>
      <c r="FVZ105" s="29"/>
      <c r="FWA105" s="29"/>
      <c r="FWB105" s="29"/>
      <c r="FWC105" s="29"/>
      <c r="FWD105" s="29"/>
      <c r="FWE105" s="29"/>
      <c r="FWF105" s="29"/>
      <c r="FWG105" s="29"/>
      <c r="FWH105" s="29"/>
      <c r="FWI105" s="29"/>
      <c r="FWJ105" s="29"/>
      <c r="FWK105" s="29"/>
      <c r="FWL105" s="29"/>
      <c r="FWM105" s="29"/>
      <c r="FWN105" s="29"/>
      <c r="FWO105" s="29"/>
      <c r="FWP105" s="29"/>
      <c r="FWQ105" s="29"/>
      <c r="FWR105" s="29"/>
      <c r="FWS105" s="29"/>
      <c r="FWT105" s="29"/>
      <c r="FWU105" s="29"/>
      <c r="FWV105" s="29"/>
      <c r="FWW105" s="29"/>
      <c r="FWX105" s="29"/>
      <c r="FWY105" s="29"/>
      <c r="FWZ105" s="29"/>
      <c r="FXA105" s="29"/>
      <c r="FXB105" s="29"/>
      <c r="FXC105" s="29"/>
      <c r="FXD105" s="29"/>
      <c r="FXE105" s="29"/>
      <c r="FXF105" s="29"/>
      <c r="FXG105" s="29"/>
      <c r="FXH105" s="29"/>
      <c r="FXI105" s="29"/>
      <c r="FXJ105" s="29"/>
      <c r="FXK105" s="29"/>
      <c r="FXL105" s="29"/>
      <c r="FXM105" s="29"/>
      <c r="FXN105" s="29"/>
      <c r="FXO105" s="29"/>
      <c r="FXP105" s="29"/>
      <c r="FXQ105" s="29"/>
      <c r="FXR105" s="29"/>
      <c r="FXS105" s="29"/>
      <c r="FXT105" s="29"/>
      <c r="FXU105" s="29"/>
      <c r="FXV105" s="29"/>
      <c r="FXW105" s="29"/>
      <c r="FXX105" s="29"/>
      <c r="FXY105" s="29"/>
      <c r="FXZ105" s="29"/>
      <c r="FYA105" s="29"/>
      <c r="FYB105" s="29"/>
      <c r="FYC105" s="29"/>
      <c r="FYD105" s="29"/>
      <c r="FYE105" s="29"/>
      <c r="FYF105" s="29"/>
      <c r="FYG105" s="29"/>
      <c r="FYH105" s="29"/>
      <c r="FYI105" s="29"/>
      <c r="FYJ105" s="29"/>
      <c r="FYK105" s="29"/>
      <c r="FYL105" s="29"/>
      <c r="FYM105" s="29"/>
      <c r="FYN105" s="29"/>
      <c r="FYO105" s="29"/>
      <c r="FYP105" s="29"/>
      <c r="FYQ105" s="29"/>
      <c r="FYR105" s="29"/>
      <c r="FYS105" s="29"/>
      <c r="FYT105" s="29"/>
      <c r="FYU105" s="29"/>
      <c r="FYV105" s="29"/>
      <c r="FYW105" s="29"/>
      <c r="FYX105" s="29"/>
      <c r="FYY105" s="29"/>
      <c r="FYZ105" s="29"/>
      <c r="FZA105" s="29"/>
      <c r="FZB105" s="29"/>
      <c r="FZC105" s="29"/>
      <c r="FZD105" s="29"/>
      <c r="FZE105" s="29"/>
      <c r="FZF105" s="29"/>
      <c r="FZG105" s="29"/>
      <c r="FZH105" s="29"/>
      <c r="FZI105" s="29"/>
      <c r="FZJ105" s="29"/>
      <c r="FZK105" s="29"/>
      <c r="FZL105" s="29"/>
      <c r="FZM105" s="29"/>
      <c r="FZN105" s="29"/>
      <c r="FZO105" s="29"/>
      <c r="FZP105" s="29"/>
      <c r="FZQ105" s="29"/>
      <c r="FZR105" s="29"/>
      <c r="FZS105" s="29"/>
      <c r="FZT105" s="29"/>
      <c r="FZU105" s="29"/>
      <c r="FZV105" s="29"/>
      <c r="FZW105" s="29"/>
      <c r="FZX105" s="29"/>
      <c r="FZY105" s="29"/>
      <c r="FZZ105" s="29"/>
      <c r="GAA105" s="29"/>
      <c r="GAB105" s="29"/>
      <c r="GAC105" s="29"/>
      <c r="GAD105" s="29"/>
      <c r="GAE105" s="29"/>
      <c r="GAF105" s="29"/>
      <c r="GAG105" s="29"/>
      <c r="GAH105" s="29"/>
      <c r="GAI105" s="29"/>
      <c r="GAJ105" s="29"/>
      <c r="GAK105" s="29"/>
      <c r="GAL105" s="29"/>
      <c r="GAM105" s="29"/>
      <c r="GAN105" s="29"/>
      <c r="GAO105" s="29"/>
      <c r="GAP105" s="29"/>
      <c r="GAQ105" s="29"/>
      <c r="GAR105" s="29"/>
      <c r="GAS105" s="29"/>
      <c r="GAT105" s="29"/>
      <c r="GAU105" s="29"/>
      <c r="GAV105" s="29"/>
      <c r="GAW105" s="29"/>
      <c r="GAX105" s="29"/>
      <c r="GAY105" s="29"/>
      <c r="GAZ105" s="29"/>
      <c r="GBA105" s="29"/>
      <c r="GBB105" s="29"/>
      <c r="GBC105" s="29"/>
      <c r="GBD105" s="29"/>
      <c r="GBE105" s="29"/>
      <c r="GBF105" s="29"/>
      <c r="GBG105" s="29"/>
      <c r="GBH105" s="29"/>
      <c r="GBI105" s="29"/>
      <c r="GBJ105" s="29"/>
      <c r="GBK105" s="29"/>
      <c r="GBL105" s="29"/>
      <c r="GBM105" s="29"/>
      <c r="GBN105" s="29"/>
      <c r="GBO105" s="29"/>
      <c r="GBP105" s="29"/>
      <c r="GBQ105" s="29"/>
      <c r="GBR105" s="29"/>
      <c r="GBS105" s="29"/>
      <c r="GBT105" s="29"/>
      <c r="GBU105" s="29"/>
      <c r="GBV105" s="29"/>
      <c r="GBW105" s="29"/>
      <c r="GBX105" s="29"/>
      <c r="GBY105" s="29"/>
      <c r="GBZ105" s="29"/>
      <c r="GCA105" s="29"/>
      <c r="GCB105" s="29"/>
      <c r="GCC105" s="29"/>
      <c r="GCD105" s="29"/>
      <c r="GCE105" s="29"/>
      <c r="GCF105" s="29"/>
      <c r="GCG105" s="29"/>
      <c r="GCH105" s="29"/>
      <c r="GCI105" s="29"/>
      <c r="GCJ105" s="29"/>
      <c r="GCK105" s="29"/>
      <c r="GCL105" s="29"/>
      <c r="GCM105" s="29"/>
      <c r="GCN105" s="29"/>
      <c r="GCO105" s="29"/>
      <c r="GCP105" s="29"/>
      <c r="GCQ105" s="29"/>
      <c r="GCR105" s="29"/>
      <c r="GCS105" s="29"/>
      <c r="GCT105" s="29"/>
      <c r="GCU105" s="29"/>
      <c r="GCV105" s="29"/>
      <c r="GCW105" s="29"/>
      <c r="GCX105" s="29"/>
      <c r="GCY105" s="29"/>
      <c r="GCZ105" s="29"/>
      <c r="GDA105" s="29"/>
      <c r="GDB105" s="29"/>
      <c r="GDC105" s="29"/>
      <c r="GDD105" s="29"/>
      <c r="GDE105" s="29"/>
      <c r="GDF105" s="29"/>
      <c r="GDG105" s="29"/>
      <c r="GDH105" s="29"/>
      <c r="GDI105" s="29"/>
      <c r="GDJ105" s="29"/>
      <c r="GDK105" s="29"/>
      <c r="GDL105" s="29"/>
      <c r="GDM105" s="29"/>
      <c r="GDN105" s="29"/>
      <c r="GDO105" s="29"/>
      <c r="GDP105" s="29"/>
      <c r="GDQ105" s="29"/>
      <c r="GDR105" s="29"/>
      <c r="GDS105" s="29"/>
      <c r="GDT105" s="29"/>
      <c r="GDU105" s="29"/>
      <c r="GDV105" s="29"/>
      <c r="GDW105" s="29"/>
      <c r="GDX105" s="29"/>
      <c r="GDY105" s="29"/>
      <c r="GDZ105" s="29"/>
      <c r="GEA105" s="29"/>
      <c r="GEB105" s="29"/>
      <c r="GEC105" s="29"/>
      <c r="GED105" s="29"/>
      <c r="GEE105" s="29"/>
      <c r="GEF105" s="29"/>
      <c r="GEG105" s="29"/>
      <c r="GEH105" s="29"/>
      <c r="GEI105" s="29"/>
      <c r="GEJ105" s="29"/>
      <c r="GEK105" s="29"/>
      <c r="GEL105" s="29"/>
      <c r="GEM105" s="29"/>
      <c r="GEN105" s="29"/>
      <c r="GEO105" s="29"/>
      <c r="GEP105" s="29"/>
      <c r="GEQ105" s="29"/>
      <c r="GER105" s="29"/>
      <c r="GES105" s="29"/>
      <c r="GET105" s="29"/>
      <c r="GEU105" s="29"/>
      <c r="GEV105" s="29"/>
      <c r="GEW105" s="29"/>
      <c r="GEX105" s="29"/>
      <c r="GEY105" s="29"/>
      <c r="GEZ105" s="29"/>
      <c r="GFA105" s="29"/>
      <c r="GFB105" s="29"/>
      <c r="GFC105" s="29"/>
      <c r="GFD105" s="29"/>
      <c r="GFE105" s="29"/>
      <c r="GFF105" s="29"/>
      <c r="GFG105" s="29"/>
      <c r="GFH105" s="29"/>
      <c r="GFI105" s="29"/>
      <c r="GFJ105" s="29"/>
      <c r="GFK105" s="29"/>
      <c r="GFL105" s="29"/>
      <c r="GFM105" s="29"/>
      <c r="GFN105" s="29"/>
      <c r="GFO105" s="29"/>
      <c r="GFP105" s="29"/>
      <c r="GFQ105" s="29"/>
      <c r="GFR105" s="29"/>
      <c r="GFS105" s="29"/>
      <c r="GFT105" s="29"/>
      <c r="GFU105" s="29"/>
      <c r="GFV105" s="29"/>
      <c r="GFW105" s="29"/>
      <c r="GFX105" s="29"/>
      <c r="GFY105" s="29"/>
      <c r="GFZ105" s="29"/>
      <c r="GGA105" s="29"/>
      <c r="GGB105" s="29"/>
      <c r="GGC105" s="29"/>
      <c r="GGD105" s="29"/>
      <c r="GGE105" s="29"/>
      <c r="GGF105" s="29"/>
      <c r="GGG105" s="29"/>
      <c r="GGH105" s="29"/>
      <c r="GGI105" s="29"/>
      <c r="GGJ105" s="29"/>
      <c r="GGK105" s="29"/>
      <c r="GGL105" s="29"/>
      <c r="GGM105" s="29"/>
      <c r="GGN105" s="29"/>
      <c r="GGO105" s="29"/>
      <c r="GGP105" s="29"/>
      <c r="GGQ105" s="29"/>
      <c r="GGR105" s="29"/>
      <c r="GGS105" s="29"/>
      <c r="GGT105" s="29"/>
      <c r="GGU105" s="29"/>
      <c r="GGV105" s="29"/>
      <c r="GGW105" s="29"/>
      <c r="GGX105" s="29"/>
      <c r="GGY105" s="29"/>
      <c r="GGZ105" s="29"/>
      <c r="GHA105" s="29"/>
      <c r="GHB105" s="29"/>
      <c r="GHC105" s="29"/>
      <c r="GHD105" s="29"/>
      <c r="GHE105" s="29"/>
      <c r="GHF105" s="29"/>
      <c r="GHG105" s="29"/>
      <c r="GHH105" s="29"/>
      <c r="GHI105" s="29"/>
      <c r="GHJ105" s="29"/>
      <c r="GHK105" s="29"/>
      <c r="GHL105" s="29"/>
      <c r="GHM105" s="29"/>
      <c r="GHN105" s="29"/>
      <c r="GHO105" s="29"/>
      <c r="GHP105" s="29"/>
      <c r="GHQ105" s="29"/>
      <c r="GHR105" s="29"/>
      <c r="GHS105" s="29"/>
      <c r="GHT105" s="29"/>
      <c r="GHU105" s="29"/>
      <c r="GHV105" s="29"/>
      <c r="GHW105" s="29"/>
      <c r="GHX105" s="29"/>
      <c r="GHY105" s="29"/>
      <c r="GHZ105" s="29"/>
      <c r="GIA105" s="29"/>
      <c r="GIB105" s="29"/>
      <c r="GIC105" s="29"/>
      <c r="GID105" s="29"/>
      <c r="GIE105" s="29"/>
      <c r="GIF105" s="29"/>
      <c r="GIG105" s="29"/>
      <c r="GIH105" s="29"/>
      <c r="GII105" s="29"/>
      <c r="GIJ105" s="29"/>
      <c r="GIK105" s="29"/>
      <c r="GIL105" s="29"/>
      <c r="GIM105" s="29"/>
      <c r="GIN105" s="29"/>
      <c r="GIO105" s="29"/>
      <c r="GIP105" s="29"/>
      <c r="GIQ105" s="29"/>
      <c r="GIR105" s="29"/>
      <c r="GIS105" s="29"/>
      <c r="GIT105" s="29"/>
      <c r="GIU105" s="29"/>
      <c r="GIV105" s="29"/>
      <c r="GIW105" s="29"/>
      <c r="GIX105" s="29"/>
      <c r="GIY105" s="29"/>
      <c r="GIZ105" s="29"/>
      <c r="GJA105" s="29"/>
      <c r="GJB105" s="29"/>
      <c r="GJC105" s="29"/>
      <c r="GJD105" s="29"/>
      <c r="GJE105" s="29"/>
      <c r="GJF105" s="29"/>
      <c r="GJG105" s="29"/>
      <c r="GJH105" s="29"/>
      <c r="GJI105" s="29"/>
      <c r="GJJ105" s="29"/>
      <c r="GJK105" s="29"/>
      <c r="GJL105" s="29"/>
      <c r="GJM105" s="29"/>
      <c r="GJN105" s="29"/>
      <c r="GJO105" s="29"/>
      <c r="GJP105" s="29"/>
      <c r="GJQ105" s="29"/>
      <c r="GJR105" s="29"/>
      <c r="GJS105" s="29"/>
      <c r="GJT105" s="29"/>
      <c r="GJU105" s="29"/>
      <c r="GJV105" s="29"/>
      <c r="GJW105" s="29"/>
      <c r="GJX105" s="29"/>
      <c r="GJY105" s="29"/>
      <c r="GJZ105" s="29"/>
      <c r="GKA105" s="29"/>
      <c r="GKB105" s="29"/>
      <c r="GKC105" s="29"/>
      <c r="GKD105" s="29"/>
      <c r="GKE105" s="29"/>
      <c r="GKF105" s="29"/>
      <c r="GKG105" s="29"/>
      <c r="GKH105" s="29"/>
      <c r="GKI105" s="29"/>
      <c r="GKJ105" s="29"/>
      <c r="GKK105" s="29"/>
      <c r="GKL105" s="29"/>
      <c r="GKM105" s="29"/>
      <c r="GKN105" s="29"/>
      <c r="GKO105" s="29"/>
      <c r="GKP105" s="29"/>
      <c r="GKQ105" s="29"/>
      <c r="GKR105" s="29"/>
      <c r="GKS105" s="29"/>
      <c r="GKT105" s="29"/>
      <c r="GKU105" s="29"/>
      <c r="GKV105" s="29"/>
      <c r="GKW105" s="29"/>
      <c r="GKX105" s="29"/>
      <c r="GKY105" s="29"/>
      <c r="GKZ105" s="29"/>
      <c r="GLA105" s="29"/>
      <c r="GLB105" s="29"/>
      <c r="GLC105" s="29"/>
      <c r="GLD105" s="29"/>
      <c r="GLE105" s="29"/>
      <c r="GLF105" s="29"/>
      <c r="GLG105" s="29"/>
      <c r="GLH105" s="29"/>
      <c r="GLI105" s="29"/>
      <c r="GLJ105" s="29"/>
      <c r="GLK105" s="29"/>
      <c r="GLL105" s="29"/>
      <c r="GLM105" s="29"/>
      <c r="GLN105" s="29"/>
      <c r="GLO105" s="29"/>
      <c r="GLP105" s="29"/>
      <c r="GLQ105" s="29"/>
      <c r="GLR105" s="29"/>
      <c r="GLS105" s="29"/>
      <c r="GLT105" s="29"/>
      <c r="GLU105" s="29"/>
      <c r="GLV105" s="29"/>
      <c r="GLW105" s="29"/>
      <c r="GLX105" s="29"/>
      <c r="GLY105" s="29"/>
      <c r="GLZ105" s="29"/>
      <c r="GMA105" s="29"/>
      <c r="GMB105" s="29"/>
      <c r="GMC105" s="29"/>
      <c r="GMD105" s="29"/>
      <c r="GME105" s="29"/>
      <c r="GMF105" s="29"/>
      <c r="GMG105" s="29"/>
      <c r="GMH105" s="29"/>
      <c r="GMI105" s="29"/>
      <c r="GMJ105" s="29"/>
      <c r="GMK105" s="29"/>
      <c r="GML105" s="29"/>
      <c r="GMM105" s="29"/>
      <c r="GMN105" s="29"/>
      <c r="GMO105" s="29"/>
      <c r="GMP105" s="29"/>
      <c r="GMQ105" s="29"/>
      <c r="GMR105" s="29"/>
      <c r="GMS105" s="29"/>
      <c r="GMT105" s="29"/>
      <c r="GMU105" s="29"/>
      <c r="GMV105" s="29"/>
      <c r="GMW105" s="29"/>
      <c r="GMX105" s="29"/>
      <c r="GMY105" s="29"/>
      <c r="GMZ105" s="29"/>
      <c r="GNA105" s="29"/>
      <c r="GNB105" s="29"/>
      <c r="GNC105" s="29"/>
      <c r="GND105" s="29"/>
      <c r="GNE105" s="29"/>
      <c r="GNF105" s="29"/>
      <c r="GNG105" s="29"/>
      <c r="GNH105" s="29"/>
      <c r="GNI105" s="29"/>
      <c r="GNJ105" s="29"/>
      <c r="GNK105" s="29"/>
      <c r="GNL105" s="29"/>
      <c r="GNM105" s="29"/>
      <c r="GNN105" s="29"/>
      <c r="GNO105" s="29"/>
      <c r="GNP105" s="29"/>
      <c r="GNQ105" s="29"/>
      <c r="GNR105" s="29"/>
      <c r="GNS105" s="29"/>
      <c r="GNT105" s="29"/>
      <c r="GNU105" s="29"/>
      <c r="GNV105" s="29"/>
      <c r="GNW105" s="29"/>
      <c r="GNX105" s="29"/>
      <c r="GNY105" s="29"/>
      <c r="GNZ105" s="29"/>
      <c r="GOA105" s="29"/>
      <c r="GOB105" s="29"/>
      <c r="GOC105" s="29"/>
      <c r="GOD105" s="29"/>
      <c r="GOE105" s="29"/>
      <c r="GOF105" s="29"/>
      <c r="GOG105" s="29"/>
      <c r="GOH105" s="29"/>
      <c r="GOI105" s="29"/>
      <c r="GOJ105" s="29"/>
      <c r="GOK105" s="29"/>
      <c r="GOL105" s="29"/>
      <c r="GOM105" s="29"/>
      <c r="GON105" s="29"/>
      <c r="GOO105" s="29"/>
      <c r="GOP105" s="29"/>
      <c r="GOQ105" s="29"/>
      <c r="GOR105" s="29"/>
      <c r="GOS105" s="29"/>
      <c r="GOT105" s="29"/>
      <c r="GOU105" s="29"/>
      <c r="GOV105" s="29"/>
      <c r="GOW105" s="29"/>
      <c r="GOX105" s="29"/>
      <c r="GOY105" s="29"/>
      <c r="GOZ105" s="29"/>
      <c r="GPA105" s="29"/>
      <c r="GPB105" s="29"/>
      <c r="GPC105" s="29"/>
      <c r="GPD105" s="29"/>
      <c r="GPE105" s="29"/>
      <c r="GPF105" s="29"/>
      <c r="GPG105" s="29"/>
      <c r="GPH105" s="29"/>
      <c r="GPI105" s="29"/>
      <c r="GPJ105" s="29"/>
      <c r="GPK105" s="29"/>
      <c r="GPL105" s="29"/>
      <c r="GPM105" s="29"/>
      <c r="GPN105" s="29"/>
      <c r="GPO105" s="29"/>
      <c r="GPP105" s="29"/>
      <c r="GPQ105" s="29"/>
      <c r="GPR105" s="29"/>
      <c r="GPS105" s="29"/>
      <c r="GPT105" s="29"/>
      <c r="GPU105" s="29"/>
      <c r="GPV105" s="29"/>
      <c r="GPW105" s="29"/>
      <c r="GPX105" s="29"/>
      <c r="GPY105" s="29"/>
      <c r="GPZ105" s="29"/>
      <c r="GQA105" s="29"/>
      <c r="GQB105" s="29"/>
      <c r="GQC105" s="29"/>
      <c r="GQD105" s="29"/>
      <c r="GQE105" s="29"/>
      <c r="GQF105" s="29"/>
      <c r="GQG105" s="29"/>
      <c r="GQH105" s="29"/>
      <c r="GQI105" s="29"/>
      <c r="GQJ105" s="29"/>
      <c r="GQK105" s="29"/>
      <c r="GQL105" s="29"/>
      <c r="GQM105" s="29"/>
      <c r="GQN105" s="29"/>
      <c r="GQO105" s="29"/>
      <c r="GQP105" s="29"/>
      <c r="GQQ105" s="29"/>
      <c r="GQR105" s="29"/>
      <c r="GQS105" s="29"/>
      <c r="GQT105" s="29"/>
      <c r="GQU105" s="29"/>
      <c r="GQV105" s="29"/>
      <c r="GQW105" s="29"/>
      <c r="GQX105" s="29"/>
      <c r="GQY105" s="29"/>
      <c r="GQZ105" s="29"/>
      <c r="GRA105" s="29"/>
      <c r="GRB105" s="29"/>
      <c r="GRC105" s="29"/>
      <c r="GRD105" s="29"/>
      <c r="GRE105" s="29"/>
      <c r="GRF105" s="29"/>
      <c r="GRG105" s="29"/>
      <c r="GRH105" s="29"/>
      <c r="GRI105" s="29"/>
      <c r="GRJ105" s="29"/>
      <c r="GRK105" s="29"/>
      <c r="GRL105" s="29"/>
      <c r="GRM105" s="29"/>
      <c r="GRN105" s="29"/>
      <c r="GRO105" s="29"/>
      <c r="GRP105" s="29"/>
      <c r="GRQ105" s="29"/>
      <c r="GRR105" s="29"/>
      <c r="GRS105" s="29"/>
      <c r="GRT105" s="29"/>
      <c r="GRU105" s="29"/>
      <c r="GRV105" s="29"/>
      <c r="GRW105" s="29"/>
      <c r="GRX105" s="29"/>
      <c r="GRY105" s="29"/>
      <c r="GRZ105" s="29"/>
      <c r="GSA105" s="29"/>
      <c r="GSB105" s="29"/>
      <c r="GSC105" s="29"/>
      <c r="GSD105" s="29"/>
      <c r="GSE105" s="29"/>
      <c r="GSF105" s="29"/>
      <c r="GSG105" s="29"/>
      <c r="GSH105" s="29"/>
      <c r="GSI105" s="29"/>
      <c r="GSJ105" s="29"/>
      <c r="GSK105" s="29"/>
      <c r="GSL105" s="29"/>
      <c r="GSM105" s="29"/>
      <c r="GSN105" s="29"/>
      <c r="GSO105" s="29"/>
      <c r="GSP105" s="29"/>
      <c r="GSQ105" s="29"/>
      <c r="GSR105" s="29"/>
      <c r="GSS105" s="29"/>
      <c r="GST105" s="29"/>
      <c r="GSU105" s="29"/>
      <c r="GSV105" s="29"/>
      <c r="GSW105" s="29"/>
      <c r="GSX105" s="29"/>
      <c r="GSY105" s="29"/>
      <c r="GSZ105" s="29"/>
      <c r="GTA105" s="29"/>
      <c r="GTB105" s="29"/>
      <c r="GTC105" s="29"/>
      <c r="GTD105" s="29"/>
      <c r="GTE105" s="29"/>
      <c r="GTF105" s="29"/>
      <c r="GTG105" s="29"/>
      <c r="GTH105" s="29"/>
      <c r="GTI105" s="29"/>
      <c r="GTJ105" s="29"/>
      <c r="GTK105" s="29"/>
      <c r="GTL105" s="29"/>
      <c r="GTM105" s="29"/>
      <c r="GTN105" s="29"/>
      <c r="GTO105" s="29"/>
      <c r="GTP105" s="29"/>
      <c r="GTQ105" s="29"/>
      <c r="GTR105" s="29"/>
      <c r="GTS105" s="29"/>
      <c r="GTT105" s="29"/>
      <c r="GTU105" s="29"/>
      <c r="GTV105" s="29"/>
      <c r="GTW105" s="29"/>
      <c r="GTX105" s="29"/>
      <c r="GTY105" s="29"/>
      <c r="GTZ105" s="29"/>
      <c r="GUA105" s="29"/>
      <c r="GUB105" s="29"/>
      <c r="GUC105" s="29"/>
      <c r="GUD105" s="29"/>
      <c r="GUE105" s="29"/>
      <c r="GUF105" s="29"/>
      <c r="GUG105" s="29"/>
      <c r="GUH105" s="29"/>
      <c r="GUI105" s="29"/>
      <c r="GUJ105" s="29"/>
      <c r="GUK105" s="29"/>
      <c r="GUL105" s="29"/>
      <c r="GUM105" s="29"/>
      <c r="GUN105" s="29"/>
      <c r="GUO105" s="29"/>
      <c r="GUP105" s="29"/>
      <c r="GUQ105" s="29"/>
      <c r="GUR105" s="29"/>
      <c r="GUS105" s="29"/>
      <c r="GUT105" s="29"/>
      <c r="GUU105" s="29"/>
      <c r="GUV105" s="29"/>
      <c r="GUW105" s="29"/>
      <c r="GUX105" s="29"/>
      <c r="GUY105" s="29"/>
      <c r="GUZ105" s="29"/>
      <c r="GVA105" s="29"/>
      <c r="GVB105" s="29"/>
      <c r="GVC105" s="29"/>
      <c r="GVD105" s="29"/>
      <c r="GVE105" s="29"/>
      <c r="GVF105" s="29"/>
      <c r="GVG105" s="29"/>
      <c r="GVH105" s="29"/>
      <c r="GVI105" s="29"/>
      <c r="GVJ105" s="29"/>
      <c r="GVK105" s="29"/>
      <c r="GVL105" s="29"/>
      <c r="GVM105" s="29"/>
      <c r="GVN105" s="29"/>
      <c r="GVO105" s="29"/>
      <c r="GVP105" s="29"/>
      <c r="GVQ105" s="29"/>
      <c r="GVR105" s="29"/>
      <c r="GVS105" s="29"/>
      <c r="GVT105" s="29"/>
      <c r="GVU105" s="29"/>
      <c r="GVV105" s="29"/>
      <c r="GVW105" s="29"/>
      <c r="GVX105" s="29"/>
      <c r="GVY105" s="29"/>
      <c r="GVZ105" s="29"/>
      <c r="GWA105" s="29"/>
      <c r="GWB105" s="29"/>
      <c r="GWC105" s="29"/>
      <c r="GWD105" s="29"/>
      <c r="GWE105" s="29"/>
      <c r="GWF105" s="29"/>
      <c r="GWG105" s="29"/>
      <c r="GWH105" s="29"/>
      <c r="GWI105" s="29"/>
      <c r="GWJ105" s="29"/>
      <c r="GWK105" s="29"/>
      <c r="GWL105" s="29"/>
      <c r="GWM105" s="29"/>
      <c r="GWN105" s="29"/>
      <c r="GWO105" s="29"/>
      <c r="GWP105" s="29"/>
      <c r="GWQ105" s="29"/>
      <c r="GWR105" s="29"/>
      <c r="GWS105" s="29"/>
      <c r="GWT105" s="29"/>
      <c r="GWU105" s="29"/>
      <c r="GWV105" s="29"/>
      <c r="GWW105" s="29"/>
      <c r="GWX105" s="29"/>
      <c r="GWY105" s="29"/>
      <c r="GWZ105" s="29"/>
      <c r="GXA105" s="29"/>
      <c r="GXB105" s="29"/>
      <c r="GXC105" s="29"/>
      <c r="GXD105" s="29"/>
      <c r="GXE105" s="29"/>
      <c r="GXF105" s="29"/>
      <c r="GXG105" s="29"/>
      <c r="GXH105" s="29"/>
      <c r="GXI105" s="29"/>
      <c r="GXJ105" s="29"/>
      <c r="GXK105" s="29"/>
      <c r="GXL105" s="29"/>
      <c r="GXM105" s="29"/>
      <c r="GXN105" s="29"/>
      <c r="GXO105" s="29"/>
      <c r="GXP105" s="29"/>
      <c r="GXQ105" s="29"/>
      <c r="GXR105" s="29"/>
      <c r="GXS105" s="29"/>
      <c r="GXT105" s="29"/>
      <c r="GXU105" s="29"/>
      <c r="GXV105" s="29"/>
      <c r="GXW105" s="29"/>
      <c r="GXX105" s="29"/>
      <c r="GXY105" s="29"/>
      <c r="GXZ105" s="29"/>
      <c r="GYA105" s="29"/>
      <c r="GYB105" s="29"/>
      <c r="GYC105" s="29"/>
      <c r="GYD105" s="29"/>
      <c r="GYE105" s="29"/>
      <c r="GYF105" s="29"/>
      <c r="GYG105" s="29"/>
      <c r="GYH105" s="29"/>
      <c r="GYI105" s="29"/>
      <c r="GYJ105" s="29"/>
      <c r="GYK105" s="29"/>
      <c r="GYL105" s="29"/>
      <c r="GYM105" s="29"/>
      <c r="GYN105" s="29"/>
      <c r="GYO105" s="29"/>
      <c r="GYP105" s="29"/>
      <c r="GYQ105" s="29"/>
      <c r="GYR105" s="29"/>
      <c r="GYS105" s="29"/>
      <c r="GYT105" s="29"/>
      <c r="GYU105" s="29"/>
      <c r="GYV105" s="29"/>
      <c r="GYW105" s="29"/>
      <c r="GYX105" s="29"/>
      <c r="GYY105" s="29"/>
      <c r="GYZ105" s="29"/>
      <c r="GZA105" s="29"/>
      <c r="GZB105" s="29"/>
      <c r="GZC105" s="29"/>
      <c r="GZD105" s="29"/>
      <c r="GZE105" s="29"/>
      <c r="GZF105" s="29"/>
      <c r="GZG105" s="29"/>
      <c r="GZH105" s="29"/>
      <c r="GZI105" s="29"/>
      <c r="GZJ105" s="29"/>
      <c r="GZK105" s="29"/>
      <c r="GZL105" s="29"/>
      <c r="GZM105" s="29"/>
      <c r="GZN105" s="29"/>
      <c r="GZO105" s="29"/>
      <c r="GZP105" s="29"/>
      <c r="GZQ105" s="29"/>
      <c r="GZR105" s="29"/>
      <c r="GZS105" s="29"/>
      <c r="GZT105" s="29"/>
      <c r="GZU105" s="29"/>
      <c r="GZV105" s="29"/>
      <c r="GZW105" s="29"/>
      <c r="GZX105" s="29"/>
      <c r="GZY105" s="29"/>
      <c r="GZZ105" s="29"/>
      <c r="HAA105" s="29"/>
      <c r="HAB105" s="29"/>
      <c r="HAC105" s="29"/>
      <c r="HAD105" s="29"/>
      <c r="HAE105" s="29"/>
      <c r="HAF105" s="29"/>
      <c r="HAG105" s="29"/>
      <c r="HAH105" s="29"/>
      <c r="HAI105" s="29"/>
      <c r="HAJ105" s="29"/>
      <c r="HAK105" s="29"/>
      <c r="HAL105" s="29"/>
      <c r="HAM105" s="29"/>
      <c r="HAN105" s="29"/>
      <c r="HAO105" s="29"/>
      <c r="HAP105" s="29"/>
      <c r="HAQ105" s="29"/>
      <c r="HAR105" s="29"/>
      <c r="HAS105" s="29"/>
      <c r="HAT105" s="29"/>
      <c r="HAU105" s="29"/>
      <c r="HAV105" s="29"/>
      <c r="HAW105" s="29"/>
      <c r="HAX105" s="29"/>
      <c r="HAY105" s="29"/>
      <c r="HAZ105" s="29"/>
      <c r="HBA105" s="29"/>
      <c r="HBB105" s="29"/>
      <c r="HBC105" s="29"/>
      <c r="HBD105" s="29"/>
      <c r="HBE105" s="29"/>
      <c r="HBF105" s="29"/>
      <c r="HBG105" s="29"/>
      <c r="HBH105" s="29"/>
      <c r="HBI105" s="29"/>
      <c r="HBJ105" s="29"/>
      <c r="HBK105" s="29"/>
      <c r="HBL105" s="29"/>
      <c r="HBM105" s="29"/>
      <c r="HBN105" s="29"/>
      <c r="HBO105" s="29"/>
      <c r="HBP105" s="29"/>
      <c r="HBQ105" s="29"/>
      <c r="HBR105" s="29"/>
      <c r="HBS105" s="29"/>
      <c r="HBT105" s="29"/>
      <c r="HBU105" s="29"/>
      <c r="HBV105" s="29"/>
      <c r="HBW105" s="29"/>
      <c r="HBX105" s="29"/>
      <c r="HBY105" s="29"/>
      <c r="HBZ105" s="29"/>
      <c r="HCA105" s="29"/>
      <c r="HCB105" s="29"/>
      <c r="HCC105" s="29"/>
      <c r="HCD105" s="29"/>
      <c r="HCE105" s="29"/>
      <c r="HCF105" s="29"/>
      <c r="HCG105" s="29"/>
      <c r="HCH105" s="29"/>
      <c r="HCI105" s="29"/>
      <c r="HCJ105" s="29"/>
      <c r="HCK105" s="29"/>
      <c r="HCL105" s="29"/>
      <c r="HCM105" s="29"/>
      <c r="HCN105" s="29"/>
      <c r="HCO105" s="29"/>
      <c r="HCP105" s="29"/>
      <c r="HCQ105" s="29"/>
      <c r="HCR105" s="29"/>
      <c r="HCS105" s="29"/>
      <c r="HCT105" s="29"/>
      <c r="HCU105" s="29"/>
      <c r="HCV105" s="29"/>
      <c r="HCW105" s="29"/>
      <c r="HCX105" s="29"/>
      <c r="HCY105" s="29"/>
      <c r="HCZ105" s="29"/>
      <c r="HDA105" s="29"/>
      <c r="HDB105" s="29"/>
      <c r="HDC105" s="29"/>
      <c r="HDD105" s="29"/>
      <c r="HDE105" s="29"/>
      <c r="HDF105" s="29"/>
      <c r="HDG105" s="29"/>
      <c r="HDH105" s="29"/>
      <c r="HDI105" s="29"/>
      <c r="HDJ105" s="29"/>
      <c r="HDK105" s="29"/>
      <c r="HDL105" s="29"/>
      <c r="HDM105" s="29"/>
      <c r="HDN105" s="29"/>
      <c r="HDO105" s="29"/>
      <c r="HDP105" s="29"/>
      <c r="HDQ105" s="29"/>
      <c r="HDR105" s="29"/>
      <c r="HDS105" s="29"/>
      <c r="HDT105" s="29"/>
      <c r="HDU105" s="29"/>
      <c r="HDV105" s="29"/>
      <c r="HDW105" s="29"/>
      <c r="HDX105" s="29"/>
      <c r="HDY105" s="29"/>
      <c r="HDZ105" s="29"/>
      <c r="HEA105" s="29"/>
      <c r="HEB105" s="29"/>
      <c r="HEC105" s="29"/>
      <c r="HED105" s="29"/>
      <c r="HEE105" s="29"/>
      <c r="HEF105" s="29"/>
      <c r="HEG105" s="29"/>
      <c r="HEH105" s="29"/>
      <c r="HEI105" s="29"/>
      <c r="HEJ105" s="29"/>
      <c r="HEK105" s="29"/>
      <c r="HEL105" s="29"/>
      <c r="HEM105" s="29"/>
      <c r="HEN105" s="29"/>
      <c r="HEO105" s="29"/>
      <c r="HEP105" s="29"/>
      <c r="HEQ105" s="29"/>
      <c r="HER105" s="29"/>
      <c r="HES105" s="29"/>
      <c r="HET105" s="29"/>
      <c r="HEU105" s="29"/>
      <c r="HEV105" s="29"/>
      <c r="HEW105" s="29"/>
      <c r="HEX105" s="29"/>
      <c r="HEY105" s="29"/>
      <c r="HEZ105" s="29"/>
      <c r="HFA105" s="29"/>
      <c r="HFB105" s="29"/>
      <c r="HFC105" s="29"/>
      <c r="HFD105" s="29"/>
      <c r="HFE105" s="29"/>
      <c r="HFF105" s="29"/>
      <c r="HFG105" s="29"/>
      <c r="HFH105" s="29"/>
      <c r="HFI105" s="29"/>
      <c r="HFJ105" s="29"/>
      <c r="HFK105" s="29"/>
      <c r="HFL105" s="29"/>
      <c r="HFM105" s="29"/>
      <c r="HFN105" s="29"/>
      <c r="HFO105" s="29"/>
      <c r="HFP105" s="29"/>
      <c r="HFQ105" s="29"/>
      <c r="HFR105" s="29"/>
      <c r="HFS105" s="29"/>
      <c r="HFT105" s="29"/>
      <c r="HFU105" s="29"/>
      <c r="HFV105" s="29"/>
      <c r="HFW105" s="29"/>
      <c r="HFX105" s="29"/>
      <c r="HFY105" s="29"/>
      <c r="HFZ105" s="29"/>
      <c r="HGA105" s="29"/>
      <c r="HGB105" s="29"/>
      <c r="HGC105" s="29"/>
      <c r="HGD105" s="29"/>
      <c r="HGE105" s="29"/>
      <c r="HGF105" s="29"/>
      <c r="HGG105" s="29"/>
      <c r="HGH105" s="29"/>
      <c r="HGI105" s="29"/>
      <c r="HGJ105" s="29"/>
      <c r="HGK105" s="29"/>
      <c r="HGL105" s="29"/>
      <c r="HGM105" s="29"/>
      <c r="HGN105" s="29"/>
      <c r="HGO105" s="29"/>
      <c r="HGP105" s="29"/>
      <c r="HGQ105" s="29"/>
      <c r="HGR105" s="29"/>
      <c r="HGS105" s="29"/>
      <c r="HGT105" s="29"/>
      <c r="HGU105" s="29"/>
      <c r="HGV105" s="29"/>
      <c r="HGW105" s="29"/>
      <c r="HGX105" s="29"/>
      <c r="HGY105" s="29"/>
      <c r="HGZ105" s="29"/>
      <c r="HHA105" s="29"/>
      <c r="HHB105" s="29"/>
      <c r="HHC105" s="29"/>
      <c r="HHD105" s="29"/>
      <c r="HHE105" s="29"/>
      <c r="HHF105" s="29"/>
      <c r="HHG105" s="29"/>
      <c r="HHH105" s="29"/>
      <c r="HHI105" s="29"/>
      <c r="HHJ105" s="29"/>
      <c r="HHK105" s="29"/>
      <c r="HHL105" s="29"/>
      <c r="HHM105" s="29"/>
      <c r="HHN105" s="29"/>
      <c r="HHO105" s="29"/>
      <c r="HHP105" s="29"/>
      <c r="HHQ105" s="29"/>
      <c r="HHR105" s="29"/>
      <c r="HHS105" s="29"/>
      <c r="HHT105" s="29"/>
      <c r="HHU105" s="29"/>
      <c r="HHV105" s="29"/>
      <c r="HHW105" s="29"/>
      <c r="HHX105" s="29"/>
      <c r="HHY105" s="29"/>
      <c r="HHZ105" s="29"/>
      <c r="HIA105" s="29"/>
      <c r="HIB105" s="29"/>
      <c r="HIC105" s="29"/>
      <c r="HID105" s="29"/>
      <c r="HIE105" s="29"/>
      <c r="HIF105" s="29"/>
      <c r="HIG105" s="29"/>
      <c r="HIH105" s="29"/>
      <c r="HII105" s="29"/>
      <c r="HIJ105" s="29"/>
      <c r="HIK105" s="29"/>
      <c r="HIL105" s="29"/>
      <c r="HIM105" s="29"/>
      <c r="HIN105" s="29"/>
      <c r="HIO105" s="29"/>
      <c r="HIP105" s="29"/>
      <c r="HIQ105" s="29"/>
      <c r="HIR105" s="29"/>
      <c r="HIS105" s="29"/>
      <c r="HIT105" s="29"/>
      <c r="HIU105" s="29"/>
      <c r="HIV105" s="29"/>
      <c r="HIW105" s="29"/>
      <c r="HIX105" s="29"/>
      <c r="HIY105" s="29"/>
      <c r="HIZ105" s="29"/>
      <c r="HJA105" s="29"/>
      <c r="HJB105" s="29"/>
      <c r="HJC105" s="29"/>
      <c r="HJD105" s="29"/>
      <c r="HJE105" s="29"/>
      <c r="HJF105" s="29"/>
      <c r="HJG105" s="29"/>
      <c r="HJH105" s="29"/>
      <c r="HJI105" s="29"/>
      <c r="HJJ105" s="29"/>
      <c r="HJK105" s="29"/>
      <c r="HJL105" s="29"/>
      <c r="HJM105" s="29"/>
      <c r="HJN105" s="29"/>
      <c r="HJO105" s="29"/>
      <c r="HJP105" s="29"/>
      <c r="HJQ105" s="29"/>
      <c r="HJR105" s="29"/>
      <c r="HJS105" s="29"/>
      <c r="HJT105" s="29"/>
      <c r="HJU105" s="29"/>
      <c r="HJV105" s="29"/>
      <c r="HJW105" s="29"/>
      <c r="HJX105" s="29"/>
      <c r="HJY105" s="29"/>
      <c r="HJZ105" s="29"/>
      <c r="HKA105" s="29"/>
      <c r="HKB105" s="29"/>
      <c r="HKC105" s="29"/>
      <c r="HKD105" s="29"/>
      <c r="HKE105" s="29"/>
      <c r="HKF105" s="29"/>
      <c r="HKG105" s="29"/>
      <c r="HKH105" s="29"/>
      <c r="HKI105" s="29"/>
      <c r="HKJ105" s="29"/>
      <c r="HKK105" s="29"/>
      <c r="HKL105" s="29"/>
      <c r="HKM105" s="29"/>
      <c r="HKN105" s="29"/>
      <c r="HKO105" s="29"/>
      <c r="HKP105" s="29"/>
      <c r="HKQ105" s="29"/>
      <c r="HKR105" s="29"/>
      <c r="HKS105" s="29"/>
      <c r="HKT105" s="29"/>
      <c r="HKU105" s="29"/>
      <c r="HKV105" s="29"/>
      <c r="HKW105" s="29"/>
      <c r="HKX105" s="29"/>
      <c r="HKY105" s="29"/>
      <c r="HKZ105" s="29"/>
      <c r="HLA105" s="29"/>
      <c r="HLB105" s="29"/>
      <c r="HLC105" s="29"/>
      <c r="HLD105" s="29"/>
      <c r="HLE105" s="29"/>
      <c r="HLF105" s="29"/>
      <c r="HLG105" s="29"/>
      <c r="HLH105" s="29"/>
      <c r="HLI105" s="29"/>
      <c r="HLJ105" s="29"/>
      <c r="HLK105" s="29"/>
      <c r="HLL105" s="29"/>
      <c r="HLM105" s="29"/>
      <c r="HLN105" s="29"/>
      <c r="HLO105" s="29"/>
      <c r="HLP105" s="29"/>
      <c r="HLQ105" s="29"/>
      <c r="HLR105" s="29"/>
      <c r="HLS105" s="29"/>
      <c r="HLT105" s="29"/>
      <c r="HLU105" s="29"/>
      <c r="HLV105" s="29"/>
      <c r="HLW105" s="29"/>
      <c r="HLX105" s="29"/>
      <c r="HLY105" s="29"/>
      <c r="HLZ105" s="29"/>
      <c r="HMA105" s="29"/>
      <c r="HMB105" s="29"/>
      <c r="HMC105" s="29"/>
      <c r="HMD105" s="29"/>
      <c r="HME105" s="29"/>
      <c r="HMF105" s="29"/>
      <c r="HMG105" s="29"/>
      <c r="HMH105" s="29"/>
      <c r="HMI105" s="29"/>
      <c r="HMJ105" s="29"/>
      <c r="HMK105" s="29"/>
      <c r="HML105" s="29"/>
      <c r="HMM105" s="29"/>
      <c r="HMN105" s="29"/>
      <c r="HMO105" s="29"/>
      <c r="HMP105" s="29"/>
      <c r="HMQ105" s="29"/>
      <c r="HMR105" s="29"/>
      <c r="HMS105" s="29"/>
      <c r="HMT105" s="29"/>
      <c r="HMU105" s="29"/>
      <c r="HMV105" s="29"/>
      <c r="HMW105" s="29"/>
      <c r="HMX105" s="29"/>
      <c r="HMY105" s="29"/>
      <c r="HMZ105" s="29"/>
      <c r="HNA105" s="29"/>
      <c r="HNB105" s="29"/>
      <c r="HNC105" s="29"/>
      <c r="HND105" s="29"/>
      <c r="HNE105" s="29"/>
      <c r="HNF105" s="29"/>
      <c r="HNG105" s="29"/>
      <c r="HNH105" s="29"/>
      <c r="HNI105" s="29"/>
      <c r="HNJ105" s="29"/>
      <c r="HNK105" s="29"/>
      <c r="HNL105" s="29"/>
      <c r="HNM105" s="29"/>
      <c r="HNN105" s="29"/>
      <c r="HNO105" s="29"/>
      <c r="HNP105" s="29"/>
      <c r="HNQ105" s="29"/>
      <c r="HNR105" s="29"/>
      <c r="HNS105" s="29"/>
      <c r="HNT105" s="29"/>
      <c r="HNU105" s="29"/>
      <c r="HNV105" s="29"/>
      <c r="HNW105" s="29"/>
      <c r="HNX105" s="29"/>
      <c r="HNY105" s="29"/>
      <c r="HNZ105" s="29"/>
      <c r="HOA105" s="29"/>
      <c r="HOB105" s="29"/>
      <c r="HOC105" s="29"/>
      <c r="HOD105" s="29"/>
      <c r="HOE105" s="29"/>
      <c r="HOF105" s="29"/>
      <c r="HOG105" s="29"/>
      <c r="HOH105" s="29"/>
      <c r="HOI105" s="29"/>
      <c r="HOJ105" s="29"/>
      <c r="HOK105" s="29"/>
      <c r="HOL105" s="29"/>
      <c r="HOM105" s="29"/>
      <c r="HON105" s="29"/>
      <c r="HOO105" s="29"/>
      <c r="HOP105" s="29"/>
      <c r="HOQ105" s="29"/>
      <c r="HOR105" s="29"/>
      <c r="HOS105" s="29"/>
      <c r="HOT105" s="29"/>
      <c r="HOU105" s="29"/>
      <c r="HOV105" s="29"/>
      <c r="HOW105" s="29"/>
      <c r="HOX105" s="29"/>
      <c r="HOY105" s="29"/>
      <c r="HOZ105" s="29"/>
      <c r="HPA105" s="29"/>
      <c r="HPB105" s="29"/>
      <c r="HPC105" s="29"/>
      <c r="HPD105" s="29"/>
      <c r="HPE105" s="29"/>
      <c r="HPF105" s="29"/>
      <c r="HPG105" s="29"/>
      <c r="HPH105" s="29"/>
      <c r="HPI105" s="29"/>
      <c r="HPJ105" s="29"/>
      <c r="HPK105" s="29"/>
      <c r="HPL105" s="29"/>
      <c r="HPM105" s="29"/>
      <c r="HPN105" s="29"/>
      <c r="HPO105" s="29"/>
      <c r="HPP105" s="29"/>
      <c r="HPQ105" s="29"/>
      <c r="HPR105" s="29"/>
      <c r="HPS105" s="29"/>
      <c r="HPT105" s="29"/>
      <c r="HPU105" s="29"/>
      <c r="HPV105" s="29"/>
      <c r="HPW105" s="29"/>
      <c r="HPX105" s="29"/>
      <c r="HPY105" s="29"/>
      <c r="HPZ105" s="29"/>
      <c r="HQA105" s="29"/>
      <c r="HQB105" s="29"/>
      <c r="HQC105" s="29"/>
      <c r="HQD105" s="29"/>
      <c r="HQE105" s="29"/>
      <c r="HQF105" s="29"/>
      <c r="HQG105" s="29"/>
      <c r="HQH105" s="29"/>
      <c r="HQI105" s="29"/>
      <c r="HQJ105" s="29"/>
      <c r="HQK105" s="29"/>
      <c r="HQL105" s="29"/>
      <c r="HQM105" s="29"/>
      <c r="HQN105" s="29"/>
      <c r="HQO105" s="29"/>
      <c r="HQP105" s="29"/>
      <c r="HQQ105" s="29"/>
      <c r="HQR105" s="29"/>
      <c r="HQS105" s="29"/>
      <c r="HQT105" s="29"/>
      <c r="HQU105" s="29"/>
      <c r="HQV105" s="29"/>
      <c r="HQW105" s="29"/>
      <c r="HQX105" s="29"/>
      <c r="HQY105" s="29"/>
      <c r="HQZ105" s="29"/>
      <c r="HRA105" s="29"/>
      <c r="HRB105" s="29"/>
      <c r="HRC105" s="29"/>
      <c r="HRD105" s="29"/>
      <c r="HRE105" s="29"/>
      <c r="HRF105" s="29"/>
      <c r="HRG105" s="29"/>
      <c r="HRH105" s="29"/>
      <c r="HRI105" s="29"/>
      <c r="HRJ105" s="29"/>
      <c r="HRK105" s="29"/>
      <c r="HRL105" s="29"/>
      <c r="HRM105" s="29"/>
      <c r="HRN105" s="29"/>
      <c r="HRO105" s="29"/>
      <c r="HRP105" s="29"/>
      <c r="HRQ105" s="29"/>
      <c r="HRR105" s="29"/>
      <c r="HRS105" s="29"/>
      <c r="HRT105" s="29"/>
      <c r="HRU105" s="29"/>
      <c r="HRV105" s="29"/>
      <c r="HRW105" s="29"/>
      <c r="HRX105" s="29"/>
      <c r="HRY105" s="29"/>
      <c r="HRZ105" s="29"/>
      <c r="HSA105" s="29"/>
      <c r="HSB105" s="29"/>
      <c r="HSC105" s="29"/>
      <c r="HSD105" s="29"/>
      <c r="HSE105" s="29"/>
      <c r="HSF105" s="29"/>
      <c r="HSG105" s="29"/>
      <c r="HSH105" s="29"/>
      <c r="HSI105" s="29"/>
      <c r="HSJ105" s="29"/>
      <c r="HSK105" s="29"/>
      <c r="HSL105" s="29"/>
      <c r="HSM105" s="29"/>
      <c r="HSN105" s="29"/>
      <c r="HSO105" s="29"/>
      <c r="HSP105" s="29"/>
      <c r="HSQ105" s="29"/>
      <c r="HSR105" s="29"/>
      <c r="HSS105" s="29"/>
      <c r="HST105" s="29"/>
      <c r="HSU105" s="29"/>
      <c r="HSV105" s="29"/>
      <c r="HSW105" s="29"/>
      <c r="HSX105" s="29"/>
      <c r="HSY105" s="29"/>
      <c r="HSZ105" s="29"/>
      <c r="HTA105" s="29"/>
      <c r="HTB105" s="29"/>
      <c r="HTC105" s="29"/>
      <c r="HTD105" s="29"/>
      <c r="HTE105" s="29"/>
      <c r="HTF105" s="29"/>
      <c r="HTG105" s="29"/>
      <c r="HTH105" s="29"/>
      <c r="HTI105" s="29"/>
      <c r="HTJ105" s="29"/>
      <c r="HTK105" s="29"/>
      <c r="HTL105" s="29"/>
      <c r="HTM105" s="29"/>
      <c r="HTN105" s="29"/>
      <c r="HTO105" s="29"/>
      <c r="HTP105" s="29"/>
      <c r="HTQ105" s="29"/>
      <c r="HTR105" s="29"/>
      <c r="HTS105" s="29"/>
      <c r="HTT105" s="29"/>
      <c r="HTU105" s="29"/>
      <c r="HTV105" s="29"/>
      <c r="HTW105" s="29"/>
      <c r="HTX105" s="29"/>
      <c r="HTY105" s="29"/>
      <c r="HTZ105" s="29"/>
      <c r="HUA105" s="29"/>
      <c r="HUB105" s="29"/>
      <c r="HUC105" s="29"/>
      <c r="HUD105" s="29"/>
      <c r="HUE105" s="29"/>
      <c r="HUF105" s="29"/>
      <c r="HUG105" s="29"/>
      <c r="HUH105" s="29"/>
      <c r="HUI105" s="29"/>
      <c r="HUJ105" s="29"/>
      <c r="HUK105" s="29"/>
      <c r="HUL105" s="29"/>
      <c r="HUM105" s="29"/>
      <c r="HUN105" s="29"/>
      <c r="HUO105" s="29"/>
      <c r="HUP105" s="29"/>
      <c r="HUQ105" s="29"/>
      <c r="HUR105" s="29"/>
      <c r="HUS105" s="29"/>
      <c r="HUT105" s="29"/>
      <c r="HUU105" s="29"/>
      <c r="HUV105" s="29"/>
      <c r="HUW105" s="29"/>
      <c r="HUX105" s="29"/>
      <c r="HUY105" s="29"/>
      <c r="HUZ105" s="29"/>
      <c r="HVA105" s="29"/>
      <c r="HVB105" s="29"/>
      <c r="HVC105" s="29"/>
      <c r="HVD105" s="29"/>
      <c r="HVE105" s="29"/>
      <c r="HVF105" s="29"/>
      <c r="HVG105" s="29"/>
      <c r="HVH105" s="29"/>
      <c r="HVI105" s="29"/>
      <c r="HVJ105" s="29"/>
      <c r="HVK105" s="29"/>
      <c r="HVL105" s="29"/>
      <c r="HVM105" s="29"/>
      <c r="HVN105" s="29"/>
      <c r="HVO105" s="29"/>
      <c r="HVP105" s="29"/>
      <c r="HVQ105" s="29"/>
      <c r="HVR105" s="29"/>
      <c r="HVS105" s="29"/>
      <c r="HVT105" s="29"/>
      <c r="HVU105" s="29"/>
      <c r="HVV105" s="29"/>
      <c r="HVW105" s="29"/>
      <c r="HVX105" s="29"/>
      <c r="HVY105" s="29"/>
      <c r="HVZ105" s="29"/>
      <c r="HWA105" s="29"/>
      <c r="HWB105" s="29"/>
      <c r="HWC105" s="29"/>
      <c r="HWD105" s="29"/>
      <c r="HWE105" s="29"/>
      <c r="HWF105" s="29"/>
      <c r="HWG105" s="29"/>
      <c r="HWH105" s="29"/>
      <c r="HWI105" s="29"/>
      <c r="HWJ105" s="29"/>
      <c r="HWK105" s="29"/>
      <c r="HWL105" s="29"/>
      <c r="HWM105" s="29"/>
      <c r="HWN105" s="29"/>
      <c r="HWO105" s="29"/>
      <c r="HWP105" s="29"/>
      <c r="HWQ105" s="29"/>
      <c r="HWR105" s="29"/>
      <c r="HWS105" s="29"/>
      <c r="HWT105" s="29"/>
      <c r="HWU105" s="29"/>
      <c r="HWV105" s="29"/>
      <c r="HWW105" s="29"/>
      <c r="HWX105" s="29"/>
      <c r="HWY105" s="29"/>
      <c r="HWZ105" s="29"/>
      <c r="HXA105" s="29"/>
      <c r="HXB105" s="29"/>
      <c r="HXC105" s="29"/>
      <c r="HXD105" s="29"/>
      <c r="HXE105" s="29"/>
      <c r="HXF105" s="29"/>
      <c r="HXG105" s="29"/>
      <c r="HXH105" s="29"/>
      <c r="HXI105" s="29"/>
      <c r="HXJ105" s="29"/>
      <c r="HXK105" s="29"/>
      <c r="HXL105" s="29"/>
      <c r="HXM105" s="29"/>
      <c r="HXN105" s="29"/>
      <c r="HXO105" s="29"/>
      <c r="HXP105" s="29"/>
      <c r="HXQ105" s="29"/>
      <c r="HXR105" s="29"/>
      <c r="HXS105" s="29"/>
      <c r="HXT105" s="29"/>
      <c r="HXU105" s="29"/>
      <c r="HXV105" s="29"/>
      <c r="HXW105" s="29"/>
      <c r="HXX105" s="29"/>
      <c r="HXY105" s="29"/>
      <c r="HXZ105" s="29"/>
      <c r="HYA105" s="29"/>
      <c r="HYB105" s="29"/>
      <c r="HYC105" s="29"/>
      <c r="HYD105" s="29"/>
      <c r="HYE105" s="29"/>
      <c r="HYF105" s="29"/>
      <c r="HYG105" s="29"/>
      <c r="HYH105" s="29"/>
      <c r="HYI105" s="29"/>
      <c r="HYJ105" s="29"/>
      <c r="HYK105" s="29"/>
      <c r="HYL105" s="29"/>
      <c r="HYM105" s="29"/>
      <c r="HYN105" s="29"/>
      <c r="HYO105" s="29"/>
      <c r="HYP105" s="29"/>
      <c r="HYQ105" s="29"/>
      <c r="HYR105" s="29"/>
      <c r="HYS105" s="29"/>
      <c r="HYT105" s="29"/>
      <c r="HYU105" s="29"/>
      <c r="HYV105" s="29"/>
      <c r="HYW105" s="29"/>
      <c r="HYX105" s="29"/>
      <c r="HYY105" s="29"/>
      <c r="HYZ105" s="29"/>
      <c r="HZA105" s="29"/>
      <c r="HZB105" s="29"/>
      <c r="HZC105" s="29"/>
      <c r="HZD105" s="29"/>
      <c r="HZE105" s="29"/>
      <c r="HZF105" s="29"/>
      <c r="HZG105" s="29"/>
      <c r="HZH105" s="29"/>
      <c r="HZI105" s="29"/>
      <c r="HZJ105" s="29"/>
      <c r="HZK105" s="29"/>
      <c r="HZL105" s="29"/>
      <c r="HZM105" s="29"/>
      <c r="HZN105" s="29"/>
      <c r="HZO105" s="29"/>
      <c r="HZP105" s="29"/>
      <c r="HZQ105" s="29"/>
      <c r="HZR105" s="29"/>
      <c r="HZS105" s="29"/>
      <c r="HZT105" s="29"/>
      <c r="HZU105" s="29"/>
      <c r="HZV105" s="29"/>
      <c r="HZW105" s="29"/>
      <c r="HZX105" s="29"/>
      <c r="HZY105" s="29"/>
      <c r="HZZ105" s="29"/>
      <c r="IAA105" s="29"/>
      <c r="IAB105" s="29"/>
      <c r="IAC105" s="29"/>
      <c r="IAD105" s="29"/>
      <c r="IAE105" s="29"/>
      <c r="IAF105" s="29"/>
      <c r="IAG105" s="29"/>
      <c r="IAH105" s="29"/>
      <c r="IAI105" s="29"/>
      <c r="IAJ105" s="29"/>
      <c r="IAK105" s="29"/>
      <c r="IAL105" s="29"/>
      <c r="IAM105" s="29"/>
      <c r="IAN105" s="29"/>
      <c r="IAO105" s="29"/>
      <c r="IAP105" s="29"/>
      <c r="IAQ105" s="29"/>
      <c r="IAR105" s="29"/>
      <c r="IAS105" s="29"/>
      <c r="IAT105" s="29"/>
      <c r="IAU105" s="29"/>
      <c r="IAV105" s="29"/>
      <c r="IAW105" s="29"/>
      <c r="IAX105" s="29"/>
      <c r="IAY105" s="29"/>
      <c r="IAZ105" s="29"/>
      <c r="IBA105" s="29"/>
      <c r="IBB105" s="29"/>
      <c r="IBC105" s="29"/>
      <c r="IBD105" s="29"/>
      <c r="IBE105" s="29"/>
      <c r="IBF105" s="29"/>
      <c r="IBG105" s="29"/>
      <c r="IBH105" s="29"/>
      <c r="IBI105" s="29"/>
      <c r="IBJ105" s="29"/>
      <c r="IBK105" s="29"/>
      <c r="IBL105" s="29"/>
      <c r="IBM105" s="29"/>
      <c r="IBN105" s="29"/>
      <c r="IBO105" s="29"/>
      <c r="IBP105" s="29"/>
      <c r="IBQ105" s="29"/>
      <c r="IBR105" s="29"/>
      <c r="IBS105" s="29"/>
      <c r="IBT105" s="29"/>
      <c r="IBU105" s="29"/>
      <c r="IBV105" s="29"/>
      <c r="IBW105" s="29"/>
      <c r="IBX105" s="29"/>
      <c r="IBY105" s="29"/>
      <c r="IBZ105" s="29"/>
      <c r="ICA105" s="29"/>
      <c r="ICB105" s="29"/>
      <c r="ICC105" s="29"/>
      <c r="ICD105" s="29"/>
      <c r="ICE105" s="29"/>
      <c r="ICF105" s="29"/>
      <c r="ICG105" s="29"/>
      <c r="ICH105" s="29"/>
      <c r="ICI105" s="29"/>
      <c r="ICJ105" s="29"/>
      <c r="ICK105" s="29"/>
      <c r="ICL105" s="29"/>
      <c r="ICM105" s="29"/>
      <c r="ICN105" s="29"/>
      <c r="ICO105" s="29"/>
      <c r="ICP105" s="29"/>
      <c r="ICQ105" s="29"/>
      <c r="ICR105" s="29"/>
      <c r="ICS105" s="29"/>
      <c r="ICT105" s="29"/>
      <c r="ICU105" s="29"/>
      <c r="ICV105" s="29"/>
      <c r="ICW105" s="29"/>
      <c r="ICX105" s="29"/>
      <c r="ICY105" s="29"/>
      <c r="ICZ105" s="29"/>
      <c r="IDA105" s="29"/>
      <c r="IDB105" s="29"/>
      <c r="IDC105" s="29"/>
      <c r="IDD105" s="29"/>
      <c r="IDE105" s="29"/>
      <c r="IDF105" s="29"/>
      <c r="IDG105" s="29"/>
      <c r="IDH105" s="29"/>
      <c r="IDI105" s="29"/>
      <c r="IDJ105" s="29"/>
      <c r="IDK105" s="29"/>
      <c r="IDL105" s="29"/>
      <c r="IDM105" s="29"/>
      <c r="IDN105" s="29"/>
      <c r="IDO105" s="29"/>
      <c r="IDP105" s="29"/>
      <c r="IDQ105" s="29"/>
      <c r="IDR105" s="29"/>
      <c r="IDS105" s="29"/>
      <c r="IDT105" s="29"/>
      <c r="IDU105" s="29"/>
      <c r="IDV105" s="29"/>
      <c r="IDW105" s="29"/>
      <c r="IDX105" s="29"/>
      <c r="IDY105" s="29"/>
      <c r="IDZ105" s="29"/>
      <c r="IEA105" s="29"/>
      <c r="IEB105" s="29"/>
      <c r="IEC105" s="29"/>
      <c r="IED105" s="29"/>
      <c r="IEE105" s="29"/>
      <c r="IEF105" s="29"/>
      <c r="IEG105" s="29"/>
      <c r="IEH105" s="29"/>
      <c r="IEI105" s="29"/>
      <c r="IEJ105" s="29"/>
      <c r="IEK105" s="29"/>
      <c r="IEL105" s="29"/>
      <c r="IEM105" s="29"/>
      <c r="IEN105" s="29"/>
      <c r="IEO105" s="29"/>
      <c r="IEP105" s="29"/>
      <c r="IEQ105" s="29"/>
      <c r="IER105" s="29"/>
      <c r="IES105" s="29"/>
      <c r="IET105" s="29"/>
      <c r="IEU105" s="29"/>
      <c r="IEV105" s="29"/>
      <c r="IEW105" s="29"/>
      <c r="IEX105" s="29"/>
      <c r="IEY105" s="29"/>
      <c r="IEZ105" s="29"/>
      <c r="IFA105" s="29"/>
      <c r="IFB105" s="29"/>
      <c r="IFC105" s="29"/>
      <c r="IFD105" s="29"/>
      <c r="IFE105" s="29"/>
      <c r="IFF105" s="29"/>
      <c r="IFG105" s="29"/>
      <c r="IFH105" s="29"/>
      <c r="IFI105" s="29"/>
      <c r="IFJ105" s="29"/>
      <c r="IFK105" s="29"/>
      <c r="IFL105" s="29"/>
      <c r="IFM105" s="29"/>
      <c r="IFN105" s="29"/>
      <c r="IFO105" s="29"/>
      <c r="IFP105" s="29"/>
      <c r="IFQ105" s="29"/>
      <c r="IFR105" s="29"/>
      <c r="IFS105" s="29"/>
      <c r="IFT105" s="29"/>
      <c r="IFU105" s="29"/>
      <c r="IFV105" s="29"/>
      <c r="IFW105" s="29"/>
      <c r="IFX105" s="29"/>
      <c r="IFY105" s="29"/>
      <c r="IFZ105" s="29"/>
      <c r="IGA105" s="29"/>
      <c r="IGB105" s="29"/>
      <c r="IGC105" s="29"/>
      <c r="IGD105" s="29"/>
      <c r="IGE105" s="29"/>
      <c r="IGF105" s="29"/>
      <c r="IGG105" s="29"/>
      <c r="IGH105" s="29"/>
      <c r="IGI105" s="29"/>
      <c r="IGJ105" s="29"/>
      <c r="IGK105" s="29"/>
      <c r="IGL105" s="29"/>
      <c r="IGM105" s="29"/>
      <c r="IGN105" s="29"/>
      <c r="IGO105" s="29"/>
      <c r="IGP105" s="29"/>
      <c r="IGQ105" s="29"/>
      <c r="IGR105" s="29"/>
      <c r="IGS105" s="29"/>
      <c r="IGT105" s="29"/>
      <c r="IGU105" s="29"/>
      <c r="IGV105" s="29"/>
      <c r="IGW105" s="29"/>
      <c r="IGX105" s="29"/>
      <c r="IGY105" s="29"/>
      <c r="IGZ105" s="29"/>
      <c r="IHA105" s="29"/>
      <c r="IHB105" s="29"/>
      <c r="IHC105" s="29"/>
      <c r="IHD105" s="29"/>
      <c r="IHE105" s="29"/>
      <c r="IHF105" s="29"/>
      <c r="IHG105" s="29"/>
      <c r="IHH105" s="29"/>
      <c r="IHI105" s="29"/>
      <c r="IHJ105" s="29"/>
      <c r="IHK105" s="29"/>
      <c r="IHL105" s="29"/>
      <c r="IHM105" s="29"/>
      <c r="IHN105" s="29"/>
      <c r="IHO105" s="29"/>
      <c r="IHP105" s="29"/>
      <c r="IHQ105" s="29"/>
      <c r="IHR105" s="29"/>
      <c r="IHS105" s="29"/>
      <c r="IHT105" s="29"/>
      <c r="IHU105" s="29"/>
      <c r="IHV105" s="29"/>
      <c r="IHW105" s="29"/>
      <c r="IHX105" s="29"/>
      <c r="IHY105" s="29"/>
      <c r="IHZ105" s="29"/>
      <c r="IIA105" s="29"/>
      <c r="IIB105" s="29"/>
      <c r="IIC105" s="29"/>
      <c r="IID105" s="29"/>
      <c r="IIE105" s="29"/>
      <c r="IIF105" s="29"/>
      <c r="IIG105" s="29"/>
      <c r="IIH105" s="29"/>
      <c r="III105" s="29"/>
      <c r="IIJ105" s="29"/>
      <c r="IIK105" s="29"/>
      <c r="IIL105" s="29"/>
      <c r="IIM105" s="29"/>
      <c r="IIN105" s="29"/>
      <c r="IIO105" s="29"/>
      <c r="IIP105" s="29"/>
      <c r="IIQ105" s="29"/>
      <c r="IIR105" s="29"/>
      <c r="IIS105" s="29"/>
      <c r="IIT105" s="29"/>
      <c r="IIU105" s="29"/>
      <c r="IIV105" s="29"/>
      <c r="IIW105" s="29"/>
      <c r="IIX105" s="29"/>
      <c r="IIY105" s="29"/>
      <c r="IIZ105" s="29"/>
      <c r="IJA105" s="29"/>
      <c r="IJB105" s="29"/>
      <c r="IJC105" s="29"/>
      <c r="IJD105" s="29"/>
      <c r="IJE105" s="29"/>
      <c r="IJF105" s="29"/>
      <c r="IJG105" s="29"/>
      <c r="IJH105" s="29"/>
      <c r="IJI105" s="29"/>
      <c r="IJJ105" s="29"/>
      <c r="IJK105" s="29"/>
      <c r="IJL105" s="29"/>
      <c r="IJM105" s="29"/>
      <c r="IJN105" s="29"/>
      <c r="IJO105" s="29"/>
      <c r="IJP105" s="29"/>
      <c r="IJQ105" s="29"/>
      <c r="IJR105" s="29"/>
      <c r="IJS105" s="29"/>
      <c r="IJT105" s="29"/>
      <c r="IJU105" s="29"/>
      <c r="IJV105" s="29"/>
      <c r="IJW105" s="29"/>
      <c r="IJX105" s="29"/>
      <c r="IJY105" s="29"/>
      <c r="IJZ105" s="29"/>
      <c r="IKA105" s="29"/>
      <c r="IKB105" s="29"/>
      <c r="IKC105" s="29"/>
      <c r="IKD105" s="29"/>
      <c r="IKE105" s="29"/>
      <c r="IKF105" s="29"/>
      <c r="IKG105" s="29"/>
      <c r="IKH105" s="29"/>
      <c r="IKI105" s="29"/>
      <c r="IKJ105" s="29"/>
      <c r="IKK105" s="29"/>
      <c r="IKL105" s="29"/>
      <c r="IKM105" s="29"/>
      <c r="IKN105" s="29"/>
      <c r="IKO105" s="29"/>
      <c r="IKP105" s="29"/>
      <c r="IKQ105" s="29"/>
      <c r="IKR105" s="29"/>
      <c r="IKS105" s="29"/>
      <c r="IKT105" s="29"/>
      <c r="IKU105" s="29"/>
      <c r="IKV105" s="29"/>
      <c r="IKW105" s="29"/>
      <c r="IKX105" s="29"/>
      <c r="IKY105" s="29"/>
      <c r="IKZ105" s="29"/>
      <c r="ILA105" s="29"/>
      <c r="ILB105" s="29"/>
      <c r="ILC105" s="29"/>
      <c r="ILD105" s="29"/>
      <c r="ILE105" s="29"/>
      <c r="ILF105" s="29"/>
      <c r="ILG105" s="29"/>
      <c r="ILH105" s="29"/>
      <c r="ILI105" s="29"/>
      <c r="ILJ105" s="29"/>
      <c r="ILK105" s="29"/>
      <c r="ILL105" s="29"/>
      <c r="ILM105" s="29"/>
      <c r="ILN105" s="29"/>
      <c r="ILO105" s="29"/>
      <c r="ILP105" s="29"/>
      <c r="ILQ105" s="29"/>
      <c r="ILR105" s="29"/>
      <c r="ILS105" s="29"/>
      <c r="ILT105" s="29"/>
      <c r="ILU105" s="29"/>
      <c r="ILV105" s="29"/>
      <c r="ILW105" s="29"/>
      <c r="ILX105" s="29"/>
      <c r="ILY105" s="29"/>
      <c r="ILZ105" s="29"/>
      <c r="IMA105" s="29"/>
      <c r="IMB105" s="29"/>
      <c r="IMC105" s="29"/>
      <c r="IMD105" s="29"/>
      <c r="IME105" s="29"/>
      <c r="IMF105" s="29"/>
      <c r="IMG105" s="29"/>
      <c r="IMH105" s="29"/>
      <c r="IMI105" s="29"/>
      <c r="IMJ105" s="29"/>
      <c r="IMK105" s="29"/>
      <c r="IML105" s="29"/>
      <c r="IMM105" s="29"/>
      <c r="IMN105" s="29"/>
      <c r="IMO105" s="29"/>
      <c r="IMP105" s="29"/>
      <c r="IMQ105" s="29"/>
      <c r="IMR105" s="29"/>
      <c r="IMS105" s="29"/>
      <c r="IMT105" s="29"/>
      <c r="IMU105" s="29"/>
      <c r="IMV105" s="29"/>
      <c r="IMW105" s="29"/>
      <c r="IMX105" s="29"/>
      <c r="IMY105" s="29"/>
      <c r="IMZ105" s="29"/>
      <c r="INA105" s="29"/>
      <c r="INB105" s="29"/>
      <c r="INC105" s="29"/>
      <c r="IND105" s="29"/>
      <c r="INE105" s="29"/>
      <c r="INF105" s="29"/>
      <c r="ING105" s="29"/>
      <c r="INH105" s="29"/>
      <c r="INI105" s="29"/>
      <c r="INJ105" s="29"/>
      <c r="INK105" s="29"/>
      <c r="INL105" s="29"/>
      <c r="INM105" s="29"/>
      <c r="INN105" s="29"/>
      <c r="INO105" s="29"/>
      <c r="INP105" s="29"/>
      <c r="INQ105" s="29"/>
      <c r="INR105" s="29"/>
      <c r="INS105" s="29"/>
      <c r="INT105" s="29"/>
      <c r="INU105" s="29"/>
      <c r="INV105" s="29"/>
      <c r="INW105" s="29"/>
      <c r="INX105" s="29"/>
      <c r="INY105" s="29"/>
      <c r="INZ105" s="29"/>
      <c r="IOA105" s="29"/>
      <c r="IOB105" s="29"/>
      <c r="IOC105" s="29"/>
      <c r="IOD105" s="29"/>
      <c r="IOE105" s="29"/>
      <c r="IOF105" s="29"/>
      <c r="IOG105" s="29"/>
      <c r="IOH105" s="29"/>
      <c r="IOI105" s="29"/>
      <c r="IOJ105" s="29"/>
      <c r="IOK105" s="29"/>
      <c r="IOL105" s="29"/>
      <c r="IOM105" s="29"/>
      <c r="ION105" s="29"/>
      <c r="IOO105" s="29"/>
      <c r="IOP105" s="29"/>
      <c r="IOQ105" s="29"/>
      <c r="IOR105" s="29"/>
      <c r="IOS105" s="29"/>
      <c r="IOT105" s="29"/>
      <c r="IOU105" s="29"/>
      <c r="IOV105" s="29"/>
      <c r="IOW105" s="29"/>
      <c r="IOX105" s="29"/>
      <c r="IOY105" s="29"/>
      <c r="IOZ105" s="29"/>
      <c r="IPA105" s="29"/>
      <c r="IPB105" s="29"/>
      <c r="IPC105" s="29"/>
      <c r="IPD105" s="29"/>
      <c r="IPE105" s="29"/>
      <c r="IPF105" s="29"/>
      <c r="IPG105" s="29"/>
      <c r="IPH105" s="29"/>
      <c r="IPI105" s="29"/>
      <c r="IPJ105" s="29"/>
      <c r="IPK105" s="29"/>
      <c r="IPL105" s="29"/>
      <c r="IPM105" s="29"/>
      <c r="IPN105" s="29"/>
      <c r="IPO105" s="29"/>
      <c r="IPP105" s="29"/>
      <c r="IPQ105" s="29"/>
      <c r="IPR105" s="29"/>
      <c r="IPS105" s="29"/>
      <c r="IPT105" s="29"/>
      <c r="IPU105" s="29"/>
      <c r="IPV105" s="29"/>
      <c r="IPW105" s="29"/>
      <c r="IPX105" s="29"/>
      <c r="IPY105" s="29"/>
      <c r="IPZ105" s="29"/>
      <c r="IQA105" s="29"/>
      <c r="IQB105" s="29"/>
      <c r="IQC105" s="29"/>
      <c r="IQD105" s="29"/>
      <c r="IQE105" s="29"/>
      <c r="IQF105" s="29"/>
      <c r="IQG105" s="29"/>
      <c r="IQH105" s="29"/>
      <c r="IQI105" s="29"/>
      <c r="IQJ105" s="29"/>
      <c r="IQK105" s="29"/>
      <c r="IQL105" s="29"/>
      <c r="IQM105" s="29"/>
      <c r="IQN105" s="29"/>
      <c r="IQO105" s="29"/>
      <c r="IQP105" s="29"/>
      <c r="IQQ105" s="29"/>
      <c r="IQR105" s="29"/>
      <c r="IQS105" s="29"/>
      <c r="IQT105" s="29"/>
      <c r="IQU105" s="29"/>
      <c r="IQV105" s="29"/>
      <c r="IQW105" s="29"/>
      <c r="IQX105" s="29"/>
      <c r="IQY105" s="29"/>
      <c r="IQZ105" s="29"/>
      <c r="IRA105" s="29"/>
      <c r="IRB105" s="29"/>
      <c r="IRC105" s="29"/>
      <c r="IRD105" s="29"/>
      <c r="IRE105" s="29"/>
      <c r="IRF105" s="29"/>
      <c r="IRG105" s="29"/>
      <c r="IRH105" s="29"/>
      <c r="IRI105" s="29"/>
      <c r="IRJ105" s="29"/>
      <c r="IRK105" s="29"/>
      <c r="IRL105" s="29"/>
      <c r="IRM105" s="29"/>
      <c r="IRN105" s="29"/>
      <c r="IRO105" s="29"/>
      <c r="IRP105" s="29"/>
      <c r="IRQ105" s="29"/>
      <c r="IRR105" s="29"/>
      <c r="IRS105" s="29"/>
      <c r="IRT105" s="29"/>
      <c r="IRU105" s="29"/>
      <c r="IRV105" s="29"/>
      <c r="IRW105" s="29"/>
      <c r="IRX105" s="29"/>
      <c r="IRY105" s="29"/>
      <c r="IRZ105" s="29"/>
      <c r="ISA105" s="29"/>
      <c r="ISB105" s="29"/>
      <c r="ISC105" s="29"/>
      <c r="ISD105" s="29"/>
      <c r="ISE105" s="29"/>
      <c r="ISF105" s="29"/>
      <c r="ISG105" s="29"/>
      <c r="ISH105" s="29"/>
      <c r="ISI105" s="29"/>
      <c r="ISJ105" s="29"/>
      <c r="ISK105" s="29"/>
      <c r="ISL105" s="29"/>
      <c r="ISM105" s="29"/>
      <c r="ISN105" s="29"/>
      <c r="ISO105" s="29"/>
      <c r="ISP105" s="29"/>
      <c r="ISQ105" s="29"/>
      <c r="ISR105" s="29"/>
      <c r="ISS105" s="29"/>
      <c r="IST105" s="29"/>
      <c r="ISU105" s="29"/>
      <c r="ISV105" s="29"/>
      <c r="ISW105" s="29"/>
      <c r="ISX105" s="29"/>
      <c r="ISY105" s="29"/>
      <c r="ISZ105" s="29"/>
      <c r="ITA105" s="29"/>
      <c r="ITB105" s="29"/>
      <c r="ITC105" s="29"/>
      <c r="ITD105" s="29"/>
      <c r="ITE105" s="29"/>
      <c r="ITF105" s="29"/>
      <c r="ITG105" s="29"/>
      <c r="ITH105" s="29"/>
      <c r="ITI105" s="29"/>
      <c r="ITJ105" s="29"/>
      <c r="ITK105" s="29"/>
      <c r="ITL105" s="29"/>
      <c r="ITM105" s="29"/>
      <c r="ITN105" s="29"/>
      <c r="ITO105" s="29"/>
      <c r="ITP105" s="29"/>
      <c r="ITQ105" s="29"/>
      <c r="ITR105" s="29"/>
      <c r="ITS105" s="29"/>
      <c r="ITT105" s="29"/>
      <c r="ITU105" s="29"/>
      <c r="ITV105" s="29"/>
      <c r="ITW105" s="29"/>
      <c r="ITX105" s="29"/>
      <c r="ITY105" s="29"/>
      <c r="ITZ105" s="29"/>
      <c r="IUA105" s="29"/>
      <c r="IUB105" s="29"/>
      <c r="IUC105" s="29"/>
      <c r="IUD105" s="29"/>
      <c r="IUE105" s="29"/>
      <c r="IUF105" s="29"/>
      <c r="IUG105" s="29"/>
      <c r="IUH105" s="29"/>
      <c r="IUI105" s="29"/>
      <c r="IUJ105" s="29"/>
      <c r="IUK105" s="29"/>
      <c r="IUL105" s="29"/>
      <c r="IUM105" s="29"/>
      <c r="IUN105" s="29"/>
      <c r="IUO105" s="29"/>
      <c r="IUP105" s="29"/>
      <c r="IUQ105" s="29"/>
      <c r="IUR105" s="29"/>
      <c r="IUS105" s="29"/>
      <c r="IUT105" s="29"/>
      <c r="IUU105" s="29"/>
      <c r="IUV105" s="29"/>
      <c r="IUW105" s="29"/>
      <c r="IUX105" s="29"/>
      <c r="IUY105" s="29"/>
      <c r="IUZ105" s="29"/>
      <c r="IVA105" s="29"/>
      <c r="IVB105" s="29"/>
      <c r="IVC105" s="29"/>
      <c r="IVD105" s="29"/>
      <c r="IVE105" s="29"/>
      <c r="IVF105" s="29"/>
      <c r="IVG105" s="29"/>
      <c r="IVH105" s="29"/>
      <c r="IVI105" s="29"/>
      <c r="IVJ105" s="29"/>
      <c r="IVK105" s="29"/>
      <c r="IVL105" s="29"/>
      <c r="IVM105" s="29"/>
      <c r="IVN105" s="29"/>
      <c r="IVO105" s="29"/>
      <c r="IVP105" s="29"/>
      <c r="IVQ105" s="29"/>
      <c r="IVR105" s="29"/>
      <c r="IVS105" s="29"/>
      <c r="IVT105" s="29"/>
      <c r="IVU105" s="29"/>
      <c r="IVV105" s="29"/>
      <c r="IVW105" s="29"/>
      <c r="IVX105" s="29"/>
      <c r="IVY105" s="29"/>
      <c r="IVZ105" s="29"/>
      <c r="IWA105" s="29"/>
      <c r="IWB105" s="29"/>
      <c r="IWC105" s="29"/>
      <c r="IWD105" s="29"/>
      <c r="IWE105" s="29"/>
      <c r="IWF105" s="29"/>
      <c r="IWG105" s="29"/>
      <c r="IWH105" s="29"/>
      <c r="IWI105" s="29"/>
      <c r="IWJ105" s="29"/>
      <c r="IWK105" s="29"/>
      <c r="IWL105" s="29"/>
      <c r="IWM105" s="29"/>
      <c r="IWN105" s="29"/>
      <c r="IWO105" s="29"/>
      <c r="IWP105" s="29"/>
      <c r="IWQ105" s="29"/>
      <c r="IWR105" s="29"/>
      <c r="IWS105" s="29"/>
      <c r="IWT105" s="29"/>
      <c r="IWU105" s="29"/>
      <c r="IWV105" s="29"/>
      <c r="IWW105" s="29"/>
      <c r="IWX105" s="29"/>
      <c r="IWY105" s="29"/>
      <c r="IWZ105" s="29"/>
      <c r="IXA105" s="29"/>
      <c r="IXB105" s="29"/>
      <c r="IXC105" s="29"/>
      <c r="IXD105" s="29"/>
      <c r="IXE105" s="29"/>
      <c r="IXF105" s="29"/>
      <c r="IXG105" s="29"/>
      <c r="IXH105" s="29"/>
      <c r="IXI105" s="29"/>
      <c r="IXJ105" s="29"/>
      <c r="IXK105" s="29"/>
      <c r="IXL105" s="29"/>
      <c r="IXM105" s="29"/>
      <c r="IXN105" s="29"/>
      <c r="IXO105" s="29"/>
      <c r="IXP105" s="29"/>
      <c r="IXQ105" s="29"/>
      <c r="IXR105" s="29"/>
      <c r="IXS105" s="29"/>
      <c r="IXT105" s="29"/>
      <c r="IXU105" s="29"/>
      <c r="IXV105" s="29"/>
      <c r="IXW105" s="29"/>
      <c r="IXX105" s="29"/>
      <c r="IXY105" s="29"/>
      <c r="IXZ105" s="29"/>
      <c r="IYA105" s="29"/>
      <c r="IYB105" s="29"/>
      <c r="IYC105" s="29"/>
      <c r="IYD105" s="29"/>
      <c r="IYE105" s="29"/>
      <c r="IYF105" s="29"/>
      <c r="IYG105" s="29"/>
      <c r="IYH105" s="29"/>
      <c r="IYI105" s="29"/>
      <c r="IYJ105" s="29"/>
      <c r="IYK105" s="29"/>
      <c r="IYL105" s="29"/>
      <c r="IYM105" s="29"/>
      <c r="IYN105" s="29"/>
      <c r="IYO105" s="29"/>
      <c r="IYP105" s="29"/>
      <c r="IYQ105" s="29"/>
      <c r="IYR105" s="29"/>
      <c r="IYS105" s="29"/>
      <c r="IYT105" s="29"/>
      <c r="IYU105" s="29"/>
      <c r="IYV105" s="29"/>
      <c r="IYW105" s="29"/>
      <c r="IYX105" s="29"/>
      <c r="IYY105" s="29"/>
      <c r="IYZ105" s="29"/>
      <c r="IZA105" s="29"/>
      <c r="IZB105" s="29"/>
      <c r="IZC105" s="29"/>
      <c r="IZD105" s="29"/>
      <c r="IZE105" s="29"/>
      <c r="IZF105" s="29"/>
      <c r="IZG105" s="29"/>
      <c r="IZH105" s="29"/>
      <c r="IZI105" s="29"/>
      <c r="IZJ105" s="29"/>
      <c r="IZK105" s="29"/>
      <c r="IZL105" s="29"/>
      <c r="IZM105" s="29"/>
      <c r="IZN105" s="29"/>
      <c r="IZO105" s="29"/>
      <c r="IZP105" s="29"/>
      <c r="IZQ105" s="29"/>
      <c r="IZR105" s="29"/>
      <c r="IZS105" s="29"/>
      <c r="IZT105" s="29"/>
      <c r="IZU105" s="29"/>
      <c r="IZV105" s="29"/>
      <c r="IZW105" s="29"/>
      <c r="IZX105" s="29"/>
      <c r="IZY105" s="29"/>
      <c r="IZZ105" s="29"/>
      <c r="JAA105" s="29"/>
      <c r="JAB105" s="29"/>
      <c r="JAC105" s="29"/>
      <c r="JAD105" s="29"/>
      <c r="JAE105" s="29"/>
      <c r="JAF105" s="29"/>
      <c r="JAG105" s="29"/>
      <c r="JAH105" s="29"/>
      <c r="JAI105" s="29"/>
      <c r="JAJ105" s="29"/>
      <c r="JAK105" s="29"/>
      <c r="JAL105" s="29"/>
      <c r="JAM105" s="29"/>
      <c r="JAN105" s="29"/>
      <c r="JAO105" s="29"/>
      <c r="JAP105" s="29"/>
      <c r="JAQ105" s="29"/>
      <c r="JAR105" s="29"/>
      <c r="JAS105" s="29"/>
      <c r="JAT105" s="29"/>
      <c r="JAU105" s="29"/>
      <c r="JAV105" s="29"/>
      <c r="JAW105" s="29"/>
      <c r="JAX105" s="29"/>
      <c r="JAY105" s="29"/>
      <c r="JAZ105" s="29"/>
      <c r="JBA105" s="29"/>
      <c r="JBB105" s="29"/>
      <c r="JBC105" s="29"/>
      <c r="JBD105" s="29"/>
      <c r="JBE105" s="29"/>
      <c r="JBF105" s="29"/>
      <c r="JBG105" s="29"/>
      <c r="JBH105" s="29"/>
      <c r="JBI105" s="29"/>
      <c r="JBJ105" s="29"/>
      <c r="JBK105" s="29"/>
      <c r="JBL105" s="29"/>
      <c r="JBM105" s="29"/>
      <c r="JBN105" s="29"/>
      <c r="JBO105" s="29"/>
      <c r="JBP105" s="29"/>
      <c r="JBQ105" s="29"/>
      <c r="JBR105" s="29"/>
      <c r="JBS105" s="29"/>
      <c r="JBT105" s="29"/>
      <c r="JBU105" s="29"/>
      <c r="JBV105" s="29"/>
      <c r="JBW105" s="29"/>
      <c r="JBX105" s="29"/>
      <c r="JBY105" s="29"/>
      <c r="JBZ105" s="29"/>
      <c r="JCA105" s="29"/>
      <c r="JCB105" s="29"/>
      <c r="JCC105" s="29"/>
      <c r="JCD105" s="29"/>
      <c r="JCE105" s="29"/>
      <c r="JCF105" s="29"/>
      <c r="JCG105" s="29"/>
      <c r="JCH105" s="29"/>
      <c r="JCI105" s="29"/>
      <c r="JCJ105" s="29"/>
      <c r="JCK105" s="29"/>
      <c r="JCL105" s="29"/>
      <c r="JCM105" s="29"/>
      <c r="JCN105" s="29"/>
      <c r="JCO105" s="29"/>
      <c r="JCP105" s="29"/>
      <c r="JCQ105" s="29"/>
      <c r="JCR105" s="29"/>
      <c r="JCS105" s="29"/>
      <c r="JCT105" s="29"/>
      <c r="JCU105" s="29"/>
      <c r="JCV105" s="29"/>
      <c r="JCW105" s="29"/>
      <c r="JCX105" s="29"/>
      <c r="JCY105" s="29"/>
      <c r="JCZ105" s="29"/>
      <c r="JDA105" s="29"/>
      <c r="JDB105" s="29"/>
      <c r="JDC105" s="29"/>
      <c r="JDD105" s="29"/>
      <c r="JDE105" s="29"/>
      <c r="JDF105" s="29"/>
      <c r="JDG105" s="29"/>
      <c r="JDH105" s="29"/>
      <c r="JDI105" s="29"/>
      <c r="JDJ105" s="29"/>
      <c r="JDK105" s="29"/>
      <c r="JDL105" s="29"/>
      <c r="JDM105" s="29"/>
      <c r="JDN105" s="29"/>
      <c r="JDO105" s="29"/>
      <c r="JDP105" s="29"/>
      <c r="JDQ105" s="29"/>
      <c r="JDR105" s="29"/>
      <c r="JDS105" s="29"/>
      <c r="JDT105" s="29"/>
      <c r="JDU105" s="29"/>
      <c r="JDV105" s="29"/>
      <c r="JDW105" s="29"/>
      <c r="JDX105" s="29"/>
      <c r="JDY105" s="29"/>
      <c r="JDZ105" s="29"/>
      <c r="JEA105" s="29"/>
      <c r="JEB105" s="29"/>
      <c r="JEC105" s="29"/>
      <c r="JED105" s="29"/>
      <c r="JEE105" s="29"/>
      <c r="JEF105" s="29"/>
      <c r="JEG105" s="29"/>
      <c r="JEH105" s="29"/>
      <c r="JEI105" s="29"/>
      <c r="JEJ105" s="29"/>
      <c r="JEK105" s="29"/>
      <c r="JEL105" s="29"/>
      <c r="JEM105" s="29"/>
      <c r="JEN105" s="29"/>
      <c r="JEO105" s="29"/>
      <c r="JEP105" s="29"/>
      <c r="JEQ105" s="29"/>
      <c r="JER105" s="29"/>
      <c r="JES105" s="29"/>
      <c r="JET105" s="29"/>
      <c r="JEU105" s="29"/>
      <c r="JEV105" s="29"/>
      <c r="JEW105" s="29"/>
      <c r="JEX105" s="29"/>
      <c r="JEY105" s="29"/>
      <c r="JEZ105" s="29"/>
      <c r="JFA105" s="29"/>
      <c r="JFB105" s="29"/>
      <c r="JFC105" s="29"/>
      <c r="JFD105" s="29"/>
      <c r="JFE105" s="29"/>
      <c r="JFF105" s="29"/>
      <c r="JFG105" s="29"/>
      <c r="JFH105" s="29"/>
      <c r="JFI105" s="29"/>
      <c r="JFJ105" s="29"/>
      <c r="JFK105" s="29"/>
      <c r="JFL105" s="29"/>
      <c r="JFM105" s="29"/>
      <c r="JFN105" s="29"/>
      <c r="JFO105" s="29"/>
      <c r="JFP105" s="29"/>
      <c r="JFQ105" s="29"/>
      <c r="JFR105" s="29"/>
      <c r="JFS105" s="29"/>
      <c r="JFT105" s="29"/>
      <c r="JFU105" s="29"/>
      <c r="JFV105" s="29"/>
      <c r="JFW105" s="29"/>
      <c r="JFX105" s="29"/>
      <c r="JFY105" s="29"/>
      <c r="JFZ105" s="29"/>
      <c r="JGA105" s="29"/>
      <c r="JGB105" s="29"/>
      <c r="JGC105" s="29"/>
      <c r="JGD105" s="29"/>
      <c r="JGE105" s="29"/>
      <c r="JGF105" s="29"/>
      <c r="JGG105" s="29"/>
      <c r="JGH105" s="29"/>
      <c r="JGI105" s="29"/>
      <c r="JGJ105" s="29"/>
      <c r="JGK105" s="29"/>
      <c r="JGL105" s="29"/>
      <c r="JGM105" s="29"/>
      <c r="JGN105" s="29"/>
      <c r="JGO105" s="29"/>
      <c r="JGP105" s="29"/>
      <c r="JGQ105" s="29"/>
      <c r="JGR105" s="29"/>
      <c r="JGS105" s="29"/>
      <c r="JGT105" s="29"/>
      <c r="JGU105" s="29"/>
      <c r="JGV105" s="29"/>
      <c r="JGW105" s="29"/>
      <c r="JGX105" s="29"/>
      <c r="JGY105" s="29"/>
      <c r="JGZ105" s="29"/>
      <c r="JHA105" s="29"/>
      <c r="JHB105" s="29"/>
      <c r="JHC105" s="29"/>
      <c r="JHD105" s="29"/>
      <c r="JHE105" s="29"/>
      <c r="JHF105" s="29"/>
      <c r="JHG105" s="29"/>
      <c r="JHH105" s="29"/>
      <c r="JHI105" s="29"/>
      <c r="JHJ105" s="29"/>
      <c r="JHK105" s="29"/>
      <c r="JHL105" s="29"/>
      <c r="JHM105" s="29"/>
      <c r="JHN105" s="29"/>
      <c r="JHO105" s="29"/>
      <c r="JHP105" s="29"/>
      <c r="JHQ105" s="29"/>
      <c r="JHR105" s="29"/>
      <c r="JHS105" s="29"/>
      <c r="JHT105" s="29"/>
      <c r="JHU105" s="29"/>
      <c r="JHV105" s="29"/>
      <c r="JHW105" s="29"/>
      <c r="JHX105" s="29"/>
      <c r="JHY105" s="29"/>
      <c r="JHZ105" s="29"/>
      <c r="JIA105" s="29"/>
      <c r="JIB105" s="29"/>
      <c r="JIC105" s="29"/>
      <c r="JID105" s="29"/>
      <c r="JIE105" s="29"/>
      <c r="JIF105" s="29"/>
      <c r="JIG105" s="29"/>
      <c r="JIH105" s="29"/>
      <c r="JII105" s="29"/>
      <c r="JIJ105" s="29"/>
      <c r="JIK105" s="29"/>
      <c r="JIL105" s="29"/>
      <c r="JIM105" s="29"/>
      <c r="JIN105" s="29"/>
      <c r="JIO105" s="29"/>
      <c r="JIP105" s="29"/>
      <c r="JIQ105" s="29"/>
      <c r="JIR105" s="29"/>
      <c r="JIS105" s="29"/>
      <c r="JIT105" s="29"/>
      <c r="JIU105" s="29"/>
      <c r="JIV105" s="29"/>
      <c r="JIW105" s="29"/>
      <c r="JIX105" s="29"/>
      <c r="JIY105" s="29"/>
      <c r="JIZ105" s="29"/>
      <c r="JJA105" s="29"/>
      <c r="JJB105" s="29"/>
      <c r="JJC105" s="29"/>
      <c r="JJD105" s="29"/>
      <c r="JJE105" s="29"/>
      <c r="JJF105" s="29"/>
      <c r="JJG105" s="29"/>
      <c r="JJH105" s="29"/>
      <c r="JJI105" s="29"/>
      <c r="JJJ105" s="29"/>
      <c r="JJK105" s="29"/>
      <c r="JJL105" s="29"/>
      <c r="JJM105" s="29"/>
      <c r="JJN105" s="29"/>
      <c r="JJO105" s="29"/>
      <c r="JJP105" s="29"/>
      <c r="JJQ105" s="29"/>
      <c r="JJR105" s="29"/>
      <c r="JJS105" s="29"/>
      <c r="JJT105" s="29"/>
      <c r="JJU105" s="29"/>
      <c r="JJV105" s="29"/>
      <c r="JJW105" s="29"/>
      <c r="JJX105" s="29"/>
      <c r="JJY105" s="29"/>
      <c r="JJZ105" s="29"/>
      <c r="JKA105" s="29"/>
      <c r="JKB105" s="29"/>
      <c r="JKC105" s="29"/>
      <c r="JKD105" s="29"/>
      <c r="JKE105" s="29"/>
      <c r="JKF105" s="29"/>
      <c r="JKG105" s="29"/>
      <c r="JKH105" s="29"/>
      <c r="JKI105" s="29"/>
      <c r="JKJ105" s="29"/>
      <c r="JKK105" s="29"/>
      <c r="JKL105" s="29"/>
      <c r="JKM105" s="29"/>
      <c r="JKN105" s="29"/>
      <c r="JKO105" s="29"/>
      <c r="JKP105" s="29"/>
      <c r="JKQ105" s="29"/>
      <c r="JKR105" s="29"/>
      <c r="JKS105" s="29"/>
      <c r="JKT105" s="29"/>
      <c r="JKU105" s="29"/>
      <c r="JKV105" s="29"/>
      <c r="JKW105" s="29"/>
      <c r="JKX105" s="29"/>
      <c r="JKY105" s="29"/>
      <c r="JKZ105" s="29"/>
      <c r="JLA105" s="29"/>
      <c r="JLB105" s="29"/>
      <c r="JLC105" s="29"/>
      <c r="JLD105" s="29"/>
      <c r="JLE105" s="29"/>
      <c r="JLF105" s="29"/>
      <c r="JLG105" s="29"/>
      <c r="JLH105" s="29"/>
      <c r="JLI105" s="29"/>
      <c r="JLJ105" s="29"/>
      <c r="JLK105" s="29"/>
      <c r="JLL105" s="29"/>
      <c r="JLM105" s="29"/>
      <c r="JLN105" s="29"/>
      <c r="JLO105" s="29"/>
      <c r="JLP105" s="29"/>
      <c r="JLQ105" s="29"/>
      <c r="JLR105" s="29"/>
      <c r="JLS105" s="29"/>
      <c r="JLT105" s="29"/>
      <c r="JLU105" s="29"/>
      <c r="JLV105" s="29"/>
      <c r="JLW105" s="29"/>
      <c r="JLX105" s="29"/>
      <c r="JLY105" s="29"/>
      <c r="JLZ105" s="29"/>
      <c r="JMA105" s="29"/>
      <c r="JMB105" s="29"/>
      <c r="JMC105" s="29"/>
      <c r="JMD105" s="29"/>
      <c r="JME105" s="29"/>
      <c r="JMF105" s="29"/>
      <c r="JMG105" s="29"/>
      <c r="JMH105" s="29"/>
      <c r="JMI105" s="29"/>
      <c r="JMJ105" s="29"/>
      <c r="JMK105" s="29"/>
      <c r="JML105" s="29"/>
      <c r="JMM105" s="29"/>
      <c r="JMN105" s="29"/>
      <c r="JMO105" s="29"/>
      <c r="JMP105" s="29"/>
      <c r="JMQ105" s="29"/>
      <c r="JMR105" s="29"/>
      <c r="JMS105" s="29"/>
      <c r="JMT105" s="29"/>
      <c r="JMU105" s="29"/>
      <c r="JMV105" s="29"/>
      <c r="JMW105" s="29"/>
      <c r="JMX105" s="29"/>
      <c r="JMY105" s="29"/>
      <c r="JMZ105" s="29"/>
      <c r="JNA105" s="29"/>
      <c r="JNB105" s="29"/>
      <c r="JNC105" s="29"/>
      <c r="JND105" s="29"/>
      <c r="JNE105" s="29"/>
      <c r="JNF105" s="29"/>
      <c r="JNG105" s="29"/>
      <c r="JNH105" s="29"/>
      <c r="JNI105" s="29"/>
      <c r="JNJ105" s="29"/>
      <c r="JNK105" s="29"/>
      <c r="JNL105" s="29"/>
      <c r="JNM105" s="29"/>
      <c r="JNN105" s="29"/>
      <c r="JNO105" s="29"/>
      <c r="JNP105" s="29"/>
      <c r="JNQ105" s="29"/>
      <c r="JNR105" s="29"/>
      <c r="JNS105" s="29"/>
      <c r="JNT105" s="29"/>
      <c r="JNU105" s="29"/>
      <c r="JNV105" s="29"/>
      <c r="JNW105" s="29"/>
      <c r="JNX105" s="29"/>
      <c r="JNY105" s="29"/>
      <c r="JNZ105" s="29"/>
      <c r="JOA105" s="29"/>
      <c r="JOB105" s="29"/>
      <c r="JOC105" s="29"/>
      <c r="JOD105" s="29"/>
      <c r="JOE105" s="29"/>
      <c r="JOF105" s="29"/>
      <c r="JOG105" s="29"/>
      <c r="JOH105" s="29"/>
      <c r="JOI105" s="29"/>
      <c r="JOJ105" s="29"/>
      <c r="JOK105" s="29"/>
      <c r="JOL105" s="29"/>
      <c r="JOM105" s="29"/>
      <c r="JON105" s="29"/>
      <c r="JOO105" s="29"/>
      <c r="JOP105" s="29"/>
      <c r="JOQ105" s="29"/>
      <c r="JOR105" s="29"/>
      <c r="JOS105" s="29"/>
      <c r="JOT105" s="29"/>
      <c r="JOU105" s="29"/>
      <c r="JOV105" s="29"/>
      <c r="JOW105" s="29"/>
      <c r="JOX105" s="29"/>
      <c r="JOY105" s="29"/>
      <c r="JOZ105" s="29"/>
      <c r="JPA105" s="29"/>
      <c r="JPB105" s="29"/>
      <c r="JPC105" s="29"/>
      <c r="JPD105" s="29"/>
      <c r="JPE105" s="29"/>
      <c r="JPF105" s="29"/>
      <c r="JPG105" s="29"/>
      <c r="JPH105" s="29"/>
      <c r="JPI105" s="29"/>
      <c r="JPJ105" s="29"/>
      <c r="JPK105" s="29"/>
      <c r="JPL105" s="29"/>
      <c r="JPM105" s="29"/>
      <c r="JPN105" s="29"/>
      <c r="JPO105" s="29"/>
      <c r="JPP105" s="29"/>
      <c r="JPQ105" s="29"/>
      <c r="JPR105" s="29"/>
      <c r="JPS105" s="29"/>
      <c r="JPT105" s="29"/>
      <c r="JPU105" s="29"/>
      <c r="JPV105" s="29"/>
      <c r="JPW105" s="29"/>
      <c r="JPX105" s="29"/>
      <c r="JPY105" s="29"/>
      <c r="JPZ105" s="29"/>
      <c r="JQA105" s="29"/>
      <c r="JQB105" s="29"/>
      <c r="JQC105" s="29"/>
      <c r="JQD105" s="29"/>
      <c r="JQE105" s="29"/>
      <c r="JQF105" s="29"/>
      <c r="JQG105" s="29"/>
      <c r="JQH105" s="29"/>
      <c r="JQI105" s="29"/>
      <c r="JQJ105" s="29"/>
      <c r="JQK105" s="29"/>
      <c r="JQL105" s="29"/>
      <c r="JQM105" s="29"/>
      <c r="JQN105" s="29"/>
      <c r="JQO105" s="29"/>
      <c r="JQP105" s="29"/>
      <c r="JQQ105" s="29"/>
      <c r="JQR105" s="29"/>
      <c r="JQS105" s="29"/>
      <c r="JQT105" s="29"/>
      <c r="JQU105" s="29"/>
      <c r="JQV105" s="29"/>
      <c r="JQW105" s="29"/>
      <c r="JQX105" s="29"/>
      <c r="JQY105" s="29"/>
      <c r="JQZ105" s="29"/>
      <c r="JRA105" s="29"/>
      <c r="JRB105" s="29"/>
      <c r="JRC105" s="29"/>
      <c r="JRD105" s="29"/>
      <c r="JRE105" s="29"/>
      <c r="JRF105" s="29"/>
      <c r="JRG105" s="29"/>
      <c r="JRH105" s="29"/>
      <c r="JRI105" s="29"/>
      <c r="JRJ105" s="29"/>
      <c r="JRK105" s="29"/>
      <c r="JRL105" s="29"/>
      <c r="JRM105" s="29"/>
      <c r="JRN105" s="29"/>
      <c r="JRO105" s="29"/>
      <c r="JRP105" s="29"/>
      <c r="JRQ105" s="29"/>
      <c r="JRR105" s="29"/>
      <c r="JRS105" s="29"/>
      <c r="JRT105" s="29"/>
      <c r="JRU105" s="29"/>
      <c r="JRV105" s="29"/>
      <c r="JRW105" s="29"/>
      <c r="JRX105" s="29"/>
      <c r="JRY105" s="29"/>
      <c r="JRZ105" s="29"/>
      <c r="JSA105" s="29"/>
      <c r="JSB105" s="29"/>
      <c r="JSC105" s="29"/>
      <c r="JSD105" s="29"/>
      <c r="JSE105" s="29"/>
      <c r="JSF105" s="29"/>
      <c r="JSG105" s="29"/>
      <c r="JSH105" s="29"/>
      <c r="JSI105" s="29"/>
      <c r="JSJ105" s="29"/>
      <c r="JSK105" s="29"/>
      <c r="JSL105" s="29"/>
      <c r="JSM105" s="29"/>
      <c r="JSN105" s="29"/>
      <c r="JSO105" s="29"/>
      <c r="JSP105" s="29"/>
      <c r="JSQ105" s="29"/>
      <c r="JSR105" s="29"/>
      <c r="JSS105" s="29"/>
      <c r="JST105" s="29"/>
      <c r="JSU105" s="29"/>
      <c r="JSV105" s="29"/>
      <c r="JSW105" s="29"/>
      <c r="JSX105" s="29"/>
      <c r="JSY105" s="29"/>
      <c r="JSZ105" s="29"/>
      <c r="JTA105" s="29"/>
      <c r="JTB105" s="29"/>
      <c r="JTC105" s="29"/>
      <c r="JTD105" s="29"/>
      <c r="JTE105" s="29"/>
      <c r="JTF105" s="29"/>
      <c r="JTG105" s="29"/>
      <c r="JTH105" s="29"/>
      <c r="JTI105" s="29"/>
      <c r="JTJ105" s="29"/>
      <c r="JTK105" s="29"/>
      <c r="JTL105" s="29"/>
      <c r="JTM105" s="29"/>
      <c r="JTN105" s="29"/>
      <c r="JTO105" s="29"/>
      <c r="JTP105" s="29"/>
      <c r="JTQ105" s="29"/>
      <c r="JTR105" s="29"/>
      <c r="JTS105" s="29"/>
      <c r="JTT105" s="29"/>
      <c r="JTU105" s="29"/>
      <c r="JTV105" s="29"/>
      <c r="JTW105" s="29"/>
      <c r="JTX105" s="29"/>
      <c r="JTY105" s="29"/>
      <c r="JTZ105" s="29"/>
      <c r="JUA105" s="29"/>
      <c r="JUB105" s="29"/>
      <c r="JUC105" s="29"/>
      <c r="JUD105" s="29"/>
      <c r="JUE105" s="29"/>
      <c r="JUF105" s="29"/>
      <c r="JUG105" s="29"/>
      <c r="JUH105" s="29"/>
      <c r="JUI105" s="29"/>
      <c r="JUJ105" s="29"/>
      <c r="JUK105" s="29"/>
      <c r="JUL105" s="29"/>
      <c r="JUM105" s="29"/>
      <c r="JUN105" s="29"/>
      <c r="JUO105" s="29"/>
      <c r="JUP105" s="29"/>
      <c r="JUQ105" s="29"/>
      <c r="JUR105" s="29"/>
      <c r="JUS105" s="29"/>
      <c r="JUT105" s="29"/>
      <c r="JUU105" s="29"/>
      <c r="JUV105" s="29"/>
      <c r="JUW105" s="29"/>
      <c r="JUX105" s="29"/>
      <c r="JUY105" s="29"/>
      <c r="JUZ105" s="29"/>
      <c r="JVA105" s="29"/>
      <c r="JVB105" s="29"/>
      <c r="JVC105" s="29"/>
      <c r="JVD105" s="29"/>
      <c r="JVE105" s="29"/>
      <c r="JVF105" s="29"/>
      <c r="JVG105" s="29"/>
      <c r="JVH105" s="29"/>
      <c r="JVI105" s="29"/>
      <c r="JVJ105" s="29"/>
      <c r="JVK105" s="29"/>
      <c r="JVL105" s="29"/>
      <c r="JVM105" s="29"/>
      <c r="JVN105" s="29"/>
      <c r="JVO105" s="29"/>
      <c r="JVP105" s="29"/>
      <c r="JVQ105" s="29"/>
      <c r="JVR105" s="29"/>
      <c r="JVS105" s="29"/>
      <c r="JVT105" s="29"/>
      <c r="JVU105" s="29"/>
      <c r="JVV105" s="29"/>
      <c r="JVW105" s="29"/>
      <c r="JVX105" s="29"/>
      <c r="JVY105" s="29"/>
      <c r="JVZ105" s="29"/>
      <c r="JWA105" s="29"/>
      <c r="JWB105" s="29"/>
      <c r="JWC105" s="29"/>
      <c r="JWD105" s="29"/>
      <c r="JWE105" s="29"/>
      <c r="JWF105" s="29"/>
      <c r="JWG105" s="29"/>
      <c r="JWH105" s="29"/>
      <c r="JWI105" s="29"/>
      <c r="JWJ105" s="29"/>
      <c r="JWK105" s="29"/>
      <c r="JWL105" s="29"/>
      <c r="JWM105" s="29"/>
      <c r="JWN105" s="29"/>
      <c r="JWO105" s="29"/>
      <c r="JWP105" s="29"/>
      <c r="JWQ105" s="29"/>
      <c r="JWR105" s="29"/>
      <c r="JWS105" s="29"/>
      <c r="JWT105" s="29"/>
      <c r="JWU105" s="29"/>
      <c r="JWV105" s="29"/>
      <c r="JWW105" s="29"/>
      <c r="JWX105" s="29"/>
      <c r="JWY105" s="29"/>
      <c r="JWZ105" s="29"/>
      <c r="JXA105" s="29"/>
      <c r="JXB105" s="29"/>
      <c r="JXC105" s="29"/>
      <c r="JXD105" s="29"/>
      <c r="JXE105" s="29"/>
      <c r="JXF105" s="29"/>
      <c r="JXG105" s="29"/>
      <c r="JXH105" s="29"/>
      <c r="JXI105" s="29"/>
      <c r="JXJ105" s="29"/>
      <c r="JXK105" s="29"/>
      <c r="JXL105" s="29"/>
      <c r="JXM105" s="29"/>
      <c r="JXN105" s="29"/>
      <c r="JXO105" s="29"/>
      <c r="JXP105" s="29"/>
      <c r="JXQ105" s="29"/>
      <c r="JXR105" s="29"/>
      <c r="JXS105" s="29"/>
      <c r="JXT105" s="29"/>
      <c r="JXU105" s="29"/>
      <c r="JXV105" s="29"/>
      <c r="JXW105" s="29"/>
      <c r="JXX105" s="29"/>
      <c r="JXY105" s="29"/>
      <c r="JXZ105" s="29"/>
      <c r="JYA105" s="29"/>
      <c r="JYB105" s="29"/>
      <c r="JYC105" s="29"/>
      <c r="JYD105" s="29"/>
      <c r="JYE105" s="29"/>
      <c r="JYF105" s="29"/>
      <c r="JYG105" s="29"/>
      <c r="JYH105" s="29"/>
      <c r="JYI105" s="29"/>
      <c r="JYJ105" s="29"/>
      <c r="JYK105" s="29"/>
      <c r="JYL105" s="29"/>
      <c r="JYM105" s="29"/>
      <c r="JYN105" s="29"/>
      <c r="JYO105" s="29"/>
      <c r="JYP105" s="29"/>
      <c r="JYQ105" s="29"/>
      <c r="JYR105" s="29"/>
      <c r="JYS105" s="29"/>
      <c r="JYT105" s="29"/>
      <c r="JYU105" s="29"/>
      <c r="JYV105" s="29"/>
      <c r="JYW105" s="29"/>
      <c r="JYX105" s="29"/>
      <c r="JYY105" s="29"/>
      <c r="JYZ105" s="29"/>
      <c r="JZA105" s="29"/>
      <c r="JZB105" s="29"/>
      <c r="JZC105" s="29"/>
      <c r="JZD105" s="29"/>
      <c r="JZE105" s="29"/>
      <c r="JZF105" s="29"/>
      <c r="JZG105" s="29"/>
      <c r="JZH105" s="29"/>
      <c r="JZI105" s="29"/>
      <c r="JZJ105" s="29"/>
      <c r="JZK105" s="29"/>
      <c r="JZL105" s="29"/>
      <c r="JZM105" s="29"/>
      <c r="JZN105" s="29"/>
      <c r="JZO105" s="29"/>
      <c r="JZP105" s="29"/>
      <c r="JZQ105" s="29"/>
      <c r="JZR105" s="29"/>
      <c r="JZS105" s="29"/>
      <c r="JZT105" s="29"/>
      <c r="JZU105" s="29"/>
      <c r="JZV105" s="29"/>
      <c r="JZW105" s="29"/>
      <c r="JZX105" s="29"/>
      <c r="JZY105" s="29"/>
      <c r="JZZ105" s="29"/>
      <c r="KAA105" s="29"/>
      <c r="KAB105" s="29"/>
      <c r="KAC105" s="29"/>
      <c r="KAD105" s="29"/>
      <c r="KAE105" s="29"/>
      <c r="KAF105" s="29"/>
      <c r="KAG105" s="29"/>
      <c r="KAH105" s="29"/>
      <c r="KAI105" s="29"/>
      <c r="KAJ105" s="29"/>
      <c r="KAK105" s="29"/>
      <c r="KAL105" s="29"/>
      <c r="KAM105" s="29"/>
      <c r="KAN105" s="29"/>
      <c r="KAO105" s="29"/>
      <c r="KAP105" s="29"/>
      <c r="KAQ105" s="29"/>
      <c r="KAR105" s="29"/>
      <c r="KAS105" s="29"/>
      <c r="KAT105" s="29"/>
      <c r="KAU105" s="29"/>
      <c r="KAV105" s="29"/>
      <c r="KAW105" s="29"/>
      <c r="KAX105" s="29"/>
      <c r="KAY105" s="29"/>
      <c r="KAZ105" s="29"/>
      <c r="KBA105" s="29"/>
      <c r="KBB105" s="29"/>
      <c r="KBC105" s="29"/>
      <c r="KBD105" s="29"/>
      <c r="KBE105" s="29"/>
      <c r="KBF105" s="29"/>
      <c r="KBG105" s="29"/>
      <c r="KBH105" s="29"/>
      <c r="KBI105" s="29"/>
      <c r="KBJ105" s="29"/>
      <c r="KBK105" s="29"/>
      <c r="KBL105" s="29"/>
      <c r="KBM105" s="29"/>
      <c r="KBN105" s="29"/>
      <c r="KBO105" s="29"/>
      <c r="KBP105" s="29"/>
      <c r="KBQ105" s="29"/>
      <c r="KBR105" s="29"/>
      <c r="KBS105" s="29"/>
      <c r="KBT105" s="29"/>
      <c r="KBU105" s="29"/>
      <c r="KBV105" s="29"/>
      <c r="KBW105" s="29"/>
      <c r="KBX105" s="29"/>
      <c r="KBY105" s="29"/>
      <c r="KBZ105" s="29"/>
      <c r="KCA105" s="29"/>
      <c r="KCB105" s="29"/>
      <c r="KCC105" s="29"/>
      <c r="KCD105" s="29"/>
      <c r="KCE105" s="29"/>
      <c r="KCF105" s="29"/>
      <c r="KCG105" s="29"/>
      <c r="KCH105" s="29"/>
      <c r="KCI105" s="29"/>
      <c r="KCJ105" s="29"/>
      <c r="KCK105" s="29"/>
      <c r="KCL105" s="29"/>
      <c r="KCM105" s="29"/>
      <c r="KCN105" s="29"/>
      <c r="KCO105" s="29"/>
      <c r="KCP105" s="29"/>
      <c r="KCQ105" s="29"/>
      <c r="KCR105" s="29"/>
      <c r="KCS105" s="29"/>
      <c r="KCT105" s="29"/>
      <c r="KCU105" s="29"/>
      <c r="KCV105" s="29"/>
      <c r="KCW105" s="29"/>
      <c r="KCX105" s="29"/>
      <c r="KCY105" s="29"/>
      <c r="KCZ105" s="29"/>
      <c r="KDA105" s="29"/>
      <c r="KDB105" s="29"/>
      <c r="KDC105" s="29"/>
      <c r="KDD105" s="29"/>
      <c r="KDE105" s="29"/>
      <c r="KDF105" s="29"/>
      <c r="KDG105" s="29"/>
      <c r="KDH105" s="29"/>
      <c r="KDI105" s="29"/>
      <c r="KDJ105" s="29"/>
      <c r="KDK105" s="29"/>
      <c r="KDL105" s="29"/>
      <c r="KDM105" s="29"/>
      <c r="KDN105" s="29"/>
      <c r="KDO105" s="29"/>
      <c r="KDP105" s="29"/>
      <c r="KDQ105" s="29"/>
      <c r="KDR105" s="29"/>
      <c r="KDS105" s="29"/>
      <c r="KDT105" s="29"/>
      <c r="KDU105" s="29"/>
      <c r="KDV105" s="29"/>
      <c r="KDW105" s="29"/>
      <c r="KDX105" s="29"/>
      <c r="KDY105" s="29"/>
      <c r="KDZ105" s="29"/>
      <c r="KEA105" s="29"/>
      <c r="KEB105" s="29"/>
      <c r="KEC105" s="29"/>
      <c r="KED105" s="29"/>
      <c r="KEE105" s="29"/>
      <c r="KEF105" s="29"/>
      <c r="KEG105" s="29"/>
      <c r="KEH105" s="29"/>
      <c r="KEI105" s="29"/>
      <c r="KEJ105" s="29"/>
      <c r="KEK105" s="29"/>
      <c r="KEL105" s="29"/>
      <c r="KEM105" s="29"/>
      <c r="KEN105" s="29"/>
      <c r="KEO105" s="29"/>
      <c r="KEP105" s="29"/>
      <c r="KEQ105" s="29"/>
      <c r="KER105" s="29"/>
      <c r="KES105" s="29"/>
      <c r="KET105" s="29"/>
      <c r="KEU105" s="29"/>
      <c r="KEV105" s="29"/>
      <c r="KEW105" s="29"/>
      <c r="KEX105" s="29"/>
      <c r="KEY105" s="29"/>
      <c r="KEZ105" s="29"/>
      <c r="KFA105" s="29"/>
      <c r="KFB105" s="29"/>
      <c r="KFC105" s="29"/>
      <c r="KFD105" s="29"/>
      <c r="KFE105" s="29"/>
      <c r="KFF105" s="29"/>
      <c r="KFG105" s="29"/>
      <c r="KFH105" s="29"/>
      <c r="KFI105" s="29"/>
      <c r="KFJ105" s="29"/>
      <c r="KFK105" s="29"/>
      <c r="KFL105" s="29"/>
      <c r="KFM105" s="29"/>
      <c r="KFN105" s="29"/>
      <c r="KFO105" s="29"/>
      <c r="KFP105" s="29"/>
      <c r="KFQ105" s="29"/>
      <c r="KFR105" s="29"/>
      <c r="KFS105" s="29"/>
      <c r="KFT105" s="29"/>
      <c r="KFU105" s="29"/>
      <c r="KFV105" s="29"/>
      <c r="KFW105" s="29"/>
      <c r="KFX105" s="29"/>
      <c r="KFY105" s="29"/>
      <c r="KFZ105" s="29"/>
      <c r="KGA105" s="29"/>
      <c r="KGB105" s="29"/>
      <c r="KGC105" s="29"/>
      <c r="KGD105" s="29"/>
      <c r="KGE105" s="29"/>
      <c r="KGF105" s="29"/>
      <c r="KGG105" s="29"/>
      <c r="KGH105" s="29"/>
      <c r="KGI105" s="29"/>
      <c r="KGJ105" s="29"/>
      <c r="KGK105" s="29"/>
      <c r="KGL105" s="29"/>
      <c r="KGM105" s="29"/>
      <c r="KGN105" s="29"/>
      <c r="KGO105" s="29"/>
      <c r="KGP105" s="29"/>
      <c r="KGQ105" s="29"/>
      <c r="KGR105" s="29"/>
      <c r="KGS105" s="29"/>
      <c r="KGT105" s="29"/>
      <c r="KGU105" s="29"/>
      <c r="KGV105" s="29"/>
      <c r="KGW105" s="29"/>
      <c r="KGX105" s="29"/>
      <c r="KGY105" s="29"/>
      <c r="KGZ105" s="29"/>
      <c r="KHA105" s="29"/>
      <c r="KHB105" s="29"/>
      <c r="KHC105" s="29"/>
      <c r="KHD105" s="29"/>
      <c r="KHE105" s="29"/>
      <c r="KHF105" s="29"/>
      <c r="KHG105" s="29"/>
      <c r="KHH105" s="29"/>
      <c r="KHI105" s="29"/>
      <c r="KHJ105" s="29"/>
      <c r="KHK105" s="29"/>
      <c r="KHL105" s="29"/>
      <c r="KHM105" s="29"/>
      <c r="KHN105" s="29"/>
      <c r="KHO105" s="29"/>
      <c r="KHP105" s="29"/>
      <c r="KHQ105" s="29"/>
      <c r="KHR105" s="29"/>
      <c r="KHS105" s="29"/>
      <c r="KHT105" s="29"/>
      <c r="KHU105" s="29"/>
      <c r="KHV105" s="29"/>
      <c r="KHW105" s="29"/>
      <c r="KHX105" s="29"/>
      <c r="KHY105" s="29"/>
      <c r="KHZ105" s="29"/>
      <c r="KIA105" s="29"/>
      <c r="KIB105" s="29"/>
      <c r="KIC105" s="29"/>
      <c r="KID105" s="29"/>
      <c r="KIE105" s="29"/>
      <c r="KIF105" s="29"/>
      <c r="KIG105" s="29"/>
      <c r="KIH105" s="29"/>
      <c r="KII105" s="29"/>
      <c r="KIJ105" s="29"/>
      <c r="KIK105" s="29"/>
      <c r="KIL105" s="29"/>
      <c r="KIM105" s="29"/>
      <c r="KIN105" s="29"/>
      <c r="KIO105" s="29"/>
      <c r="KIP105" s="29"/>
      <c r="KIQ105" s="29"/>
      <c r="KIR105" s="29"/>
      <c r="KIS105" s="29"/>
      <c r="KIT105" s="29"/>
      <c r="KIU105" s="29"/>
      <c r="KIV105" s="29"/>
      <c r="KIW105" s="29"/>
      <c r="KIX105" s="29"/>
      <c r="KIY105" s="29"/>
      <c r="KIZ105" s="29"/>
      <c r="KJA105" s="29"/>
      <c r="KJB105" s="29"/>
      <c r="KJC105" s="29"/>
      <c r="KJD105" s="29"/>
      <c r="KJE105" s="29"/>
      <c r="KJF105" s="29"/>
      <c r="KJG105" s="29"/>
      <c r="KJH105" s="29"/>
      <c r="KJI105" s="29"/>
      <c r="KJJ105" s="29"/>
      <c r="KJK105" s="29"/>
      <c r="KJL105" s="29"/>
      <c r="KJM105" s="29"/>
      <c r="KJN105" s="29"/>
      <c r="KJO105" s="29"/>
      <c r="KJP105" s="29"/>
      <c r="KJQ105" s="29"/>
      <c r="KJR105" s="29"/>
      <c r="KJS105" s="29"/>
      <c r="KJT105" s="29"/>
      <c r="KJU105" s="29"/>
      <c r="KJV105" s="29"/>
      <c r="KJW105" s="29"/>
      <c r="KJX105" s="29"/>
      <c r="KJY105" s="29"/>
      <c r="KJZ105" s="29"/>
      <c r="KKA105" s="29"/>
      <c r="KKB105" s="29"/>
      <c r="KKC105" s="29"/>
      <c r="KKD105" s="29"/>
      <c r="KKE105" s="29"/>
      <c r="KKF105" s="29"/>
      <c r="KKG105" s="29"/>
      <c r="KKH105" s="29"/>
      <c r="KKI105" s="29"/>
      <c r="KKJ105" s="29"/>
      <c r="KKK105" s="29"/>
      <c r="KKL105" s="29"/>
      <c r="KKM105" s="29"/>
      <c r="KKN105" s="29"/>
      <c r="KKO105" s="29"/>
      <c r="KKP105" s="29"/>
      <c r="KKQ105" s="29"/>
      <c r="KKR105" s="29"/>
      <c r="KKS105" s="29"/>
      <c r="KKT105" s="29"/>
      <c r="KKU105" s="29"/>
      <c r="KKV105" s="29"/>
      <c r="KKW105" s="29"/>
      <c r="KKX105" s="29"/>
      <c r="KKY105" s="29"/>
      <c r="KKZ105" s="29"/>
      <c r="KLA105" s="29"/>
      <c r="KLB105" s="29"/>
      <c r="KLC105" s="29"/>
      <c r="KLD105" s="29"/>
      <c r="KLE105" s="29"/>
      <c r="KLF105" s="29"/>
      <c r="KLG105" s="29"/>
      <c r="KLH105" s="29"/>
      <c r="KLI105" s="29"/>
      <c r="KLJ105" s="29"/>
      <c r="KLK105" s="29"/>
      <c r="KLL105" s="29"/>
      <c r="KLM105" s="29"/>
      <c r="KLN105" s="29"/>
      <c r="KLO105" s="29"/>
      <c r="KLP105" s="29"/>
      <c r="KLQ105" s="29"/>
      <c r="KLR105" s="29"/>
      <c r="KLS105" s="29"/>
      <c r="KLT105" s="29"/>
      <c r="KLU105" s="29"/>
      <c r="KLV105" s="29"/>
      <c r="KLW105" s="29"/>
      <c r="KLX105" s="29"/>
      <c r="KLY105" s="29"/>
      <c r="KLZ105" s="29"/>
      <c r="KMA105" s="29"/>
      <c r="KMB105" s="29"/>
      <c r="KMC105" s="29"/>
      <c r="KMD105" s="29"/>
      <c r="KME105" s="29"/>
      <c r="KMF105" s="29"/>
      <c r="KMG105" s="29"/>
      <c r="KMH105" s="29"/>
      <c r="KMI105" s="29"/>
      <c r="KMJ105" s="29"/>
      <c r="KMK105" s="29"/>
      <c r="KML105" s="29"/>
      <c r="KMM105" s="29"/>
      <c r="KMN105" s="29"/>
      <c r="KMO105" s="29"/>
      <c r="KMP105" s="29"/>
      <c r="KMQ105" s="29"/>
      <c r="KMR105" s="29"/>
      <c r="KMS105" s="29"/>
      <c r="KMT105" s="29"/>
      <c r="KMU105" s="29"/>
      <c r="KMV105" s="29"/>
      <c r="KMW105" s="29"/>
      <c r="KMX105" s="29"/>
      <c r="KMY105" s="29"/>
      <c r="KMZ105" s="29"/>
      <c r="KNA105" s="29"/>
      <c r="KNB105" s="29"/>
      <c r="KNC105" s="29"/>
      <c r="KND105" s="29"/>
      <c r="KNE105" s="29"/>
      <c r="KNF105" s="29"/>
      <c r="KNG105" s="29"/>
      <c r="KNH105" s="29"/>
      <c r="KNI105" s="29"/>
      <c r="KNJ105" s="29"/>
      <c r="KNK105" s="29"/>
      <c r="KNL105" s="29"/>
      <c r="KNM105" s="29"/>
      <c r="KNN105" s="29"/>
      <c r="KNO105" s="29"/>
      <c r="KNP105" s="29"/>
      <c r="KNQ105" s="29"/>
      <c r="KNR105" s="29"/>
      <c r="KNS105" s="29"/>
      <c r="KNT105" s="29"/>
      <c r="KNU105" s="29"/>
      <c r="KNV105" s="29"/>
      <c r="KNW105" s="29"/>
      <c r="KNX105" s="29"/>
      <c r="KNY105" s="29"/>
      <c r="KNZ105" s="29"/>
      <c r="KOA105" s="29"/>
      <c r="KOB105" s="29"/>
      <c r="KOC105" s="29"/>
      <c r="KOD105" s="29"/>
      <c r="KOE105" s="29"/>
      <c r="KOF105" s="29"/>
      <c r="KOG105" s="29"/>
      <c r="KOH105" s="29"/>
      <c r="KOI105" s="29"/>
      <c r="KOJ105" s="29"/>
      <c r="KOK105" s="29"/>
      <c r="KOL105" s="29"/>
      <c r="KOM105" s="29"/>
      <c r="KON105" s="29"/>
      <c r="KOO105" s="29"/>
      <c r="KOP105" s="29"/>
      <c r="KOQ105" s="29"/>
      <c r="KOR105" s="29"/>
      <c r="KOS105" s="29"/>
      <c r="KOT105" s="29"/>
      <c r="KOU105" s="29"/>
      <c r="KOV105" s="29"/>
      <c r="KOW105" s="29"/>
      <c r="KOX105" s="29"/>
      <c r="KOY105" s="29"/>
      <c r="KOZ105" s="29"/>
      <c r="KPA105" s="29"/>
      <c r="KPB105" s="29"/>
      <c r="KPC105" s="29"/>
      <c r="KPD105" s="29"/>
      <c r="KPE105" s="29"/>
      <c r="KPF105" s="29"/>
      <c r="KPG105" s="29"/>
      <c r="KPH105" s="29"/>
      <c r="KPI105" s="29"/>
      <c r="KPJ105" s="29"/>
      <c r="KPK105" s="29"/>
      <c r="KPL105" s="29"/>
      <c r="KPM105" s="29"/>
      <c r="KPN105" s="29"/>
      <c r="KPO105" s="29"/>
      <c r="KPP105" s="29"/>
      <c r="KPQ105" s="29"/>
      <c r="KPR105" s="29"/>
      <c r="KPS105" s="29"/>
      <c r="KPT105" s="29"/>
      <c r="KPU105" s="29"/>
      <c r="KPV105" s="29"/>
      <c r="KPW105" s="29"/>
      <c r="KPX105" s="29"/>
      <c r="KPY105" s="29"/>
      <c r="KPZ105" s="29"/>
      <c r="KQA105" s="29"/>
      <c r="KQB105" s="29"/>
      <c r="KQC105" s="29"/>
      <c r="KQD105" s="29"/>
      <c r="KQE105" s="29"/>
      <c r="KQF105" s="29"/>
      <c r="KQG105" s="29"/>
      <c r="KQH105" s="29"/>
      <c r="KQI105" s="29"/>
      <c r="KQJ105" s="29"/>
      <c r="KQK105" s="29"/>
      <c r="KQL105" s="29"/>
      <c r="KQM105" s="29"/>
      <c r="KQN105" s="29"/>
      <c r="KQO105" s="29"/>
      <c r="KQP105" s="29"/>
      <c r="KQQ105" s="29"/>
      <c r="KQR105" s="29"/>
      <c r="KQS105" s="29"/>
      <c r="KQT105" s="29"/>
      <c r="KQU105" s="29"/>
      <c r="KQV105" s="29"/>
      <c r="KQW105" s="29"/>
      <c r="KQX105" s="29"/>
      <c r="KQY105" s="29"/>
      <c r="KQZ105" s="29"/>
      <c r="KRA105" s="29"/>
      <c r="KRB105" s="29"/>
      <c r="KRC105" s="29"/>
      <c r="KRD105" s="29"/>
      <c r="KRE105" s="29"/>
      <c r="KRF105" s="29"/>
      <c r="KRG105" s="29"/>
      <c r="KRH105" s="29"/>
      <c r="KRI105" s="29"/>
      <c r="KRJ105" s="29"/>
      <c r="KRK105" s="29"/>
      <c r="KRL105" s="29"/>
      <c r="KRM105" s="29"/>
      <c r="KRN105" s="29"/>
      <c r="KRO105" s="29"/>
      <c r="KRP105" s="29"/>
      <c r="KRQ105" s="29"/>
      <c r="KRR105" s="29"/>
      <c r="KRS105" s="29"/>
      <c r="KRT105" s="29"/>
      <c r="KRU105" s="29"/>
      <c r="KRV105" s="29"/>
      <c r="KRW105" s="29"/>
      <c r="KRX105" s="29"/>
      <c r="KRY105" s="29"/>
      <c r="KRZ105" s="29"/>
      <c r="KSA105" s="29"/>
      <c r="KSB105" s="29"/>
      <c r="KSC105" s="29"/>
      <c r="KSD105" s="29"/>
      <c r="KSE105" s="29"/>
      <c r="KSF105" s="29"/>
      <c r="KSG105" s="29"/>
      <c r="KSH105" s="29"/>
      <c r="KSI105" s="29"/>
      <c r="KSJ105" s="29"/>
      <c r="KSK105" s="29"/>
      <c r="KSL105" s="29"/>
      <c r="KSM105" s="29"/>
      <c r="KSN105" s="29"/>
      <c r="KSO105" s="29"/>
      <c r="KSP105" s="29"/>
      <c r="KSQ105" s="29"/>
      <c r="KSR105" s="29"/>
      <c r="KSS105" s="29"/>
      <c r="KST105" s="29"/>
      <c r="KSU105" s="29"/>
      <c r="KSV105" s="29"/>
      <c r="KSW105" s="29"/>
      <c r="KSX105" s="29"/>
      <c r="KSY105" s="29"/>
      <c r="KSZ105" s="29"/>
      <c r="KTA105" s="29"/>
      <c r="KTB105" s="29"/>
      <c r="KTC105" s="29"/>
      <c r="KTD105" s="29"/>
      <c r="KTE105" s="29"/>
      <c r="KTF105" s="29"/>
      <c r="KTG105" s="29"/>
      <c r="KTH105" s="29"/>
      <c r="KTI105" s="29"/>
      <c r="KTJ105" s="29"/>
      <c r="KTK105" s="29"/>
      <c r="KTL105" s="29"/>
      <c r="KTM105" s="29"/>
      <c r="KTN105" s="29"/>
      <c r="KTO105" s="29"/>
      <c r="KTP105" s="29"/>
      <c r="KTQ105" s="29"/>
      <c r="KTR105" s="29"/>
      <c r="KTS105" s="29"/>
      <c r="KTT105" s="29"/>
      <c r="KTU105" s="29"/>
      <c r="KTV105" s="29"/>
      <c r="KTW105" s="29"/>
      <c r="KTX105" s="29"/>
      <c r="KTY105" s="29"/>
      <c r="KTZ105" s="29"/>
      <c r="KUA105" s="29"/>
      <c r="KUB105" s="29"/>
      <c r="KUC105" s="29"/>
      <c r="KUD105" s="29"/>
      <c r="KUE105" s="29"/>
      <c r="KUF105" s="29"/>
      <c r="KUG105" s="29"/>
      <c r="KUH105" s="29"/>
      <c r="KUI105" s="29"/>
      <c r="KUJ105" s="29"/>
      <c r="KUK105" s="29"/>
      <c r="KUL105" s="29"/>
      <c r="KUM105" s="29"/>
      <c r="KUN105" s="29"/>
      <c r="KUO105" s="29"/>
      <c r="KUP105" s="29"/>
      <c r="KUQ105" s="29"/>
      <c r="KUR105" s="29"/>
      <c r="KUS105" s="29"/>
      <c r="KUT105" s="29"/>
      <c r="KUU105" s="29"/>
      <c r="KUV105" s="29"/>
      <c r="KUW105" s="29"/>
      <c r="KUX105" s="29"/>
      <c r="KUY105" s="29"/>
      <c r="KUZ105" s="29"/>
      <c r="KVA105" s="29"/>
      <c r="KVB105" s="29"/>
      <c r="KVC105" s="29"/>
      <c r="KVD105" s="29"/>
      <c r="KVE105" s="29"/>
      <c r="KVF105" s="29"/>
      <c r="KVG105" s="29"/>
      <c r="KVH105" s="29"/>
      <c r="KVI105" s="29"/>
      <c r="KVJ105" s="29"/>
      <c r="KVK105" s="29"/>
      <c r="KVL105" s="29"/>
      <c r="KVM105" s="29"/>
      <c r="KVN105" s="29"/>
      <c r="KVO105" s="29"/>
      <c r="KVP105" s="29"/>
      <c r="KVQ105" s="29"/>
      <c r="KVR105" s="29"/>
      <c r="KVS105" s="29"/>
      <c r="KVT105" s="29"/>
      <c r="KVU105" s="29"/>
      <c r="KVV105" s="29"/>
      <c r="KVW105" s="29"/>
      <c r="KVX105" s="29"/>
      <c r="KVY105" s="29"/>
      <c r="KVZ105" s="29"/>
      <c r="KWA105" s="29"/>
      <c r="KWB105" s="29"/>
      <c r="KWC105" s="29"/>
      <c r="KWD105" s="29"/>
      <c r="KWE105" s="29"/>
      <c r="KWF105" s="29"/>
      <c r="KWG105" s="29"/>
      <c r="KWH105" s="29"/>
      <c r="KWI105" s="29"/>
      <c r="KWJ105" s="29"/>
      <c r="KWK105" s="29"/>
      <c r="KWL105" s="29"/>
      <c r="KWM105" s="29"/>
      <c r="KWN105" s="29"/>
      <c r="KWO105" s="29"/>
      <c r="KWP105" s="29"/>
      <c r="KWQ105" s="29"/>
      <c r="KWR105" s="29"/>
      <c r="KWS105" s="29"/>
      <c r="KWT105" s="29"/>
      <c r="KWU105" s="29"/>
      <c r="KWV105" s="29"/>
      <c r="KWW105" s="29"/>
      <c r="KWX105" s="29"/>
      <c r="KWY105" s="29"/>
      <c r="KWZ105" s="29"/>
      <c r="KXA105" s="29"/>
      <c r="KXB105" s="29"/>
      <c r="KXC105" s="29"/>
      <c r="KXD105" s="29"/>
      <c r="KXE105" s="29"/>
      <c r="KXF105" s="29"/>
      <c r="KXG105" s="29"/>
      <c r="KXH105" s="29"/>
      <c r="KXI105" s="29"/>
      <c r="KXJ105" s="29"/>
      <c r="KXK105" s="29"/>
      <c r="KXL105" s="29"/>
      <c r="KXM105" s="29"/>
      <c r="KXN105" s="29"/>
      <c r="KXO105" s="29"/>
      <c r="KXP105" s="29"/>
      <c r="KXQ105" s="29"/>
      <c r="KXR105" s="29"/>
      <c r="KXS105" s="29"/>
      <c r="KXT105" s="29"/>
      <c r="KXU105" s="29"/>
      <c r="KXV105" s="29"/>
      <c r="KXW105" s="29"/>
      <c r="KXX105" s="29"/>
      <c r="KXY105" s="29"/>
      <c r="KXZ105" s="29"/>
      <c r="KYA105" s="29"/>
      <c r="KYB105" s="29"/>
      <c r="KYC105" s="29"/>
      <c r="KYD105" s="29"/>
      <c r="KYE105" s="29"/>
      <c r="KYF105" s="29"/>
      <c r="KYG105" s="29"/>
      <c r="KYH105" s="29"/>
      <c r="KYI105" s="29"/>
      <c r="KYJ105" s="29"/>
      <c r="KYK105" s="29"/>
      <c r="KYL105" s="29"/>
      <c r="KYM105" s="29"/>
      <c r="KYN105" s="29"/>
      <c r="KYO105" s="29"/>
      <c r="KYP105" s="29"/>
      <c r="KYQ105" s="29"/>
      <c r="KYR105" s="29"/>
      <c r="KYS105" s="29"/>
      <c r="KYT105" s="29"/>
      <c r="KYU105" s="29"/>
      <c r="KYV105" s="29"/>
      <c r="KYW105" s="29"/>
      <c r="KYX105" s="29"/>
      <c r="KYY105" s="29"/>
      <c r="KYZ105" s="29"/>
      <c r="KZA105" s="29"/>
      <c r="KZB105" s="29"/>
      <c r="KZC105" s="29"/>
      <c r="KZD105" s="29"/>
      <c r="KZE105" s="29"/>
      <c r="KZF105" s="29"/>
      <c r="KZG105" s="29"/>
      <c r="KZH105" s="29"/>
      <c r="KZI105" s="29"/>
      <c r="KZJ105" s="29"/>
      <c r="KZK105" s="29"/>
      <c r="KZL105" s="29"/>
      <c r="KZM105" s="29"/>
      <c r="KZN105" s="29"/>
      <c r="KZO105" s="29"/>
      <c r="KZP105" s="29"/>
      <c r="KZQ105" s="29"/>
      <c r="KZR105" s="29"/>
      <c r="KZS105" s="29"/>
      <c r="KZT105" s="29"/>
      <c r="KZU105" s="29"/>
      <c r="KZV105" s="29"/>
      <c r="KZW105" s="29"/>
      <c r="KZX105" s="29"/>
      <c r="KZY105" s="29"/>
      <c r="KZZ105" s="29"/>
      <c r="LAA105" s="29"/>
      <c r="LAB105" s="29"/>
      <c r="LAC105" s="29"/>
      <c r="LAD105" s="29"/>
      <c r="LAE105" s="29"/>
      <c r="LAF105" s="29"/>
      <c r="LAG105" s="29"/>
      <c r="LAH105" s="29"/>
      <c r="LAI105" s="29"/>
      <c r="LAJ105" s="29"/>
      <c r="LAK105" s="29"/>
      <c r="LAL105" s="29"/>
      <c r="LAM105" s="29"/>
      <c r="LAN105" s="29"/>
      <c r="LAO105" s="29"/>
      <c r="LAP105" s="29"/>
      <c r="LAQ105" s="29"/>
      <c r="LAR105" s="29"/>
      <c r="LAS105" s="29"/>
      <c r="LAT105" s="29"/>
      <c r="LAU105" s="29"/>
      <c r="LAV105" s="29"/>
      <c r="LAW105" s="29"/>
      <c r="LAX105" s="29"/>
      <c r="LAY105" s="29"/>
      <c r="LAZ105" s="29"/>
      <c r="LBA105" s="29"/>
      <c r="LBB105" s="29"/>
      <c r="LBC105" s="29"/>
      <c r="LBD105" s="29"/>
      <c r="LBE105" s="29"/>
      <c r="LBF105" s="29"/>
      <c r="LBG105" s="29"/>
      <c r="LBH105" s="29"/>
      <c r="LBI105" s="29"/>
      <c r="LBJ105" s="29"/>
      <c r="LBK105" s="29"/>
      <c r="LBL105" s="29"/>
      <c r="LBM105" s="29"/>
      <c r="LBN105" s="29"/>
      <c r="LBO105" s="29"/>
      <c r="LBP105" s="29"/>
      <c r="LBQ105" s="29"/>
      <c r="LBR105" s="29"/>
      <c r="LBS105" s="29"/>
      <c r="LBT105" s="29"/>
      <c r="LBU105" s="29"/>
      <c r="LBV105" s="29"/>
      <c r="LBW105" s="29"/>
      <c r="LBX105" s="29"/>
      <c r="LBY105" s="29"/>
      <c r="LBZ105" s="29"/>
      <c r="LCA105" s="29"/>
      <c r="LCB105" s="29"/>
      <c r="LCC105" s="29"/>
      <c r="LCD105" s="29"/>
      <c r="LCE105" s="29"/>
      <c r="LCF105" s="29"/>
      <c r="LCG105" s="29"/>
      <c r="LCH105" s="29"/>
      <c r="LCI105" s="29"/>
      <c r="LCJ105" s="29"/>
      <c r="LCK105" s="29"/>
      <c r="LCL105" s="29"/>
      <c r="LCM105" s="29"/>
      <c r="LCN105" s="29"/>
      <c r="LCO105" s="29"/>
      <c r="LCP105" s="29"/>
      <c r="LCQ105" s="29"/>
      <c r="LCR105" s="29"/>
      <c r="LCS105" s="29"/>
      <c r="LCT105" s="29"/>
      <c r="LCU105" s="29"/>
      <c r="LCV105" s="29"/>
      <c r="LCW105" s="29"/>
      <c r="LCX105" s="29"/>
      <c r="LCY105" s="29"/>
      <c r="LCZ105" s="29"/>
      <c r="LDA105" s="29"/>
      <c r="LDB105" s="29"/>
      <c r="LDC105" s="29"/>
      <c r="LDD105" s="29"/>
      <c r="LDE105" s="29"/>
      <c r="LDF105" s="29"/>
      <c r="LDG105" s="29"/>
      <c r="LDH105" s="29"/>
      <c r="LDI105" s="29"/>
      <c r="LDJ105" s="29"/>
      <c r="LDK105" s="29"/>
      <c r="LDL105" s="29"/>
      <c r="LDM105" s="29"/>
      <c r="LDN105" s="29"/>
      <c r="LDO105" s="29"/>
      <c r="LDP105" s="29"/>
      <c r="LDQ105" s="29"/>
      <c r="LDR105" s="29"/>
      <c r="LDS105" s="29"/>
      <c r="LDT105" s="29"/>
      <c r="LDU105" s="29"/>
      <c r="LDV105" s="29"/>
      <c r="LDW105" s="29"/>
      <c r="LDX105" s="29"/>
      <c r="LDY105" s="29"/>
      <c r="LDZ105" s="29"/>
      <c r="LEA105" s="29"/>
      <c r="LEB105" s="29"/>
      <c r="LEC105" s="29"/>
      <c r="LED105" s="29"/>
      <c r="LEE105" s="29"/>
      <c r="LEF105" s="29"/>
      <c r="LEG105" s="29"/>
      <c r="LEH105" s="29"/>
      <c r="LEI105" s="29"/>
      <c r="LEJ105" s="29"/>
      <c r="LEK105" s="29"/>
      <c r="LEL105" s="29"/>
      <c r="LEM105" s="29"/>
      <c r="LEN105" s="29"/>
      <c r="LEO105" s="29"/>
      <c r="LEP105" s="29"/>
      <c r="LEQ105" s="29"/>
      <c r="LER105" s="29"/>
      <c r="LES105" s="29"/>
      <c r="LET105" s="29"/>
      <c r="LEU105" s="29"/>
      <c r="LEV105" s="29"/>
      <c r="LEW105" s="29"/>
      <c r="LEX105" s="29"/>
      <c r="LEY105" s="29"/>
      <c r="LEZ105" s="29"/>
      <c r="LFA105" s="29"/>
      <c r="LFB105" s="29"/>
      <c r="LFC105" s="29"/>
      <c r="LFD105" s="29"/>
      <c r="LFE105" s="29"/>
      <c r="LFF105" s="29"/>
      <c r="LFG105" s="29"/>
      <c r="LFH105" s="29"/>
      <c r="LFI105" s="29"/>
      <c r="LFJ105" s="29"/>
      <c r="LFK105" s="29"/>
      <c r="LFL105" s="29"/>
      <c r="LFM105" s="29"/>
      <c r="LFN105" s="29"/>
      <c r="LFO105" s="29"/>
      <c r="LFP105" s="29"/>
      <c r="LFQ105" s="29"/>
      <c r="LFR105" s="29"/>
      <c r="LFS105" s="29"/>
      <c r="LFT105" s="29"/>
      <c r="LFU105" s="29"/>
      <c r="LFV105" s="29"/>
      <c r="LFW105" s="29"/>
      <c r="LFX105" s="29"/>
      <c r="LFY105" s="29"/>
      <c r="LFZ105" s="29"/>
      <c r="LGA105" s="29"/>
      <c r="LGB105" s="29"/>
      <c r="LGC105" s="29"/>
      <c r="LGD105" s="29"/>
      <c r="LGE105" s="29"/>
      <c r="LGF105" s="29"/>
      <c r="LGG105" s="29"/>
      <c r="LGH105" s="29"/>
      <c r="LGI105" s="29"/>
      <c r="LGJ105" s="29"/>
      <c r="LGK105" s="29"/>
      <c r="LGL105" s="29"/>
      <c r="LGM105" s="29"/>
      <c r="LGN105" s="29"/>
      <c r="LGO105" s="29"/>
      <c r="LGP105" s="29"/>
      <c r="LGQ105" s="29"/>
      <c r="LGR105" s="29"/>
      <c r="LGS105" s="29"/>
      <c r="LGT105" s="29"/>
      <c r="LGU105" s="29"/>
      <c r="LGV105" s="29"/>
      <c r="LGW105" s="29"/>
      <c r="LGX105" s="29"/>
      <c r="LGY105" s="29"/>
      <c r="LGZ105" s="29"/>
      <c r="LHA105" s="29"/>
      <c r="LHB105" s="29"/>
      <c r="LHC105" s="29"/>
      <c r="LHD105" s="29"/>
      <c r="LHE105" s="29"/>
      <c r="LHF105" s="29"/>
      <c r="LHG105" s="29"/>
      <c r="LHH105" s="29"/>
      <c r="LHI105" s="29"/>
      <c r="LHJ105" s="29"/>
      <c r="LHK105" s="29"/>
      <c r="LHL105" s="29"/>
      <c r="LHM105" s="29"/>
      <c r="LHN105" s="29"/>
      <c r="LHO105" s="29"/>
      <c r="LHP105" s="29"/>
      <c r="LHQ105" s="29"/>
      <c r="LHR105" s="29"/>
      <c r="LHS105" s="29"/>
      <c r="LHT105" s="29"/>
      <c r="LHU105" s="29"/>
      <c r="LHV105" s="29"/>
      <c r="LHW105" s="29"/>
      <c r="LHX105" s="29"/>
      <c r="LHY105" s="29"/>
      <c r="LHZ105" s="29"/>
      <c r="LIA105" s="29"/>
      <c r="LIB105" s="29"/>
      <c r="LIC105" s="29"/>
      <c r="LID105" s="29"/>
      <c r="LIE105" s="29"/>
      <c r="LIF105" s="29"/>
      <c r="LIG105" s="29"/>
      <c r="LIH105" s="29"/>
      <c r="LII105" s="29"/>
      <c r="LIJ105" s="29"/>
      <c r="LIK105" s="29"/>
      <c r="LIL105" s="29"/>
      <c r="LIM105" s="29"/>
      <c r="LIN105" s="29"/>
      <c r="LIO105" s="29"/>
      <c r="LIP105" s="29"/>
      <c r="LIQ105" s="29"/>
      <c r="LIR105" s="29"/>
      <c r="LIS105" s="29"/>
      <c r="LIT105" s="29"/>
      <c r="LIU105" s="29"/>
      <c r="LIV105" s="29"/>
      <c r="LIW105" s="29"/>
      <c r="LIX105" s="29"/>
      <c r="LIY105" s="29"/>
      <c r="LIZ105" s="29"/>
      <c r="LJA105" s="29"/>
      <c r="LJB105" s="29"/>
      <c r="LJC105" s="29"/>
      <c r="LJD105" s="29"/>
      <c r="LJE105" s="29"/>
      <c r="LJF105" s="29"/>
      <c r="LJG105" s="29"/>
      <c r="LJH105" s="29"/>
      <c r="LJI105" s="29"/>
      <c r="LJJ105" s="29"/>
      <c r="LJK105" s="29"/>
      <c r="LJL105" s="29"/>
      <c r="LJM105" s="29"/>
      <c r="LJN105" s="29"/>
      <c r="LJO105" s="29"/>
      <c r="LJP105" s="29"/>
      <c r="LJQ105" s="29"/>
      <c r="LJR105" s="29"/>
      <c r="LJS105" s="29"/>
      <c r="LJT105" s="29"/>
      <c r="LJU105" s="29"/>
      <c r="LJV105" s="29"/>
      <c r="LJW105" s="29"/>
      <c r="LJX105" s="29"/>
      <c r="LJY105" s="29"/>
      <c r="LJZ105" s="29"/>
      <c r="LKA105" s="29"/>
      <c r="LKB105" s="29"/>
      <c r="LKC105" s="29"/>
      <c r="LKD105" s="29"/>
      <c r="LKE105" s="29"/>
      <c r="LKF105" s="29"/>
      <c r="LKG105" s="29"/>
      <c r="LKH105" s="29"/>
      <c r="LKI105" s="29"/>
      <c r="LKJ105" s="29"/>
      <c r="LKK105" s="29"/>
      <c r="LKL105" s="29"/>
      <c r="LKM105" s="29"/>
      <c r="LKN105" s="29"/>
      <c r="LKO105" s="29"/>
      <c r="LKP105" s="29"/>
      <c r="LKQ105" s="29"/>
      <c r="LKR105" s="29"/>
      <c r="LKS105" s="29"/>
      <c r="LKT105" s="29"/>
      <c r="LKU105" s="29"/>
      <c r="LKV105" s="29"/>
      <c r="LKW105" s="29"/>
      <c r="LKX105" s="29"/>
      <c r="LKY105" s="29"/>
      <c r="LKZ105" s="29"/>
      <c r="LLA105" s="29"/>
      <c r="LLB105" s="29"/>
      <c r="LLC105" s="29"/>
      <c r="LLD105" s="29"/>
      <c r="LLE105" s="29"/>
      <c r="LLF105" s="29"/>
      <c r="LLG105" s="29"/>
      <c r="LLH105" s="29"/>
      <c r="LLI105" s="29"/>
      <c r="LLJ105" s="29"/>
      <c r="LLK105" s="29"/>
      <c r="LLL105" s="29"/>
      <c r="LLM105" s="29"/>
      <c r="LLN105" s="29"/>
      <c r="LLO105" s="29"/>
      <c r="LLP105" s="29"/>
      <c r="LLQ105" s="29"/>
      <c r="LLR105" s="29"/>
      <c r="LLS105" s="29"/>
      <c r="LLT105" s="29"/>
      <c r="LLU105" s="29"/>
      <c r="LLV105" s="29"/>
      <c r="LLW105" s="29"/>
      <c r="LLX105" s="29"/>
      <c r="LLY105" s="29"/>
      <c r="LLZ105" s="29"/>
      <c r="LMA105" s="29"/>
      <c r="LMB105" s="29"/>
      <c r="LMC105" s="29"/>
      <c r="LMD105" s="29"/>
      <c r="LME105" s="29"/>
      <c r="LMF105" s="29"/>
      <c r="LMG105" s="29"/>
      <c r="LMH105" s="29"/>
      <c r="LMI105" s="29"/>
      <c r="LMJ105" s="29"/>
      <c r="LMK105" s="29"/>
      <c r="LML105" s="29"/>
      <c r="LMM105" s="29"/>
      <c r="LMN105" s="29"/>
      <c r="LMO105" s="29"/>
      <c r="LMP105" s="29"/>
      <c r="LMQ105" s="29"/>
      <c r="LMR105" s="29"/>
      <c r="LMS105" s="29"/>
      <c r="LMT105" s="29"/>
      <c r="LMU105" s="29"/>
      <c r="LMV105" s="29"/>
      <c r="LMW105" s="29"/>
      <c r="LMX105" s="29"/>
      <c r="LMY105" s="29"/>
      <c r="LMZ105" s="29"/>
      <c r="LNA105" s="29"/>
      <c r="LNB105" s="29"/>
      <c r="LNC105" s="29"/>
      <c r="LND105" s="29"/>
      <c r="LNE105" s="29"/>
      <c r="LNF105" s="29"/>
      <c r="LNG105" s="29"/>
      <c r="LNH105" s="29"/>
      <c r="LNI105" s="29"/>
      <c r="LNJ105" s="29"/>
      <c r="LNK105" s="29"/>
      <c r="LNL105" s="29"/>
      <c r="LNM105" s="29"/>
      <c r="LNN105" s="29"/>
      <c r="LNO105" s="29"/>
      <c r="LNP105" s="29"/>
      <c r="LNQ105" s="29"/>
      <c r="LNR105" s="29"/>
      <c r="LNS105" s="29"/>
      <c r="LNT105" s="29"/>
      <c r="LNU105" s="29"/>
      <c r="LNV105" s="29"/>
      <c r="LNW105" s="29"/>
      <c r="LNX105" s="29"/>
      <c r="LNY105" s="29"/>
      <c r="LNZ105" s="29"/>
      <c r="LOA105" s="29"/>
      <c r="LOB105" s="29"/>
      <c r="LOC105" s="29"/>
      <c r="LOD105" s="29"/>
      <c r="LOE105" s="29"/>
      <c r="LOF105" s="29"/>
      <c r="LOG105" s="29"/>
      <c r="LOH105" s="29"/>
      <c r="LOI105" s="29"/>
      <c r="LOJ105" s="29"/>
      <c r="LOK105" s="29"/>
      <c r="LOL105" s="29"/>
      <c r="LOM105" s="29"/>
      <c r="LON105" s="29"/>
      <c r="LOO105" s="29"/>
      <c r="LOP105" s="29"/>
      <c r="LOQ105" s="29"/>
      <c r="LOR105" s="29"/>
      <c r="LOS105" s="29"/>
      <c r="LOT105" s="29"/>
      <c r="LOU105" s="29"/>
      <c r="LOV105" s="29"/>
      <c r="LOW105" s="29"/>
      <c r="LOX105" s="29"/>
      <c r="LOY105" s="29"/>
      <c r="LOZ105" s="29"/>
      <c r="LPA105" s="29"/>
      <c r="LPB105" s="29"/>
      <c r="LPC105" s="29"/>
      <c r="LPD105" s="29"/>
      <c r="LPE105" s="29"/>
      <c r="LPF105" s="29"/>
      <c r="LPG105" s="29"/>
      <c r="LPH105" s="29"/>
      <c r="LPI105" s="29"/>
      <c r="LPJ105" s="29"/>
      <c r="LPK105" s="29"/>
      <c r="LPL105" s="29"/>
      <c r="LPM105" s="29"/>
      <c r="LPN105" s="29"/>
      <c r="LPO105" s="29"/>
      <c r="LPP105" s="29"/>
      <c r="LPQ105" s="29"/>
      <c r="LPR105" s="29"/>
      <c r="LPS105" s="29"/>
      <c r="LPT105" s="29"/>
      <c r="LPU105" s="29"/>
      <c r="LPV105" s="29"/>
      <c r="LPW105" s="29"/>
      <c r="LPX105" s="29"/>
      <c r="LPY105" s="29"/>
      <c r="LPZ105" s="29"/>
      <c r="LQA105" s="29"/>
      <c r="LQB105" s="29"/>
      <c r="LQC105" s="29"/>
      <c r="LQD105" s="29"/>
      <c r="LQE105" s="29"/>
      <c r="LQF105" s="29"/>
      <c r="LQG105" s="29"/>
      <c r="LQH105" s="29"/>
      <c r="LQI105" s="29"/>
      <c r="LQJ105" s="29"/>
      <c r="LQK105" s="29"/>
      <c r="LQL105" s="29"/>
      <c r="LQM105" s="29"/>
      <c r="LQN105" s="29"/>
      <c r="LQO105" s="29"/>
      <c r="LQP105" s="29"/>
      <c r="LQQ105" s="29"/>
      <c r="LQR105" s="29"/>
      <c r="LQS105" s="29"/>
      <c r="LQT105" s="29"/>
      <c r="LQU105" s="29"/>
      <c r="LQV105" s="29"/>
      <c r="LQW105" s="29"/>
      <c r="LQX105" s="29"/>
      <c r="LQY105" s="29"/>
      <c r="LQZ105" s="29"/>
      <c r="LRA105" s="29"/>
      <c r="LRB105" s="29"/>
      <c r="LRC105" s="29"/>
      <c r="LRD105" s="29"/>
      <c r="LRE105" s="29"/>
      <c r="LRF105" s="29"/>
      <c r="LRG105" s="29"/>
      <c r="LRH105" s="29"/>
      <c r="LRI105" s="29"/>
      <c r="LRJ105" s="29"/>
      <c r="LRK105" s="29"/>
      <c r="LRL105" s="29"/>
      <c r="LRM105" s="29"/>
      <c r="LRN105" s="29"/>
      <c r="LRO105" s="29"/>
      <c r="LRP105" s="29"/>
      <c r="LRQ105" s="29"/>
      <c r="LRR105" s="29"/>
      <c r="LRS105" s="29"/>
      <c r="LRT105" s="29"/>
      <c r="LRU105" s="29"/>
      <c r="LRV105" s="29"/>
      <c r="LRW105" s="29"/>
      <c r="LRX105" s="29"/>
      <c r="LRY105" s="29"/>
      <c r="LRZ105" s="29"/>
      <c r="LSA105" s="29"/>
      <c r="LSB105" s="29"/>
      <c r="LSC105" s="29"/>
      <c r="LSD105" s="29"/>
      <c r="LSE105" s="29"/>
      <c r="LSF105" s="29"/>
      <c r="LSG105" s="29"/>
      <c r="LSH105" s="29"/>
      <c r="LSI105" s="29"/>
      <c r="LSJ105" s="29"/>
      <c r="LSK105" s="29"/>
      <c r="LSL105" s="29"/>
      <c r="LSM105" s="29"/>
      <c r="LSN105" s="29"/>
      <c r="LSO105" s="29"/>
      <c r="LSP105" s="29"/>
      <c r="LSQ105" s="29"/>
      <c r="LSR105" s="29"/>
      <c r="LSS105" s="29"/>
      <c r="LST105" s="29"/>
      <c r="LSU105" s="29"/>
      <c r="LSV105" s="29"/>
      <c r="LSW105" s="29"/>
      <c r="LSX105" s="29"/>
      <c r="LSY105" s="29"/>
      <c r="LSZ105" s="29"/>
      <c r="LTA105" s="29"/>
      <c r="LTB105" s="29"/>
      <c r="LTC105" s="29"/>
      <c r="LTD105" s="29"/>
      <c r="LTE105" s="29"/>
      <c r="LTF105" s="29"/>
      <c r="LTG105" s="29"/>
      <c r="LTH105" s="29"/>
      <c r="LTI105" s="29"/>
      <c r="LTJ105" s="29"/>
      <c r="LTK105" s="29"/>
      <c r="LTL105" s="29"/>
      <c r="LTM105" s="29"/>
      <c r="LTN105" s="29"/>
      <c r="LTO105" s="29"/>
      <c r="LTP105" s="29"/>
      <c r="LTQ105" s="29"/>
      <c r="LTR105" s="29"/>
      <c r="LTS105" s="29"/>
      <c r="LTT105" s="29"/>
      <c r="LTU105" s="29"/>
      <c r="LTV105" s="29"/>
      <c r="LTW105" s="29"/>
      <c r="LTX105" s="29"/>
      <c r="LTY105" s="29"/>
      <c r="LTZ105" s="29"/>
      <c r="LUA105" s="29"/>
      <c r="LUB105" s="29"/>
      <c r="LUC105" s="29"/>
      <c r="LUD105" s="29"/>
      <c r="LUE105" s="29"/>
      <c r="LUF105" s="29"/>
      <c r="LUG105" s="29"/>
      <c r="LUH105" s="29"/>
      <c r="LUI105" s="29"/>
      <c r="LUJ105" s="29"/>
      <c r="LUK105" s="29"/>
      <c r="LUL105" s="29"/>
      <c r="LUM105" s="29"/>
      <c r="LUN105" s="29"/>
      <c r="LUO105" s="29"/>
      <c r="LUP105" s="29"/>
      <c r="LUQ105" s="29"/>
      <c r="LUR105" s="29"/>
      <c r="LUS105" s="29"/>
      <c r="LUT105" s="29"/>
      <c r="LUU105" s="29"/>
      <c r="LUV105" s="29"/>
      <c r="LUW105" s="29"/>
      <c r="LUX105" s="29"/>
      <c r="LUY105" s="29"/>
      <c r="LUZ105" s="29"/>
      <c r="LVA105" s="29"/>
      <c r="LVB105" s="29"/>
      <c r="LVC105" s="29"/>
      <c r="LVD105" s="29"/>
      <c r="LVE105" s="29"/>
      <c r="LVF105" s="29"/>
      <c r="LVG105" s="29"/>
      <c r="LVH105" s="29"/>
      <c r="LVI105" s="29"/>
      <c r="LVJ105" s="29"/>
      <c r="LVK105" s="29"/>
      <c r="LVL105" s="29"/>
      <c r="LVM105" s="29"/>
      <c r="LVN105" s="29"/>
      <c r="LVO105" s="29"/>
      <c r="LVP105" s="29"/>
      <c r="LVQ105" s="29"/>
      <c r="LVR105" s="29"/>
      <c r="LVS105" s="29"/>
      <c r="LVT105" s="29"/>
      <c r="LVU105" s="29"/>
      <c r="LVV105" s="29"/>
      <c r="LVW105" s="29"/>
      <c r="LVX105" s="29"/>
      <c r="LVY105" s="29"/>
      <c r="LVZ105" s="29"/>
      <c r="LWA105" s="29"/>
      <c r="LWB105" s="29"/>
      <c r="LWC105" s="29"/>
      <c r="LWD105" s="29"/>
      <c r="LWE105" s="29"/>
      <c r="LWF105" s="29"/>
      <c r="LWG105" s="29"/>
      <c r="LWH105" s="29"/>
      <c r="LWI105" s="29"/>
      <c r="LWJ105" s="29"/>
      <c r="LWK105" s="29"/>
      <c r="LWL105" s="29"/>
      <c r="LWM105" s="29"/>
      <c r="LWN105" s="29"/>
      <c r="LWO105" s="29"/>
      <c r="LWP105" s="29"/>
      <c r="LWQ105" s="29"/>
      <c r="LWR105" s="29"/>
      <c r="LWS105" s="29"/>
      <c r="LWT105" s="29"/>
      <c r="LWU105" s="29"/>
      <c r="LWV105" s="29"/>
      <c r="LWW105" s="29"/>
      <c r="LWX105" s="29"/>
      <c r="LWY105" s="29"/>
      <c r="LWZ105" s="29"/>
      <c r="LXA105" s="29"/>
      <c r="LXB105" s="29"/>
      <c r="LXC105" s="29"/>
      <c r="LXD105" s="29"/>
      <c r="LXE105" s="29"/>
      <c r="LXF105" s="29"/>
      <c r="LXG105" s="29"/>
      <c r="LXH105" s="29"/>
      <c r="LXI105" s="29"/>
      <c r="LXJ105" s="29"/>
      <c r="LXK105" s="29"/>
      <c r="LXL105" s="29"/>
      <c r="LXM105" s="29"/>
      <c r="LXN105" s="29"/>
      <c r="LXO105" s="29"/>
      <c r="LXP105" s="29"/>
      <c r="LXQ105" s="29"/>
      <c r="LXR105" s="29"/>
      <c r="LXS105" s="29"/>
      <c r="LXT105" s="29"/>
      <c r="LXU105" s="29"/>
      <c r="LXV105" s="29"/>
      <c r="LXW105" s="29"/>
      <c r="LXX105" s="29"/>
      <c r="LXY105" s="29"/>
      <c r="LXZ105" s="29"/>
      <c r="LYA105" s="29"/>
      <c r="LYB105" s="29"/>
      <c r="LYC105" s="29"/>
      <c r="LYD105" s="29"/>
      <c r="LYE105" s="29"/>
      <c r="LYF105" s="29"/>
      <c r="LYG105" s="29"/>
      <c r="LYH105" s="29"/>
      <c r="LYI105" s="29"/>
      <c r="LYJ105" s="29"/>
      <c r="LYK105" s="29"/>
      <c r="LYL105" s="29"/>
      <c r="LYM105" s="29"/>
      <c r="LYN105" s="29"/>
      <c r="LYO105" s="29"/>
      <c r="LYP105" s="29"/>
      <c r="LYQ105" s="29"/>
      <c r="LYR105" s="29"/>
      <c r="LYS105" s="29"/>
      <c r="LYT105" s="29"/>
      <c r="LYU105" s="29"/>
      <c r="LYV105" s="29"/>
      <c r="LYW105" s="29"/>
      <c r="LYX105" s="29"/>
      <c r="LYY105" s="29"/>
      <c r="LYZ105" s="29"/>
      <c r="LZA105" s="29"/>
      <c r="LZB105" s="29"/>
      <c r="LZC105" s="29"/>
      <c r="LZD105" s="29"/>
      <c r="LZE105" s="29"/>
      <c r="LZF105" s="29"/>
      <c r="LZG105" s="29"/>
      <c r="LZH105" s="29"/>
      <c r="LZI105" s="29"/>
      <c r="LZJ105" s="29"/>
      <c r="LZK105" s="29"/>
      <c r="LZL105" s="29"/>
      <c r="LZM105" s="29"/>
      <c r="LZN105" s="29"/>
      <c r="LZO105" s="29"/>
      <c r="LZP105" s="29"/>
      <c r="LZQ105" s="29"/>
      <c r="LZR105" s="29"/>
      <c r="LZS105" s="29"/>
      <c r="LZT105" s="29"/>
      <c r="LZU105" s="29"/>
      <c r="LZV105" s="29"/>
      <c r="LZW105" s="29"/>
      <c r="LZX105" s="29"/>
      <c r="LZY105" s="29"/>
      <c r="LZZ105" s="29"/>
      <c r="MAA105" s="29"/>
      <c r="MAB105" s="29"/>
      <c r="MAC105" s="29"/>
      <c r="MAD105" s="29"/>
      <c r="MAE105" s="29"/>
      <c r="MAF105" s="29"/>
      <c r="MAG105" s="29"/>
      <c r="MAH105" s="29"/>
      <c r="MAI105" s="29"/>
      <c r="MAJ105" s="29"/>
      <c r="MAK105" s="29"/>
      <c r="MAL105" s="29"/>
      <c r="MAM105" s="29"/>
      <c r="MAN105" s="29"/>
      <c r="MAO105" s="29"/>
      <c r="MAP105" s="29"/>
      <c r="MAQ105" s="29"/>
      <c r="MAR105" s="29"/>
      <c r="MAS105" s="29"/>
      <c r="MAT105" s="29"/>
      <c r="MAU105" s="29"/>
      <c r="MAV105" s="29"/>
      <c r="MAW105" s="29"/>
      <c r="MAX105" s="29"/>
      <c r="MAY105" s="29"/>
      <c r="MAZ105" s="29"/>
      <c r="MBA105" s="29"/>
      <c r="MBB105" s="29"/>
      <c r="MBC105" s="29"/>
      <c r="MBD105" s="29"/>
      <c r="MBE105" s="29"/>
      <c r="MBF105" s="29"/>
      <c r="MBG105" s="29"/>
      <c r="MBH105" s="29"/>
      <c r="MBI105" s="29"/>
      <c r="MBJ105" s="29"/>
      <c r="MBK105" s="29"/>
      <c r="MBL105" s="29"/>
      <c r="MBM105" s="29"/>
      <c r="MBN105" s="29"/>
      <c r="MBO105" s="29"/>
      <c r="MBP105" s="29"/>
      <c r="MBQ105" s="29"/>
      <c r="MBR105" s="29"/>
      <c r="MBS105" s="29"/>
      <c r="MBT105" s="29"/>
      <c r="MBU105" s="29"/>
      <c r="MBV105" s="29"/>
      <c r="MBW105" s="29"/>
      <c r="MBX105" s="29"/>
      <c r="MBY105" s="29"/>
      <c r="MBZ105" s="29"/>
      <c r="MCA105" s="29"/>
      <c r="MCB105" s="29"/>
      <c r="MCC105" s="29"/>
      <c r="MCD105" s="29"/>
      <c r="MCE105" s="29"/>
      <c r="MCF105" s="29"/>
      <c r="MCG105" s="29"/>
      <c r="MCH105" s="29"/>
      <c r="MCI105" s="29"/>
      <c r="MCJ105" s="29"/>
      <c r="MCK105" s="29"/>
      <c r="MCL105" s="29"/>
      <c r="MCM105" s="29"/>
      <c r="MCN105" s="29"/>
      <c r="MCO105" s="29"/>
      <c r="MCP105" s="29"/>
      <c r="MCQ105" s="29"/>
      <c r="MCR105" s="29"/>
      <c r="MCS105" s="29"/>
      <c r="MCT105" s="29"/>
      <c r="MCU105" s="29"/>
      <c r="MCV105" s="29"/>
      <c r="MCW105" s="29"/>
      <c r="MCX105" s="29"/>
      <c r="MCY105" s="29"/>
      <c r="MCZ105" s="29"/>
      <c r="MDA105" s="29"/>
      <c r="MDB105" s="29"/>
      <c r="MDC105" s="29"/>
      <c r="MDD105" s="29"/>
      <c r="MDE105" s="29"/>
      <c r="MDF105" s="29"/>
      <c r="MDG105" s="29"/>
      <c r="MDH105" s="29"/>
      <c r="MDI105" s="29"/>
      <c r="MDJ105" s="29"/>
      <c r="MDK105" s="29"/>
      <c r="MDL105" s="29"/>
      <c r="MDM105" s="29"/>
      <c r="MDN105" s="29"/>
      <c r="MDO105" s="29"/>
      <c r="MDP105" s="29"/>
      <c r="MDQ105" s="29"/>
      <c r="MDR105" s="29"/>
      <c r="MDS105" s="29"/>
      <c r="MDT105" s="29"/>
      <c r="MDU105" s="29"/>
      <c r="MDV105" s="29"/>
      <c r="MDW105" s="29"/>
      <c r="MDX105" s="29"/>
      <c r="MDY105" s="29"/>
      <c r="MDZ105" s="29"/>
      <c r="MEA105" s="29"/>
      <c r="MEB105" s="29"/>
      <c r="MEC105" s="29"/>
      <c r="MED105" s="29"/>
      <c r="MEE105" s="29"/>
      <c r="MEF105" s="29"/>
      <c r="MEG105" s="29"/>
      <c r="MEH105" s="29"/>
      <c r="MEI105" s="29"/>
      <c r="MEJ105" s="29"/>
      <c r="MEK105" s="29"/>
      <c r="MEL105" s="29"/>
      <c r="MEM105" s="29"/>
      <c r="MEN105" s="29"/>
      <c r="MEO105" s="29"/>
      <c r="MEP105" s="29"/>
      <c r="MEQ105" s="29"/>
      <c r="MER105" s="29"/>
      <c r="MES105" s="29"/>
      <c r="MET105" s="29"/>
      <c r="MEU105" s="29"/>
      <c r="MEV105" s="29"/>
      <c r="MEW105" s="29"/>
      <c r="MEX105" s="29"/>
      <c r="MEY105" s="29"/>
      <c r="MEZ105" s="29"/>
      <c r="MFA105" s="29"/>
      <c r="MFB105" s="29"/>
      <c r="MFC105" s="29"/>
      <c r="MFD105" s="29"/>
      <c r="MFE105" s="29"/>
      <c r="MFF105" s="29"/>
      <c r="MFG105" s="29"/>
      <c r="MFH105" s="29"/>
      <c r="MFI105" s="29"/>
      <c r="MFJ105" s="29"/>
      <c r="MFK105" s="29"/>
      <c r="MFL105" s="29"/>
      <c r="MFM105" s="29"/>
      <c r="MFN105" s="29"/>
      <c r="MFO105" s="29"/>
      <c r="MFP105" s="29"/>
      <c r="MFQ105" s="29"/>
      <c r="MFR105" s="29"/>
      <c r="MFS105" s="29"/>
      <c r="MFT105" s="29"/>
      <c r="MFU105" s="29"/>
      <c r="MFV105" s="29"/>
      <c r="MFW105" s="29"/>
      <c r="MFX105" s="29"/>
      <c r="MFY105" s="29"/>
      <c r="MFZ105" s="29"/>
      <c r="MGA105" s="29"/>
      <c r="MGB105" s="29"/>
      <c r="MGC105" s="29"/>
      <c r="MGD105" s="29"/>
      <c r="MGE105" s="29"/>
      <c r="MGF105" s="29"/>
      <c r="MGG105" s="29"/>
      <c r="MGH105" s="29"/>
      <c r="MGI105" s="29"/>
      <c r="MGJ105" s="29"/>
      <c r="MGK105" s="29"/>
      <c r="MGL105" s="29"/>
      <c r="MGM105" s="29"/>
      <c r="MGN105" s="29"/>
      <c r="MGO105" s="29"/>
      <c r="MGP105" s="29"/>
      <c r="MGQ105" s="29"/>
      <c r="MGR105" s="29"/>
      <c r="MGS105" s="29"/>
      <c r="MGT105" s="29"/>
      <c r="MGU105" s="29"/>
      <c r="MGV105" s="29"/>
      <c r="MGW105" s="29"/>
      <c r="MGX105" s="29"/>
      <c r="MGY105" s="29"/>
      <c r="MGZ105" s="29"/>
      <c r="MHA105" s="29"/>
      <c r="MHB105" s="29"/>
      <c r="MHC105" s="29"/>
      <c r="MHD105" s="29"/>
      <c r="MHE105" s="29"/>
      <c r="MHF105" s="29"/>
      <c r="MHG105" s="29"/>
      <c r="MHH105" s="29"/>
      <c r="MHI105" s="29"/>
      <c r="MHJ105" s="29"/>
      <c r="MHK105" s="29"/>
      <c r="MHL105" s="29"/>
      <c r="MHM105" s="29"/>
      <c r="MHN105" s="29"/>
      <c r="MHO105" s="29"/>
      <c r="MHP105" s="29"/>
      <c r="MHQ105" s="29"/>
      <c r="MHR105" s="29"/>
      <c r="MHS105" s="29"/>
      <c r="MHT105" s="29"/>
      <c r="MHU105" s="29"/>
      <c r="MHV105" s="29"/>
      <c r="MHW105" s="29"/>
      <c r="MHX105" s="29"/>
      <c r="MHY105" s="29"/>
      <c r="MHZ105" s="29"/>
      <c r="MIA105" s="29"/>
      <c r="MIB105" s="29"/>
      <c r="MIC105" s="29"/>
      <c r="MID105" s="29"/>
      <c r="MIE105" s="29"/>
      <c r="MIF105" s="29"/>
      <c r="MIG105" s="29"/>
      <c r="MIH105" s="29"/>
      <c r="MII105" s="29"/>
      <c r="MIJ105" s="29"/>
      <c r="MIK105" s="29"/>
      <c r="MIL105" s="29"/>
      <c r="MIM105" s="29"/>
      <c r="MIN105" s="29"/>
      <c r="MIO105" s="29"/>
      <c r="MIP105" s="29"/>
      <c r="MIQ105" s="29"/>
      <c r="MIR105" s="29"/>
      <c r="MIS105" s="29"/>
      <c r="MIT105" s="29"/>
      <c r="MIU105" s="29"/>
      <c r="MIV105" s="29"/>
      <c r="MIW105" s="29"/>
      <c r="MIX105" s="29"/>
      <c r="MIY105" s="29"/>
      <c r="MIZ105" s="29"/>
      <c r="MJA105" s="29"/>
      <c r="MJB105" s="29"/>
      <c r="MJC105" s="29"/>
      <c r="MJD105" s="29"/>
      <c r="MJE105" s="29"/>
      <c r="MJF105" s="29"/>
      <c r="MJG105" s="29"/>
      <c r="MJH105" s="29"/>
      <c r="MJI105" s="29"/>
      <c r="MJJ105" s="29"/>
      <c r="MJK105" s="29"/>
      <c r="MJL105" s="29"/>
      <c r="MJM105" s="29"/>
      <c r="MJN105" s="29"/>
      <c r="MJO105" s="29"/>
      <c r="MJP105" s="29"/>
      <c r="MJQ105" s="29"/>
      <c r="MJR105" s="29"/>
      <c r="MJS105" s="29"/>
      <c r="MJT105" s="29"/>
      <c r="MJU105" s="29"/>
      <c r="MJV105" s="29"/>
      <c r="MJW105" s="29"/>
      <c r="MJX105" s="29"/>
      <c r="MJY105" s="29"/>
      <c r="MJZ105" s="29"/>
      <c r="MKA105" s="29"/>
      <c r="MKB105" s="29"/>
      <c r="MKC105" s="29"/>
      <c r="MKD105" s="29"/>
      <c r="MKE105" s="29"/>
      <c r="MKF105" s="29"/>
      <c r="MKG105" s="29"/>
      <c r="MKH105" s="29"/>
      <c r="MKI105" s="29"/>
      <c r="MKJ105" s="29"/>
      <c r="MKK105" s="29"/>
      <c r="MKL105" s="29"/>
      <c r="MKM105" s="29"/>
      <c r="MKN105" s="29"/>
      <c r="MKO105" s="29"/>
      <c r="MKP105" s="29"/>
      <c r="MKQ105" s="29"/>
      <c r="MKR105" s="29"/>
      <c r="MKS105" s="29"/>
      <c r="MKT105" s="29"/>
      <c r="MKU105" s="29"/>
      <c r="MKV105" s="29"/>
      <c r="MKW105" s="29"/>
      <c r="MKX105" s="29"/>
      <c r="MKY105" s="29"/>
      <c r="MKZ105" s="29"/>
      <c r="MLA105" s="29"/>
      <c r="MLB105" s="29"/>
      <c r="MLC105" s="29"/>
      <c r="MLD105" s="29"/>
      <c r="MLE105" s="29"/>
      <c r="MLF105" s="29"/>
      <c r="MLG105" s="29"/>
      <c r="MLH105" s="29"/>
      <c r="MLI105" s="29"/>
      <c r="MLJ105" s="29"/>
      <c r="MLK105" s="29"/>
      <c r="MLL105" s="29"/>
      <c r="MLM105" s="29"/>
      <c r="MLN105" s="29"/>
      <c r="MLO105" s="29"/>
      <c r="MLP105" s="29"/>
      <c r="MLQ105" s="29"/>
      <c r="MLR105" s="29"/>
      <c r="MLS105" s="29"/>
      <c r="MLT105" s="29"/>
      <c r="MLU105" s="29"/>
      <c r="MLV105" s="29"/>
      <c r="MLW105" s="29"/>
      <c r="MLX105" s="29"/>
      <c r="MLY105" s="29"/>
      <c r="MLZ105" s="29"/>
      <c r="MMA105" s="29"/>
      <c r="MMB105" s="29"/>
      <c r="MMC105" s="29"/>
      <c r="MMD105" s="29"/>
      <c r="MME105" s="29"/>
      <c r="MMF105" s="29"/>
      <c r="MMG105" s="29"/>
      <c r="MMH105" s="29"/>
      <c r="MMI105" s="29"/>
      <c r="MMJ105" s="29"/>
      <c r="MMK105" s="29"/>
      <c r="MML105" s="29"/>
      <c r="MMM105" s="29"/>
      <c r="MMN105" s="29"/>
      <c r="MMO105" s="29"/>
      <c r="MMP105" s="29"/>
      <c r="MMQ105" s="29"/>
      <c r="MMR105" s="29"/>
      <c r="MMS105" s="29"/>
      <c r="MMT105" s="29"/>
      <c r="MMU105" s="29"/>
      <c r="MMV105" s="29"/>
      <c r="MMW105" s="29"/>
      <c r="MMX105" s="29"/>
      <c r="MMY105" s="29"/>
      <c r="MMZ105" s="29"/>
      <c r="MNA105" s="29"/>
      <c r="MNB105" s="29"/>
      <c r="MNC105" s="29"/>
      <c r="MND105" s="29"/>
      <c r="MNE105" s="29"/>
      <c r="MNF105" s="29"/>
      <c r="MNG105" s="29"/>
      <c r="MNH105" s="29"/>
      <c r="MNI105" s="29"/>
      <c r="MNJ105" s="29"/>
      <c r="MNK105" s="29"/>
      <c r="MNL105" s="29"/>
      <c r="MNM105" s="29"/>
      <c r="MNN105" s="29"/>
      <c r="MNO105" s="29"/>
      <c r="MNP105" s="29"/>
      <c r="MNQ105" s="29"/>
      <c r="MNR105" s="29"/>
      <c r="MNS105" s="29"/>
      <c r="MNT105" s="29"/>
      <c r="MNU105" s="29"/>
      <c r="MNV105" s="29"/>
      <c r="MNW105" s="29"/>
      <c r="MNX105" s="29"/>
      <c r="MNY105" s="29"/>
      <c r="MNZ105" s="29"/>
      <c r="MOA105" s="29"/>
      <c r="MOB105" s="29"/>
      <c r="MOC105" s="29"/>
      <c r="MOD105" s="29"/>
      <c r="MOE105" s="29"/>
      <c r="MOF105" s="29"/>
      <c r="MOG105" s="29"/>
      <c r="MOH105" s="29"/>
      <c r="MOI105" s="29"/>
      <c r="MOJ105" s="29"/>
      <c r="MOK105" s="29"/>
      <c r="MOL105" s="29"/>
      <c r="MOM105" s="29"/>
      <c r="MON105" s="29"/>
      <c r="MOO105" s="29"/>
      <c r="MOP105" s="29"/>
      <c r="MOQ105" s="29"/>
      <c r="MOR105" s="29"/>
      <c r="MOS105" s="29"/>
      <c r="MOT105" s="29"/>
      <c r="MOU105" s="29"/>
      <c r="MOV105" s="29"/>
      <c r="MOW105" s="29"/>
      <c r="MOX105" s="29"/>
      <c r="MOY105" s="29"/>
      <c r="MOZ105" s="29"/>
      <c r="MPA105" s="29"/>
      <c r="MPB105" s="29"/>
      <c r="MPC105" s="29"/>
      <c r="MPD105" s="29"/>
      <c r="MPE105" s="29"/>
      <c r="MPF105" s="29"/>
      <c r="MPG105" s="29"/>
      <c r="MPH105" s="29"/>
      <c r="MPI105" s="29"/>
      <c r="MPJ105" s="29"/>
      <c r="MPK105" s="29"/>
      <c r="MPL105" s="29"/>
      <c r="MPM105" s="29"/>
      <c r="MPN105" s="29"/>
      <c r="MPO105" s="29"/>
      <c r="MPP105" s="29"/>
      <c r="MPQ105" s="29"/>
      <c r="MPR105" s="29"/>
      <c r="MPS105" s="29"/>
      <c r="MPT105" s="29"/>
      <c r="MPU105" s="29"/>
      <c r="MPV105" s="29"/>
      <c r="MPW105" s="29"/>
      <c r="MPX105" s="29"/>
      <c r="MPY105" s="29"/>
      <c r="MPZ105" s="29"/>
      <c r="MQA105" s="29"/>
      <c r="MQB105" s="29"/>
      <c r="MQC105" s="29"/>
      <c r="MQD105" s="29"/>
      <c r="MQE105" s="29"/>
      <c r="MQF105" s="29"/>
      <c r="MQG105" s="29"/>
      <c r="MQH105" s="29"/>
      <c r="MQI105" s="29"/>
      <c r="MQJ105" s="29"/>
      <c r="MQK105" s="29"/>
      <c r="MQL105" s="29"/>
      <c r="MQM105" s="29"/>
      <c r="MQN105" s="29"/>
      <c r="MQO105" s="29"/>
      <c r="MQP105" s="29"/>
      <c r="MQQ105" s="29"/>
      <c r="MQR105" s="29"/>
      <c r="MQS105" s="29"/>
      <c r="MQT105" s="29"/>
      <c r="MQU105" s="29"/>
      <c r="MQV105" s="29"/>
      <c r="MQW105" s="29"/>
      <c r="MQX105" s="29"/>
      <c r="MQY105" s="29"/>
      <c r="MQZ105" s="29"/>
      <c r="MRA105" s="29"/>
      <c r="MRB105" s="29"/>
      <c r="MRC105" s="29"/>
      <c r="MRD105" s="29"/>
      <c r="MRE105" s="29"/>
      <c r="MRF105" s="29"/>
      <c r="MRG105" s="29"/>
      <c r="MRH105" s="29"/>
      <c r="MRI105" s="29"/>
      <c r="MRJ105" s="29"/>
      <c r="MRK105" s="29"/>
      <c r="MRL105" s="29"/>
      <c r="MRM105" s="29"/>
      <c r="MRN105" s="29"/>
      <c r="MRO105" s="29"/>
      <c r="MRP105" s="29"/>
      <c r="MRQ105" s="29"/>
      <c r="MRR105" s="29"/>
      <c r="MRS105" s="29"/>
      <c r="MRT105" s="29"/>
      <c r="MRU105" s="29"/>
      <c r="MRV105" s="29"/>
      <c r="MRW105" s="29"/>
      <c r="MRX105" s="29"/>
      <c r="MRY105" s="29"/>
      <c r="MRZ105" s="29"/>
      <c r="MSA105" s="29"/>
      <c r="MSB105" s="29"/>
      <c r="MSC105" s="29"/>
      <c r="MSD105" s="29"/>
      <c r="MSE105" s="29"/>
      <c r="MSF105" s="29"/>
      <c r="MSG105" s="29"/>
      <c r="MSH105" s="29"/>
      <c r="MSI105" s="29"/>
      <c r="MSJ105" s="29"/>
      <c r="MSK105" s="29"/>
      <c r="MSL105" s="29"/>
      <c r="MSM105" s="29"/>
      <c r="MSN105" s="29"/>
      <c r="MSO105" s="29"/>
      <c r="MSP105" s="29"/>
      <c r="MSQ105" s="29"/>
      <c r="MSR105" s="29"/>
      <c r="MSS105" s="29"/>
      <c r="MST105" s="29"/>
      <c r="MSU105" s="29"/>
      <c r="MSV105" s="29"/>
      <c r="MSW105" s="29"/>
      <c r="MSX105" s="29"/>
      <c r="MSY105" s="29"/>
      <c r="MSZ105" s="29"/>
      <c r="MTA105" s="29"/>
      <c r="MTB105" s="29"/>
      <c r="MTC105" s="29"/>
      <c r="MTD105" s="29"/>
      <c r="MTE105" s="29"/>
      <c r="MTF105" s="29"/>
      <c r="MTG105" s="29"/>
      <c r="MTH105" s="29"/>
      <c r="MTI105" s="29"/>
      <c r="MTJ105" s="29"/>
      <c r="MTK105" s="29"/>
      <c r="MTL105" s="29"/>
      <c r="MTM105" s="29"/>
      <c r="MTN105" s="29"/>
      <c r="MTO105" s="29"/>
      <c r="MTP105" s="29"/>
      <c r="MTQ105" s="29"/>
      <c r="MTR105" s="29"/>
      <c r="MTS105" s="29"/>
      <c r="MTT105" s="29"/>
      <c r="MTU105" s="29"/>
      <c r="MTV105" s="29"/>
      <c r="MTW105" s="29"/>
      <c r="MTX105" s="29"/>
      <c r="MTY105" s="29"/>
      <c r="MTZ105" s="29"/>
      <c r="MUA105" s="29"/>
      <c r="MUB105" s="29"/>
      <c r="MUC105" s="29"/>
      <c r="MUD105" s="29"/>
      <c r="MUE105" s="29"/>
      <c r="MUF105" s="29"/>
      <c r="MUG105" s="29"/>
      <c r="MUH105" s="29"/>
      <c r="MUI105" s="29"/>
      <c r="MUJ105" s="29"/>
      <c r="MUK105" s="29"/>
      <c r="MUL105" s="29"/>
      <c r="MUM105" s="29"/>
      <c r="MUN105" s="29"/>
      <c r="MUO105" s="29"/>
      <c r="MUP105" s="29"/>
      <c r="MUQ105" s="29"/>
      <c r="MUR105" s="29"/>
      <c r="MUS105" s="29"/>
      <c r="MUT105" s="29"/>
      <c r="MUU105" s="29"/>
      <c r="MUV105" s="29"/>
      <c r="MUW105" s="29"/>
      <c r="MUX105" s="29"/>
      <c r="MUY105" s="29"/>
      <c r="MUZ105" s="29"/>
      <c r="MVA105" s="29"/>
      <c r="MVB105" s="29"/>
      <c r="MVC105" s="29"/>
      <c r="MVD105" s="29"/>
      <c r="MVE105" s="29"/>
      <c r="MVF105" s="29"/>
      <c r="MVG105" s="29"/>
      <c r="MVH105" s="29"/>
      <c r="MVI105" s="29"/>
      <c r="MVJ105" s="29"/>
      <c r="MVK105" s="29"/>
      <c r="MVL105" s="29"/>
      <c r="MVM105" s="29"/>
      <c r="MVN105" s="29"/>
      <c r="MVO105" s="29"/>
      <c r="MVP105" s="29"/>
      <c r="MVQ105" s="29"/>
      <c r="MVR105" s="29"/>
      <c r="MVS105" s="29"/>
      <c r="MVT105" s="29"/>
      <c r="MVU105" s="29"/>
      <c r="MVV105" s="29"/>
      <c r="MVW105" s="29"/>
      <c r="MVX105" s="29"/>
      <c r="MVY105" s="29"/>
      <c r="MVZ105" s="29"/>
      <c r="MWA105" s="29"/>
      <c r="MWB105" s="29"/>
      <c r="MWC105" s="29"/>
      <c r="MWD105" s="29"/>
      <c r="MWE105" s="29"/>
      <c r="MWF105" s="29"/>
      <c r="MWG105" s="29"/>
      <c r="MWH105" s="29"/>
      <c r="MWI105" s="29"/>
      <c r="MWJ105" s="29"/>
      <c r="MWK105" s="29"/>
      <c r="MWL105" s="29"/>
      <c r="MWM105" s="29"/>
      <c r="MWN105" s="29"/>
      <c r="MWO105" s="29"/>
      <c r="MWP105" s="29"/>
      <c r="MWQ105" s="29"/>
      <c r="MWR105" s="29"/>
      <c r="MWS105" s="29"/>
      <c r="MWT105" s="29"/>
      <c r="MWU105" s="29"/>
      <c r="MWV105" s="29"/>
      <c r="MWW105" s="29"/>
      <c r="MWX105" s="29"/>
      <c r="MWY105" s="29"/>
      <c r="MWZ105" s="29"/>
      <c r="MXA105" s="29"/>
      <c r="MXB105" s="29"/>
      <c r="MXC105" s="29"/>
      <c r="MXD105" s="29"/>
      <c r="MXE105" s="29"/>
      <c r="MXF105" s="29"/>
      <c r="MXG105" s="29"/>
      <c r="MXH105" s="29"/>
      <c r="MXI105" s="29"/>
      <c r="MXJ105" s="29"/>
      <c r="MXK105" s="29"/>
      <c r="MXL105" s="29"/>
      <c r="MXM105" s="29"/>
      <c r="MXN105" s="29"/>
      <c r="MXO105" s="29"/>
      <c r="MXP105" s="29"/>
      <c r="MXQ105" s="29"/>
      <c r="MXR105" s="29"/>
      <c r="MXS105" s="29"/>
      <c r="MXT105" s="29"/>
      <c r="MXU105" s="29"/>
      <c r="MXV105" s="29"/>
      <c r="MXW105" s="29"/>
      <c r="MXX105" s="29"/>
      <c r="MXY105" s="29"/>
      <c r="MXZ105" s="29"/>
      <c r="MYA105" s="29"/>
      <c r="MYB105" s="29"/>
      <c r="MYC105" s="29"/>
      <c r="MYD105" s="29"/>
      <c r="MYE105" s="29"/>
      <c r="MYF105" s="29"/>
      <c r="MYG105" s="29"/>
      <c r="MYH105" s="29"/>
      <c r="MYI105" s="29"/>
      <c r="MYJ105" s="29"/>
      <c r="MYK105" s="29"/>
      <c r="MYL105" s="29"/>
      <c r="MYM105" s="29"/>
      <c r="MYN105" s="29"/>
      <c r="MYO105" s="29"/>
      <c r="MYP105" s="29"/>
      <c r="MYQ105" s="29"/>
      <c r="MYR105" s="29"/>
      <c r="MYS105" s="29"/>
      <c r="MYT105" s="29"/>
      <c r="MYU105" s="29"/>
      <c r="MYV105" s="29"/>
      <c r="MYW105" s="29"/>
      <c r="MYX105" s="29"/>
      <c r="MYY105" s="29"/>
      <c r="MYZ105" s="29"/>
      <c r="MZA105" s="29"/>
      <c r="MZB105" s="29"/>
      <c r="MZC105" s="29"/>
      <c r="MZD105" s="29"/>
      <c r="MZE105" s="29"/>
      <c r="MZF105" s="29"/>
      <c r="MZG105" s="29"/>
      <c r="MZH105" s="29"/>
      <c r="MZI105" s="29"/>
      <c r="MZJ105" s="29"/>
      <c r="MZK105" s="29"/>
      <c r="MZL105" s="29"/>
      <c r="MZM105" s="29"/>
      <c r="MZN105" s="29"/>
      <c r="MZO105" s="29"/>
      <c r="MZP105" s="29"/>
      <c r="MZQ105" s="29"/>
      <c r="MZR105" s="29"/>
      <c r="MZS105" s="29"/>
      <c r="MZT105" s="29"/>
      <c r="MZU105" s="29"/>
      <c r="MZV105" s="29"/>
      <c r="MZW105" s="29"/>
      <c r="MZX105" s="29"/>
      <c r="MZY105" s="29"/>
      <c r="MZZ105" s="29"/>
      <c r="NAA105" s="29"/>
      <c r="NAB105" s="29"/>
      <c r="NAC105" s="29"/>
      <c r="NAD105" s="29"/>
      <c r="NAE105" s="29"/>
      <c r="NAF105" s="29"/>
      <c r="NAG105" s="29"/>
      <c r="NAH105" s="29"/>
      <c r="NAI105" s="29"/>
      <c r="NAJ105" s="29"/>
      <c r="NAK105" s="29"/>
      <c r="NAL105" s="29"/>
      <c r="NAM105" s="29"/>
      <c r="NAN105" s="29"/>
      <c r="NAO105" s="29"/>
      <c r="NAP105" s="29"/>
      <c r="NAQ105" s="29"/>
      <c r="NAR105" s="29"/>
      <c r="NAS105" s="29"/>
      <c r="NAT105" s="29"/>
      <c r="NAU105" s="29"/>
      <c r="NAV105" s="29"/>
      <c r="NAW105" s="29"/>
      <c r="NAX105" s="29"/>
      <c r="NAY105" s="29"/>
      <c r="NAZ105" s="29"/>
      <c r="NBA105" s="29"/>
      <c r="NBB105" s="29"/>
      <c r="NBC105" s="29"/>
      <c r="NBD105" s="29"/>
      <c r="NBE105" s="29"/>
      <c r="NBF105" s="29"/>
      <c r="NBG105" s="29"/>
      <c r="NBH105" s="29"/>
      <c r="NBI105" s="29"/>
      <c r="NBJ105" s="29"/>
      <c r="NBK105" s="29"/>
      <c r="NBL105" s="29"/>
      <c r="NBM105" s="29"/>
      <c r="NBN105" s="29"/>
      <c r="NBO105" s="29"/>
      <c r="NBP105" s="29"/>
      <c r="NBQ105" s="29"/>
      <c r="NBR105" s="29"/>
      <c r="NBS105" s="29"/>
      <c r="NBT105" s="29"/>
      <c r="NBU105" s="29"/>
      <c r="NBV105" s="29"/>
      <c r="NBW105" s="29"/>
      <c r="NBX105" s="29"/>
      <c r="NBY105" s="29"/>
      <c r="NBZ105" s="29"/>
      <c r="NCA105" s="29"/>
      <c r="NCB105" s="29"/>
      <c r="NCC105" s="29"/>
      <c r="NCD105" s="29"/>
      <c r="NCE105" s="29"/>
      <c r="NCF105" s="29"/>
      <c r="NCG105" s="29"/>
      <c r="NCH105" s="29"/>
      <c r="NCI105" s="29"/>
      <c r="NCJ105" s="29"/>
      <c r="NCK105" s="29"/>
      <c r="NCL105" s="29"/>
      <c r="NCM105" s="29"/>
      <c r="NCN105" s="29"/>
      <c r="NCO105" s="29"/>
      <c r="NCP105" s="29"/>
      <c r="NCQ105" s="29"/>
      <c r="NCR105" s="29"/>
      <c r="NCS105" s="29"/>
      <c r="NCT105" s="29"/>
      <c r="NCU105" s="29"/>
      <c r="NCV105" s="29"/>
      <c r="NCW105" s="29"/>
      <c r="NCX105" s="29"/>
      <c r="NCY105" s="29"/>
      <c r="NCZ105" s="29"/>
      <c r="NDA105" s="29"/>
      <c r="NDB105" s="29"/>
      <c r="NDC105" s="29"/>
      <c r="NDD105" s="29"/>
      <c r="NDE105" s="29"/>
      <c r="NDF105" s="29"/>
      <c r="NDG105" s="29"/>
      <c r="NDH105" s="29"/>
      <c r="NDI105" s="29"/>
      <c r="NDJ105" s="29"/>
      <c r="NDK105" s="29"/>
      <c r="NDL105" s="29"/>
      <c r="NDM105" s="29"/>
      <c r="NDN105" s="29"/>
      <c r="NDO105" s="29"/>
      <c r="NDP105" s="29"/>
      <c r="NDQ105" s="29"/>
      <c r="NDR105" s="29"/>
      <c r="NDS105" s="29"/>
      <c r="NDT105" s="29"/>
      <c r="NDU105" s="29"/>
      <c r="NDV105" s="29"/>
      <c r="NDW105" s="29"/>
      <c r="NDX105" s="29"/>
      <c r="NDY105" s="29"/>
      <c r="NDZ105" s="29"/>
      <c r="NEA105" s="29"/>
      <c r="NEB105" s="29"/>
      <c r="NEC105" s="29"/>
      <c r="NED105" s="29"/>
      <c r="NEE105" s="29"/>
      <c r="NEF105" s="29"/>
      <c r="NEG105" s="29"/>
      <c r="NEH105" s="29"/>
      <c r="NEI105" s="29"/>
      <c r="NEJ105" s="29"/>
      <c r="NEK105" s="29"/>
      <c r="NEL105" s="29"/>
      <c r="NEM105" s="29"/>
      <c r="NEN105" s="29"/>
      <c r="NEO105" s="29"/>
      <c r="NEP105" s="29"/>
      <c r="NEQ105" s="29"/>
      <c r="NER105" s="29"/>
      <c r="NES105" s="29"/>
      <c r="NET105" s="29"/>
      <c r="NEU105" s="29"/>
      <c r="NEV105" s="29"/>
      <c r="NEW105" s="29"/>
      <c r="NEX105" s="29"/>
      <c r="NEY105" s="29"/>
      <c r="NEZ105" s="29"/>
      <c r="NFA105" s="29"/>
      <c r="NFB105" s="29"/>
      <c r="NFC105" s="29"/>
      <c r="NFD105" s="29"/>
      <c r="NFE105" s="29"/>
      <c r="NFF105" s="29"/>
      <c r="NFG105" s="29"/>
      <c r="NFH105" s="29"/>
      <c r="NFI105" s="29"/>
      <c r="NFJ105" s="29"/>
      <c r="NFK105" s="29"/>
      <c r="NFL105" s="29"/>
      <c r="NFM105" s="29"/>
      <c r="NFN105" s="29"/>
      <c r="NFO105" s="29"/>
      <c r="NFP105" s="29"/>
      <c r="NFQ105" s="29"/>
      <c r="NFR105" s="29"/>
      <c r="NFS105" s="29"/>
      <c r="NFT105" s="29"/>
      <c r="NFU105" s="29"/>
      <c r="NFV105" s="29"/>
      <c r="NFW105" s="29"/>
      <c r="NFX105" s="29"/>
      <c r="NFY105" s="29"/>
      <c r="NFZ105" s="29"/>
      <c r="NGA105" s="29"/>
      <c r="NGB105" s="29"/>
      <c r="NGC105" s="29"/>
      <c r="NGD105" s="29"/>
      <c r="NGE105" s="29"/>
      <c r="NGF105" s="29"/>
      <c r="NGG105" s="29"/>
      <c r="NGH105" s="29"/>
      <c r="NGI105" s="29"/>
      <c r="NGJ105" s="29"/>
      <c r="NGK105" s="29"/>
      <c r="NGL105" s="29"/>
      <c r="NGM105" s="29"/>
      <c r="NGN105" s="29"/>
      <c r="NGO105" s="29"/>
      <c r="NGP105" s="29"/>
      <c r="NGQ105" s="29"/>
      <c r="NGR105" s="29"/>
      <c r="NGS105" s="29"/>
      <c r="NGT105" s="29"/>
      <c r="NGU105" s="29"/>
      <c r="NGV105" s="29"/>
      <c r="NGW105" s="29"/>
      <c r="NGX105" s="29"/>
      <c r="NGY105" s="29"/>
      <c r="NGZ105" s="29"/>
      <c r="NHA105" s="29"/>
      <c r="NHB105" s="29"/>
      <c r="NHC105" s="29"/>
      <c r="NHD105" s="29"/>
      <c r="NHE105" s="29"/>
      <c r="NHF105" s="29"/>
      <c r="NHG105" s="29"/>
      <c r="NHH105" s="29"/>
      <c r="NHI105" s="29"/>
      <c r="NHJ105" s="29"/>
      <c r="NHK105" s="29"/>
      <c r="NHL105" s="29"/>
      <c r="NHM105" s="29"/>
      <c r="NHN105" s="29"/>
      <c r="NHO105" s="29"/>
      <c r="NHP105" s="29"/>
      <c r="NHQ105" s="29"/>
      <c r="NHR105" s="29"/>
      <c r="NHS105" s="29"/>
      <c r="NHT105" s="29"/>
      <c r="NHU105" s="29"/>
      <c r="NHV105" s="29"/>
      <c r="NHW105" s="29"/>
      <c r="NHX105" s="29"/>
      <c r="NHY105" s="29"/>
      <c r="NHZ105" s="29"/>
      <c r="NIA105" s="29"/>
      <c r="NIB105" s="29"/>
      <c r="NIC105" s="29"/>
      <c r="NID105" s="29"/>
      <c r="NIE105" s="29"/>
      <c r="NIF105" s="29"/>
      <c r="NIG105" s="29"/>
      <c r="NIH105" s="29"/>
      <c r="NII105" s="29"/>
      <c r="NIJ105" s="29"/>
      <c r="NIK105" s="29"/>
      <c r="NIL105" s="29"/>
      <c r="NIM105" s="29"/>
      <c r="NIN105" s="29"/>
      <c r="NIO105" s="29"/>
      <c r="NIP105" s="29"/>
      <c r="NIQ105" s="29"/>
      <c r="NIR105" s="29"/>
      <c r="NIS105" s="29"/>
      <c r="NIT105" s="29"/>
      <c r="NIU105" s="29"/>
      <c r="NIV105" s="29"/>
      <c r="NIW105" s="29"/>
      <c r="NIX105" s="29"/>
      <c r="NIY105" s="29"/>
      <c r="NIZ105" s="29"/>
      <c r="NJA105" s="29"/>
      <c r="NJB105" s="29"/>
      <c r="NJC105" s="29"/>
      <c r="NJD105" s="29"/>
      <c r="NJE105" s="29"/>
      <c r="NJF105" s="29"/>
      <c r="NJG105" s="29"/>
      <c r="NJH105" s="29"/>
      <c r="NJI105" s="29"/>
      <c r="NJJ105" s="29"/>
      <c r="NJK105" s="29"/>
      <c r="NJL105" s="29"/>
      <c r="NJM105" s="29"/>
      <c r="NJN105" s="29"/>
      <c r="NJO105" s="29"/>
      <c r="NJP105" s="29"/>
      <c r="NJQ105" s="29"/>
      <c r="NJR105" s="29"/>
      <c r="NJS105" s="29"/>
      <c r="NJT105" s="29"/>
      <c r="NJU105" s="29"/>
      <c r="NJV105" s="29"/>
      <c r="NJW105" s="29"/>
      <c r="NJX105" s="29"/>
      <c r="NJY105" s="29"/>
      <c r="NJZ105" s="29"/>
      <c r="NKA105" s="29"/>
      <c r="NKB105" s="29"/>
      <c r="NKC105" s="29"/>
      <c r="NKD105" s="29"/>
      <c r="NKE105" s="29"/>
      <c r="NKF105" s="29"/>
      <c r="NKG105" s="29"/>
      <c r="NKH105" s="29"/>
      <c r="NKI105" s="29"/>
      <c r="NKJ105" s="29"/>
      <c r="NKK105" s="29"/>
      <c r="NKL105" s="29"/>
      <c r="NKM105" s="29"/>
      <c r="NKN105" s="29"/>
      <c r="NKO105" s="29"/>
      <c r="NKP105" s="29"/>
      <c r="NKQ105" s="29"/>
      <c r="NKR105" s="29"/>
      <c r="NKS105" s="29"/>
      <c r="NKT105" s="29"/>
      <c r="NKU105" s="29"/>
      <c r="NKV105" s="29"/>
      <c r="NKW105" s="29"/>
      <c r="NKX105" s="29"/>
      <c r="NKY105" s="29"/>
      <c r="NKZ105" s="29"/>
      <c r="NLA105" s="29"/>
      <c r="NLB105" s="29"/>
      <c r="NLC105" s="29"/>
      <c r="NLD105" s="29"/>
      <c r="NLE105" s="29"/>
      <c r="NLF105" s="29"/>
      <c r="NLG105" s="29"/>
      <c r="NLH105" s="29"/>
      <c r="NLI105" s="29"/>
      <c r="NLJ105" s="29"/>
      <c r="NLK105" s="29"/>
      <c r="NLL105" s="29"/>
      <c r="NLM105" s="29"/>
      <c r="NLN105" s="29"/>
      <c r="NLO105" s="29"/>
      <c r="NLP105" s="29"/>
      <c r="NLQ105" s="29"/>
      <c r="NLR105" s="29"/>
      <c r="NLS105" s="29"/>
      <c r="NLT105" s="29"/>
      <c r="NLU105" s="29"/>
      <c r="NLV105" s="29"/>
      <c r="NLW105" s="29"/>
      <c r="NLX105" s="29"/>
      <c r="NLY105" s="29"/>
      <c r="NLZ105" s="29"/>
      <c r="NMA105" s="29"/>
      <c r="NMB105" s="29"/>
      <c r="NMC105" s="29"/>
      <c r="NMD105" s="29"/>
      <c r="NME105" s="29"/>
      <c r="NMF105" s="29"/>
      <c r="NMG105" s="29"/>
      <c r="NMH105" s="29"/>
      <c r="NMI105" s="29"/>
      <c r="NMJ105" s="29"/>
      <c r="NMK105" s="29"/>
      <c r="NML105" s="29"/>
      <c r="NMM105" s="29"/>
      <c r="NMN105" s="29"/>
      <c r="NMO105" s="29"/>
      <c r="NMP105" s="29"/>
      <c r="NMQ105" s="29"/>
      <c r="NMR105" s="29"/>
      <c r="NMS105" s="29"/>
      <c r="NMT105" s="29"/>
      <c r="NMU105" s="29"/>
      <c r="NMV105" s="29"/>
      <c r="NMW105" s="29"/>
      <c r="NMX105" s="29"/>
      <c r="NMY105" s="29"/>
      <c r="NMZ105" s="29"/>
      <c r="NNA105" s="29"/>
      <c r="NNB105" s="29"/>
      <c r="NNC105" s="29"/>
      <c r="NND105" s="29"/>
      <c r="NNE105" s="29"/>
      <c r="NNF105" s="29"/>
      <c r="NNG105" s="29"/>
      <c r="NNH105" s="29"/>
      <c r="NNI105" s="29"/>
      <c r="NNJ105" s="29"/>
      <c r="NNK105" s="29"/>
      <c r="NNL105" s="29"/>
      <c r="NNM105" s="29"/>
      <c r="NNN105" s="29"/>
      <c r="NNO105" s="29"/>
      <c r="NNP105" s="29"/>
      <c r="NNQ105" s="29"/>
      <c r="NNR105" s="29"/>
      <c r="NNS105" s="29"/>
      <c r="NNT105" s="29"/>
      <c r="NNU105" s="29"/>
      <c r="NNV105" s="29"/>
      <c r="NNW105" s="29"/>
      <c r="NNX105" s="29"/>
      <c r="NNY105" s="29"/>
      <c r="NNZ105" s="29"/>
      <c r="NOA105" s="29"/>
      <c r="NOB105" s="29"/>
      <c r="NOC105" s="29"/>
      <c r="NOD105" s="29"/>
      <c r="NOE105" s="29"/>
      <c r="NOF105" s="29"/>
      <c r="NOG105" s="29"/>
      <c r="NOH105" s="29"/>
      <c r="NOI105" s="29"/>
      <c r="NOJ105" s="29"/>
      <c r="NOK105" s="29"/>
      <c r="NOL105" s="29"/>
      <c r="NOM105" s="29"/>
      <c r="NON105" s="29"/>
      <c r="NOO105" s="29"/>
      <c r="NOP105" s="29"/>
      <c r="NOQ105" s="29"/>
      <c r="NOR105" s="29"/>
      <c r="NOS105" s="29"/>
      <c r="NOT105" s="29"/>
      <c r="NOU105" s="29"/>
      <c r="NOV105" s="29"/>
      <c r="NOW105" s="29"/>
      <c r="NOX105" s="29"/>
      <c r="NOY105" s="29"/>
      <c r="NOZ105" s="29"/>
      <c r="NPA105" s="29"/>
      <c r="NPB105" s="29"/>
      <c r="NPC105" s="29"/>
      <c r="NPD105" s="29"/>
      <c r="NPE105" s="29"/>
      <c r="NPF105" s="29"/>
      <c r="NPG105" s="29"/>
      <c r="NPH105" s="29"/>
      <c r="NPI105" s="29"/>
      <c r="NPJ105" s="29"/>
      <c r="NPK105" s="29"/>
      <c r="NPL105" s="29"/>
      <c r="NPM105" s="29"/>
      <c r="NPN105" s="29"/>
      <c r="NPO105" s="29"/>
      <c r="NPP105" s="29"/>
      <c r="NPQ105" s="29"/>
      <c r="NPR105" s="29"/>
      <c r="NPS105" s="29"/>
      <c r="NPT105" s="29"/>
      <c r="NPU105" s="29"/>
      <c r="NPV105" s="29"/>
      <c r="NPW105" s="29"/>
      <c r="NPX105" s="29"/>
      <c r="NPY105" s="29"/>
      <c r="NPZ105" s="29"/>
      <c r="NQA105" s="29"/>
      <c r="NQB105" s="29"/>
      <c r="NQC105" s="29"/>
      <c r="NQD105" s="29"/>
      <c r="NQE105" s="29"/>
      <c r="NQF105" s="29"/>
      <c r="NQG105" s="29"/>
      <c r="NQH105" s="29"/>
      <c r="NQI105" s="29"/>
      <c r="NQJ105" s="29"/>
      <c r="NQK105" s="29"/>
      <c r="NQL105" s="29"/>
      <c r="NQM105" s="29"/>
      <c r="NQN105" s="29"/>
      <c r="NQO105" s="29"/>
      <c r="NQP105" s="29"/>
      <c r="NQQ105" s="29"/>
      <c r="NQR105" s="29"/>
      <c r="NQS105" s="29"/>
      <c r="NQT105" s="29"/>
      <c r="NQU105" s="29"/>
      <c r="NQV105" s="29"/>
      <c r="NQW105" s="29"/>
      <c r="NQX105" s="29"/>
      <c r="NQY105" s="29"/>
      <c r="NQZ105" s="29"/>
      <c r="NRA105" s="29"/>
      <c r="NRB105" s="29"/>
      <c r="NRC105" s="29"/>
      <c r="NRD105" s="29"/>
      <c r="NRE105" s="29"/>
      <c r="NRF105" s="29"/>
      <c r="NRG105" s="29"/>
      <c r="NRH105" s="29"/>
      <c r="NRI105" s="29"/>
      <c r="NRJ105" s="29"/>
      <c r="NRK105" s="29"/>
      <c r="NRL105" s="29"/>
      <c r="NRM105" s="29"/>
      <c r="NRN105" s="29"/>
      <c r="NRO105" s="29"/>
      <c r="NRP105" s="29"/>
      <c r="NRQ105" s="29"/>
      <c r="NRR105" s="29"/>
      <c r="NRS105" s="29"/>
      <c r="NRT105" s="29"/>
      <c r="NRU105" s="29"/>
      <c r="NRV105" s="29"/>
      <c r="NRW105" s="29"/>
      <c r="NRX105" s="29"/>
      <c r="NRY105" s="29"/>
      <c r="NRZ105" s="29"/>
      <c r="NSA105" s="29"/>
      <c r="NSB105" s="29"/>
      <c r="NSC105" s="29"/>
      <c r="NSD105" s="29"/>
      <c r="NSE105" s="29"/>
      <c r="NSF105" s="29"/>
      <c r="NSG105" s="29"/>
      <c r="NSH105" s="29"/>
      <c r="NSI105" s="29"/>
      <c r="NSJ105" s="29"/>
      <c r="NSK105" s="29"/>
      <c r="NSL105" s="29"/>
      <c r="NSM105" s="29"/>
      <c r="NSN105" s="29"/>
      <c r="NSO105" s="29"/>
      <c r="NSP105" s="29"/>
      <c r="NSQ105" s="29"/>
      <c r="NSR105" s="29"/>
      <c r="NSS105" s="29"/>
      <c r="NST105" s="29"/>
      <c r="NSU105" s="29"/>
      <c r="NSV105" s="29"/>
      <c r="NSW105" s="29"/>
      <c r="NSX105" s="29"/>
      <c r="NSY105" s="29"/>
      <c r="NSZ105" s="29"/>
      <c r="NTA105" s="29"/>
      <c r="NTB105" s="29"/>
      <c r="NTC105" s="29"/>
      <c r="NTD105" s="29"/>
      <c r="NTE105" s="29"/>
      <c r="NTF105" s="29"/>
      <c r="NTG105" s="29"/>
      <c r="NTH105" s="29"/>
      <c r="NTI105" s="29"/>
      <c r="NTJ105" s="29"/>
      <c r="NTK105" s="29"/>
      <c r="NTL105" s="29"/>
      <c r="NTM105" s="29"/>
      <c r="NTN105" s="29"/>
      <c r="NTO105" s="29"/>
      <c r="NTP105" s="29"/>
      <c r="NTQ105" s="29"/>
      <c r="NTR105" s="29"/>
      <c r="NTS105" s="29"/>
      <c r="NTT105" s="29"/>
      <c r="NTU105" s="29"/>
      <c r="NTV105" s="29"/>
      <c r="NTW105" s="29"/>
      <c r="NTX105" s="29"/>
      <c r="NTY105" s="29"/>
      <c r="NTZ105" s="29"/>
      <c r="NUA105" s="29"/>
      <c r="NUB105" s="29"/>
      <c r="NUC105" s="29"/>
      <c r="NUD105" s="29"/>
      <c r="NUE105" s="29"/>
      <c r="NUF105" s="29"/>
      <c r="NUG105" s="29"/>
      <c r="NUH105" s="29"/>
      <c r="NUI105" s="29"/>
      <c r="NUJ105" s="29"/>
      <c r="NUK105" s="29"/>
      <c r="NUL105" s="29"/>
      <c r="NUM105" s="29"/>
      <c r="NUN105" s="29"/>
      <c r="NUO105" s="29"/>
      <c r="NUP105" s="29"/>
      <c r="NUQ105" s="29"/>
      <c r="NUR105" s="29"/>
      <c r="NUS105" s="29"/>
      <c r="NUT105" s="29"/>
      <c r="NUU105" s="29"/>
      <c r="NUV105" s="29"/>
      <c r="NUW105" s="29"/>
      <c r="NUX105" s="29"/>
      <c r="NUY105" s="29"/>
      <c r="NUZ105" s="29"/>
      <c r="NVA105" s="29"/>
      <c r="NVB105" s="29"/>
      <c r="NVC105" s="29"/>
      <c r="NVD105" s="29"/>
      <c r="NVE105" s="29"/>
      <c r="NVF105" s="29"/>
      <c r="NVG105" s="29"/>
      <c r="NVH105" s="29"/>
      <c r="NVI105" s="29"/>
      <c r="NVJ105" s="29"/>
      <c r="NVK105" s="29"/>
      <c r="NVL105" s="29"/>
      <c r="NVM105" s="29"/>
      <c r="NVN105" s="29"/>
      <c r="NVO105" s="29"/>
      <c r="NVP105" s="29"/>
      <c r="NVQ105" s="29"/>
      <c r="NVR105" s="29"/>
      <c r="NVS105" s="29"/>
      <c r="NVT105" s="29"/>
      <c r="NVU105" s="29"/>
      <c r="NVV105" s="29"/>
      <c r="NVW105" s="29"/>
      <c r="NVX105" s="29"/>
      <c r="NVY105" s="29"/>
      <c r="NVZ105" s="29"/>
      <c r="NWA105" s="29"/>
      <c r="NWB105" s="29"/>
      <c r="NWC105" s="29"/>
      <c r="NWD105" s="29"/>
      <c r="NWE105" s="29"/>
      <c r="NWF105" s="29"/>
      <c r="NWG105" s="29"/>
      <c r="NWH105" s="29"/>
      <c r="NWI105" s="29"/>
      <c r="NWJ105" s="29"/>
      <c r="NWK105" s="29"/>
      <c r="NWL105" s="29"/>
      <c r="NWM105" s="29"/>
      <c r="NWN105" s="29"/>
      <c r="NWO105" s="29"/>
      <c r="NWP105" s="29"/>
      <c r="NWQ105" s="29"/>
      <c r="NWR105" s="29"/>
      <c r="NWS105" s="29"/>
      <c r="NWT105" s="29"/>
      <c r="NWU105" s="29"/>
      <c r="NWV105" s="29"/>
      <c r="NWW105" s="29"/>
      <c r="NWX105" s="29"/>
      <c r="NWY105" s="29"/>
      <c r="NWZ105" s="29"/>
      <c r="NXA105" s="29"/>
      <c r="NXB105" s="29"/>
      <c r="NXC105" s="29"/>
      <c r="NXD105" s="29"/>
      <c r="NXE105" s="29"/>
      <c r="NXF105" s="29"/>
      <c r="NXG105" s="29"/>
      <c r="NXH105" s="29"/>
      <c r="NXI105" s="29"/>
      <c r="NXJ105" s="29"/>
      <c r="NXK105" s="29"/>
      <c r="NXL105" s="29"/>
      <c r="NXM105" s="29"/>
      <c r="NXN105" s="29"/>
      <c r="NXO105" s="29"/>
      <c r="NXP105" s="29"/>
      <c r="NXQ105" s="29"/>
      <c r="NXR105" s="29"/>
      <c r="NXS105" s="29"/>
      <c r="NXT105" s="29"/>
      <c r="NXU105" s="29"/>
      <c r="NXV105" s="29"/>
      <c r="NXW105" s="29"/>
      <c r="NXX105" s="29"/>
      <c r="NXY105" s="29"/>
      <c r="NXZ105" s="29"/>
      <c r="NYA105" s="29"/>
      <c r="NYB105" s="29"/>
      <c r="NYC105" s="29"/>
      <c r="NYD105" s="29"/>
      <c r="NYE105" s="29"/>
      <c r="NYF105" s="29"/>
      <c r="NYG105" s="29"/>
      <c r="NYH105" s="29"/>
      <c r="NYI105" s="29"/>
      <c r="NYJ105" s="29"/>
      <c r="NYK105" s="29"/>
      <c r="NYL105" s="29"/>
      <c r="NYM105" s="29"/>
      <c r="NYN105" s="29"/>
      <c r="NYO105" s="29"/>
      <c r="NYP105" s="29"/>
      <c r="NYQ105" s="29"/>
      <c r="NYR105" s="29"/>
      <c r="NYS105" s="29"/>
      <c r="NYT105" s="29"/>
      <c r="NYU105" s="29"/>
      <c r="NYV105" s="29"/>
      <c r="NYW105" s="29"/>
      <c r="NYX105" s="29"/>
      <c r="NYY105" s="29"/>
      <c r="NYZ105" s="29"/>
      <c r="NZA105" s="29"/>
      <c r="NZB105" s="29"/>
      <c r="NZC105" s="29"/>
      <c r="NZD105" s="29"/>
      <c r="NZE105" s="29"/>
      <c r="NZF105" s="29"/>
      <c r="NZG105" s="29"/>
      <c r="NZH105" s="29"/>
      <c r="NZI105" s="29"/>
      <c r="NZJ105" s="29"/>
      <c r="NZK105" s="29"/>
      <c r="NZL105" s="29"/>
      <c r="NZM105" s="29"/>
      <c r="NZN105" s="29"/>
      <c r="NZO105" s="29"/>
      <c r="NZP105" s="29"/>
      <c r="NZQ105" s="29"/>
      <c r="NZR105" s="29"/>
      <c r="NZS105" s="29"/>
      <c r="NZT105" s="29"/>
      <c r="NZU105" s="29"/>
      <c r="NZV105" s="29"/>
      <c r="NZW105" s="29"/>
      <c r="NZX105" s="29"/>
      <c r="NZY105" s="29"/>
      <c r="NZZ105" s="29"/>
      <c r="OAA105" s="29"/>
      <c r="OAB105" s="29"/>
      <c r="OAC105" s="29"/>
      <c r="OAD105" s="29"/>
      <c r="OAE105" s="29"/>
      <c r="OAF105" s="29"/>
      <c r="OAG105" s="29"/>
      <c r="OAH105" s="29"/>
      <c r="OAI105" s="29"/>
      <c r="OAJ105" s="29"/>
      <c r="OAK105" s="29"/>
      <c r="OAL105" s="29"/>
      <c r="OAM105" s="29"/>
      <c r="OAN105" s="29"/>
      <c r="OAO105" s="29"/>
      <c r="OAP105" s="29"/>
      <c r="OAQ105" s="29"/>
      <c r="OAR105" s="29"/>
      <c r="OAS105" s="29"/>
      <c r="OAT105" s="29"/>
      <c r="OAU105" s="29"/>
      <c r="OAV105" s="29"/>
      <c r="OAW105" s="29"/>
      <c r="OAX105" s="29"/>
      <c r="OAY105" s="29"/>
      <c r="OAZ105" s="29"/>
      <c r="OBA105" s="29"/>
      <c r="OBB105" s="29"/>
      <c r="OBC105" s="29"/>
      <c r="OBD105" s="29"/>
      <c r="OBE105" s="29"/>
      <c r="OBF105" s="29"/>
      <c r="OBG105" s="29"/>
      <c r="OBH105" s="29"/>
      <c r="OBI105" s="29"/>
      <c r="OBJ105" s="29"/>
      <c r="OBK105" s="29"/>
      <c r="OBL105" s="29"/>
      <c r="OBM105" s="29"/>
      <c r="OBN105" s="29"/>
      <c r="OBO105" s="29"/>
      <c r="OBP105" s="29"/>
      <c r="OBQ105" s="29"/>
      <c r="OBR105" s="29"/>
      <c r="OBS105" s="29"/>
      <c r="OBT105" s="29"/>
      <c r="OBU105" s="29"/>
      <c r="OBV105" s="29"/>
      <c r="OBW105" s="29"/>
      <c r="OBX105" s="29"/>
      <c r="OBY105" s="29"/>
      <c r="OBZ105" s="29"/>
      <c r="OCA105" s="29"/>
      <c r="OCB105" s="29"/>
      <c r="OCC105" s="29"/>
      <c r="OCD105" s="29"/>
      <c r="OCE105" s="29"/>
      <c r="OCF105" s="29"/>
      <c r="OCG105" s="29"/>
      <c r="OCH105" s="29"/>
      <c r="OCI105" s="29"/>
      <c r="OCJ105" s="29"/>
      <c r="OCK105" s="29"/>
      <c r="OCL105" s="29"/>
      <c r="OCM105" s="29"/>
      <c r="OCN105" s="29"/>
      <c r="OCO105" s="29"/>
      <c r="OCP105" s="29"/>
      <c r="OCQ105" s="29"/>
      <c r="OCR105" s="29"/>
      <c r="OCS105" s="29"/>
      <c r="OCT105" s="29"/>
      <c r="OCU105" s="29"/>
      <c r="OCV105" s="29"/>
      <c r="OCW105" s="29"/>
      <c r="OCX105" s="29"/>
      <c r="OCY105" s="29"/>
      <c r="OCZ105" s="29"/>
      <c r="ODA105" s="29"/>
      <c r="ODB105" s="29"/>
      <c r="ODC105" s="29"/>
      <c r="ODD105" s="29"/>
      <c r="ODE105" s="29"/>
      <c r="ODF105" s="29"/>
      <c r="ODG105" s="29"/>
      <c r="ODH105" s="29"/>
      <c r="ODI105" s="29"/>
      <c r="ODJ105" s="29"/>
      <c r="ODK105" s="29"/>
      <c r="ODL105" s="29"/>
      <c r="ODM105" s="29"/>
      <c r="ODN105" s="29"/>
      <c r="ODO105" s="29"/>
      <c r="ODP105" s="29"/>
      <c r="ODQ105" s="29"/>
      <c r="ODR105" s="29"/>
      <c r="ODS105" s="29"/>
      <c r="ODT105" s="29"/>
      <c r="ODU105" s="29"/>
      <c r="ODV105" s="29"/>
      <c r="ODW105" s="29"/>
      <c r="ODX105" s="29"/>
      <c r="ODY105" s="29"/>
      <c r="ODZ105" s="29"/>
      <c r="OEA105" s="29"/>
      <c r="OEB105" s="29"/>
      <c r="OEC105" s="29"/>
      <c r="OED105" s="29"/>
      <c r="OEE105" s="29"/>
      <c r="OEF105" s="29"/>
      <c r="OEG105" s="29"/>
      <c r="OEH105" s="29"/>
      <c r="OEI105" s="29"/>
      <c r="OEJ105" s="29"/>
      <c r="OEK105" s="29"/>
      <c r="OEL105" s="29"/>
      <c r="OEM105" s="29"/>
      <c r="OEN105" s="29"/>
      <c r="OEO105" s="29"/>
      <c r="OEP105" s="29"/>
      <c r="OEQ105" s="29"/>
      <c r="OER105" s="29"/>
      <c r="OES105" s="29"/>
      <c r="OET105" s="29"/>
      <c r="OEU105" s="29"/>
      <c r="OEV105" s="29"/>
      <c r="OEW105" s="29"/>
      <c r="OEX105" s="29"/>
      <c r="OEY105" s="29"/>
      <c r="OEZ105" s="29"/>
      <c r="OFA105" s="29"/>
      <c r="OFB105" s="29"/>
      <c r="OFC105" s="29"/>
      <c r="OFD105" s="29"/>
      <c r="OFE105" s="29"/>
      <c r="OFF105" s="29"/>
      <c r="OFG105" s="29"/>
      <c r="OFH105" s="29"/>
      <c r="OFI105" s="29"/>
      <c r="OFJ105" s="29"/>
      <c r="OFK105" s="29"/>
      <c r="OFL105" s="29"/>
      <c r="OFM105" s="29"/>
      <c r="OFN105" s="29"/>
      <c r="OFO105" s="29"/>
      <c r="OFP105" s="29"/>
      <c r="OFQ105" s="29"/>
      <c r="OFR105" s="29"/>
      <c r="OFS105" s="29"/>
      <c r="OFT105" s="29"/>
      <c r="OFU105" s="29"/>
      <c r="OFV105" s="29"/>
      <c r="OFW105" s="29"/>
      <c r="OFX105" s="29"/>
      <c r="OFY105" s="29"/>
      <c r="OFZ105" s="29"/>
      <c r="OGA105" s="29"/>
      <c r="OGB105" s="29"/>
      <c r="OGC105" s="29"/>
      <c r="OGD105" s="29"/>
      <c r="OGE105" s="29"/>
      <c r="OGF105" s="29"/>
      <c r="OGG105" s="29"/>
      <c r="OGH105" s="29"/>
      <c r="OGI105" s="29"/>
      <c r="OGJ105" s="29"/>
      <c r="OGK105" s="29"/>
      <c r="OGL105" s="29"/>
      <c r="OGM105" s="29"/>
      <c r="OGN105" s="29"/>
      <c r="OGO105" s="29"/>
      <c r="OGP105" s="29"/>
      <c r="OGQ105" s="29"/>
      <c r="OGR105" s="29"/>
      <c r="OGS105" s="29"/>
      <c r="OGT105" s="29"/>
      <c r="OGU105" s="29"/>
      <c r="OGV105" s="29"/>
      <c r="OGW105" s="29"/>
      <c r="OGX105" s="29"/>
      <c r="OGY105" s="29"/>
      <c r="OGZ105" s="29"/>
      <c r="OHA105" s="29"/>
      <c r="OHB105" s="29"/>
      <c r="OHC105" s="29"/>
      <c r="OHD105" s="29"/>
      <c r="OHE105" s="29"/>
      <c r="OHF105" s="29"/>
      <c r="OHG105" s="29"/>
      <c r="OHH105" s="29"/>
      <c r="OHI105" s="29"/>
      <c r="OHJ105" s="29"/>
      <c r="OHK105" s="29"/>
      <c r="OHL105" s="29"/>
      <c r="OHM105" s="29"/>
      <c r="OHN105" s="29"/>
      <c r="OHO105" s="29"/>
      <c r="OHP105" s="29"/>
      <c r="OHQ105" s="29"/>
      <c r="OHR105" s="29"/>
      <c r="OHS105" s="29"/>
      <c r="OHT105" s="29"/>
      <c r="OHU105" s="29"/>
      <c r="OHV105" s="29"/>
      <c r="OHW105" s="29"/>
      <c r="OHX105" s="29"/>
      <c r="OHY105" s="29"/>
      <c r="OHZ105" s="29"/>
      <c r="OIA105" s="29"/>
      <c r="OIB105" s="29"/>
      <c r="OIC105" s="29"/>
      <c r="OID105" s="29"/>
      <c r="OIE105" s="29"/>
      <c r="OIF105" s="29"/>
      <c r="OIG105" s="29"/>
      <c r="OIH105" s="29"/>
      <c r="OII105" s="29"/>
      <c r="OIJ105" s="29"/>
      <c r="OIK105" s="29"/>
      <c r="OIL105" s="29"/>
      <c r="OIM105" s="29"/>
      <c r="OIN105" s="29"/>
      <c r="OIO105" s="29"/>
      <c r="OIP105" s="29"/>
      <c r="OIQ105" s="29"/>
      <c r="OIR105" s="29"/>
      <c r="OIS105" s="29"/>
      <c r="OIT105" s="29"/>
      <c r="OIU105" s="29"/>
      <c r="OIV105" s="29"/>
      <c r="OIW105" s="29"/>
      <c r="OIX105" s="29"/>
      <c r="OIY105" s="29"/>
      <c r="OIZ105" s="29"/>
      <c r="OJA105" s="29"/>
      <c r="OJB105" s="29"/>
      <c r="OJC105" s="29"/>
      <c r="OJD105" s="29"/>
      <c r="OJE105" s="29"/>
      <c r="OJF105" s="29"/>
      <c r="OJG105" s="29"/>
      <c r="OJH105" s="29"/>
      <c r="OJI105" s="29"/>
      <c r="OJJ105" s="29"/>
      <c r="OJK105" s="29"/>
      <c r="OJL105" s="29"/>
      <c r="OJM105" s="29"/>
      <c r="OJN105" s="29"/>
      <c r="OJO105" s="29"/>
      <c r="OJP105" s="29"/>
      <c r="OJQ105" s="29"/>
      <c r="OJR105" s="29"/>
      <c r="OJS105" s="29"/>
      <c r="OJT105" s="29"/>
      <c r="OJU105" s="29"/>
      <c r="OJV105" s="29"/>
      <c r="OJW105" s="29"/>
      <c r="OJX105" s="29"/>
      <c r="OJY105" s="29"/>
      <c r="OJZ105" s="29"/>
      <c r="OKA105" s="29"/>
      <c r="OKB105" s="29"/>
      <c r="OKC105" s="29"/>
      <c r="OKD105" s="29"/>
      <c r="OKE105" s="29"/>
      <c r="OKF105" s="29"/>
      <c r="OKG105" s="29"/>
      <c r="OKH105" s="29"/>
      <c r="OKI105" s="29"/>
      <c r="OKJ105" s="29"/>
      <c r="OKK105" s="29"/>
      <c r="OKL105" s="29"/>
      <c r="OKM105" s="29"/>
      <c r="OKN105" s="29"/>
      <c r="OKO105" s="29"/>
      <c r="OKP105" s="29"/>
      <c r="OKQ105" s="29"/>
      <c r="OKR105" s="29"/>
      <c r="OKS105" s="29"/>
      <c r="OKT105" s="29"/>
      <c r="OKU105" s="29"/>
      <c r="OKV105" s="29"/>
      <c r="OKW105" s="29"/>
      <c r="OKX105" s="29"/>
      <c r="OKY105" s="29"/>
      <c r="OKZ105" s="29"/>
      <c r="OLA105" s="29"/>
      <c r="OLB105" s="29"/>
      <c r="OLC105" s="29"/>
      <c r="OLD105" s="29"/>
      <c r="OLE105" s="29"/>
      <c r="OLF105" s="29"/>
      <c r="OLG105" s="29"/>
      <c r="OLH105" s="29"/>
      <c r="OLI105" s="29"/>
      <c r="OLJ105" s="29"/>
      <c r="OLK105" s="29"/>
      <c r="OLL105" s="29"/>
      <c r="OLM105" s="29"/>
      <c r="OLN105" s="29"/>
      <c r="OLO105" s="29"/>
      <c r="OLP105" s="29"/>
      <c r="OLQ105" s="29"/>
      <c r="OLR105" s="29"/>
      <c r="OLS105" s="29"/>
      <c r="OLT105" s="29"/>
      <c r="OLU105" s="29"/>
      <c r="OLV105" s="29"/>
      <c r="OLW105" s="29"/>
      <c r="OLX105" s="29"/>
      <c r="OLY105" s="29"/>
      <c r="OLZ105" s="29"/>
      <c r="OMA105" s="29"/>
      <c r="OMB105" s="29"/>
      <c r="OMC105" s="29"/>
      <c r="OMD105" s="29"/>
      <c r="OME105" s="29"/>
      <c r="OMF105" s="29"/>
      <c r="OMG105" s="29"/>
      <c r="OMH105" s="29"/>
      <c r="OMI105" s="29"/>
      <c r="OMJ105" s="29"/>
      <c r="OMK105" s="29"/>
      <c r="OML105" s="29"/>
      <c r="OMM105" s="29"/>
      <c r="OMN105" s="29"/>
      <c r="OMO105" s="29"/>
      <c r="OMP105" s="29"/>
      <c r="OMQ105" s="29"/>
      <c r="OMR105" s="29"/>
      <c r="OMS105" s="29"/>
      <c r="OMT105" s="29"/>
      <c r="OMU105" s="29"/>
      <c r="OMV105" s="29"/>
      <c r="OMW105" s="29"/>
      <c r="OMX105" s="29"/>
      <c r="OMY105" s="29"/>
      <c r="OMZ105" s="29"/>
      <c r="ONA105" s="29"/>
      <c r="ONB105" s="29"/>
      <c r="ONC105" s="29"/>
      <c r="OND105" s="29"/>
      <c r="ONE105" s="29"/>
      <c r="ONF105" s="29"/>
      <c r="ONG105" s="29"/>
      <c r="ONH105" s="29"/>
      <c r="ONI105" s="29"/>
      <c r="ONJ105" s="29"/>
      <c r="ONK105" s="29"/>
      <c r="ONL105" s="29"/>
      <c r="ONM105" s="29"/>
      <c r="ONN105" s="29"/>
      <c r="ONO105" s="29"/>
      <c r="ONP105" s="29"/>
      <c r="ONQ105" s="29"/>
      <c r="ONR105" s="29"/>
      <c r="ONS105" s="29"/>
      <c r="ONT105" s="29"/>
      <c r="ONU105" s="29"/>
      <c r="ONV105" s="29"/>
      <c r="ONW105" s="29"/>
      <c r="ONX105" s="29"/>
      <c r="ONY105" s="29"/>
      <c r="ONZ105" s="29"/>
      <c r="OOA105" s="29"/>
      <c r="OOB105" s="29"/>
      <c r="OOC105" s="29"/>
      <c r="OOD105" s="29"/>
      <c r="OOE105" s="29"/>
      <c r="OOF105" s="29"/>
      <c r="OOG105" s="29"/>
      <c r="OOH105" s="29"/>
      <c r="OOI105" s="29"/>
      <c r="OOJ105" s="29"/>
      <c r="OOK105" s="29"/>
      <c r="OOL105" s="29"/>
      <c r="OOM105" s="29"/>
      <c r="OON105" s="29"/>
      <c r="OOO105" s="29"/>
      <c r="OOP105" s="29"/>
      <c r="OOQ105" s="29"/>
      <c r="OOR105" s="29"/>
      <c r="OOS105" s="29"/>
      <c r="OOT105" s="29"/>
      <c r="OOU105" s="29"/>
      <c r="OOV105" s="29"/>
      <c r="OOW105" s="29"/>
      <c r="OOX105" s="29"/>
      <c r="OOY105" s="29"/>
      <c r="OOZ105" s="29"/>
      <c r="OPA105" s="29"/>
      <c r="OPB105" s="29"/>
      <c r="OPC105" s="29"/>
      <c r="OPD105" s="29"/>
      <c r="OPE105" s="29"/>
      <c r="OPF105" s="29"/>
      <c r="OPG105" s="29"/>
      <c r="OPH105" s="29"/>
      <c r="OPI105" s="29"/>
      <c r="OPJ105" s="29"/>
      <c r="OPK105" s="29"/>
      <c r="OPL105" s="29"/>
      <c r="OPM105" s="29"/>
      <c r="OPN105" s="29"/>
      <c r="OPO105" s="29"/>
      <c r="OPP105" s="29"/>
      <c r="OPQ105" s="29"/>
      <c r="OPR105" s="29"/>
      <c r="OPS105" s="29"/>
      <c r="OPT105" s="29"/>
      <c r="OPU105" s="29"/>
      <c r="OPV105" s="29"/>
      <c r="OPW105" s="29"/>
      <c r="OPX105" s="29"/>
      <c r="OPY105" s="29"/>
      <c r="OPZ105" s="29"/>
      <c r="OQA105" s="29"/>
      <c r="OQB105" s="29"/>
      <c r="OQC105" s="29"/>
      <c r="OQD105" s="29"/>
      <c r="OQE105" s="29"/>
      <c r="OQF105" s="29"/>
      <c r="OQG105" s="29"/>
      <c r="OQH105" s="29"/>
      <c r="OQI105" s="29"/>
      <c r="OQJ105" s="29"/>
      <c r="OQK105" s="29"/>
      <c r="OQL105" s="29"/>
      <c r="OQM105" s="29"/>
      <c r="OQN105" s="29"/>
      <c r="OQO105" s="29"/>
      <c r="OQP105" s="29"/>
      <c r="OQQ105" s="29"/>
      <c r="OQR105" s="29"/>
      <c r="OQS105" s="29"/>
      <c r="OQT105" s="29"/>
      <c r="OQU105" s="29"/>
      <c r="OQV105" s="29"/>
      <c r="OQW105" s="29"/>
      <c r="OQX105" s="29"/>
      <c r="OQY105" s="29"/>
      <c r="OQZ105" s="29"/>
      <c r="ORA105" s="29"/>
      <c r="ORB105" s="29"/>
      <c r="ORC105" s="29"/>
      <c r="ORD105" s="29"/>
      <c r="ORE105" s="29"/>
      <c r="ORF105" s="29"/>
      <c r="ORG105" s="29"/>
      <c r="ORH105" s="29"/>
      <c r="ORI105" s="29"/>
      <c r="ORJ105" s="29"/>
      <c r="ORK105" s="29"/>
      <c r="ORL105" s="29"/>
      <c r="ORM105" s="29"/>
      <c r="ORN105" s="29"/>
      <c r="ORO105" s="29"/>
      <c r="ORP105" s="29"/>
      <c r="ORQ105" s="29"/>
      <c r="ORR105" s="29"/>
      <c r="ORS105" s="29"/>
      <c r="ORT105" s="29"/>
      <c r="ORU105" s="29"/>
      <c r="ORV105" s="29"/>
      <c r="ORW105" s="29"/>
      <c r="ORX105" s="29"/>
      <c r="ORY105" s="29"/>
      <c r="ORZ105" s="29"/>
      <c r="OSA105" s="29"/>
      <c r="OSB105" s="29"/>
      <c r="OSC105" s="29"/>
      <c r="OSD105" s="29"/>
      <c r="OSE105" s="29"/>
      <c r="OSF105" s="29"/>
      <c r="OSG105" s="29"/>
      <c r="OSH105" s="29"/>
      <c r="OSI105" s="29"/>
      <c r="OSJ105" s="29"/>
      <c r="OSK105" s="29"/>
      <c r="OSL105" s="29"/>
      <c r="OSM105" s="29"/>
      <c r="OSN105" s="29"/>
      <c r="OSO105" s="29"/>
      <c r="OSP105" s="29"/>
      <c r="OSQ105" s="29"/>
      <c r="OSR105" s="29"/>
      <c r="OSS105" s="29"/>
      <c r="OST105" s="29"/>
      <c r="OSU105" s="29"/>
      <c r="OSV105" s="29"/>
      <c r="OSW105" s="29"/>
      <c r="OSX105" s="29"/>
      <c r="OSY105" s="29"/>
      <c r="OSZ105" s="29"/>
      <c r="OTA105" s="29"/>
      <c r="OTB105" s="29"/>
      <c r="OTC105" s="29"/>
      <c r="OTD105" s="29"/>
      <c r="OTE105" s="29"/>
      <c r="OTF105" s="29"/>
      <c r="OTG105" s="29"/>
      <c r="OTH105" s="29"/>
      <c r="OTI105" s="29"/>
      <c r="OTJ105" s="29"/>
      <c r="OTK105" s="29"/>
      <c r="OTL105" s="29"/>
      <c r="OTM105" s="29"/>
      <c r="OTN105" s="29"/>
      <c r="OTO105" s="29"/>
      <c r="OTP105" s="29"/>
      <c r="OTQ105" s="29"/>
      <c r="OTR105" s="29"/>
      <c r="OTS105" s="29"/>
      <c r="OTT105" s="29"/>
      <c r="OTU105" s="29"/>
      <c r="OTV105" s="29"/>
      <c r="OTW105" s="29"/>
      <c r="OTX105" s="29"/>
      <c r="OTY105" s="29"/>
      <c r="OTZ105" s="29"/>
      <c r="OUA105" s="29"/>
      <c r="OUB105" s="29"/>
      <c r="OUC105" s="29"/>
      <c r="OUD105" s="29"/>
      <c r="OUE105" s="29"/>
      <c r="OUF105" s="29"/>
      <c r="OUG105" s="29"/>
      <c r="OUH105" s="29"/>
      <c r="OUI105" s="29"/>
      <c r="OUJ105" s="29"/>
      <c r="OUK105" s="29"/>
      <c r="OUL105" s="29"/>
      <c r="OUM105" s="29"/>
      <c r="OUN105" s="29"/>
      <c r="OUO105" s="29"/>
      <c r="OUP105" s="29"/>
      <c r="OUQ105" s="29"/>
      <c r="OUR105" s="29"/>
      <c r="OUS105" s="29"/>
      <c r="OUT105" s="29"/>
      <c r="OUU105" s="29"/>
      <c r="OUV105" s="29"/>
      <c r="OUW105" s="29"/>
      <c r="OUX105" s="29"/>
      <c r="OUY105" s="29"/>
      <c r="OUZ105" s="29"/>
      <c r="OVA105" s="29"/>
      <c r="OVB105" s="29"/>
      <c r="OVC105" s="29"/>
      <c r="OVD105" s="29"/>
      <c r="OVE105" s="29"/>
      <c r="OVF105" s="29"/>
      <c r="OVG105" s="29"/>
      <c r="OVH105" s="29"/>
      <c r="OVI105" s="29"/>
      <c r="OVJ105" s="29"/>
      <c r="OVK105" s="29"/>
      <c r="OVL105" s="29"/>
      <c r="OVM105" s="29"/>
      <c r="OVN105" s="29"/>
      <c r="OVO105" s="29"/>
      <c r="OVP105" s="29"/>
      <c r="OVQ105" s="29"/>
      <c r="OVR105" s="29"/>
      <c r="OVS105" s="29"/>
      <c r="OVT105" s="29"/>
      <c r="OVU105" s="29"/>
      <c r="OVV105" s="29"/>
      <c r="OVW105" s="29"/>
      <c r="OVX105" s="29"/>
      <c r="OVY105" s="29"/>
      <c r="OVZ105" s="29"/>
      <c r="OWA105" s="29"/>
      <c r="OWB105" s="29"/>
      <c r="OWC105" s="29"/>
      <c r="OWD105" s="29"/>
      <c r="OWE105" s="29"/>
      <c r="OWF105" s="29"/>
      <c r="OWG105" s="29"/>
      <c r="OWH105" s="29"/>
      <c r="OWI105" s="29"/>
      <c r="OWJ105" s="29"/>
      <c r="OWK105" s="29"/>
      <c r="OWL105" s="29"/>
      <c r="OWM105" s="29"/>
      <c r="OWN105" s="29"/>
      <c r="OWO105" s="29"/>
      <c r="OWP105" s="29"/>
      <c r="OWQ105" s="29"/>
      <c r="OWR105" s="29"/>
      <c r="OWS105" s="29"/>
      <c r="OWT105" s="29"/>
      <c r="OWU105" s="29"/>
      <c r="OWV105" s="29"/>
      <c r="OWW105" s="29"/>
      <c r="OWX105" s="29"/>
      <c r="OWY105" s="29"/>
      <c r="OWZ105" s="29"/>
      <c r="OXA105" s="29"/>
      <c r="OXB105" s="29"/>
      <c r="OXC105" s="29"/>
      <c r="OXD105" s="29"/>
      <c r="OXE105" s="29"/>
      <c r="OXF105" s="29"/>
      <c r="OXG105" s="29"/>
      <c r="OXH105" s="29"/>
      <c r="OXI105" s="29"/>
      <c r="OXJ105" s="29"/>
      <c r="OXK105" s="29"/>
      <c r="OXL105" s="29"/>
      <c r="OXM105" s="29"/>
      <c r="OXN105" s="29"/>
      <c r="OXO105" s="29"/>
      <c r="OXP105" s="29"/>
      <c r="OXQ105" s="29"/>
      <c r="OXR105" s="29"/>
      <c r="OXS105" s="29"/>
      <c r="OXT105" s="29"/>
      <c r="OXU105" s="29"/>
      <c r="OXV105" s="29"/>
      <c r="OXW105" s="29"/>
      <c r="OXX105" s="29"/>
      <c r="OXY105" s="29"/>
      <c r="OXZ105" s="29"/>
      <c r="OYA105" s="29"/>
      <c r="OYB105" s="29"/>
      <c r="OYC105" s="29"/>
      <c r="OYD105" s="29"/>
      <c r="OYE105" s="29"/>
      <c r="OYF105" s="29"/>
      <c r="OYG105" s="29"/>
      <c r="OYH105" s="29"/>
      <c r="OYI105" s="29"/>
      <c r="OYJ105" s="29"/>
      <c r="OYK105" s="29"/>
      <c r="OYL105" s="29"/>
      <c r="OYM105" s="29"/>
      <c r="OYN105" s="29"/>
      <c r="OYO105" s="29"/>
      <c r="OYP105" s="29"/>
      <c r="OYQ105" s="29"/>
      <c r="OYR105" s="29"/>
      <c r="OYS105" s="29"/>
      <c r="OYT105" s="29"/>
      <c r="OYU105" s="29"/>
      <c r="OYV105" s="29"/>
      <c r="OYW105" s="29"/>
      <c r="OYX105" s="29"/>
      <c r="OYY105" s="29"/>
      <c r="OYZ105" s="29"/>
      <c r="OZA105" s="29"/>
      <c r="OZB105" s="29"/>
      <c r="OZC105" s="29"/>
      <c r="OZD105" s="29"/>
      <c r="OZE105" s="29"/>
      <c r="OZF105" s="29"/>
      <c r="OZG105" s="29"/>
      <c r="OZH105" s="29"/>
      <c r="OZI105" s="29"/>
      <c r="OZJ105" s="29"/>
      <c r="OZK105" s="29"/>
      <c r="OZL105" s="29"/>
      <c r="OZM105" s="29"/>
      <c r="OZN105" s="29"/>
      <c r="OZO105" s="29"/>
      <c r="OZP105" s="29"/>
      <c r="OZQ105" s="29"/>
      <c r="OZR105" s="29"/>
      <c r="OZS105" s="29"/>
      <c r="OZT105" s="29"/>
      <c r="OZU105" s="29"/>
      <c r="OZV105" s="29"/>
      <c r="OZW105" s="29"/>
      <c r="OZX105" s="29"/>
      <c r="OZY105" s="29"/>
      <c r="OZZ105" s="29"/>
      <c r="PAA105" s="29"/>
      <c r="PAB105" s="29"/>
      <c r="PAC105" s="29"/>
      <c r="PAD105" s="29"/>
      <c r="PAE105" s="29"/>
      <c r="PAF105" s="29"/>
      <c r="PAG105" s="29"/>
      <c r="PAH105" s="29"/>
      <c r="PAI105" s="29"/>
      <c r="PAJ105" s="29"/>
      <c r="PAK105" s="29"/>
      <c r="PAL105" s="29"/>
      <c r="PAM105" s="29"/>
      <c r="PAN105" s="29"/>
      <c r="PAO105" s="29"/>
      <c r="PAP105" s="29"/>
      <c r="PAQ105" s="29"/>
      <c r="PAR105" s="29"/>
      <c r="PAS105" s="29"/>
      <c r="PAT105" s="29"/>
      <c r="PAU105" s="29"/>
      <c r="PAV105" s="29"/>
      <c r="PAW105" s="29"/>
      <c r="PAX105" s="29"/>
      <c r="PAY105" s="29"/>
      <c r="PAZ105" s="29"/>
      <c r="PBA105" s="29"/>
      <c r="PBB105" s="29"/>
      <c r="PBC105" s="29"/>
      <c r="PBD105" s="29"/>
      <c r="PBE105" s="29"/>
      <c r="PBF105" s="29"/>
      <c r="PBG105" s="29"/>
      <c r="PBH105" s="29"/>
      <c r="PBI105" s="29"/>
      <c r="PBJ105" s="29"/>
      <c r="PBK105" s="29"/>
      <c r="PBL105" s="29"/>
      <c r="PBM105" s="29"/>
      <c r="PBN105" s="29"/>
      <c r="PBO105" s="29"/>
      <c r="PBP105" s="29"/>
      <c r="PBQ105" s="29"/>
      <c r="PBR105" s="29"/>
      <c r="PBS105" s="29"/>
      <c r="PBT105" s="29"/>
      <c r="PBU105" s="29"/>
      <c r="PBV105" s="29"/>
      <c r="PBW105" s="29"/>
      <c r="PBX105" s="29"/>
      <c r="PBY105" s="29"/>
      <c r="PBZ105" s="29"/>
      <c r="PCA105" s="29"/>
      <c r="PCB105" s="29"/>
      <c r="PCC105" s="29"/>
      <c r="PCD105" s="29"/>
      <c r="PCE105" s="29"/>
      <c r="PCF105" s="29"/>
      <c r="PCG105" s="29"/>
      <c r="PCH105" s="29"/>
      <c r="PCI105" s="29"/>
      <c r="PCJ105" s="29"/>
      <c r="PCK105" s="29"/>
      <c r="PCL105" s="29"/>
      <c r="PCM105" s="29"/>
      <c r="PCN105" s="29"/>
      <c r="PCO105" s="29"/>
      <c r="PCP105" s="29"/>
      <c r="PCQ105" s="29"/>
      <c r="PCR105" s="29"/>
      <c r="PCS105" s="29"/>
      <c r="PCT105" s="29"/>
      <c r="PCU105" s="29"/>
      <c r="PCV105" s="29"/>
      <c r="PCW105" s="29"/>
      <c r="PCX105" s="29"/>
      <c r="PCY105" s="29"/>
      <c r="PCZ105" s="29"/>
      <c r="PDA105" s="29"/>
      <c r="PDB105" s="29"/>
      <c r="PDC105" s="29"/>
      <c r="PDD105" s="29"/>
      <c r="PDE105" s="29"/>
      <c r="PDF105" s="29"/>
      <c r="PDG105" s="29"/>
      <c r="PDH105" s="29"/>
      <c r="PDI105" s="29"/>
      <c r="PDJ105" s="29"/>
      <c r="PDK105" s="29"/>
      <c r="PDL105" s="29"/>
      <c r="PDM105" s="29"/>
      <c r="PDN105" s="29"/>
      <c r="PDO105" s="29"/>
      <c r="PDP105" s="29"/>
      <c r="PDQ105" s="29"/>
      <c r="PDR105" s="29"/>
      <c r="PDS105" s="29"/>
      <c r="PDT105" s="29"/>
      <c r="PDU105" s="29"/>
      <c r="PDV105" s="29"/>
      <c r="PDW105" s="29"/>
      <c r="PDX105" s="29"/>
      <c r="PDY105" s="29"/>
      <c r="PDZ105" s="29"/>
      <c r="PEA105" s="29"/>
      <c r="PEB105" s="29"/>
      <c r="PEC105" s="29"/>
      <c r="PED105" s="29"/>
      <c r="PEE105" s="29"/>
      <c r="PEF105" s="29"/>
      <c r="PEG105" s="29"/>
      <c r="PEH105" s="29"/>
      <c r="PEI105" s="29"/>
      <c r="PEJ105" s="29"/>
      <c r="PEK105" s="29"/>
      <c r="PEL105" s="29"/>
      <c r="PEM105" s="29"/>
      <c r="PEN105" s="29"/>
      <c r="PEO105" s="29"/>
      <c r="PEP105" s="29"/>
      <c r="PEQ105" s="29"/>
      <c r="PER105" s="29"/>
      <c r="PES105" s="29"/>
      <c r="PET105" s="29"/>
      <c r="PEU105" s="29"/>
      <c r="PEV105" s="29"/>
      <c r="PEW105" s="29"/>
      <c r="PEX105" s="29"/>
      <c r="PEY105" s="29"/>
      <c r="PEZ105" s="29"/>
      <c r="PFA105" s="29"/>
      <c r="PFB105" s="29"/>
      <c r="PFC105" s="29"/>
      <c r="PFD105" s="29"/>
      <c r="PFE105" s="29"/>
      <c r="PFF105" s="29"/>
      <c r="PFG105" s="29"/>
      <c r="PFH105" s="29"/>
      <c r="PFI105" s="29"/>
      <c r="PFJ105" s="29"/>
      <c r="PFK105" s="29"/>
      <c r="PFL105" s="29"/>
      <c r="PFM105" s="29"/>
      <c r="PFN105" s="29"/>
      <c r="PFO105" s="29"/>
      <c r="PFP105" s="29"/>
      <c r="PFQ105" s="29"/>
      <c r="PFR105" s="29"/>
      <c r="PFS105" s="29"/>
      <c r="PFT105" s="29"/>
      <c r="PFU105" s="29"/>
      <c r="PFV105" s="29"/>
      <c r="PFW105" s="29"/>
      <c r="PFX105" s="29"/>
      <c r="PFY105" s="29"/>
      <c r="PFZ105" s="29"/>
      <c r="PGA105" s="29"/>
      <c r="PGB105" s="29"/>
      <c r="PGC105" s="29"/>
      <c r="PGD105" s="29"/>
      <c r="PGE105" s="29"/>
      <c r="PGF105" s="29"/>
      <c r="PGG105" s="29"/>
      <c r="PGH105" s="29"/>
      <c r="PGI105" s="29"/>
      <c r="PGJ105" s="29"/>
      <c r="PGK105" s="29"/>
      <c r="PGL105" s="29"/>
      <c r="PGM105" s="29"/>
      <c r="PGN105" s="29"/>
      <c r="PGO105" s="29"/>
      <c r="PGP105" s="29"/>
      <c r="PGQ105" s="29"/>
      <c r="PGR105" s="29"/>
      <c r="PGS105" s="29"/>
      <c r="PGT105" s="29"/>
      <c r="PGU105" s="29"/>
      <c r="PGV105" s="29"/>
      <c r="PGW105" s="29"/>
      <c r="PGX105" s="29"/>
      <c r="PGY105" s="29"/>
      <c r="PGZ105" s="29"/>
      <c r="PHA105" s="29"/>
      <c r="PHB105" s="29"/>
      <c r="PHC105" s="29"/>
      <c r="PHD105" s="29"/>
      <c r="PHE105" s="29"/>
      <c r="PHF105" s="29"/>
      <c r="PHG105" s="29"/>
      <c r="PHH105" s="29"/>
      <c r="PHI105" s="29"/>
      <c r="PHJ105" s="29"/>
      <c r="PHK105" s="29"/>
      <c r="PHL105" s="29"/>
      <c r="PHM105" s="29"/>
      <c r="PHN105" s="29"/>
      <c r="PHO105" s="29"/>
      <c r="PHP105" s="29"/>
      <c r="PHQ105" s="29"/>
      <c r="PHR105" s="29"/>
      <c r="PHS105" s="29"/>
      <c r="PHT105" s="29"/>
      <c r="PHU105" s="29"/>
      <c r="PHV105" s="29"/>
      <c r="PHW105" s="29"/>
      <c r="PHX105" s="29"/>
      <c r="PHY105" s="29"/>
      <c r="PHZ105" s="29"/>
      <c r="PIA105" s="29"/>
      <c r="PIB105" s="29"/>
      <c r="PIC105" s="29"/>
      <c r="PID105" s="29"/>
      <c r="PIE105" s="29"/>
      <c r="PIF105" s="29"/>
      <c r="PIG105" s="29"/>
      <c r="PIH105" s="29"/>
      <c r="PII105" s="29"/>
      <c r="PIJ105" s="29"/>
      <c r="PIK105" s="29"/>
      <c r="PIL105" s="29"/>
      <c r="PIM105" s="29"/>
      <c r="PIN105" s="29"/>
      <c r="PIO105" s="29"/>
      <c r="PIP105" s="29"/>
      <c r="PIQ105" s="29"/>
      <c r="PIR105" s="29"/>
      <c r="PIS105" s="29"/>
      <c r="PIT105" s="29"/>
      <c r="PIU105" s="29"/>
      <c r="PIV105" s="29"/>
      <c r="PIW105" s="29"/>
      <c r="PIX105" s="29"/>
      <c r="PIY105" s="29"/>
      <c r="PIZ105" s="29"/>
      <c r="PJA105" s="29"/>
      <c r="PJB105" s="29"/>
      <c r="PJC105" s="29"/>
      <c r="PJD105" s="29"/>
      <c r="PJE105" s="29"/>
      <c r="PJF105" s="29"/>
      <c r="PJG105" s="29"/>
      <c r="PJH105" s="29"/>
      <c r="PJI105" s="29"/>
      <c r="PJJ105" s="29"/>
      <c r="PJK105" s="29"/>
      <c r="PJL105" s="29"/>
      <c r="PJM105" s="29"/>
      <c r="PJN105" s="29"/>
      <c r="PJO105" s="29"/>
      <c r="PJP105" s="29"/>
      <c r="PJQ105" s="29"/>
      <c r="PJR105" s="29"/>
      <c r="PJS105" s="29"/>
      <c r="PJT105" s="29"/>
      <c r="PJU105" s="29"/>
      <c r="PJV105" s="29"/>
      <c r="PJW105" s="29"/>
      <c r="PJX105" s="29"/>
      <c r="PJY105" s="29"/>
      <c r="PJZ105" s="29"/>
      <c r="PKA105" s="29"/>
      <c r="PKB105" s="29"/>
      <c r="PKC105" s="29"/>
      <c r="PKD105" s="29"/>
      <c r="PKE105" s="29"/>
      <c r="PKF105" s="29"/>
      <c r="PKG105" s="29"/>
      <c r="PKH105" s="29"/>
      <c r="PKI105" s="29"/>
      <c r="PKJ105" s="29"/>
      <c r="PKK105" s="29"/>
      <c r="PKL105" s="29"/>
      <c r="PKM105" s="29"/>
      <c r="PKN105" s="29"/>
      <c r="PKO105" s="29"/>
      <c r="PKP105" s="29"/>
      <c r="PKQ105" s="29"/>
      <c r="PKR105" s="29"/>
      <c r="PKS105" s="29"/>
      <c r="PKT105" s="29"/>
      <c r="PKU105" s="29"/>
      <c r="PKV105" s="29"/>
      <c r="PKW105" s="29"/>
      <c r="PKX105" s="29"/>
      <c r="PKY105" s="29"/>
      <c r="PKZ105" s="29"/>
      <c r="PLA105" s="29"/>
      <c r="PLB105" s="29"/>
      <c r="PLC105" s="29"/>
      <c r="PLD105" s="29"/>
      <c r="PLE105" s="29"/>
      <c r="PLF105" s="29"/>
      <c r="PLG105" s="29"/>
      <c r="PLH105" s="29"/>
      <c r="PLI105" s="29"/>
      <c r="PLJ105" s="29"/>
      <c r="PLK105" s="29"/>
      <c r="PLL105" s="29"/>
      <c r="PLM105" s="29"/>
      <c r="PLN105" s="29"/>
      <c r="PLO105" s="29"/>
      <c r="PLP105" s="29"/>
      <c r="PLQ105" s="29"/>
      <c r="PLR105" s="29"/>
      <c r="PLS105" s="29"/>
      <c r="PLT105" s="29"/>
      <c r="PLU105" s="29"/>
      <c r="PLV105" s="29"/>
      <c r="PLW105" s="29"/>
      <c r="PLX105" s="29"/>
      <c r="PLY105" s="29"/>
      <c r="PLZ105" s="29"/>
      <c r="PMA105" s="29"/>
      <c r="PMB105" s="29"/>
      <c r="PMC105" s="29"/>
      <c r="PMD105" s="29"/>
      <c r="PME105" s="29"/>
      <c r="PMF105" s="29"/>
      <c r="PMG105" s="29"/>
      <c r="PMH105" s="29"/>
      <c r="PMI105" s="29"/>
      <c r="PMJ105" s="29"/>
      <c r="PMK105" s="29"/>
      <c r="PML105" s="29"/>
      <c r="PMM105" s="29"/>
      <c r="PMN105" s="29"/>
      <c r="PMO105" s="29"/>
      <c r="PMP105" s="29"/>
      <c r="PMQ105" s="29"/>
      <c r="PMR105" s="29"/>
      <c r="PMS105" s="29"/>
      <c r="PMT105" s="29"/>
      <c r="PMU105" s="29"/>
      <c r="PMV105" s="29"/>
      <c r="PMW105" s="29"/>
      <c r="PMX105" s="29"/>
      <c r="PMY105" s="29"/>
      <c r="PMZ105" s="29"/>
      <c r="PNA105" s="29"/>
      <c r="PNB105" s="29"/>
      <c r="PNC105" s="29"/>
      <c r="PND105" s="29"/>
      <c r="PNE105" s="29"/>
      <c r="PNF105" s="29"/>
      <c r="PNG105" s="29"/>
      <c r="PNH105" s="29"/>
      <c r="PNI105" s="29"/>
      <c r="PNJ105" s="29"/>
      <c r="PNK105" s="29"/>
      <c r="PNL105" s="29"/>
      <c r="PNM105" s="29"/>
      <c r="PNN105" s="29"/>
      <c r="PNO105" s="29"/>
      <c r="PNP105" s="29"/>
      <c r="PNQ105" s="29"/>
      <c r="PNR105" s="29"/>
      <c r="PNS105" s="29"/>
      <c r="PNT105" s="29"/>
      <c r="PNU105" s="29"/>
      <c r="PNV105" s="29"/>
      <c r="PNW105" s="29"/>
      <c r="PNX105" s="29"/>
      <c r="PNY105" s="29"/>
      <c r="PNZ105" s="29"/>
      <c r="POA105" s="29"/>
      <c r="POB105" s="29"/>
      <c r="POC105" s="29"/>
      <c r="POD105" s="29"/>
      <c r="POE105" s="29"/>
      <c r="POF105" s="29"/>
      <c r="POG105" s="29"/>
      <c r="POH105" s="29"/>
      <c r="POI105" s="29"/>
      <c r="POJ105" s="29"/>
      <c r="POK105" s="29"/>
      <c r="POL105" s="29"/>
      <c r="POM105" s="29"/>
      <c r="PON105" s="29"/>
      <c r="POO105" s="29"/>
      <c r="POP105" s="29"/>
      <c r="POQ105" s="29"/>
      <c r="POR105" s="29"/>
      <c r="POS105" s="29"/>
      <c r="POT105" s="29"/>
      <c r="POU105" s="29"/>
      <c r="POV105" s="29"/>
      <c r="POW105" s="29"/>
      <c r="POX105" s="29"/>
      <c r="POY105" s="29"/>
      <c r="POZ105" s="29"/>
      <c r="PPA105" s="29"/>
      <c r="PPB105" s="29"/>
      <c r="PPC105" s="29"/>
      <c r="PPD105" s="29"/>
      <c r="PPE105" s="29"/>
      <c r="PPF105" s="29"/>
      <c r="PPG105" s="29"/>
      <c r="PPH105" s="29"/>
      <c r="PPI105" s="29"/>
      <c r="PPJ105" s="29"/>
      <c r="PPK105" s="29"/>
      <c r="PPL105" s="29"/>
      <c r="PPM105" s="29"/>
      <c r="PPN105" s="29"/>
      <c r="PPO105" s="29"/>
      <c r="PPP105" s="29"/>
      <c r="PPQ105" s="29"/>
      <c r="PPR105" s="29"/>
      <c r="PPS105" s="29"/>
      <c r="PPT105" s="29"/>
      <c r="PPU105" s="29"/>
      <c r="PPV105" s="29"/>
      <c r="PPW105" s="29"/>
      <c r="PPX105" s="29"/>
      <c r="PPY105" s="29"/>
      <c r="PPZ105" s="29"/>
      <c r="PQA105" s="29"/>
      <c r="PQB105" s="29"/>
      <c r="PQC105" s="29"/>
      <c r="PQD105" s="29"/>
      <c r="PQE105" s="29"/>
      <c r="PQF105" s="29"/>
      <c r="PQG105" s="29"/>
      <c r="PQH105" s="29"/>
      <c r="PQI105" s="29"/>
      <c r="PQJ105" s="29"/>
      <c r="PQK105" s="29"/>
      <c r="PQL105" s="29"/>
      <c r="PQM105" s="29"/>
      <c r="PQN105" s="29"/>
      <c r="PQO105" s="29"/>
      <c r="PQP105" s="29"/>
      <c r="PQQ105" s="29"/>
      <c r="PQR105" s="29"/>
      <c r="PQS105" s="29"/>
      <c r="PQT105" s="29"/>
      <c r="PQU105" s="29"/>
      <c r="PQV105" s="29"/>
      <c r="PQW105" s="29"/>
      <c r="PQX105" s="29"/>
      <c r="PQY105" s="29"/>
      <c r="PQZ105" s="29"/>
      <c r="PRA105" s="29"/>
      <c r="PRB105" s="29"/>
      <c r="PRC105" s="29"/>
      <c r="PRD105" s="29"/>
      <c r="PRE105" s="29"/>
      <c r="PRF105" s="29"/>
      <c r="PRG105" s="29"/>
      <c r="PRH105" s="29"/>
      <c r="PRI105" s="29"/>
      <c r="PRJ105" s="29"/>
      <c r="PRK105" s="29"/>
      <c r="PRL105" s="29"/>
      <c r="PRM105" s="29"/>
      <c r="PRN105" s="29"/>
      <c r="PRO105" s="29"/>
      <c r="PRP105" s="29"/>
      <c r="PRQ105" s="29"/>
      <c r="PRR105" s="29"/>
      <c r="PRS105" s="29"/>
      <c r="PRT105" s="29"/>
      <c r="PRU105" s="29"/>
      <c r="PRV105" s="29"/>
      <c r="PRW105" s="29"/>
      <c r="PRX105" s="29"/>
      <c r="PRY105" s="29"/>
      <c r="PRZ105" s="29"/>
      <c r="PSA105" s="29"/>
      <c r="PSB105" s="29"/>
      <c r="PSC105" s="29"/>
      <c r="PSD105" s="29"/>
      <c r="PSE105" s="29"/>
      <c r="PSF105" s="29"/>
      <c r="PSG105" s="29"/>
      <c r="PSH105" s="29"/>
      <c r="PSI105" s="29"/>
      <c r="PSJ105" s="29"/>
      <c r="PSK105" s="29"/>
      <c r="PSL105" s="29"/>
      <c r="PSM105" s="29"/>
      <c r="PSN105" s="29"/>
      <c r="PSO105" s="29"/>
      <c r="PSP105" s="29"/>
      <c r="PSQ105" s="29"/>
      <c r="PSR105" s="29"/>
      <c r="PSS105" s="29"/>
      <c r="PST105" s="29"/>
      <c r="PSU105" s="29"/>
      <c r="PSV105" s="29"/>
      <c r="PSW105" s="29"/>
      <c r="PSX105" s="29"/>
      <c r="PSY105" s="29"/>
      <c r="PSZ105" s="29"/>
      <c r="PTA105" s="29"/>
      <c r="PTB105" s="29"/>
      <c r="PTC105" s="29"/>
      <c r="PTD105" s="29"/>
      <c r="PTE105" s="29"/>
      <c r="PTF105" s="29"/>
      <c r="PTG105" s="29"/>
      <c r="PTH105" s="29"/>
      <c r="PTI105" s="29"/>
      <c r="PTJ105" s="29"/>
      <c r="PTK105" s="29"/>
      <c r="PTL105" s="29"/>
      <c r="PTM105" s="29"/>
      <c r="PTN105" s="29"/>
      <c r="PTO105" s="29"/>
      <c r="PTP105" s="29"/>
      <c r="PTQ105" s="29"/>
      <c r="PTR105" s="29"/>
      <c r="PTS105" s="29"/>
      <c r="PTT105" s="29"/>
      <c r="PTU105" s="29"/>
      <c r="PTV105" s="29"/>
      <c r="PTW105" s="29"/>
      <c r="PTX105" s="29"/>
      <c r="PTY105" s="29"/>
      <c r="PTZ105" s="29"/>
      <c r="PUA105" s="29"/>
      <c r="PUB105" s="29"/>
      <c r="PUC105" s="29"/>
      <c r="PUD105" s="29"/>
      <c r="PUE105" s="29"/>
      <c r="PUF105" s="29"/>
      <c r="PUG105" s="29"/>
      <c r="PUH105" s="29"/>
      <c r="PUI105" s="29"/>
      <c r="PUJ105" s="29"/>
      <c r="PUK105" s="29"/>
      <c r="PUL105" s="29"/>
      <c r="PUM105" s="29"/>
      <c r="PUN105" s="29"/>
      <c r="PUO105" s="29"/>
      <c r="PUP105" s="29"/>
      <c r="PUQ105" s="29"/>
      <c r="PUR105" s="29"/>
      <c r="PUS105" s="29"/>
      <c r="PUT105" s="29"/>
      <c r="PUU105" s="29"/>
      <c r="PUV105" s="29"/>
      <c r="PUW105" s="29"/>
      <c r="PUX105" s="29"/>
      <c r="PUY105" s="29"/>
      <c r="PUZ105" s="29"/>
      <c r="PVA105" s="29"/>
      <c r="PVB105" s="29"/>
      <c r="PVC105" s="29"/>
      <c r="PVD105" s="29"/>
      <c r="PVE105" s="29"/>
      <c r="PVF105" s="29"/>
      <c r="PVG105" s="29"/>
      <c r="PVH105" s="29"/>
      <c r="PVI105" s="29"/>
      <c r="PVJ105" s="29"/>
      <c r="PVK105" s="29"/>
      <c r="PVL105" s="29"/>
      <c r="PVM105" s="29"/>
      <c r="PVN105" s="29"/>
      <c r="PVO105" s="29"/>
      <c r="PVP105" s="29"/>
      <c r="PVQ105" s="29"/>
      <c r="PVR105" s="29"/>
      <c r="PVS105" s="29"/>
      <c r="PVT105" s="29"/>
      <c r="PVU105" s="29"/>
      <c r="PVV105" s="29"/>
      <c r="PVW105" s="29"/>
      <c r="PVX105" s="29"/>
      <c r="PVY105" s="29"/>
      <c r="PVZ105" s="29"/>
      <c r="PWA105" s="29"/>
      <c r="PWB105" s="29"/>
      <c r="PWC105" s="29"/>
      <c r="PWD105" s="29"/>
      <c r="PWE105" s="29"/>
      <c r="PWF105" s="29"/>
      <c r="PWG105" s="29"/>
      <c r="PWH105" s="29"/>
      <c r="PWI105" s="29"/>
      <c r="PWJ105" s="29"/>
      <c r="PWK105" s="29"/>
      <c r="PWL105" s="29"/>
      <c r="PWM105" s="29"/>
      <c r="PWN105" s="29"/>
      <c r="PWO105" s="29"/>
      <c r="PWP105" s="29"/>
      <c r="PWQ105" s="29"/>
      <c r="PWR105" s="29"/>
      <c r="PWS105" s="29"/>
      <c r="PWT105" s="29"/>
      <c r="PWU105" s="29"/>
      <c r="PWV105" s="29"/>
      <c r="PWW105" s="29"/>
      <c r="PWX105" s="29"/>
      <c r="PWY105" s="29"/>
      <c r="PWZ105" s="29"/>
      <c r="PXA105" s="29"/>
      <c r="PXB105" s="29"/>
      <c r="PXC105" s="29"/>
      <c r="PXD105" s="29"/>
      <c r="PXE105" s="29"/>
      <c r="PXF105" s="29"/>
      <c r="PXG105" s="29"/>
      <c r="PXH105" s="29"/>
      <c r="PXI105" s="29"/>
      <c r="PXJ105" s="29"/>
      <c r="PXK105" s="29"/>
      <c r="PXL105" s="29"/>
      <c r="PXM105" s="29"/>
      <c r="PXN105" s="29"/>
      <c r="PXO105" s="29"/>
      <c r="PXP105" s="29"/>
      <c r="PXQ105" s="29"/>
      <c r="PXR105" s="29"/>
      <c r="PXS105" s="29"/>
      <c r="PXT105" s="29"/>
      <c r="PXU105" s="29"/>
      <c r="PXV105" s="29"/>
      <c r="PXW105" s="29"/>
      <c r="PXX105" s="29"/>
      <c r="PXY105" s="29"/>
      <c r="PXZ105" s="29"/>
      <c r="PYA105" s="29"/>
      <c r="PYB105" s="29"/>
      <c r="PYC105" s="29"/>
      <c r="PYD105" s="29"/>
      <c r="PYE105" s="29"/>
      <c r="PYF105" s="29"/>
      <c r="PYG105" s="29"/>
      <c r="PYH105" s="29"/>
      <c r="PYI105" s="29"/>
      <c r="PYJ105" s="29"/>
      <c r="PYK105" s="29"/>
      <c r="PYL105" s="29"/>
      <c r="PYM105" s="29"/>
      <c r="PYN105" s="29"/>
      <c r="PYO105" s="29"/>
      <c r="PYP105" s="29"/>
      <c r="PYQ105" s="29"/>
      <c r="PYR105" s="29"/>
      <c r="PYS105" s="29"/>
      <c r="PYT105" s="29"/>
      <c r="PYU105" s="29"/>
      <c r="PYV105" s="29"/>
      <c r="PYW105" s="29"/>
      <c r="PYX105" s="29"/>
      <c r="PYY105" s="29"/>
      <c r="PYZ105" s="29"/>
      <c r="PZA105" s="29"/>
      <c r="PZB105" s="29"/>
      <c r="PZC105" s="29"/>
      <c r="PZD105" s="29"/>
      <c r="PZE105" s="29"/>
      <c r="PZF105" s="29"/>
      <c r="PZG105" s="29"/>
      <c r="PZH105" s="29"/>
      <c r="PZI105" s="29"/>
      <c r="PZJ105" s="29"/>
      <c r="PZK105" s="29"/>
      <c r="PZL105" s="29"/>
      <c r="PZM105" s="29"/>
      <c r="PZN105" s="29"/>
      <c r="PZO105" s="29"/>
      <c r="PZP105" s="29"/>
      <c r="PZQ105" s="29"/>
      <c r="PZR105" s="29"/>
      <c r="PZS105" s="29"/>
      <c r="PZT105" s="29"/>
      <c r="PZU105" s="29"/>
      <c r="PZV105" s="29"/>
      <c r="PZW105" s="29"/>
      <c r="PZX105" s="29"/>
      <c r="PZY105" s="29"/>
      <c r="PZZ105" s="29"/>
      <c r="QAA105" s="29"/>
      <c r="QAB105" s="29"/>
      <c r="QAC105" s="29"/>
      <c r="QAD105" s="29"/>
      <c r="QAE105" s="29"/>
      <c r="QAF105" s="29"/>
      <c r="QAG105" s="29"/>
      <c r="QAH105" s="29"/>
      <c r="QAI105" s="29"/>
      <c r="QAJ105" s="29"/>
      <c r="QAK105" s="29"/>
      <c r="QAL105" s="29"/>
      <c r="QAM105" s="29"/>
      <c r="QAN105" s="29"/>
      <c r="QAO105" s="29"/>
      <c r="QAP105" s="29"/>
      <c r="QAQ105" s="29"/>
      <c r="QAR105" s="29"/>
      <c r="QAS105" s="29"/>
      <c r="QAT105" s="29"/>
      <c r="QAU105" s="29"/>
      <c r="QAV105" s="29"/>
      <c r="QAW105" s="29"/>
      <c r="QAX105" s="29"/>
      <c r="QAY105" s="29"/>
      <c r="QAZ105" s="29"/>
      <c r="QBA105" s="29"/>
      <c r="QBB105" s="29"/>
      <c r="QBC105" s="29"/>
      <c r="QBD105" s="29"/>
      <c r="QBE105" s="29"/>
      <c r="QBF105" s="29"/>
      <c r="QBG105" s="29"/>
      <c r="QBH105" s="29"/>
      <c r="QBI105" s="29"/>
      <c r="QBJ105" s="29"/>
      <c r="QBK105" s="29"/>
      <c r="QBL105" s="29"/>
      <c r="QBM105" s="29"/>
      <c r="QBN105" s="29"/>
      <c r="QBO105" s="29"/>
      <c r="QBP105" s="29"/>
      <c r="QBQ105" s="29"/>
      <c r="QBR105" s="29"/>
      <c r="QBS105" s="29"/>
      <c r="QBT105" s="29"/>
      <c r="QBU105" s="29"/>
      <c r="QBV105" s="29"/>
      <c r="QBW105" s="29"/>
      <c r="QBX105" s="29"/>
      <c r="QBY105" s="29"/>
      <c r="QBZ105" s="29"/>
      <c r="QCA105" s="29"/>
      <c r="QCB105" s="29"/>
      <c r="QCC105" s="29"/>
      <c r="QCD105" s="29"/>
      <c r="QCE105" s="29"/>
      <c r="QCF105" s="29"/>
      <c r="QCG105" s="29"/>
      <c r="QCH105" s="29"/>
      <c r="QCI105" s="29"/>
      <c r="QCJ105" s="29"/>
      <c r="QCK105" s="29"/>
      <c r="QCL105" s="29"/>
      <c r="QCM105" s="29"/>
      <c r="QCN105" s="29"/>
      <c r="QCO105" s="29"/>
      <c r="QCP105" s="29"/>
      <c r="QCQ105" s="29"/>
      <c r="QCR105" s="29"/>
      <c r="QCS105" s="29"/>
      <c r="QCT105" s="29"/>
      <c r="QCU105" s="29"/>
      <c r="QCV105" s="29"/>
      <c r="QCW105" s="29"/>
      <c r="QCX105" s="29"/>
      <c r="QCY105" s="29"/>
      <c r="QCZ105" s="29"/>
      <c r="QDA105" s="29"/>
      <c r="QDB105" s="29"/>
      <c r="QDC105" s="29"/>
      <c r="QDD105" s="29"/>
      <c r="QDE105" s="29"/>
      <c r="QDF105" s="29"/>
      <c r="QDG105" s="29"/>
      <c r="QDH105" s="29"/>
      <c r="QDI105" s="29"/>
      <c r="QDJ105" s="29"/>
      <c r="QDK105" s="29"/>
      <c r="QDL105" s="29"/>
      <c r="QDM105" s="29"/>
      <c r="QDN105" s="29"/>
      <c r="QDO105" s="29"/>
      <c r="QDP105" s="29"/>
      <c r="QDQ105" s="29"/>
      <c r="QDR105" s="29"/>
      <c r="QDS105" s="29"/>
      <c r="QDT105" s="29"/>
      <c r="QDU105" s="29"/>
      <c r="QDV105" s="29"/>
      <c r="QDW105" s="29"/>
      <c r="QDX105" s="29"/>
      <c r="QDY105" s="29"/>
      <c r="QDZ105" s="29"/>
      <c r="QEA105" s="29"/>
      <c r="QEB105" s="29"/>
      <c r="QEC105" s="29"/>
      <c r="QED105" s="29"/>
      <c r="QEE105" s="29"/>
      <c r="QEF105" s="29"/>
      <c r="QEG105" s="29"/>
      <c r="QEH105" s="29"/>
      <c r="QEI105" s="29"/>
      <c r="QEJ105" s="29"/>
      <c r="QEK105" s="29"/>
      <c r="QEL105" s="29"/>
      <c r="QEM105" s="29"/>
      <c r="QEN105" s="29"/>
      <c r="QEO105" s="29"/>
      <c r="QEP105" s="29"/>
      <c r="QEQ105" s="29"/>
      <c r="QER105" s="29"/>
      <c r="QES105" s="29"/>
      <c r="QET105" s="29"/>
      <c r="QEU105" s="29"/>
      <c r="QEV105" s="29"/>
      <c r="QEW105" s="29"/>
      <c r="QEX105" s="29"/>
      <c r="QEY105" s="29"/>
      <c r="QEZ105" s="29"/>
      <c r="QFA105" s="29"/>
      <c r="QFB105" s="29"/>
      <c r="QFC105" s="29"/>
      <c r="QFD105" s="29"/>
      <c r="QFE105" s="29"/>
      <c r="QFF105" s="29"/>
      <c r="QFG105" s="29"/>
      <c r="QFH105" s="29"/>
      <c r="QFI105" s="29"/>
      <c r="QFJ105" s="29"/>
      <c r="QFK105" s="29"/>
      <c r="QFL105" s="29"/>
      <c r="QFM105" s="29"/>
      <c r="QFN105" s="29"/>
      <c r="QFO105" s="29"/>
      <c r="QFP105" s="29"/>
      <c r="QFQ105" s="29"/>
      <c r="QFR105" s="29"/>
      <c r="QFS105" s="29"/>
      <c r="QFT105" s="29"/>
      <c r="QFU105" s="29"/>
      <c r="QFV105" s="29"/>
      <c r="QFW105" s="29"/>
      <c r="QFX105" s="29"/>
      <c r="QFY105" s="29"/>
      <c r="QFZ105" s="29"/>
      <c r="QGA105" s="29"/>
      <c r="QGB105" s="29"/>
      <c r="QGC105" s="29"/>
      <c r="QGD105" s="29"/>
      <c r="QGE105" s="29"/>
      <c r="QGF105" s="29"/>
      <c r="QGG105" s="29"/>
      <c r="QGH105" s="29"/>
      <c r="QGI105" s="29"/>
      <c r="QGJ105" s="29"/>
      <c r="QGK105" s="29"/>
      <c r="QGL105" s="29"/>
      <c r="QGM105" s="29"/>
      <c r="QGN105" s="29"/>
      <c r="QGO105" s="29"/>
      <c r="QGP105" s="29"/>
      <c r="QGQ105" s="29"/>
      <c r="QGR105" s="29"/>
      <c r="QGS105" s="29"/>
      <c r="QGT105" s="29"/>
      <c r="QGU105" s="29"/>
      <c r="QGV105" s="29"/>
      <c r="QGW105" s="29"/>
      <c r="QGX105" s="29"/>
      <c r="QGY105" s="29"/>
      <c r="QGZ105" s="29"/>
      <c r="QHA105" s="29"/>
      <c r="QHB105" s="29"/>
      <c r="QHC105" s="29"/>
      <c r="QHD105" s="29"/>
      <c r="QHE105" s="29"/>
      <c r="QHF105" s="29"/>
      <c r="QHG105" s="29"/>
      <c r="QHH105" s="29"/>
      <c r="QHI105" s="29"/>
      <c r="QHJ105" s="29"/>
      <c r="QHK105" s="29"/>
      <c r="QHL105" s="29"/>
      <c r="QHM105" s="29"/>
      <c r="QHN105" s="29"/>
      <c r="QHO105" s="29"/>
      <c r="QHP105" s="29"/>
      <c r="QHQ105" s="29"/>
      <c r="QHR105" s="29"/>
      <c r="QHS105" s="29"/>
      <c r="QHT105" s="29"/>
      <c r="QHU105" s="29"/>
      <c r="QHV105" s="29"/>
      <c r="QHW105" s="29"/>
      <c r="QHX105" s="29"/>
      <c r="QHY105" s="29"/>
      <c r="QHZ105" s="29"/>
      <c r="QIA105" s="29"/>
      <c r="QIB105" s="29"/>
      <c r="QIC105" s="29"/>
      <c r="QID105" s="29"/>
      <c r="QIE105" s="29"/>
      <c r="QIF105" s="29"/>
      <c r="QIG105" s="29"/>
      <c r="QIH105" s="29"/>
      <c r="QII105" s="29"/>
      <c r="QIJ105" s="29"/>
      <c r="QIK105" s="29"/>
      <c r="QIL105" s="29"/>
      <c r="QIM105" s="29"/>
      <c r="QIN105" s="29"/>
      <c r="QIO105" s="29"/>
      <c r="QIP105" s="29"/>
      <c r="QIQ105" s="29"/>
      <c r="QIR105" s="29"/>
      <c r="QIS105" s="29"/>
      <c r="QIT105" s="29"/>
      <c r="QIU105" s="29"/>
      <c r="QIV105" s="29"/>
      <c r="QIW105" s="29"/>
      <c r="QIX105" s="29"/>
      <c r="QIY105" s="29"/>
      <c r="QIZ105" s="29"/>
      <c r="QJA105" s="29"/>
      <c r="QJB105" s="29"/>
      <c r="QJC105" s="29"/>
      <c r="QJD105" s="29"/>
      <c r="QJE105" s="29"/>
      <c r="QJF105" s="29"/>
      <c r="QJG105" s="29"/>
      <c r="QJH105" s="29"/>
      <c r="QJI105" s="29"/>
      <c r="QJJ105" s="29"/>
      <c r="QJK105" s="29"/>
      <c r="QJL105" s="29"/>
      <c r="QJM105" s="29"/>
      <c r="QJN105" s="29"/>
      <c r="QJO105" s="29"/>
      <c r="QJP105" s="29"/>
      <c r="QJQ105" s="29"/>
      <c r="QJR105" s="29"/>
      <c r="QJS105" s="29"/>
      <c r="QJT105" s="29"/>
      <c r="QJU105" s="29"/>
      <c r="QJV105" s="29"/>
      <c r="QJW105" s="29"/>
      <c r="QJX105" s="29"/>
      <c r="QJY105" s="29"/>
      <c r="QJZ105" s="29"/>
      <c r="QKA105" s="29"/>
      <c r="QKB105" s="29"/>
      <c r="QKC105" s="29"/>
      <c r="QKD105" s="29"/>
      <c r="QKE105" s="29"/>
      <c r="QKF105" s="29"/>
      <c r="QKG105" s="29"/>
      <c r="QKH105" s="29"/>
      <c r="QKI105" s="29"/>
      <c r="QKJ105" s="29"/>
      <c r="QKK105" s="29"/>
      <c r="QKL105" s="29"/>
      <c r="QKM105" s="29"/>
      <c r="QKN105" s="29"/>
      <c r="QKO105" s="29"/>
      <c r="QKP105" s="29"/>
      <c r="QKQ105" s="29"/>
      <c r="QKR105" s="29"/>
      <c r="QKS105" s="29"/>
      <c r="QKT105" s="29"/>
      <c r="QKU105" s="29"/>
      <c r="QKV105" s="29"/>
      <c r="QKW105" s="29"/>
      <c r="QKX105" s="29"/>
      <c r="QKY105" s="29"/>
      <c r="QKZ105" s="29"/>
      <c r="QLA105" s="29"/>
      <c r="QLB105" s="29"/>
      <c r="QLC105" s="29"/>
      <c r="QLD105" s="29"/>
      <c r="QLE105" s="29"/>
      <c r="QLF105" s="29"/>
      <c r="QLG105" s="29"/>
      <c r="QLH105" s="29"/>
      <c r="QLI105" s="29"/>
      <c r="QLJ105" s="29"/>
      <c r="QLK105" s="29"/>
      <c r="QLL105" s="29"/>
      <c r="QLM105" s="29"/>
      <c r="QLN105" s="29"/>
      <c r="QLO105" s="29"/>
      <c r="QLP105" s="29"/>
      <c r="QLQ105" s="29"/>
      <c r="QLR105" s="29"/>
      <c r="QLS105" s="29"/>
      <c r="QLT105" s="29"/>
      <c r="QLU105" s="29"/>
      <c r="QLV105" s="29"/>
      <c r="QLW105" s="29"/>
      <c r="QLX105" s="29"/>
      <c r="QLY105" s="29"/>
      <c r="QLZ105" s="29"/>
      <c r="QMA105" s="29"/>
      <c r="QMB105" s="29"/>
      <c r="QMC105" s="29"/>
      <c r="QMD105" s="29"/>
      <c r="QME105" s="29"/>
      <c r="QMF105" s="29"/>
      <c r="QMG105" s="29"/>
      <c r="QMH105" s="29"/>
      <c r="QMI105" s="29"/>
      <c r="QMJ105" s="29"/>
      <c r="QMK105" s="29"/>
      <c r="QML105" s="29"/>
      <c r="QMM105" s="29"/>
      <c r="QMN105" s="29"/>
      <c r="QMO105" s="29"/>
      <c r="QMP105" s="29"/>
      <c r="QMQ105" s="29"/>
      <c r="QMR105" s="29"/>
      <c r="QMS105" s="29"/>
      <c r="QMT105" s="29"/>
      <c r="QMU105" s="29"/>
      <c r="QMV105" s="29"/>
      <c r="QMW105" s="29"/>
      <c r="QMX105" s="29"/>
      <c r="QMY105" s="29"/>
      <c r="QMZ105" s="29"/>
      <c r="QNA105" s="29"/>
      <c r="QNB105" s="29"/>
      <c r="QNC105" s="29"/>
      <c r="QND105" s="29"/>
      <c r="QNE105" s="29"/>
      <c r="QNF105" s="29"/>
      <c r="QNG105" s="29"/>
      <c r="QNH105" s="29"/>
      <c r="QNI105" s="29"/>
      <c r="QNJ105" s="29"/>
      <c r="QNK105" s="29"/>
      <c r="QNL105" s="29"/>
      <c r="QNM105" s="29"/>
      <c r="QNN105" s="29"/>
      <c r="QNO105" s="29"/>
      <c r="QNP105" s="29"/>
      <c r="QNQ105" s="29"/>
      <c r="QNR105" s="29"/>
      <c r="QNS105" s="29"/>
      <c r="QNT105" s="29"/>
      <c r="QNU105" s="29"/>
      <c r="QNV105" s="29"/>
      <c r="QNW105" s="29"/>
      <c r="QNX105" s="29"/>
      <c r="QNY105" s="29"/>
      <c r="QNZ105" s="29"/>
      <c r="QOA105" s="29"/>
      <c r="QOB105" s="29"/>
      <c r="QOC105" s="29"/>
      <c r="QOD105" s="29"/>
      <c r="QOE105" s="29"/>
      <c r="QOF105" s="29"/>
      <c r="QOG105" s="29"/>
      <c r="QOH105" s="29"/>
      <c r="QOI105" s="29"/>
      <c r="QOJ105" s="29"/>
      <c r="QOK105" s="29"/>
      <c r="QOL105" s="29"/>
      <c r="QOM105" s="29"/>
      <c r="QON105" s="29"/>
      <c r="QOO105" s="29"/>
      <c r="QOP105" s="29"/>
      <c r="QOQ105" s="29"/>
      <c r="QOR105" s="29"/>
      <c r="QOS105" s="29"/>
      <c r="QOT105" s="29"/>
      <c r="QOU105" s="29"/>
      <c r="QOV105" s="29"/>
      <c r="QOW105" s="29"/>
      <c r="QOX105" s="29"/>
      <c r="QOY105" s="29"/>
      <c r="QOZ105" s="29"/>
      <c r="QPA105" s="29"/>
      <c r="QPB105" s="29"/>
      <c r="QPC105" s="29"/>
      <c r="QPD105" s="29"/>
      <c r="QPE105" s="29"/>
      <c r="QPF105" s="29"/>
      <c r="QPG105" s="29"/>
      <c r="QPH105" s="29"/>
      <c r="QPI105" s="29"/>
      <c r="QPJ105" s="29"/>
      <c r="QPK105" s="29"/>
      <c r="QPL105" s="29"/>
      <c r="QPM105" s="29"/>
      <c r="QPN105" s="29"/>
      <c r="QPO105" s="29"/>
      <c r="QPP105" s="29"/>
      <c r="QPQ105" s="29"/>
      <c r="QPR105" s="29"/>
      <c r="QPS105" s="29"/>
      <c r="QPT105" s="29"/>
      <c r="QPU105" s="29"/>
      <c r="QPV105" s="29"/>
      <c r="QPW105" s="29"/>
      <c r="QPX105" s="29"/>
      <c r="QPY105" s="29"/>
      <c r="QPZ105" s="29"/>
      <c r="QQA105" s="29"/>
      <c r="QQB105" s="29"/>
      <c r="QQC105" s="29"/>
      <c r="QQD105" s="29"/>
      <c r="QQE105" s="29"/>
      <c r="QQF105" s="29"/>
      <c r="QQG105" s="29"/>
      <c r="QQH105" s="29"/>
      <c r="QQI105" s="29"/>
      <c r="QQJ105" s="29"/>
      <c r="QQK105" s="29"/>
      <c r="QQL105" s="29"/>
      <c r="QQM105" s="29"/>
      <c r="QQN105" s="29"/>
      <c r="QQO105" s="29"/>
      <c r="QQP105" s="29"/>
      <c r="QQQ105" s="29"/>
      <c r="QQR105" s="29"/>
      <c r="QQS105" s="29"/>
      <c r="QQT105" s="29"/>
      <c r="QQU105" s="29"/>
      <c r="QQV105" s="29"/>
      <c r="QQW105" s="29"/>
      <c r="QQX105" s="29"/>
      <c r="QQY105" s="29"/>
      <c r="QQZ105" s="29"/>
      <c r="QRA105" s="29"/>
      <c r="QRB105" s="29"/>
      <c r="QRC105" s="29"/>
      <c r="QRD105" s="29"/>
      <c r="QRE105" s="29"/>
      <c r="QRF105" s="29"/>
      <c r="QRG105" s="29"/>
      <c r="QRH105" s="29"/>
      <c r="QRI105" s="29"/>
      <c r="QRJ105" s="29"/>
      <c r="QRK105" s="29"/>
      <c r="QRL105" s="29"/>
      <c r="QRM105" s="29"/>
      <c r="QRN105" s="29"/>
      <c r="QRO105" s="29"/>
      <c r="QRP105" s="29"/>
      <c r="QRQ105" s="29"/>
      <c r="QRR105" s="29"/>
      <c r="QRS105" s="29"/>
      <c r="QRT105" s="29"/>
      <c r="QRU105" s="29"/>
      <c r="QRV105" s="29"/>
      <c r="QRW105" s="29"/>
      <c r="QRX105" s="29"/>
      <c r="QRY105" s="29"/>
      <c r="QRZ105" s="29"/>
      <c r="QSA105" s="29"/>
      <c r="QSB105" s="29"/>
      <c r="QSC105" s="29"/>
      <c r="QSD105" s="29"/>
      <c r="QSE105" s="29"/>
      <c r="QSF105" s="29"/>
      <c r="QSG105" s="29"/>
      <c r="QSH105" s="29"/>
      <c r="QSI105" s="29"/>
      <c r="QSJ105" s="29"/>
      <c r="QSK105" s="29"/>
      <c r="QSL105" s="29"/>
      <c r="QSM105" s="29"/>
      <c r="QSN105" s="29"/>
      <c r="QSO105" s="29"/>
      <c r="QSP105" s="29"/>
      <c r="QSQ105" s="29"/>
      <c r="QSR105" s="29"/>
      <c r="QSS105" s="29"/>
      <c r="QST105" s="29"/>
      <c r="QSU105" s="29"/>
      <c r="QSV105" s="29"/>
      <c r="QSW105" s="29"/>
      <c r="QSX105" s="29"/>
      <c r="QSY105" s="29"/>
      <c r="QSZ105" s="29"/>
      <c r="QTA105" s="29"/>
      <c r="QTB105" s="29"/>
      <c r="QTC105" s="29"/>
      <c r="QTD105" s="29"/>
      <c r="QTE105" s="29"/>
      <c r="QTF105" s="29"/>
      <c r="QTG105" s="29"/>
      <c r="QTH105" s="29"/>
      <c r="QTI105" s="29"/>
      <c r="QTJ105" s="29"/>
      <c r="QTK105" s="29"/>
      <c r="QTL105" s="29"/>
      <c r="QTM105" s="29"/>
      <c r="QTN105" s="29"/>
      <c r="QTO105" s="29"/>
      <c r="QTP105" s="29"/>
      <c r="QTQ105" s="29"/>
      <c r="QTR105" s="29"/>
      <c r="QTS105" s="29"/>
      <c r="QTT105" s="29"/>
      <c r="QTU105" s="29"/>
      <c r="QTV105" s="29"/>
      <c r="QTW105" s="29"/>
      <c r="QTX105" s="29"/>
      <c r="QTY105" s="29"/>
      <c r="QTZ105" s="29"/>
      <c r="QUA105" s="29"/>
      <c r="QUB105" s="29"/>
      <c r="QUC105" s="29"/>
      <c r="QUD105" s="29"/>
      <c r="QUE105" s="29"/>
      <c r="QUF105" s="29"/>
      <c r="QUG105" s="29"/>
      <c r="QUH105" s="29"/>
      <c r="QUI105" s="29"/>
      <c r="QUJ105" s="29"/>
      <c r="QUK105" s="29"/>
      <c r="QUL105" s="29"/>
      <c r="QUM105" s="29"/>
      <c r="QUN105" s="29"/>
      <c r="QUO105" s="29"/>
      <c r="QUP105" s="29"/>
      <c r="QUQ105" s="29"/>
      <c r="QUR105" s="29"/>
      <c r="QUS105" s="29"/>
      <c r="QUT105" s="29"/>
      <c r="QUU105" s="29"/>
      <c r="QUV105" s="29"/>
      <c r="QUW105" s="29"/>
      <c r="QUX105" s="29"/>
      <c r="QUY105" s="29"/>
      <c r="QUZ105" s="29"/>
      <c r="QVA105" s="29"/>
      <c r="QVB105" s="29"/>
      <c r="QVC105" s="29"/>
      <c r="QVD105" s="29"/>
      <c r="QVE105" s="29"/>
      <c r="QVF105" s="29"/>
      <c r="QVG105" s="29"/>
      <c r="QVH105" s="29"/>
      <c r="QVI105" s="29"/>
      <c r="QVJ105" s="29"/>
      <c r="QVK105" s="29"/>
      <c r="QVL105" s="29"/>
      <c r="QVM105" s="29"/>
      <c r="QVN105" s="29"/>
      <c r="QVO105" s="29"/>
      <c r="QVP105" s="29"/>
      <c r="QVQ105" s="29"/>
      <c r="QVR105" s="29"/>
      <c r="QVS105" s="29"/>
      <c r="QVT105" s="29"/>
      <c r="QVU105" s="29"/>
      <c r="QVV105" s="29"/>
      <c r="QVW105" s="29"/>
      <c r="QVX105" s="29"/>
      <c r="QVY105" s="29"/>
      <c r="QVZ105" s="29"/>
      <c r="QWA105" s="29"/>
      <c r="QWB105" s="29"/>
      <c r="QWC105" s="29"/>
      <c r="QWD105" s="29"/>
      <c r="QWE105" s="29"/>
      <c r="QWF105" s="29"/>
      <c r="QWG105" s="29"/>
      <c r="QWH105" s="29"/>
      <c r="QWI105" s="29"/>
      <c r="QWJ105" s="29"/>
      <c r="QWK105" s="29"/>
      <c r="QWL105" s="29"/>
      <c r="QWM105" s="29"/>
      <c r="QWN105" s="29"/>
      <c r="QWO105" s="29"/>
      <c r="QWP105" s="29"/>
      <c r="QWQ105" s="29"/>
      <c r="QWR105" s="29"/>
      <c r="QWS105" s="29"/>
      <c r="QWT105" s="29"/>
      <c r="QWU105" s="29"/>
      <c r="QWV105" s="29"/>
      <c r="QWW105" s="29"/>
      <c r="QWX105" s="29"/>
      <c r="QWY105" s="29"/>
      <c r="QWZ105" s="29"/>
      <c r="QXA105" s="29"/>
      <c r="QXB105" s="29"/>
      <c r="QXC105" s="29"/>
      <c r="QXD105" s="29"/>
      <c r="QXE105" s="29"/>
      <c r="QXF105" s="29"/>
      <c r="QXG105" s="29"/>
      <c r="QXH105" s="29"/>
      <c r="QXI105" s="29"/>
      <c r="QXJ105" s="29"/>
      <c r="QXK105" s="29"/>
      <c r="QXL105" s="29"/>
      <c r="QXM105" s="29"/>
      <c r="QXN105" s="29"/>
      <c r="QXO105" s="29"/>
      <c r="QXP105" s="29"/>
      <c r="QXQ105" s="29"/>
      <c r="QXR105" s="29"/>
      <c r="QXS105" s="29"/>
      <c r="QXT105" s="29"/>
      <c r="QXU105" s="29"/>
      <c r="QXV105" s="29"/>
      <c r="QXW105" s="29"/>
      <c r="QXX105" s="29"/>
      <c r="QXY105" s="29"/>
      <c r="QXZ105" s="29"/>
      <c r="QYA105" s="29"/>
      <c r="QYB105" s="29"/>
      <c r="QYC105" s="29"/>
      <c r="QYD105" s="29"/>
      <c r="QYE105" s="29"/>
      <c r="QYF105" s="29"/>
      <c r="QYG105" s="29"/>
      <c r="QYH105" s="29"/>
      <c r="QYI105" s="29"/>
      <c r="QYJ105" s="29"/>
      <c r="QYK105" s="29"/>
      <c r="QYL105" s="29"/>
      <c r="QYM105" s="29"/>
      <c r="QYN105" s="29"/>
      <c r="QYO105" s="29"/>
      <c r="QYP105" s="29"/>
      <c r="QYQ105" s="29"/>
      <c r="QYR105" s="29"/>
      <c r="QYS105" s="29"/>
      <c r="QYT105" s="29"/>
      <c r="QYU105" s="29"/>
      <c r="QYV105" s="29"/>
      <c r="QYW105" s="29"/>
      <c r="QYX105" s="29"/>
      <c r="QYY105" s="29"/>
      <c r="QYZ105" s="29"/>
      <c r="QZA105" s="29"/>
      <c r="QZB105" s="29"/>
      <c r="QZC105" s="29"/>
      <c r="QZD105" s="29"/>
      <c r="QZE105" s="29"/>
      <c r="QZF105" s="29"/>
      <c r="QZG105" s="29"/>
      <c r="QZH105" s="29"/>
      <c r="QZI105" s="29"/>
      <c r="QZJ105" s="29"/>
      <c r="QZK105" s="29"/>
      <c r="QZL105" s="29"/>
      <c r="QZM105" s="29"/>
      <c r="QZN105" s="29"/>
      <c r="QZO105" s="29"/>
      <c r="QZP105" s="29"/>
      <c r="QZQ105" s="29"/>
      <c r="QZR105" s="29"/>
      <c r="QZS105" s="29"/>
      <c r="QZT105" s="29"/>
      <c r="QZU105" s="29"/>
      <c r="QZV105" s="29"/>
      <c r="QZW105" s="29"/>
      <c r="QZX105" s="29"/>
      <c r="QZY105" s="29"/>
      <c r="QZZ105" s="29"/>
      <c r="RAA105" s="29"/>
      <c r="RAB105" s="29"/>
      <c r="RAC105" s="29"/>
      <c r="RAD105" s="29"/>
      <c r="RAE105" s="29"/>
      <c r="RAF105" s="29"/>
      <c r="RAG105" s="29"/>
      <c r="RAH105" s="29"/>
      <c r="RAI105" s="29"/>
      <c r="RAJ105" s="29"/>
      <c r="RAK105" s="29"/>
      <c r="RAL105" s="29"/>
      <c r="RAM105" s="29"/>
      <c r="RAN105" s="29"/>
      <c r="RAO105" s="29"/>
      <c r="RAP105" s="29"/>
      <c r="RAQ105" s="29"/>
      <c r="RAR105" s="29"/>
      <c r="RAS105" s="29"/>
      <c r="RAT105" s="29"/>
      <c r="RAU105" s="29"/>
      <c r="RAV105" s="29"/>
      <c r="RAW105" s="29"/>
      <c r="RAX105" s="29"/>
      <c r="RAY105" s="29"/>
      <c r="RAZ105" s="29"/>
      <c r="RBA105" s="29"/>
      <c r="RBB105" s="29"/>
      <c r="RBC105" s="29"/>
      <c r="RBD105" s="29"/>
      <c r="RBE105" s="29"/>
      <c r="RBF105" s="29"/>
      <c r="RBG105" s="29"/>
      <c r="RBH105" s="29"/>
      <c r="RBI105" s="29"/>
      <c r="RBJ105" s="29"/>
      <c r="RBK105" s="29"/>
      <c r="RBL105" s="29"/>
      <c r="RBM105" s="29"/>
      <c r="RBN105" s="29"/>
      <c r="RBO105" s="29"/>
      <c r="RBP105" s="29"/>
      <c r="RBQ105" s="29"/>
      <c r="RBR105" s="29"/>
      <c r="RBS105" s="29"/>
      <c r="RBT105" s="29"/>
      <c r="RBU105" s="29"/>
      <c r="RBV105" s="29"/>
      <c r="RBW105" s="29"/>
      <c r="RBX105" s="29"/>
      <c r="RBY105" s="29"/>
      <c r="RBZ105" s="29"/>
      <c r="RCA105" s="29"/>
      <c r="RCB105" s="29"/>
      <c r="RCC105" s="29"/>
      <c r="RCD105" s="29"/>
      <c r="RCE105" s="29"/>
      <c r="RCF105" s="29"/>
      <c r="RCG105" s="29"/>
      <c r="RCH105" s="29"/>
      <c r="RCI105" s="29"/>
      <c r="RCJ105" s="29"/>
      <c r="RCK105" s="29"/>
      <c r="RCL105" s="29"/>
      <c r="RCM105" s="29"/>
      <c r="RCN105" s="29"/>
      <c r="RCO105" s="29"/>
      <c r="RCP105" s="29"/>
      <c r="RCQ105" s="29"/>
      <c r="RCR105" s="29"/>
      <c r="RCS105" s="29"/>
      <c r="RCT105" s="29"/>
      <c r="RCU105" s="29"/>
      <c r="RCV105" s="29"/>
      <c r="RCW105" s="29"/>
      <c r="RCX105" s="29"/>
      <c r="RCY105" s="29"/>
      <c r="RCZ105" s="29"/>
      <c r="RDA105" s="29"/>
      <c r="RDB105" s="29"/>
      <c r="RDC105" s="29"/>
      <c r="RDD105" s="29"/>
      <c r="RDE105" s="29"/>
      <c r="RDF105" s="29"/>
      <c r="RDG105" s="29"/>
      <c r="RDH105" s="29"/>
      <c r="RDI105" s="29"/>
      <c r="RDJ105" s="29"/>
      <c r="RDK105" s="29"/>
      <c r="RDL105" s="29"/>
      <c r="RDM105" s="29"/>
      <c r="RDN105" s="29"/>
      <c r="RDO105" s="29"/>
      <c r="RDP105" s="29"/>
      <c r="RDQ105" s="29"/>
      <c r="RDR105" s="29"/>
      <c r="RDS105" s="29"/>
      <c r="RDT105" s="29"/>
      <c r="RDU105" s="29"/>
      <c r="RDV105" s="29"/>
      <c r="RDW105" s="29"/>
      <c r="RDX105" s="29"/>
      <c r="RDY105" s="29"/>
      <c r="RDZ105" s="29"/>
      <c r="REA105" s="29"/>
      <c r="REB105" s="29"/>
      <c r="REC105" s="29"/>
      <c r="RED105" s="29"/>
      <c r="REE105" s="29"/>
      <c r="REF105" s="29"/>
      <c r="REG105" s="29"/>
      <c r="REH105" s="29"/>
      <c r="REI105" s="29"/>
      <c r="REJ105" s="29"/>
      <c r="REK105" s="29"/>
      <c r="REL105" s="29"/>
      <c r="REM105" s="29"/>
      <c r="REN105" s="29"/>
      <c r="REO105" s="29"/>
      <c r="REP105" s="29"/>
      <c r="REQ105" s="29"/>
      <c r="RER105" s="29"/>
      <c r="RES105" s="29"/>
      <c r="RET105" s="29"/>
      <c r="REU105" s="29"/>
      <c r="REV105" s="29"/>
      <c r="REW105" s="29"/>
      <c r="REX105" s="29"/>
      <c r="REY105" s="29"/>
      <c r="REZ105" s="29"/>
      <c r="RFA105" s="29"/>
      <c r="RFB105" s="29"/>
      <c r="RFC105" s="29"/>
      <c r="RFD105" s="29"/>
      <c r="RFE105" s="29"/>
      <c r="RFF105" s="29"/>
      <c r="RFG105" s="29"/>
      <c r="RFH105" s="29"/>
      <c r="RFI105" s="29"/>
      <c r="RFJ105" s="29"/>
      <c r="RFK105" s="29"/>
      <c r="RFL105" s="29"/>
      <c r="RFM105" s="29"/>
      <c r="RFN105" s="29"/>
      <c r="RFO105" s="29"/>
      <c r="RFP105" s="29"/>
      <c r="RFQ105" s="29"/>
      <c r="RFR105" s="29"/>
      <c r="RFS105" s="29"/>
      <c r="RFT105" s="29"/>
      <c r="RFU105" s="29"/>
      <c r="RFV105" s="29"/>
      <c r="RFW105" s="29"/>
      <c r="RFX105" s="29"/>
      <c r="RFY105" s="29"/>
      <c r="RFZ105" s="29"/>
      <c r="RGA105" s="29"/>
      <c r="RGB105" s="29"/>
      <c r="RGC105" s="29"/>
      <c r="RGD105" s="29"/>
      <c r="RGE105" s="29"/>
      <c r="RGF105" s="29"/>
      <c r="RGG105" s="29"/>
      <c r="RGH105" s="29"/>
      <c r="RGI105" s="29"/>
      <c r="RGJ105" s="29"/>
      <c r="RGK105" s="29"/>
      <c r="RGL105" s="29"/>
      <c r="RGM105" s="29"/>
      <c r="RGN105" s="29"/>
      <c r="RGO105" s="29"/>
      <c r="RGP105" s="29"/>
      <c r="RGQ105" s="29"/>
      <c r="RGR105" s="29"/>
      <c r="RGS105" s="29"/>
      <c r="RGT105" s="29"/>
      <c r="RGU105" s="29"/>
      <c r="RGV105" s="29"/>
      <c r="RGW105" s="29"/>
      <c r="RGX105" s="29"/>
      <c r="RGY105" s="29"/>
      <c r="RGZ105" s="29"/>
      <c r="RHA105" s="29"/>
      <c r="RHB105" s="29"/>
      <c r="RHC105" s="29"/>
      <c r="RHD105" s="29"/>
      <c r="RHE105" s="29"/>
      <c r="RHF105" s="29"/>
      <c r="RHG105" s="29"/>
      <c r="RHH105" s="29"/>
      <c r="RHI105" s="29"/>
      <c r="RHJ105" s="29"/>
      <c r="RHK105" s="29"/>
      <c r="RHL105" s="29"/>
      <c r="RHM105" s="29"/>
      <c r="RHN105" s="29"/>
      <c r="RHO105" s="29"/>
      <c r="RHP105" s="29"/>
      <c r="RHQ105" s="29"/>
      <c r="RHR105" s="29"/>
      <c r="RHS105" s="29"/>
      <c r="RHT105" s="29"/>
      <c r="RHU105" s="29"/>
      <c r="RHV105" s="29"/>
      <c r="RHW105" s="29"/>
      <c r="RHX105" s="29"/>
      <c r="RHY105" s="29"/>
      <c r="RHZ105" s="29"/>
      <c r="RIA105" s="29"/>
      <c r="RIB105" s="29"/>
      <c r="RIC105" s="29"/>
      <c r="RID105" s="29"/>
      <c r="RIE105" s="29"/>
      <c r="RIF105" s="29"/>
      <c r="RIG105" s="29"/>
      <c r="RIH105" s="29"/>
      <c r="RII105" s="29"/>
      <c r="RIJ105" s="29"/>
      <c r="RIK105" s="29"/>
      <c r="RIL105" s="29"/>
      <c r="RIM105" s="29"/>
      <c r="RIN105" s="29"/>
      <c r="RIO105" s="29"/>
      <c r="RIP105" s="29"/>
      <c r="RIQ105" s="29"/>
      <c r="RIR105" s="29"/>
      <c r="RIS105" s="29"/>
      <c r="RIT105" s="29"/>
      <c r="RIU105" s="29"/>
      <c r="RIV105" s="29"/>
      <c r="RIW105" s="29"/>
      <c r="RIX105" s="29"/>
      <c r="RIY105" s="29"/>
      <c r="RIZ105" s="29"/>
      <c r="RJA105" s="29"/>
      <c r="RJB105" s="29"/>
      <c r="RJC105" s="29"/>
      <c r="RJD105" s="29"/>
      <c r="RJE105" s="29"/>
      <c r="RJF105" s="29"/>
      <c r="RJG105" s="29"/>
      <c r="RJH105" s="29"/>
      <c r="RJI105" s="29"/>
      <c r="RJJ105" s="29"/>
      <c r="RJK105" s="29"/>
      <c r="RJL105" s="29"/>
      <c r="RJM105" s="29"/>
      <c r="RJN105" s="29"/>
      <c r="RJO105" s="29"/>
      <c r="RJP105" s="29"/>
      <c r="RJQ105" s="29"/>
      <c r="RJR105" s="29"/>
      <c r="RJS105" s="29"/>
      <c r="RJT105" s="29"/>
      <c r="RJU105" s="29"/>
      <c r="RJV105" s="29"/>
      <c r="RJW105" s="29"/>
      <c r="RJX105" s="29"/>
      <c r="RJY105" s="29"/>
      <c r="RJZ105" s="29"/>
      <c r="RKA105" s="29"/>
      <c r="RKB105" s="29"/>
      <c r="RKC105" s="29"/>
      <c r="RKD105" s="29"/>
      <c r="RKE105" s="29"/>
      <c r="RKF105" s="29"/>
      <c r="RKG105" s="29"/>
      <c r="RKH105" s="29"/>
      <c r="RKI105" s="29"/>
      <c r="RKJ105" s="29"/>
      <c r="RKK105" s="29"/>
      <c r="RKL105" s="29"/>
      <c r="RKM105" s="29"/>
      <c r="RKN105" s="29"/>
      <c r="RKO105" s="29"/>
      <c r="RKP105" s="29"/>
      <c r="RKQ105" s="29"/>
      <c r="RKR105" s="29"/>
      <c r="RKS105" s="29"/>
      <c r="RKT105" s="29"/>
      <c r="RKU105" s="29"/>
      <c r="RKV105" s="29"/>
      <c r="RKW105" s="29"/>
      <c r="RKX105" s="29"/>
      <c r="RKY105" s="29"/>
      <c r="RKZ105" s="29"/>
      <c r="RLA105" s="29"/>
      <c r="RLB105" s="29"/>
      <c r="RLC105" s="29"/>
      <c r="RLD105" s="29"/>
      <c r="RLE105" s="29"/>
      <c r="RLF105" s="29"/>
      <c r="RLG105" s="29"/>
      <c r="RLH105" s="29"/>
      <c r="RLI105" s="29"/>
      <c r="RLJ105" s="29"/>
      <c r="RLK105" s="29"/>
      <c r="RLL105" s="29"/>
      <c r="RLM105" s="29"/>
      <c r="RLN105" s="29"/>
      <c r="RLO105" s="29"/>
      <c r="RLP105" s="29"/>
      <c r="RLQ105" s="29"/>
      <c r="RLR105" s="29"/>
      <c r="RLS105" s="29"/>
      <c r="RLT105" s="29"/>
      <c r="RLU105" s="29"/>
      <c r="RLV105" s="29"/>
      <c r="RLW105" s="29"/>
      <c r="RLX105" s="29"/>
      <c r="RLY105" s="29"/>
      <c r="RLZ105" s="29"/>
      <c r="RMA105" s="29"/>
      <c r="RMB105" s="29"/>
      <c r="RMC105" s="29"/>
      <c r="RMD105" s="29"/>
      <c r="RME105" s="29"/>
      <c r="RMF105" s="29"/>
      <c r="RMG105" s="29"/>
      <c r="RMH105" s="29"/>
      <c r="RMI105" s="29"/>
      <c r="RMJ105" s="29"/>
      <c r="RMK105" s="29"/>
      <c r="RML105" s="29"/>
      <c r="RMM105" s="29"/>
      <c r="RMN105" s="29"/>
      <c r="RMO105" s="29"/>
      <c r="RMP105" s="29"/>
      <c r="RMQ105" s="29"/>
      <c r="RMR105" s="29"/>
      <c r="RMS105" s="29"/>
      <c r="RMT105" s="29"/>
      <c r="RMU105" s="29"/>
      <c r="RMV105" s="29"/>
      <c r="RMW105" s="29"/>
      <c r="RMX105" s="29"/>
      <c r="RMY105" s="29"/>
      <c r="RMZ105" s="29"/>
      <c r="RNA105" s="29"/>
      <c r="RNB105" s="29"/>
      <c r="RNC105" s="29"/>
      <c r="RND105" s="29"/>
      <c r="RNE105" s="29"/>
      <c r="RNF105" s="29"/>
      <c r="RNG105" s="29"/>
      <c r="RNH105" s="29"/>
      <c r="RNI105" s="29"/>
      <c r="RNJ105" s="29"/>
      <c r="RNK105" s="29"/>
      <c r="RNL105" s="29"/>
      <c r="RNM105" s="29"/>
      <c r="RNN105" s="29"/>
      <c r="RNO105" s="29"/>
      <c r="RNP105" s="29"/>
      <c r="RNQ105" s="29"/>
      <c r="RNR105" s="29"/>
      <c r="RNS105" s="29"/>
      <c r="RNT105" s="29"/>
      <c r="RNU105" s="29"/>
      <c r="RNV105" s="29"/>
      <c r="RNW105" s="29"/>
      <c r="RNX105" s="29"/>
      <c r="RNY105" s="29"/>
      <c r="RNZ105" s="29"/>
      <c r="ROA105" s="29"/>
      <c r="ROB105" s="29"/>
      <c r="ROC105" s="29"/>
      <c r="ROD105" s="29"/>
      <c r="ROE105" s="29"/>
      <c r="ROF105" s="29"/>
      <c r="ROG105" s="29"/>
      <c r="ROH105" s="29"/>
      <c r="ROI105" s="29"/>
      <c r="ROJ105" s="29"/>
      <c r="ROK105" s="29"/>
      <c r="ROL105" s="29"/>
      <c r="ROM105" s="29"/>
      <c r="RON105" s="29"/>
      <c r="ROO105" s="29"/>
      <c r="ROP105" s="29"/>
      <c r="ROQ105" s="29"/>
      <c r="ROR105" s="29"/>
      <c r="ROS105" s="29"/>
      <c r="ROT105" s="29"/>
      <c r="ROU105" s="29"/>
      <c r="ROV105" s="29"/>
      <c r="ROW105" s="29"/>
      <c r="ROX105" s="29"/>
      <c r="ROY105" s="29"/>
      <c r="ROZ105" s="29"/>
      <c r="RPA105" s="29"/>
      <c r="RPB105" s="29"/>
      <c r="RPC105" s="29"/>
      <c r="RPD105" s="29"/>
      <c r="RPE105" s="29"/>
      <c r="RPF105" s="29"/>
      <c r="RPG105" s="29"/>
      <c r="RPH105" s="29"/>
      <c r="RPI105" s="29"/>
      <c r="RPJ105" s="29"/>
      <c r="RPK105" s="29"/>
      <c r="RPL105" s="29"/>
      <c r="RPM105" s="29"/>
      <c r="RPN105" s="29"/>
      <c r="RPO105" s="29"/>
      <c r="RPP105" s="29"/>
      <c r="RPQ105" s="29"/>
      <c r="RPR105" s="29"/>
      <c r="RPS105" s="29"/>
      <c r="RPT105" s="29"/>
      <c r="RPU105" s="29"/>
      <c r="RPV105" s="29"/>
      <c r="RPW105" s="29"/>
      <c r="RPX105" s="29"/>
      <c r="RPY105" s="29"/>
      <c r="RPZ105" s="29"/>
      <c r="RQA105" s="29"/>
      <c r="RQB105" s="29"/>
      <c r="RQC105" s="29"/>
      <c r="RQD105" s="29"/>
      <c r="RQE105" s="29"/>
      <c r="RQF105" s="29"/>
      <c r="RQG105" s="29"/>
      <c r="RQH105" s="29"/>
      <c r="RQI105" s="29"/>
      <c r="RQJ105" s="29"/>
      <c r="RQK105" s="29"/>
      <c r="RQL105" s="29"/>
      <c r="RQM105" s="29"/>
      <c r="RQN105" s="29"/>
      <c r="RQO105" s="29"/>
      <c r="RQP105" s="29"/>
      <c r="RQQ105" s="29"/>
      <c r="RQR105" s="29"/>
      <c r="RQS105" s="29"/>
      <c r="RQT105" s="29"/>
      <c r="RQU105" s="29"/>
      <c r="RQV105" s="29"/>
      <c r="RQW105" s="29"/>
      <c r="RQX105" s="29"/>
      <c r="RQY105" s="29"/>
      <c r="RQZ105" s="29"/>
      <c r="RRA105" s="29"/>
      <c r="RRB105" s="29"/>
      <c r="RRC105" s="29"/>
      <c r="RRD105" s="29"/>
      <c r="RRE105" s="29"/>
      <c r="RRF105" s="29"/>
      <c r="RRG105" s="29"/>
      <c r="RRH105" s="29"/>
      <c r="RRI105" s="29"/>
      <c r="RRJ105" s="29"/>
      <c r="RRK105" s="29"/>
      <c r="RRL105" s="29"/>
      <c r="RRM105" s="29"/>
      <c r="RRN105" s="29"/>
      <c r="RRO105" s="29"/>
      <c r="RRP105" s="29"/>
      <c r="RRQ105" s="29"/>
      <c r="RRR105" s="29"/>
      <c r="RRS105" s="29"/>
      <c r="RRT105" s="29"/>
      <c r="RRU105" s="29"/>
      <c r="RRV105" s="29"/>
      <c r="RRW105" s="29"/>
      <c r="RRX105" s="29"/>
      <c r="RRY105" s="29"/>
      <c r="RRZ105" s="29"/>
      <c r="RSA105" s="29"/>
      <c r="RSB105" s="29"/>
      <c r="RSC105" s="29"/>
      <c r="RSD105" s="29"/>
      <c r="RSE105" s="29"/>
      <c r="RSF105" s="29"/>
      <c r="RSG105" s="29"/>
      <c r="RSH105" s="29"/>
      <c r="RSI105" s="29"/>
      <c r="RSJ105" s="29"/>
      <c r="RSK105" s="29"/>
      <c r="RSL105" s="29"/>
      <c r="RSM105" s="29"/>
      <c r="RSN105" s="29"/>
      <c r="RSO105" s="29"/>
      <c r="RSP105" s="29"/>
      <c r="RSQ105" s="29"/>
      <c r="RSR105" s="29"/>
      <c r="RSS105" s="29"/>
      <c r="RST105" s="29"/>
      <c r="RSU105" s="29"/>
      <c r="RSV105" s="29"/>
      <c r="RSW105" s="29"/>
      <c r="RSX105" s="29"/>
      <c r="RSY105" s="29"/>
      <c r="RSZ105" s="29"/>
      <c r="RTA105" s="29"/>
      <c r="RTB105" s="29"/>
      <c r="RTC105" s="29"/>
      <c r="RTD105" s="29"/>
      <c r="RTE105" s="29"/>
      <c r="RTF105" s="29"/>
      <c r="RTG105" s="29"/>
      <c r="RTH105" s="29"/>
      <c r="RTI105" s="29"/>
      <c r="RTJ105" s="29"/>
      <c r="RTK105" s="29"/>
      <c r="RTL105" s="29"/>
      <c r="RTM105" s="29"/>
      <c r="RTN105" s="29"/>
      <c r="RTO105" s="29"/>
      <c r="RTP105" s="29"/>
      <c r="RTQ105" s="29"/>
      <c r="RTR105" s="29"/>
      <c r="RTS105" s="29"/>
      <c r="RTT105" s="29"/>
      <c r="RTU105" s="29"/>
      <c r="RTV105" s="29"/>
      <c r="RTW105" s="29"/>
      <c r="RTX105" s="29"/>
      <c r="RTY105" s="29"/>
      <c r="RTZ105" s="29"/>
      <c r="RUA105" s="29"/>
      <c r="RUB105" s="29"/>
      <c r="RUC105" s="29"/>
      <c r="RUD105" s="29"/>
      <c r="RUE105" s="29"/>
      <c r="RUF105" s="29"/>
      <c r="RUG105" s="29"/>
      <c r="RUH105" s="29"/>
      <c r="RUI105" s="29"/>
      <c r="RUJ105" s="29"/>
      <c r="RUK105" s="29"/>
      <c r="RUL105" s="29"/>
      <c r="RUM105" s="29"/>
      <c r="RUN105" s="29"/>
      <c r="RUO105" s="29"/>
      <c r="RUP105" s="29"/>
      <c r="RUQ105" s="29"/>
      <c r="RUR105" s="29"/>
      <c r="RUS105" s="29"/>
      <c r="RUT105" s="29"/>
      <c r="RUU105" s="29"/>
      <c r="RUV105" s="29"/>
      <c r="RUW105" s="29"/>
      <c r="RUX105" s="29"/>
      <c r="RUY105" s="29"/>
      <c r="RUZ105" s="29"/>
      <c r="RVA105" s="29"/>
      <c r="RVB105" s="29"/>
      <c r="RVC105" s="29"/>
      <c r="RVD105" s="29"/>
      <c r="RVE105" s="29"/>
      <c r="RVF105" s="29"/>
      <c r="RVG105" s="29"/>
      <c r="RVH105" s="29"/>
      <c r="RVI105" s="29"/>
      <c r="RVJ105" s="29"/>
      <c r="RVK105" s="29"/>
      <c r="RVL105" s="29"/>
      <c r="RVM105" s="29"/>
      <c r="RVN105" s="29"/>
      <c r="RVO105" s="29"/>
      <c r="RVP105" s="29"/>
      <c r="RVQ105" s="29"/>
      <c r="RVR105" s="29"/>
      <c r="RVS105" s="29"/>
      <c r="RVT105" s="29"/>
      <c r="RVU105" s="29"/>
      <c r="RVV105" s="29"/>
      <c r="RVW105" s="29"/>
      <c r="RVX105" s="29"/>
      <c r="RVY105" s="29"/>
      <c r="RVZ105" s="29"/>
      <c r="RWA105" s="29"/>
      <c r="RWB105" s="29"/>
      <c r="RWC105" s="29"/>
      <c r="RWD105" s="29"/>
      <c r="RWE105" s="29"/>
      <c r="RWF105" s="29"/>
      <c r="RWG105" s="29"/>
      <c r="RWH105" s="29"/>
      <c r="RWI105" s="29"/>
      <c r="RWJ105" s="29"/>
      <c r="RWK105" s="29"/>
      <c r="RWL105" s="29"/>
      <c r="RWM105" s="29"/>
      <c r="RWN105" s="29"/>
      <c r="RWO105" s="29"/>
      <c r="RWP105" s="29"/>
      <c r="RWQ105" s="29"/>
      <c r="RWR105" s="29"/>
      <c r="RWS105" s="29"/>
      <c r="RWT105" s="29"/>
      <c r="RWU105" s="29"/>
      <c r="RWV105" s="29"/>
      <c r="RWW105" s="29"/>
      <c r="RWX105" s="29"/>
      <c r="RWY105" s="29"/>
      <c r="RWZ105" s="29"/>
      <c r="RXA105" s="29"/>
      <c r="RXB105" s="29"/>
      <c r="RXC105" s="29"/>
      <c r="RXD105" s="29"/>
      <c r="RXE105" s="29"/>
      <c r="RXF105" s="29"/>
      <c r="RXG105" s="29"/>
      <c r="RXH105" s="29"/>
      <c r="RXI105" s="29"/>
      <c r="RXJ105" s="29"/>
      <c r="RXK105" s="29"/>
      <c r="RXL105" s="29"/>
      <c r="RXM105" s="29"/>
      <c r="RXN105" s="29"/>
      <c r="RXO105" s="29"/>
      <c r="RXP105" s="29"/>
      <c r="RXQ105" s="29"/>
      <c r="RXR105" s="29"/>
      <c r="RXS105" s="29"/>
      <c r="RXT105" s="29"/>
      <c r="RXU105" s="29"/>
      <c r="RXV105" s="29"/>
      <c r="RXW105" s="29"/>
      <c r="RXX105" s="29"/>
      <c r="RXY105" s="29"/>
      <c r="RXZ105" s="29"/>
      <c r="RYA105" s="29"/>
      <c r="RYB105" s="29"/>
      <c r="RYC105" s="29"/>
      <c r="RYD105" s="29"/>
      <c r="RYE105" s="29"/>
      <c r="RYF105" s="29"/>
      <c r="RYG105" s="29"/>
      <c r="RYH105" s="29"/>
      <c r="RYI105" s="29"/>
      <c r="RYJ105" s="29"/>
      <c r="RYK105" s="29"/>
      <c r="RYL105" s="29"/>
      <c r="RYM105" s="29"/>
      <c r="RYN105" s="29"/>
      <c r="RYO105" s="29"/>
      <c r="RYP105" s="29"/>
      <c r="RYQ105" s="29"/>
      <c r="RYR105" s="29"/>
      <c r="RYS105" s="29"/>
      <c r="RYT105" s="29"/>
      <c r="RYU105" s="29"/>
      <c r="RYV105" s="29"/>
      <c r="RYW105" s="29"/>
      <c r="RYX105" s="29"/>
      <c r="RYY105" s="29"/>
      <c r="RYZ105" s="29"/>
      <c r="RZA105" s="29"/>
      <c r="RZB105" s="29"/>
      <c r="RZC105" s="29"/>
      <c r="RZD105" s="29"/>
      <c r="RZE105" s="29"/>
      <c r="RZF105" s="29"/>
      <c r="RZG105" s="29"/>
      <c r="RZH105" s="29"/>
      <c r="RZI105" s="29"/>
      <c r="RZJ105" s="29"/>
      <c r="RZK105" s="29"/>
      <c r="RZL105" s="29"/>
      <c r="RZM105" s="29"/>
      <c r="RZN105" s="29"/>
      <c r="RZO105" s="29"/>
      <c r="RZP105" s="29"/>
      <c r="RZQ105" s="29"/>
      <c r="RZR105" s="29"/>
      <c r="RZS105" s="29"/>
      <c r="RZT105" s="29"/>
      <c r="RZU105" s="29"/>
      <c r="RZV105" s="29"/>
      <c r="RZW105" s="29"/>
      <c r="RZX105" s="29"/>
      <c r="RZY105" s="29"/>
      <c r="RZZ105" s="29"/>
      <c r="SAA105" s="29"/>
      <c r="SAB105" s="29"/>
      <c r="SAC105" s="29"/>
      <c r="SAD105" s="29"/>
      <c r="SAE105" s="29"/>
      <c r="SAF105" s="29"/>
      <c r="SAG105" s="29"/>
      <c r="SAH105" s="29"/>
      <c r="SAI105" s="29"/>
      <c r="SAJ105" s="29"/>
      <c r="SAK105" s="29"/>
      <c r="SAL105" s="29"/>
      <c r="SAM105" s="29"/>
      <c r="SAN105" s="29"/>
      <c r="SAO105" s="29"/>
      <c r="SAP105" s="29"/>
      <c r="SAQ105" s="29"/>
      <c r="SAR105" s="29"/>
      <c r="SAS105" s="29"/>
      <c r="SAT105" s="29"/>
      <c r="SAU105" s="29"/>
      <c r="SAV105" s="29"/>
      <c r="SAW105" s="29"/>
      <c r="SAX105" s="29"/>
      <c r="SAY105" s="29"/>
      <c r="SAZ105" s="29"/>
      <c r="SBA105" s="29"/>
      <c r="SBB105" s="29"/>
      <c r="SBC105" s="29"/>
      <c r="SBD105" s="29"/>
      <c r="SBE105" s="29"/>
      <c r="SBF105" s="29"/>
      <c r="SBG105" s="29"/>
      <c r="SBH105" s="29"/>
      <c r="SBI105" s="29"/>
      <c r="SBJ105" s="29"/>
      <c r="SBK105" s="29"/>
      <c r="SBL105" s="29"/>
      <c r="SBM105" s="29"/>
      <c r="SBN105" s="29"/>
      <c r="SBO105" s="29"/>
      <c r="SBP105" s="29"/>
      <c r="SBQ105" s="29"/>
      <c r="SBR105" s="29"/>
      <c r="SBS105" s="29"/>
      <c r="SBT105" s="29"/>
      <c r="SBU105" s="29"/>
      <c r="SBV105" s="29"/>
      <c r="SBW105" s="29"/>
      <c r="SBX105" s="29"/>
      <c r="SBY105" s="29"/>
      <c r="SBZ105" s="29"/>
      <c r="SCA105" s="29"/>
      <c r="SCB105" s="29"/>
      <c r="SCC105" s="29"/>
      <c r="SCD105" s="29"/>
      <c r="SCE105" s="29"/>
      <c r="SCF105" s="29"/>
      <c r="SCG105" s="29"/>
      <c r="SCH105" s="29"/>
      <c r="SCI105" s="29"/>
      <c r="SCJ105" s="29"/>
      <c r="SCK105" s="29"/>
      <c r="SCL105" s="29"/>
      <c r="SCM105" s="29"/>
      <c r="SCN105" s="29"/>
      <c r="SCO105" s="29"/>
      <c r="SCP105" s="29"/>
      <c r="SCQ105" s="29"/>
      <c r="SCR105" s="29"/>
      <c r="SCS105" s="29"/>
      <c r="SCT105" s="29"/>
      <c r="SCU105" s="29"/>
      <c r="SCV105" s="29"/>
      <c r="SCW105" s="29"/>
      <c r="SCX105" s="29"/>
      <c r="SCY105" s="29"/>
      <c r="SCZ105" s="29"/>
      <c r="SDA105" s="29"/>
      <c r="SDB105" s="29"/>
      <c r="SDC105" s="29"/>
      <c r="SDD105" s="29"/>
      <c r="SDE105" s="29"/>
      <c r="SDF105" s="29"/>
      <c r="SDG105" s="29"/>
      <c r="SDH105" s="29"/>
      <c r="SDI105" s="29"/>
      <c r="SDJ105" s="29"/>
      <c r="SDK105" s="29"/>
      <c r="SDL105" s="29"/>
      <c r="SDM105" s="29"/>
      <c r="SDN105" s="29"/>
      <c r="SDO105" s="29"/>
      <c r="SDP105" s="29"/>
      <c r="SDQ105" s="29"/>
      <c r="SDR105" s="29"/>
      <c r="SDS105" s="29"/>
      <c r="SDT105" s="29"/>
      <c r="SDU105" s="29"/>
      <c r="SDV105" s="29"/>
      <c r="SDW105" s="29"/>
      <c r="SDX105" s="29"/>
      <c r="SDY105" s="29"/>
      <c r="SDZ105" s="29"/>
      <c r="SEA105" s="29"/>
      <c r="SEB105" s="29"/>
      <c r="SEC105" s="29"/>
      <c r="SED105" s="29"/>
      <c r="SEE105" s="29"/>
      <c r="SEF105" s="29"/>
      <c r="SEG105" s="29"/>
      <c r="SEH105" s="29"/>
      <c r="SEI105" s="29"/>
      <c r="SEJ105" s="29"/>
      <c r="SEK105" s="29"/>
      <c r="SEL105" s="29"/>
      <c r="SEM105" s="29"/>
      <c r="SEN105" s="29"/>
      <c r="SEO105" s="29"/>
      <c r="SEP105" s="29"/>
      <c r="SEQ105" s="29"/>
      <c r="SER105" s="29"/>
      <c r="SES105" s="29"/>
      <c r="SET105" s="29"/>
      <c r="SEU105" s="29"/>
      <c r="SEV105" s="29"/>
      <c r="SEW105" s="29"/>
      <c r="SEX105" s="29"/>
      <c r="SEY105" s="29"/>
      <c r="SEZ105" s="29"/>
      <c r="SFA105" s="29"/>
      <c r="SFB105" s="29"/>
      <c r="SFC105" s="29"/>
      <c r="SFD105" s="29"/>
      <c r="SFE105" s="29"/>
      <c r="SFF105" s="29"/>
      <c r="SFG105" s="29"/>
      <c r="SFH105" s="29"/>
      <c r="SFI105" s="29"/>
      <c r="SFJ105" s="29"/>
      <c r="SFK105" s="29"/>
      <c r="SFL105" s="29"/>
      <c r="SFM105" s="29"/>
      <c r="SFN105" s="29"/>
      <c r="SFO105" s="29"/>
      <c r="SFP105" s="29"/>
      <c r="SFQ105" s="29"/>
      <c r="SFR105" s="29"/>
      <c r="SFS105" s="29"/>
      <c r="SFT105" s="29"/>
      <c r="SFU105" s="29"/>
      <c r="SFV105" s="29"/>
      <c r="SFW105" s="29"/>
      <c r="SFX105" s="29"/>
      <c r="SFY105" s="29"/>
      <c r="SFZ105" s="29"/>
      <c r="SGA105" s="29"/>
      <c r="SGB105" s="29"/>
      <c r="SGC105" s="29"/>
      <c r="SGD105" s="29"/>
      <c r="SGE105" s="29"/>
      <c r="SGF105" s="29"/>
      <c r="SGG105" s="29"/>
      <c r="SGH105" s="29"/>
      <c r="SGI105" s="29"/>
      <c r="SGJ105" s="29"/>
      <c r="SGK105" s="29"/>
      <c r="SGL105" s="29"/>
      <c r="SGM105" s="29"/>
      <c r="SGN105" s="29"/>
      <c r="SGO105" s="29"/>
      <c r="SGP105" s="29"/>
      <c r="SGQ105" s="29"/>
      <c r="SGR105" s="29"/>
      <c r="SGS105" s="29"/>
      <c r="SGT105" s="29"/>
      <c r="SGU105" s="29"/>
      <c r="SGV105" s="29"/>
      <c r="SGW105" s="29"/>
      <c r="SGX105" s="29"/>
      <c r="SGY105" s="29"/>
      <c r="SGZ105" s="29"/>
      <c r="SHA105" s="29"/>
      <c r="SHB105" s="29"/>
      <c r="SHC105" s="29"/>
      <c r="SHD105" s="29"/>
      <c r="SHE105" s="29"/>
      <c r="SHF105" s="29"/>
      <c r="SHG105" s="29"/>
      <c r="SHH105" s="29"/>
      <c r="SHI105" s="29"/>
      <c r="SHJ105" s="29"/>
      <c r="SHK105" s="29"/>
      <c r="SHL105" s="29"/>
      <c r="SHM105" s="29"/>
      <c r="SHN105" s="29"/>
      <c r="SHO105" s="29"/>
      <c r="SHP105" s="29"/>
      <c r="SHQ105" s="29"/>
      <c r="SHR105" s="29"/>
      <c r="SHS105" s="29"/>
      <c r="SHT105" s="29"/>
      <c r="SHU105" s="29"/>
      <c r="SHV105" s="29"/>
      <c r="SHW105" s="29"/>
      <c r="SHX105" s="29"/>
      <c r="SHY105" s="29"/>
      <c r="SHZ105" s="29"/>
      <c r="SIA105" s="29"/>
      <c r="SIB105" s="29"/>
      <c r="SIC105" s="29"/>
      <c r="SID105" s="29"/>
      <c r="SIE105" s="29"/>
      <c r="SIF105" s="29"/>
      <c r="SIG105" s="29"/>
      <c r="SIH105" s="29"/>
      <c r="SII105" s="29"/>
      <c r="SIJ105" s="29"/>
      <c r="SIK105" s="29"/>
      <c r="SIL105" s="29"/>
      <c r="SIM105" s="29"/>
      <c r="SIN105" s="29"/>
      <c r="SIO105" s="29"/>
      <c r="SIP105" s="29"/>
      <c r="SIQ105" s="29"/>
      <c r="SIR105" s="29"/>
      <c r="SIS105" s="29"/>
      <c r="SIT105" s="29"/>
      <c r="SIU105" s="29"/>
      <c r="SIV105" s="29"/>
      <c r="SIW105" s="29"/>
      <c r="SIX105" s="29"/>
      <c r="SIY105" s="29"/>
      <c r="SIZ105" s="29"/>
      <c r="SJA105" s="29"/>
      <c r="SJB105" s="29"/>
      <c r="SJC105" s="29"/>
      <c r="SJD105" s="29"/>
      <c r="SJE105" s="29"/>
      <c r="SJF105" s="29"/>
      <c r="SJG105" s="29"/>
      <c r="SJH105" s="29"/>
      <c r="SJI105" s="29"/>
      <c r="SJJ105" s="29"/>
      <c r="SJK105" s="29"/>
      <c r="SJL105" s="29"/>
      <c r="SJM105" s="29"/>
      <c r="SJN105" s="29"/>
      <c r="SJO105" s="29"/>
      <c r="SJP105" s="29"/>
      <c r="SJQ105" s="29"/>
      <c r="SJR105" s="29"/>
      <c r="SJS105" s="29"/>
      <c r="SJT105" s="29"/>
      <c r="SJU105" s="29"/>
      <c r="SJV105" s="29"/>
      <c r="SJW105" s="29"/>
      <c r="SJX105" s="29"/>
      <c r="SJY105" s="29"/>
      <c r="SJZ105" s="29"/>
      <c r="SKA105" s="29"/>
      <c r="SKB105" s="29"/>
      <c r="SKC105" s="29"/>
      <c r="SKD105" s="29"/>
      <c r="SKE105" s="29"/>
      <c r="SKF105" s="29"/>
      <c r="SKG105" s="29"/>
      <c r="SKH105" s="29"/>
      <c r="SKI105" s="29"/>
      <c r="SKJ105" s="29"/>
      <c r="SKK105" s="29"/>
      <c r="SKL105" s="29"/>
      <c r="SKM105" s="29"/>
      <c r="SKN105" s="29"/>
      <c r="SKO105" s="29"/>
      <c r="SKP105" s="29"/>
      <c r="SKQ105" s="29"/>
      <c r="SKR105" s="29"/>
      <c r="SKS105" s="29"/>
      <c r="SKT105" s="29"/>
      <c r="SKU105" s="29"/>
      <c r="SKV105" s="29"/>
      <c r="SKW105" s="29"/>
      <c r="SKX105" s="29"/>
      <c r="SKY105" s="29"/>
      <c r="SKZ105" s="29"/>
      <c r="SLA105" s="29"/>
      <c r="SLB105" s="29"/>
      <c r="SLC105" s="29"/>
      <c r="SLD105" s="29"/>
      <c r="SLE105" s="29"/>
      <c r="SLF105" s="29"/>
      <c r="SLG105" s="29"/>
      <c r="SLH105" s="29"/>
      <c r="SLI105" s="29"/>
      <c r="SLJ105" s="29"/>
      <c r="SLK105" s="29"/>
      <c r="SLL105" s="29"/>
      <c r="SLM105" s="29"/>
      <c r="SLN105" s="29"/>
      <c r="SLO105" s="29"/>
      <c r="SLP105" s="29"/>
      <c r="SLQ105" s="29"/>
      <c r="SLR105" s="29"/>
      <c r="SLS105" s="29"/>
      <c r="SLT105" s="29"/>
      <c r="SLU105" s="29"/>
      <c r="SLV105" s="29"/>
      <c r="SLW105" s="29"/>
      <c r="SLX105" s="29"/>
      <c r="SLY105" s="29"/>
      <c r="SLZ105" s="29"/>
      <c r="SMA105" s="29"/>
      <c r="SMB105" s="29"/>
      <c r="SMC105" s="29"/>
      <c r="SMD105" s="29"/>
      <c r="SME105" s="29"/>
      <c r="SMF105" s="29"/>
      <c r="SMG105" s="29"/>
      <c r="SMH105" s="29"/>
      <c r="SMI105" s="29"/>
      <c r="SMJ105" s="29"/>
      <c r="SMK105" s="29"/>
      <c r="SML105" s="29"/>
      <c r="SMM105" s="29"/>
      <c r="SMN105" s="29"/>
      <c r="SMO105" s="29"/>
      <c r="SMP105" s="29"/>
      <c r="SMQ105" s="29"/>
      <c r="SMR105" s="29"/>
      <c r="SMS105" s="29"/>
      <c r="SMT105" s="29"/>
      <c r="SMU105" s="29"/>
      <c r="SMV105" s="29"/>
      <c r="SMW105" s="29"/>
      <c r="SMX105" s="29"/>
      <c r="SMY105" s="29"/>
      <c r="SMZ105" s="29"/>
      <c r="SNA105" s="29"/>
      <c r="SNB105" s="29"/>
      <c r="SNC105" s="29"/>
      <c r="SND105" s="29"/>
      <c r="SNE105" s="29"/>
      <c r="SNF105" s="29"/>
      <c r="SNG105" s="29"/>
      <c r="SNH105" s="29"/>
      <c r="SNI105" s="29"/>
      <c r="SNJ105" s="29"/>
      <c r="SNK105" s="29"/>
      <c r="SNL105" s="29"/>
      <c r="SNM105" s="29"/>
      <c r="SNN105" s="29"/>
      <c r="SNO105" s="29"/>
      <c r="SNP105" s="29"/>
      <c r="SNQ105" s="29"/>
      <c r="SNR105" s="29"/>
      <c r="SNS105" s="29"/>
      <c r="SNT105" s="29"/>
      <c r="SNU105" s="29"/>
      <c r="SNV105" s="29"/>
      <c r="SNW105" s="29"/>
      <c r="SNX105" s="29"/>
      <c r="SNY105" s="29"/>
      <c r="SNZ105" s="29"/>
      <c r="SOA105" s="29"/>
      <c r="SOB105" s="29"/>
      <c r="SOC105" s="29"/>
      <c r="SOD105" s="29"/>
      <c r="SOE105" s="29"/>
      <c r="SOF105" s="29"/>
      <c r="SOG105" s="29"/>
      <c r="SOH105" s="29"/>
      <c r="SOI105" s="29"/>
      <c r="SOJ105" s="29"/>
      <c r="SOK105" s="29"/>
      <c r="SOL105" s="29"/>
      <c r="SOM105" s="29"/>
      <c r="SON105" s="29"/>
      <c r="SOO105" s="29"/>
      <c r="SOP105" s="29"/>
      <c r="SOQ105" s="29"/>
      <c r="SOR105" s="29"/>
      <c r="SOS105" s="29"/>
      <c r="SOT105" s="29"/>
      <c r="SOU105" s="29"/>
      <c r="SOV105" s="29"/>
      <c r="SOW105" s="29"/>
      <c r="SOX105" s="29"/>
      <c r="SOY105" s="29"/>
      <c r="SOZ105" s="29"/>
      <c r="SPA105" s="29"/>
      <c r="SPB105" s="29"/>
      <c r="SPC105" s="29"/>
      <c r="SPD105" s="29"/>
      <c r="SPE105" s="29"/>
      <c r="SPF105" s="29"/>
      <c r="SPG105" s="29"/>
      <c r="SPH105" s="29"/>
      <c r="SPI105" s="29"/>
      <c r="SPJ105" s="29"/>
      <c r="SPK105" s="29"/>
      <c r="SPL105" s="29"/>
      <c r="SPM105" s="29"/>
      <c r="SPN105" s="29"/>
      <c r="SPO105" s="29"/>
      <c r="SPP105" s="29"/>
      <c r="SPQ105" s="29"/>
      <c r="SPR105" s="29"/>
      <c r="SPS105" s="29"/>
      <c r="SPT105" s="29"/>
      <c r="SPU105" s="29"/>
      <c r="SPV105" s="29"/>
      <c r="SPW105" s="29"/>
      <c r="SPX105" s="29"/>
      <c r="SPY105" s="29"/>
      <c r="SPZ105" s="29"/>
      <c r="SQA105" s="29"/>
      <c r="SQB105" s="29"/>
      <c r="SQC105" s="29"/>
      <c r="SQD105" s="29"/>
      <c r="SQE105" s="29"/>
      <c r="SQF105" s="29"/>
      <c r="SQG105" s="29"/>
      <c r="SQH105" s="29"/>
      <c r="SQI105" s="29"/>
      <c r="SQJ105" s="29"/>
      <c r="SQK105" s="29"/>
      <c r="SQL105" s="29"/>
      <c r="SQM105" s="29"/>
      <c r="SQN105" s="29"/>
      <c r="SQO105" s="29"/>
      <c r="SQP105" s="29"/>
      <c r="SQQ105" s="29"/>
      <c r="SQR105" s="29"/>
      <c r="SQS105" s="29"/>
      <c r="SQT105" s="29"/>
      <c r="SQU105" s="29"/>
      <c r="SQV105" s="29"/>
      <c r="SQW105" s="29"/>
      <c r="SQX105" s="29"/>
      <c r="SQY105" s="29"/>
      <c r="SQZ105" s="29"/>
      <c r="SRA105" s="29"/>
      <c r="SRB105" s="29"/>
      <c r="SRC105" s="29"/>
      <c r="SRD105" s="29"/>
      <c r="SRE105" s="29"/>
      <c r="SRF105" s="29"/>
      <c r="SRG105" s="29"/>
      <c r="SRH105" s="29"/>
      <c r="SRI105" s="29"/>
      <c r="SRJ105" s="29"/>
      <c r="SRK105" s="29"/>
      <c r="SRL105" s="29"/>
      <c r="SRM105" s="29"/>
      <c r="SRN105" s="29"/>
      <c r="SRO105" s="29"/>
      <c r="SRP105" s="29"/>
      <c r="SRQ105" s="29"/>
      <c r="SRR105" s="29"/>
      <c r="SRS105" s="29"/>
      <c r="SRT105" s="29"/>
      <c r="SRU105" s="29"/>
      <c r="SRV105" s="29"/>
      <c r="SRW105" s="29"/>
      <c r="SRX105" s="29"/>
      <c r="SRY105" s="29"/>
      <c r="SRZ105" s="29"/>
      <c r="SSA105" s="29"/>
      <c r="SSB105" s="29"/>
      <c r="SSC105" s="29"/>
      <c r="SSD105" s="29"/>
      <c r="SSE105" s="29"/>
      <c r="SSF105" s="29"/>
      <c r="SSG105" s="29"/>
      <c r="SSH105" s="29"/>
      <c r="SSI105" s="29"/>
      <c r="SSJ105" s="29"/>
      <c r="SSK105" s="29"/>
      <c r="SSL105" s="29"/>
      <c r="SSM105" s="29"/>
      <c r="SSN105" s="29"/>
      <c r="SSO105" s="29"/>
      <c r="SSP105" s="29"/>
      <c r="SSQ105" s="29"/>
      <c r="SSR105" s="29"/>
      <c r="SSS105" s="29"/>
      <c r="SST105" s="29"/>
      <c r="SSU105" s="29"/>
      <c r="SSV105" s="29"/>
      <c r="SSW105" s="29"/>
      <c r="SSX105" s="29"/>
      <c r="SSY105" s="29"/>
      <c r="SSZ105" s="29"/>
      <c r="STA105" s="29"/>
      <c r="STB105" s="29"/>
      <c r="STC105" s="29"/>
      <c r="STD105" s="29"/>
      <c r="STE105" s="29"/>
      <c r="STF105" s="29"/>
      <c r="STG105" s="29"/>
      <c r="STH105" s="29"/>
      <c r="STI105" s="29"/>
      <c r="STJ105" s="29"/>
      <c r="STK105" s="29"/>
      <c r="STL105" s="29"/>
      <c r="STM105" s="29"/>
      <c r="STN105" s="29"/>
      <c r="STO105" s="29"/>
      <c r="STP105" s="29"/>
      <c r="STQ105" s="29"/>
      <c r="STR105" s="29"/>
      <c r="STS105" s="29"/>
      <c r="STT105" s="29"/>
      <c r="STU105" s="29"/>
      <c r="STV105" s="29"/>
      <c r="STW105" s="29"/>
      <c r="STX105" s="29"/>
      <c r="STY105" s="29"/>
      <c r="STZ105" s="29"/>
      <c r="SUA105" s="29"/>
      <c r="SUB105" s="29"/>
      <c r="SUC105" s="29"/>
      <c r="SUD105" s="29"/>
      <c r="SUE105" s="29"/>
      <c r="SUF105" s="29"/>
      <c r="SUG105" s="29"/>
      <c r="SUH105" s="29"/>
      <c r="SUI105" s="29"/>
      <c r="SUJ105" s="29"/>
      <c r="SUK105" s="29"/>
      <c r="SUL105" s="29"/>
      <c r="SUM105" s="29"/>
      <c r="SUN105" s="29"/>
      <c r="SUO105" s="29"/>
      <c r="SUP105" s="29"/>
      <c r="SUQ105" s="29"/>
      <c r="SUR105" s="29"/>
      <c r="SUS105" s="29"/>
      <c r="SUT105" s="29"/>
      <c r="SUU105" s="29"/>
      <c r="SUV105" s="29"/>
      <c r="SUW105" s="29"/>
      <c r="SUX105" s="29"/>
      <c r="SUY105" s="29"/>
      <c r="SUZ105" s="29"/>
      <c r="SVA105" s="29"/>
      <c r="SVB105" s="29"/>
      <c r="SVC105" s="29"/>
      <c r="SVD105" s="29"/>
      <c r="SVE105" s="29"/>
      <c r="SVF105" s="29"/>
      <c r="SVG105" s="29"/>
      <c r="SVH105" s="29"/>
      <c r="SVI105" s="29"/>
      <c r="SVJ105" s="29"/>
      <c r="SVK105" s="29"/>
      <c r="SVL105" s="29"/>
      <c r="SVM105" s="29"/>
      <c r="SVN105" s="29"/>
      <c r="SVO105" s="29"/>
      <c r="SVP105" s="29"/>
      <c r="SVQ105" s="29"/>
      <c r="SVR105" s="29"/>
      <c r="SVS105" s="29"/>
      <c r="SVT105" s="29"/>
      <c r="SVU105" s="29"/>
      <c r="SVV105" s="29"/>
      <c r="SVW105" s="29"/>
      <c r="SVX105" s="29"/>
      <c r="SVY105" s="29"/>
      <c r="SVZ105" s="29"/>
      <c r="SWA105" s="29"/>
      <c r="SWB105" s="29"/>
      <c r="SWC105" s="29"/>
      <c r="SWD105" s="29"/>
      <c r="SWE105" s="29"/>
      <c r="SWF105" s="29"/>
      <c r="SWG105" s="29"/>
      <c r="SWH105" s="29"/>
      <c r="SWI105" s="29"/>
      <c r="SWJ105" s="29"/>
      <c r="SWK105" s="29"/>
      <c r="SWL105" s="29"/>
      <c r="SWM105" s="29"/>
      <c r="SWN105" s="29"/>
      <c r="SWO105" s="29"/>
      <c r="SWP105" s="29"/>
      <c r="SWQ105" s="29"/>
      <c r="SWR105" s="29"/>
      <c r="SWS105" s="29"/>
      <c r="SWT105" s="29"/>
      <c r="SWU105" s="29"/>
      <c r="SWV105" s="29"/>
      <c r="SWW105" s="29"/>
      <c r="SWX105" s="29"/>
      <c r="SWY105" s="29"/>
      <c r="SWZ105" s="29"/>
      <c r="SXA105" s="29"/>
      <c r="SXB105" s="29"/>
      <c r="SXC105" s="29"/>
      <c r="SXD105" s="29"/>
      <c r="SXE105" s="29"/>
      <c r="SXF105" s="29"/>
      <c r="SXG105" s="29"/>
      <c r="SXH105" s="29"/>
      <c r="SXI105" s="29"/>
      <c r="SXJ105" s="29"/>
      <c r="SXK105" s="29"/>
      <c r="SXL105" s="29"/>
      <c r="SXM105" s="29"/>
      <c r="SXN105" s="29"/>
      <c r="SXO105" s="29"/>
      <c r="SXP105" s="29"/>
      <c r="SXQ105" s="29"/>
      <c r="SXR105" s="29"/>
      <c r="SXS105" s="29"/>
      <c r="SXT105" s="29"/>
      <c r="SXU105" s="29"/>
      <c r="SXV105" s="29"/>
      <c r="SXW105" s="29"/>
      <c r="SXX105" s="29"/>
      <c r="SXY105" s="29"/>
      <c r="SXZ105" s="29"/>
      <c r="SYA105" s="29"/>
      <c r="SYB105" s="29"/>
      <c r="SYC105" s="29"/>
      <c r="SYD105" s="29"/>
      <c r="SYE105" s="29"/>
      <c r="SYF105" s="29"/>
      <c r="SYG105" s="29"/>
      <c r="SYH105" s="29"/>
      <c r="SYI105" s="29"/>
      <c r="SYJ105" s="29"/>
      <c r="SYK105" s="29"/>
      <c r="SYL105" s="29"/>
      <c r="SYM105" s="29"/>
      <c r="SYN105" s="29"/>
      <c r="SYO105" s="29"/>
      <c r="SYP105" s="29"/>
      <c r="SYQ105" s="29"/>
      <c r="SYR105" s="29"/>
      <c r="SYS105" s="29"/>
      <c r="SYT105" s="29"/>
      <c r="SYU105" s="29"/>
      <c r="SYV105" s="29"/>
      <c r="SYW105" s="29"/>
      <c r="SYX105" s="29"/>
      <c r="SYY105" s="29"/>
      <c r="SYZ105" s="29"/>
      <c r="SZA105" s="29"/>
      <c r="SZB105" s="29"/>
      <c r="SZC105" s="29"/>
      <c r="SZD105" s="29"/>
      <c r="SZE105" s="29"/>
      <c r="SZF105" s="29"/>
      <c r="SZG105" s="29"/>
      <c r="SZH105" s="29"/>
      <c r="SZI105" s="29"/>
      <c r="SZJ105" s="29"/>
      <c r="SZK105" s="29"/>
      <c r="SZL105" s="29"/>
      <c r="SZM105" s="29"/>
      <c r="SZN105" s="29"/>
      <c r="SZO105" s="29"/>
      <c r="SZP105" s="29"/>
      <c r="SZQ105" s="29"/>
      <c r="SZR105" s="29"/>
      <c r="SZS105" s="29"/>
      <c r="SZT105" s="29"/>
      <c r="SZU105" s="29"/>
      <c r="SZV105" s="29"/>
      <c r="SZW105" s="29"/>
      <c r="SZX105" s="29"/>
      <c r="SZY105" s="29"/>
      <c r="SZZ105" s="29"/>
      <c r="TAA105" s="29"/>
      <c r="TAB105" s="29"/>
      <c r="TAC105" s="29"/>
      <c r="TAD105" s="29"/>
      <c r="TAE105" s="29"/>
      <c r="TAF105" s="29"/>
      <c r="TAG105" s="29"/>
      <c r="TAH105" s="29"/>
      <c r="TAI105" s="29"/>
      <c r="TAJ105" s="29"/>
      <c r="TAK105" s="29"/>
      <c r="TAL105" s="29"/>
      <c r="TAM105" s="29"/>
      <c r="TAN105" s="29"/>
      <c r="TAO105" s="29"/>
      <c r="TAP105" s="29"/>
      <c r="TAQ105" s="29"/>
      <c r="TAR105" s="29"/>
      <c r="TAS105" s="29"/>
      <c r="TAT105" s="29"/>
      <c r="TAU105" s="29"/>
      <c r="TAV105" s="29"/>
      <c r="TAW105" s="29"/>
      <c r="TAX105" s="29"/>
      <c r="TAY105" s="29"/>
      <c r="TAZ105" s="29"/>
      <c r="TBA105" s="29"/>
      <c r="TBB105" s="29"/>
      <c r="TBC105" s="29"/>
      <c r="TBD105" s="29"/>
      <c r="TBE105" s="29"/>
      <c r="TBF105" s="29"/>
      <c r="TBG105" s="29"/>
      <c r="TBH105" s="29"/>
      <c r="TBI105" s="29"/>
      <c r="TBJ105" s="29"/>
      <c r="TBK105" s="29"/>
      <c r="TBL105" s="29"/>
      <c r="TBM105" s="29"/>
      <c r="TBN105" s="29"/>
      <c r="TBO105" s="29"/>
      <c r="TBP105" s="29"/>
      <c r="TBQ105" s="29"/>
      <c r="TBR105" s="29"/>
      <c r="TBS105" s="29"/>
      <c r="TBT105" s="29"/>
      <c r="TBU105" s="29"/>
      <c r="TBV105" s="29"/>
      <c r="TBW105" s="29"/>
      <c r="TBX105" s="29"/>
      <c r="TBY105" s="29"/>
      <c r="TBZ105" s="29"/>
      <c r="TCA105" s="29"/>
      <c r="TCB105" s="29"/>
      <c r="TCC105" s="29"/>
      <c r="TCD105" s="29"/>
      <c r="TCE105" s="29"/>
      <c r="TCF105" s="29"/>
      <c r="TCG105" s="29"/>
      <c r="TCH105" s="29"/>
      <c r="TCI105" s="29"/>
      <c r="TCJ105" s="29"/>
      <c r="TCK105" s="29"/>
      <c r="TCL105" s="29"/>
      <c r="TCM105" s="29"/>
      <c r="TCN105" s="29"/>
      <c r="TCO105" s="29"/>
      <c r="TCP105" s="29"/>
      <c r="TCQ105" s="29"/>
      <c r="TCR105" s="29"/>
      <c r="TCS105" s="29"/>
      <c r="TCT105" s="29"/>
      <c r="TCU105" s="29"/>
      <c r="TCV105" s="29"/>
      <c r="TCW105" s="29"/>
      <c r="TCX105" s="29"/>
      <c r="TCY105" s="29"/>
      <c r="TCZ105" s="29"/>
      <c r="TDA105" s="29"/>
      <c r="TDB105" s="29"/>
      <c r="TDC105" s="29"/>
      <c r="TDD105" s="29"/>
      <c r="TDE105" s="29"/>
      <c r="TDF105" s="29"/>
      <c r="TDG105" s="29"/>
      <c r="TDH105" s="29"/>
      <c r="TDI105" s="29"/>
      <c r="TDJ105" s="29"/>
      <c r="TDK105" s="29"/>
      <c r="TDL105" s="29"/>
      <c r="TDM105" s="29"/>
      <c r="TDN105" s="29"/>
      <c r="TDO105" s="29"/>
      <c r="TDP105" s="29"/>
      <c r="TDQ105" s="29"/>
      <c r="TDR105" s="29"/>
      <c r="TDS105" s="29"/>
      <c r="TDT105" s="29"/>
      <c r="TDU105" s="29"/>
      <c r="TDV105" s="29"/>
      <c r="TDW105" s="29"/>
      <c r="TDX105" s="29"/>
      <c r="TDY105" s="29"/>
      <c r="TDZ105" s="29"/>
      <c r="TEA105" s="29"/>
      <c r="TEB105" s="29"/>
      <c r="TEC105" s="29"/>
      <c r="TED105" s="29"/>
      <c r="TEE105" s="29"/>
      <c r="TEF105" s="29"/>
      <c r="TEG105" s="29"/>
      <c r="TEH105" s="29"/>
      <c r="TEI105" s="29"/>
      <c r="TEJ105" s="29"/>
      <c r="TEK105" s="29"/>
      <c r="TEL105" s="29"/>
      <c r="TEM105" s="29"/>
      <c r="TEN105" s="29"/>
      <c r="TEO105" s="29"/>
      <c r="TEP105" s="29"/>
      <c r="TEQ105" s="29"/>
      <c r="TER105" s="29"/>
      <c r="TES105" s="29"/>
      <c r="TET105" s="29"/>
      <c r="TEU105" s="29"/>
      <c r="TEV105" s="29"/>
      <c r="TEW105" s="29"/>
      <c r="TEX105" s="29"/>
      <c r="TEY105" s="29"/>
      <c r="TEZ105" s="29"/>
      <c r="TFA105" s="29"/>
      <c r="TFB105" s="29"/>
      <c r="TFC105" s="29"/>
      <c r="TFD105" s="29"/>
      <c r="TFE105" s="29"/>
      <c r="TFF105" s="29"/>
      <c r="TFG105" s="29"/>
      <c r="TFH105" s="29"/>
      <c r="TFI105" s="29"/>
      <c r="TFJ105" s="29"/>
      <c r="TFK105" s="29"/>
      <c r="TFL105" s="29"/>
      <c r="TFM105" s="29"/>
      <c r="TFN105" s="29"/>
      <c r="TFO105" s="29"/>
      <c r="TFP105" s="29"/>
      <c r="TFQ105" s="29"/>
      <c r="TFR105" s="29"/>
      <c r="TFS105" s="29"/>
      <c r="TFT105" s="29"/>
      <c r="TFU105" s="29"/>
      <c r="TFV105" s="29"/>
      <c r="TFW105" s="29"/>
      <c r="TFX105" s="29"/>
      <c r="TFY105" s="29"/>
      <c r="TFZ105" s="29"/>
      <c r="TGA105" s="29"/>
      <c r="TGB105" s="29"/>
      <c r="TGC105" s="29"/>
      <c r="TGD105" s="29"/>
      <c r="TGE105" s="29"/>
      <c r="TGF105" s="29"/>
      <c r="TGG105" s="29"/>
      <c r="TGH105" s="29"/>
      <c r="TGI105" s="29"/>
      <c r="TGJ105" s="29"/>
      <c r="TGK105" s="29"/>
      <c r="TGL105" s="29"/>
      <c r="TGM105" s="29"/>
      <c r="TGN105" s="29"/>
      <c r="TGO105" s="29"/>
      <c r="TGP105" s="29"/>
      <c r="TGQ105" s="29"/>
      <c r="TGR105" s="29"/>
      <c r="TGS105" s="29"/>
      <c r="TGT105" s="29"/>
      <c r="TGU105" s="29"/>
      <c r="TGV105" s="29"/>
      <c r="TGW105" s="29"/>
      <c r="TGX105" s="29"/>
      <c r="TGY105" s="29"/>
      <c r="TGZ105" s="29"/>
      <c r="THA105" s="29"/>
      <c r="THB105" s="29"/>
      <c r="THC105" s="29"/>
      <c r="THD105" s="29"/>
      <c r="THE105" s="29"/>
      <c r="THF105" s="29"/>
      <c r="THG105" s="29"/>
      <c r="THH105" s="29"/>
      <c r="THI105" s="29"/>
      <c r="THJ105" s="29"/>
      <c r="THK105" s="29"/>
      <c r="THL105" s="29"/>
      <c r="THM105" s="29"/>
      <c r="THN105" s="29"/>
      <c r="THO105" s="29"/>
      <c r="THP105" s="29"/>
      <c r="THQ105" s="29"/>
      <c r="THR105" s="29"/>
      <c r="THS105" s="29"/>
      <c r="THT105" s="29"/>
      <c r="THU105" s="29"/>
      <c r="THV105" s="29"/>
      <c r="THW105" s="29"/>
      <c r="THX105" s="29"/>
      <c r="THY105" s="29"/>
      <c r="THZ105" s="29"/>
      <c r="TIA105" s="29"/>
      <c r="TIB105" s="29"/>
      <c r="TIC105" s="29"/>
      <c r="TID105" s="29"/>
      <c r="TIE105" s="29"/>
      <c r="TIF105" s="29"/>
      <c r="TIG105" s="29"/>
      <c r="TIH105" s="29"/>
      <c r="TII105" s="29"/>
      <c r="TIJ105" s="29"/>
      <c r="TIK105" s="29"/>
      <c r="TIL105" s="29"/>
      <c r="TIM105" s="29"/>
      <c r="TIN105" s="29"/>
      <c r="TIO105" s="29"/>
      <c r="TIP105" s="29"/>
      <c r="TIQ105" s="29"/>
      <c r="TIR105" s="29"/>
      <c r="TIS105" s="29"/>
      <c r="TIT105" s="29"/>
      <c r="TIU105" s="29"/>
      <c r="TIV105" s="29"/>
      <c r="TIW105" s="29"/>
      <c r="TIX105" s="29"/>
      <c r="TIY105" s="29"/>
      <c r="TIZ105" s="29"/>
      <c r="TJA105" s="29"/>
      <c r="TJB105" s="29"/>
      <c r="TJC105" s="29"/>
      <c r="TJD105" s="29"/>
      <c r="TJE105" s="29"/>
      <c r="TJF105" s="29"/>
      <c r="TJG105" s="29"/>
      <c r="TJH105" s="29"/>
      <c r="TJI105" s="29"/>
      <c r="TJJ105" s="29"/>
      <c r="TJK105" s="29"/>
      <c r="TJL105" s="29"/>
      <c r="TJM105" s="29"/>
      <c r="TJN105" s="29"/>
      <c r="TJO105" s="29"/>
      <c r="TJP105" s="29"/>
      <c r="TJQ105" s="29"/>
      <c r="TJR105" s="29"/>
      <c r="TJS105" s="29"/>
      <c r="TJT105" s="29"/>
      <c r="TJU105" s="29"/>
      <c r="TJV105" s="29"/>
      <c r="TJW105" s="29"/>
      <c r="TJX105" s="29"/>
      <c r="TJY105" s="29"/>
      <c r="TJZ105" s="29"/>
      <c r="TKA105" s="29"/>
      <c r="TKB105" s="29"/>
      <c r="TKC105" s="29"/>
      <c r="TKD105" s="29"/>
      <c r="TKE105" s="29"/>
      <c r="TKF105" s="29"/>
      <c r="TKG105" s="29"/>
      <c r="TKH105" s="29"/>
      <c r="TKI105" s="29"/>
      <c r="TKJ105" s="29"/>
      <c r="TKK105" s="29"/>
      <c r="TKL105" s="29"/>
      <c r="TKM105" s="29"/>
      <c r="TKN105" s="29"/>
      <c r="TKO105" s="29"/>
      <c r="TKP105" s="29"/>
      <c r="TKQ105" s="29"/>
      <c r="TKR105" s="29"/>
      <c r="TKS105" s="29"/>
      <c r="TKT105" s="29"/>
      <c r="TKU105" s="29"/>
      <c r="TKV105" s="29"/>
      <c r="TKW105" s="29"/>
      <c r="TKX105" s="29"/>
      <c r="TKY105" s="29"/>
      <c r="TKZ105" s="29"/>
      <c r="TLA105" s="29"/>
      <c r="TLB105" s="29"/>
      <c r="TLC105" s="29"/>
      <c r="TLD105" s="29"/>
      <c r="TLE105" s="29"/>
      <c r="TLF105" s="29"/>
      <c r="TLG105" s="29"/>
      <c r="TLH105" s="29"/>
      <c r="TLI105" s="29"/>
      <c r="TLJ105" s="29"/>
      <c r="TLK105" s="29"/>
      <c r="TLL105" s="29"/>
      <c r="TLM105" s="29"/>
      <c r="TLN105" s="29"/>
      <c r="TLO105" s="29"/>
      <c r="TLP105" s="29"/>
      <c r="TLQ105" s="29"/>
      <c r="TLR105" s="29"/>
      <c r="TLS105" s="29"/>
      <c r="TLT105" s="29"/>
      <c r="TLU105" s="29"/>
      <c r="TLV105" s="29"/>
      <c r="TLW105" s="29"/>
      <c r="TLX105" s="29"/>
      <c r="TLY105" s="29"/>
      <c r="TLZ105" s="29"/>
      <c r="TMA105" s="29"/>
      <c r="TMB105" s="29"/>
      <c r="TMC105" s="29"/>
      <c r="TMD105" s="29"/>
      <c r="TME105" s="29"/>
      <c r="TMF105" s="29"/>
      <c r="TMG105" s="29"/>
      <c r="TMH105" s="29"/>
      <c r="TMI105" s="29"/>
      <c r="TMJ105" s="29"/>
      <c r="TMK105" s="29"/>
      <c r="TML105" s="29"/>
      <c r="TMM105" s="29"/>
      <c r="TMN105" s="29"/>
      <c r="TMO105" s="29"/>
      <c r="TMP105" s="29"/>
      <c r="TMQ105" s="29"/>
      <c r="TMR105" s="29"/>
      <c r="TMS105" s="29"/>
      <c r="TMT105" s="29"/>
      <c r="TMU105" s="29"/>
      <c r="TMV105" s="29"/>
      <c r="TMW105" s="29"/>
      <c r="TMX105" s="29"/>
      <c r="TMY105" s="29"/>
      <c r="TMZ105" s="29"/>
      <c r="TNA105" s="29"/>
      <c r="TNB105" s="29"/>
      <c r="TNC105" s="29"/>
      <c r="TND105" s="29"/>
      <c r="TNE105" s="29"/>
      <c r="TNF105" s="29"/>
      <c r="TNG105" s="29"/>
      <c r="TNH105" s="29"/>
      <c r="TNI105" s="29"/>
      <c r="TNJ105" s="29"/>
      <c r="TNK105" s="29"/>
      <c r="TNL105" s="29"/>
      <c r="TNM105" s="29"/>
      <c r="TNN105" s="29"/>
      <c r="TNO105" s="29"/>
      <c r="TNP105" s="29"/>
      <c r="TNQ105" s="29"/>
      <c r="TNR105" s="29"/>
      <c r="TNS105" s="29"/>
      <c r="TNT105" s="29"/>
      <c r="TNU105" s="29"/>
      <c r="TNV105" s="29"/>
      <c r="TNW105" s="29"/>
      <c r="TNX105" s="29"/>
      <c r="TNY105" s="29"/>
      <c r="TNZ105" s="29"/>
      <c r="TOA105" s="29"/>
      <c r="TOB105" s="29"/>
      <c r="TOC105" s="29"/>
      <c r="TOD105" s="29"/>
      <c r="TOE105" s="29"/>
      <c r="TOF105" s="29"/>
      <c r="TOG105" s="29"/>
      <c r="TOH105" s="29"/>
      <c r="TOI105" s="29"/>
      <c r="TOJ105" s="29"/>
      <c r="TOK105" s="29"/>
      <c r="TOL105" s="29"/>
      <c r="TOM105" s="29"/>
      <c r="TON105" s="29"/>
      <c r="TOO105" s="29"/>
      <c r="TOP105" s="29"/>
      <c r="TOQ105" s="29"/>
      <c r="TOR105" s="29"/>
      <c r="TOS105" s="29"/>
      <c r="TOT105" s="29"/>
      <c r="TOU105" s="29"/>
      <c r="TOV105" s="29"/>
      <c r="TOW105" s="29"/>
      <c r="TOX105" s="29"/>
      <c r="TOY105" s="29"/>
      <c r="TOZ105" s="29"/>
      <c r="TPA105" s="29"/>
      <c r="TPB105" s="29"/>
      <c r="TPC105" s="29"/>
      <c r="TPD105" s="29"/>
      <c r="TPE105" s="29"/>
      <c r="TPF105" s="29"/>
      <c r="TPG105" s="29"/>
      <c r="TPH105" s="29"/>
      <c r="TPI105" s="29"/>
      <c r="TPJ105" s="29"/>
      <c r="TPK105" s="29"/>
      <c r="TPL105" s="29"/>
      <c r="TPM105" s="29"/>
      <c r="TPN105" s="29"/>
      <c r="TPO105" s="29"/>
      <c r="TPP105" s="29"/>
      <c r="TPQ105" s="29"/>
      <c r="TPR105" s="29"/>
      <c r="TPS105" s="29"/>
      <c r="TPT105" s="29"/>
      <c r="TPU105" s="29"/>
      <c r="TPV105" s="29"/>
      <c r="TPW105" s="29"/>
      <c r="TPX105" s="29"/>
      <c r="TPY105" s="29"/>
      <c r="TPZ105" s="29"/>
      <c r="TQA105" s="29"/>
      <c r="TQB105" s="29"/>
      <c r="TQC105" s="29"/>
      <c r="TQD105" s="29"/>
      <c r="TQE105" s="29"/>
      <c r="TQF105" s="29"/>
      <c r="TQG105" s="29"/>
      <c r="TQH105" s="29"/>
      <c r="TQI105" s="29"/>
      <c r="TQJ105" s="29"/>
      <c r="TQK105" s="29"/>
      <c r="TQL105" s="29"/>
      <c r="TQM105" s="29"/>
      <c r="TQN105" s="29"/>
      <c r="TQO105" s="29"/>
      <c r="TQP105" s="29"/>
      <c r="TQQ105" s="29"/>
      <c r="TQR105" s="29"/>
      <c r="TQS105" s="29"/>
      <c r="TQT105" s="29"/>
      <c r="TQU105" s="29"/>
      <c r="TQV105" s="29"/>
      <c r="TQW105" s="29"/>
      <c r="TQX105" s="29"/>
      <c r="TQY105" s="29"/>
      <c r="TQZ105" s="29"/>
      <c r="TRA105" s="29"/>
      <c r="TRB105" s="29"/>
      <c r="TRC105" s="29"/>
      <c r="TRD105" s="29"/>
      <c r="TRE105" s="29"/>
      <c r="TRF105" s="29"/>
      <c r="TRG105" s="29"/>
      <c r="TRH105" s="29"/>
      <c r="TRI105" s="29"/>
      <c r="TRJ105" s="29"/>
      <c r="TRK105" s="29"/>
      <c r="TRL105" s="29"/>
      <c r="TRM105" s="29"/>
      <c r="TRN105" s="29"/>
      <c r="TRO105" s="29"/>
      <c r="TRP105" s="29"/>
      <c r="TRQ105" s="29"/>
      <c r="TRR105" s="29"/>
      <c r="TRS105" s="29"/>
      <c r="TRT105" s="29"/>
      <c r="TRU105" s="29"/>
      <c r="TRV105" s="29"/>
      <c r="TRW105" s="29"/>
      <c r="TRX105" s="29"/>
      <c r="TRY105" s="29"/>
      <c r="TRZ105" s="29"/>
      <c r="TSA105" s="29"/>
      <c r="TSB105" s="29"/>
      <c r="TSC105" s="29"/>
      <c r="TSD105" s="29"/>
      <c r="TSE105" s="29"/>
      <c r="TSF105" s="29"/>
      <c r="TSG105" s="29"/>
      <c r="TSH105" s="29"/>
      <c r="TSI105" s="29"/>
      <c r="TSJ105" s="29"/>
      <c r="TSK105" s="29"/>
      <c r="TSL105" s="29"/>
      <c r="TSM105" s="29"/>
      <c r="TSN105" s="29"/>
      <c r="TSO105" s="29"/>
      <c r="TSP105" s="29"/>
      <c r="TSQ105" s="29"/>
      <c r="TSR105" s="29"/>
      <c r="TSS105" s="29"/>
      <c r="TST105" s="29"/>
      <c r="TSU105" s="29"/>
      <c r="TSV105" s="29"/>
      <c r="TSW105" s="29"/>
      <c r="TSX105" s="29"/>
      <c r="TSY105" s="29"/>
      <c r="TSZ105" s="29"/>
      <c r="TTA105" s="29"/>
      <c r="TTB105" s="29"/>
      <c r="TTC105" s="29"/>
      <c r="TTD105" s="29"/>
      <c r="TTE105" s="29"/>
      <c r="TTF105" s="29"/>
      <c r="TTG105" s="29"/>
      <c r="TTH105" s="29"/>
      <c r="TTI105" s="29"/>
      <c r="TTJ105" s="29"/>
      <c r="TTK105" s="29"/>
      <c r="TTL105" s="29"/>
      <c r="TTM105" s="29"/>
      <c r="TTN105" s="29"/>
      <c r="TTO105" s="29"/>
      <c r="TTP105" s="29"/>
      <c r="TTQ105" s="29"/>
      <c r="TTR105" s="29"/>
      <c r="TTS105" s="29"/>
      <c r="TTT105" s="29"/>
      <c r="TTU105" s="29"/>
      <c r="TTV105" s="29"/>
      <c r="TTW105" s="29"/>
      <c r="TTX105" s="29"/>
      <c r="TTY105" s="29"/>
      <c r="TTZ105" s="29"/>
      <c r="TUA105" s="29"/>
      <c r="TUB105" s="29"/>
      <c r="TUC105" s="29"/>
      <c r="TUD105" s="29"/>
      <c r="TUE105" s="29"/>
      <c r="TUF105" s="29"/>
      <c r="TUG105" s="29"/>
      <c r="TUH105" s="29"/>
      <c r="TUI105" s="29"/>
      <c r="TUJ105" s="29"/>
      <c r="TUK105" s="29"/>
      <c r="TUL105" s="29"/>
      <c r="TUM105" s="29"/>
      <c r="TUN105" s="29"/>
      <c r="TUO105" s="29"/>
      <c r="TUP105" s="29"/>
      <c r="TUQ105" s="29"/>
      <c r="TUR105" s="29"/>
      <c r="TUS105" s="29"/>
      <c r="TUT105" s="29"/>
      <c r="TUU105" s="29"/>
      <c r="TUV105" s="29"/>
      <c r="TUW105" s="29"/>
      <c r="TUX105" s="29"/>
      <c r="TUY105" s="29"/>
      <c r="TUZ105" s="29"/>
      <c r="TVA105" s="29"/>
      <c r="TVB105" s="29"/>
      <c r="TVC105" s="29"/>
      <c r="TVD105" s="29"/>
      <c r="TVE105" s="29"/>
      <c r="TVF105" s="29"/>
      <c r="TVG105" s="29"/>
      <c r="TVH105" s="29"/>
      <c r="TVI105" s="29"/>
      <c r="TVJ105" s="29"/>
      <c r="TVK105" s="29"/>
      <c r="TVL105" s="29"/>
      <c r="TVM105" s="29"/>
      <c r="TVN105" s="29"/>
      <c r="TVO105" s="29"/>
      <c r="TVP105" s="29"/>
      <c r="TVQ105" s="29"/>
      <c r="TVR105" s="29"/>
      <c r="TVS105" s="29"/>
      <c r="TVT105" s="29"/>
      <c r="TVU105" s="29"/>
      <c r="TVV105" s="29"/>
      <c r="TVW105" s="29"/>
      <c r="TVX105" s="29"/>
      <c r="TVY105" s="29"/>
      <c r="TVZ105" s="29"/>
      <c r="TWA105" s="29"/>
      <c r="TWB105" s="29"/>
      <c r="TWC105" s="29"/>
      <c r="TWD105" s="29"/>
      <c r="TWE105" s="29"/>
      <c r="TWF105" s="29"/>
      <c r="TWG105" s="29"/>
      <c r="TWH105" s="29"/>
      <c r="TWI105" s="29"/>
      <c r="TWJ105" s="29"/>
      <c r="TWK105" s="29"/>
      <c r="TWL105" s="29"/>
      <c r="TWM105" s="29"/>
      <c r="TWN105" s="29"/>
      <c r="TWO105" s="29"/>
      <c r="TWP105" s="29"/>
      <c r="TWQ105" s="29"/>
      <c r="TWR105" s="29"/>
      <c r="TWS105" s="29"/>
      <c r="TWT105" s="29"/>
      <c r="TWU105" s="29"/>
      <c r="TWV105" s="29"/>
      <c r="TWW105" s="29"/>
      <c r="TWX105" s="29"/>
      <c r="TWY105" s="29"/>
      <c r="TWZ105" s="29"/>
      <c r="TXA105" s="29"/>
      <c r="TXB105" s="29"/>
      <c r="TXC105" s="29"/>
      <c r="TXD105" s="29"/>
      <c r="TXE105" s="29"/>
      <c r="TXF105" s="29"/>
      <c r="TXG105" s="29"/>
      <c r="TXH105" s="29"/>
      <c r="TXI105" s="29"/>
      <c r="TXJ105" s="29"/>
      <c r="TXK105" s="29"/>
      <c r="TXL105" s="29"/>
      <c r="TXM105" s="29"/>
      <c r="TXN105" s="29"/>
      <c r="TXO105" s="29"/>
      <c r="TXP105" s="29"/>
      <c r="TXQ105" s="29"/>
      <c r="TXR105" s="29"/>
      <c r="TXS105" s="29"/>
      <c r="TXT105" s="29"/>
      <c r="TXU105" s="29"/>
      <c r="TXV105" s="29"/>
      <c r="TXW105" s="29"/>
      <c r="TXX105" s="29"/>
      <c r="TXY105" s="29"/>
      <c r="TXZ105" s="29"/>
      <c r="TYA105" s="29"/>
      <c r="TYB105" s="29"/>
      <c r="TYC105" s="29"/>
      <c r="TYD105" s="29"/>
      <c r="TYE105" s="29"/>
      <c r="TYF105" s="29"/>
      <c r="TYG105" s="29"/>
      <c r="TYH105" s="29"/>
      <c r="TYI105" s="29"/>
      <c r="TYJ105" s="29"/>
      <c r="TYK105" s="29"/>
      <c r="TYL105" s="29"/>
      <c r="TYM105" s="29"/>
      <c r="TYN105" s="29"/>
      <c r="TYO105" s="29"/>
      <c r="TYP105" s="29"/>
      <c r="TYQ105" s="29"/>
      <c r="TYR105" s="29"/>
      <c r="TYS105" s="29"/>
      <c r="TYT105" s="29"/>
      <c r="TYU105" s="29"/>
      <c r="TYV105" s="29"/>
      <c r="TYW105" s="29"/>
      <c r="TYX105" s="29"/>
      <c r="TYY105" s="29"/>
      <c r="TYZ105" s="29"/>
      <c r="TZA105" s="29"/>
      <c r="TZB105" s="29"/>
      <c r="TZC105" s="29"/>
      <c r="TZD105" s="29"/>
      <c r="TZE105" s="29"/>
      <c r="TZF105" s="29"/>
      <c r="TZG105" s="29"/>
      <c r="TZH105" s="29"/>
      <c r="TZI105" s="29"/>
      <c r="TZJ105" s="29"/>
      <c r="TZK105" s="29"/>
      <c r="TZL105" s="29"/>
      <c r="TZM105" s="29"/>
      <c r="TZN105" s="29"/>
      <c r="TZO105" s="29"/>
      <c r="TZP105" s="29"/>
      <c r="TZQ105" s="29"/>
      <c r="TZR105" s="29"/>
      <c r="TZS105" s="29"/>
      <c r="TZT105" s="29"/>
      <c r="TZU105" s="29"/>
      <c r="TZV105" s="29"/>
      <c r="TZW105" s="29"/>
      <c r="TZX105" s="29"/>
      <c r="TZY105" s="29"/>
      <c r="TZZ105" s="29"/>
      <c r="UAA105" s="29"/>
      <c r="UAB105" s="29"/>
      <c r="UAC105" s="29"/>
      <c r="UAD105" s="29"/>
      <c r="UAE105" s="29"/>
      <c r="UAF105" s="29"/>
      <c r="UAG105" s="29"/>
      <c r="UAH105" s="29"/>
      <c r="UAI105" s="29"/>
      <c r="UAJ105" s="29"/>
      <c r="UAK105" s="29"/>
      <c r="UAL105" s="29"/>
      <c r="UAM105" s="29"/>
      <c r="UAN105" s="29"/>
      <c r="UAO105" s="29"/>
      <c r="UAP105" s="29"/>
      <c r="UAQ105" s="29"/>
      <c r="UAR105" s="29"/>
      <c r="UAS105" s="29"/>
      <c r="UAT105" s="29"/>
      <c r="UAU105" s="29"/>
      <c r="UAV105" s="29"/>
      <c r="UAW105" s="29"/>
      <c r="UAX105" s="29"/>
      <c r="UAY105" s="29"/>
      <c r="UAZ105" s="29"/>
      <c r="UBA105" s="29"/>
      <c r="UBB105" s="29"/>
      <c r="UBC105" s="29"/>
      <c r="UBD105" s="29"/>
      <c r="UBE105" s="29"/>
      <c r="UBF105" s="29"/>
      <c r="UBG105" s="29"/>
      <c r="UBH105" s="29"/>
      <c r="UBI105" s="29"/>
      <c r="UBJ105" s="29"/>
      <c r="UBK105" s="29"/>
      <c r="UBL105" s="29"/>
      <c r="UBM105" s="29"/>
      <c r="UBN105" s="29"/>
      <c r="UBO105" s="29"/>
      <c r="UBP105" s="29"/>
      <c r="UBQ105" s="29"/>
      <c r="UBR105" s="29"/>
      <c r="UBS105" s="29"/>
      <c r="UBT105" s="29"/>
      <c r="UBU105" s="29"/>
      <c r="UBV105" s="29"/>
      <c r="UBW105" s="29"/>
      <c r="UBX105" s="29"/>
      <c r="UBY105" s="29"/>
      <c r="UBZ105" s="29"/>
      <c r="UCA105" s="29"/>
      <c r="UCB105" s="29"/>
      <c r="UCC105" s="29"/>
      <c r="UCD105" s="29"/>
      <c r="UCE105" s="29"/>
      <c r="UCF105" s="29"/>
      <c r="UCG105" s="29"/>
      <c r="UCH105" s="29"/>
      <c r="UCI105" s="29"/>
      <c r="UCJ105" s="29"/>
      <c r="UCK105" s="29"/>
      <c r="UCL105" s="29"/>
      <c r="UCM105" s="29"/>
      <c r="UCN105" s="29"/>
      <c r="UCO105" s="29"/>
      <c r="UCP105" s="29"/>
      <c r="UCQ105" s="29"/>
      <c r="UCR105" s="29"/>
      <c r="UCS105" s="29"/>
      <c r="UCT105" s="29"/>
      <c r="UCU105" s="29"/>
      <c r="UCV105" s="29"/>
      <c r="UCW105" s="29"/>
      <c r="UCX105" s="29"/>
      <c r="UCY105" s="29"/>
      <c r="UCZ105" s="29"/>
      <c r="UDA105" s="29"/>
      <c r="UDB105" s="29"/>
      <c r="UDC105" s="29"/>
      <c r="UDD105" s="29"/>
      <c r="UDE105" s="29"/>
      <c r="UDF105" s="29"/>
      <c r="UDG105" s="29"/>
      <c r="UDH105" s="29"/>
      <c r="UDI105" s="29"/>
      <c r="UDJ105" s="29"/>
      <c r="UDK105" s="29"/>
      <c r="UDL105" s="29"/>
      <c r="UDM105" s="29"/>
      <c r="UDN105" s="29"/>
      <c r="UDO105" s="29"/>
      <c r="UDP105" s="29"/>
      <c r="UDQ105" s="29"/>
      <c r="UDR105" s="29"/>
      <c r="UDS105" s="29"/>
      <c r="UDT105" s="29"/>
      <c r="UDU105" s="29"/>
      <c r="UDV105" s="29"/>
      <c r="UDW105" s="29"/>
      <c r="UDX105" s="29"/>
      <c r="UDY105" s="29"/>
      <c r="UDZ105" s="29"/>
      <c r="UEA105" s="29"/>
      <c r="UEB105" s="29"/>
      <c r="UEC105" s="29"/>
      <c r="UED105" s="29"/>
      <c r="UEE105" s="29"/>
      <c r="UEF105" s="29"/>
      <c r="UEG105" s="29"/>
      <c r="UEH105" s="29"/>
      <c r="UEI105" s="29"/>
      <c r="UEJ105" s="29"/>
      <c r="UEK105" s="29"/>
      <c r="UEL105" s="29"/>
      <c r="UEM105" s="29"/>
      <c r="UEN105" s="29"/>
      <c r="UEO105" s="29"/>
      <c r="UEP105" s="29"/>
      <c r="UEQ105" s="29"/>
      <c r="UER105" s="29"/>
      <c r="UES105" s="29"/>
      <c r="UET105" s="29"/>
      <c r="UEU105" s="29"/>
      <c r="UEV105" s="29"/>
      <c r="UEW105" s="29"/>
      <c r="UEX105" s="29"/>
      <c r="UEY105" s="29"/>
      <c r="UEZ105" s="29"/>
      <c r="UFA105" s="29"/>
      <c r="UFB105" s="29"/>
      <c r="UFC105" s="29"/>
      <c r="UFD105" s="29"/>
      <c r="UFE105" s="29"/>
      <c r="UFF105" s="29"/>
      <c r="UFG105" s="29"/>
      <c r="UFH105" s="29"/>
      <c r="UFI105" s="29"/>
      <c r="UFJ105" s="29"/>
      <c r="UFK105" s="29"/>
      <c r="UFL105" s="29"/>
      <c r="UFM105" s="29"/>
      <c r="UFN105" s="29"/>
      <c r="UFO105" s="29"/>
      <c r="UFP105" s="29"/>
      <c r="UFQ105" s="29"/>
      <c r="UFR105" s="29"/>
      <c r="UFS105" s="29"/>
      <c r="UFT105" s="29"/>
      <c r="UFU105" s="29"/>
      <c r="UFV105" s="29"/>
      <c r="UFW105" s="29"/>
      <c r="UFX105" s="29"/>
      <c r="UFY105" s="29"/>
      <c r="UFZ105" s="29"/>
      <c r="UGA105" s="29"/>
      <c r="UGB105" s="29"/>
      <c r="UGC105" s="29"/>
      <c r="UGD105" s="29"/>
      <c r="UGE105" s="29"/>
      <c r="UGF105" s="29"/>
      <c r="UGG105" s="29"/>
      <c r="UGH105" s="29"/>
      <c r="UGI105" s="29"/>
      <c r="UGJ105" s="29"/>
      <c r="UGK105" s="29"/>
      <c r="UGL105" s="29"/>
      <c r="UGM105" s="29"/>
      <c r="UGN105" s="29"/>
      <c r="UGO105" s="29"/>
      <c r="UGP105" s="29"/>
      <c r="UGQ105" s="29"/>
      <c r="UGR105" s="29"/>
      <c r="UGS105" s="29"/>
      <c r="UGT105" s="29"/>
      <c r="UGU105" s="29"/>
      <c r="UGV105" s="29"/>
      <c r="UGW105" s="29"/>
      <c r="UGX105" s="29"/>
      <c r="UGY105" s="29"/>
      <c r="UGZ105" s="29"/>
      <c r="UHA105" s="29"/>
      <c r="UHB105" s="29"/>
      <c r="UHC105" s="29"/>
      <c r="UHD105" s="29"/>
      <c r="UHE105" s="29"/>
      <c r="UHF105" s="29"/>
      <c r="UHG105" s="29"/>
      <c r="UHH105" s="29"/>
      <c r="UHI105" s="29"/>
      <c r="UHJ105" s="29"/>
      <c r="UHK105" s="29"/>
      <c r="UHL105" s="29"/>
      <c r="UHM105" s="29"/>
      <c r="UHN105" s="29"/>
      <c r="UHO105" s="29"/>
      <c r="UHP105" s="29"/>
      <c r="UHQ105" s="29"/>
      <c r="UHR105" s="29"/>
      <c r="UHS105" s="29"/>
      <c r="UHT105" s="29"/>
      <c r="UHU105" s="29"/>
      <c r="UHV105" s="29"/>
      <c r="UHW105" s="29"/>
      <c r="UHX105" s="29"/>
      <c r="UHY105" s="29"/>
      <c r="UHZ105" s="29"/>
      <c r="UIA105" s="29"/>
      <c r="UIB105" s="29"/>
      <c r="UIC105" s="29"/>
      <c r="UID105" s="29"/>
      <c r="UIE105" s="29"/>
      <c r="UIF105" s="29"/>
      <c r="UIG105" s="29"/>
      <c r="UIH105" s="29"/>
      <c r="UII105" s="29"/>
      <c r="UIJ105" s="29"/>
      <c r="UIK105" s="29"/>
      <c r="UIL105" s="29"/>
      <c r="UIM105" s="29"/>
      <c r="UIN105" s="29"/>
      <c r="UIO105" s="29"/>
      <c r="UIP105" s="29"/>
      <c r="UIQ105" s="29"/>
      <c r="UIR105" s="29"/>
      <c r="UIS105" s="29"/>
      <c r="UIT105" s="29"/>
      <c r="UIU105" s="29"/>
      <c r="UIV105" s="29"/>
      <c r="UIW105" s="29"/>
      <c r="UIX105" s="29"/>
      <c r="UIY105" s="29"/>
      <c r="UIZ105" s="29"/>
      <c r="UJA105" s="29"/>
      <c r="UJB105" s="29"/>
      <c r="UJC105" s="29"/>
      <c r="UJD105" s="29"/>
      <c r="UJE105" s="29"/>
      <c r="UJF105" s="29"/>
      <c r="UJG105" s="29"/>
      <c r="UJH105" s="29"/>
      <c r="UJI105" s="29"/>
      <c r="UJJ105" s="29"/>
      <c r="UJK105" s="29"/>
      <c r="UJL105" s="29"/>
      <c r="UJM105" s="29"/>
      <c r="UJN105" s="29"/>
      <c r="UJO105" s="29"/>
      <c r="UJP105" s="29"/>
      <c r="UJQ105" s="29"/>
      <c r="UJR105" s="29"/>
      <c r="UJS105" s="29"/>
      <c r="UJT105" s="29"/>
      <c r="UJU105" s="29"/>
      <c r="UJV105" s="29"/>
      <c r="UJW105" s="29"/>
      <c r="UJX105" s="29"/>
      <c r="UJY105" s="29"/>
      <c r="UJZ105" s="29"/>
      <c r="UKA105" s="29"/>
      <c r="UKB105" s="29"/>
      <c r="UKC105" s="29"/>
      <c r="UKD105" s="29"/>
      <c r="UKE105" s="29"/>
      <c r="UKF105" s="29"/>
      <c r="UKG105" s="29"/>
      <c r="UKH105" s="29"/>
      <c r="UKI105" s="29"/>
      <c r="UKJ105" s="29"/>
      <c r="UKK105" s="29"/>
      <c r="UKL105" s="29"/>
      <c r="UKM105" s="29"/>
      <c r="UKN105" s="29"/>
      <c r="UKO105" s="29"/>
      <c r="UKP105" s="29"/>
      <c r="UKQ105" s="29"/>
      <c r="UKR105" s="29"/>
      <c r="UKS105" s="29"/>
      <c r="UKT105" s="29"/>
      <c r="UKU105" s="29"/>
      <c r="UKV105" s="29"/>
      <c r="UKW105" s="29"/>
      <c r="UKX105" s="29"/>
      <c r="UKY105" s="29"/>
      <c r="UKZ105" s="29"/>
      <c r="ULA105" s="29"/>
      <c r="ULB105" s="29"/>
      <c r="ULC105" s="29"/>
      <c r="ULD105" s="29"/>
      <c r="ULE105" s="29"/>
      <c r="ULF105" s="29"/>
      <c r="ULG105" s="29"/>
      <c r="ULH105" s="29"/>
      <c r="ULI105" s="29"/>
      <c r="ULJ105" s="29"/>
      <c r="ULK105" s="29"/>
      <c r="ULL105" s="29"/>
      <c r="ULM105" s="29"/>
      <c r="ULN105" s="29"/>
      <c r="ULO105" s="29"/>
      <c r="ULP105" s="29"/>
      <c r="ULQ105" s="29"/>
      <c r="ULR105" s="29"/>
      <c r="ULS105" s="29"/>
      <c r="ULT105" s="29"/>
      <c r="ULU105" s="29"/>
      <c r="ULV105" s="29"/>
      <c r="ULW105" s="29"/>
      <c r="ULX105" s="29"/>
      <c r="ULY105" s="29"/>
      <c r="ULZ105" s="29"/>
      <c r="UMA105" s="29"/>
      <c r="UMB105" s="29"/>
      <c r="UMC105" s="29"/>
      <c r="UMD105" s="29"/>
      <c r="UME105" s="29"/>
      <c r="UMF105" s="29"/>
      <c r="UMG105" s="29"/>
      <c r="UMH105" s="29"/>
      <c r="UMI105" s="29"/>
      <c r="UMJ105" s="29"/>
      <c r="UMK105" s="29"/>
      <c r="UML105" s="29"/>
      <c r="UMM105" s="29"/>
      <c r="UMN105" s="29"/>
      <c r="UMO105" s="29"/>
      <c r="UMP105" s="29"/>
      <c r="UMQ105" s="29"/>
      <c r="UMR105" s="29"/>
      <c r="UMS105" s="29"/>
      <c r="UMT105" s="29"/>
      <c r="UMU105" s="29"/>
      <c r="UMV105" s="29"/>
      <c r="UMW105" s="29"/>
      <c r="UMX105" s="29"/>
      <c r="UMY105" s="29"/>
      <c r="UMZ105" s="29"/>
      <c r="UNA105" s="29"/>
      <c r="UNB105" s="29"/>
      <c r="UNC105" s="29"/>
      <c r="UND105" s="29"/>
      <c r="UNE105" s="29"/>
      <c r="UNF105" s="29"/>
      <c r="UNG105" s="29"/>
      <c r="UNH105" s="29"/>
      <c r="UNI105" s="29"/>
      <c r="UNJ105" s="29"/>
      <c r="UNK105" s="29"/>
      <c r="UNL105" s="29"/>
      <c r="UNM105" s="29"/>
      <c r="UNN105" s="29"/>
      <c r="UNO105" s="29"/>
      <c r="UNP105" s="29"/>
      <c r="UNQ105" s="29"/>
      <c r="UNR105" s="29"/>
      <c r="UNS105" s="29"/>
      <c r="UNT105" s="29"/>
      <c r="UNU105" s="29"/>
      <c r="UNV105" s="29"/>
      <c r="UNW105" s="29"/>
      <c r="UNX105" s="29"/>
      <c r="UNY105" s="29"/>
      <c r="UNZ105" s="29"/>
      <c r="UOA105" s="29"/>
      <c r="UOB105" s="29"/>
      <c r="UOC105" s="29"/>
      <c r="UOD105" s="29"/>
      <c r="UOE105" s="29"/>
      <c r="UOF105" s="29"/>
      <c r="UOG105" s="29"/>
      <c r="UOH105" s="29"/>
      <c r="UOI105" s="29"/>
      <c r="UOJ105" s="29"/>
      <c r="UOK105" s="29"/>
      <c r="UOL105" s="29"/>
      <c r="UOM105" s="29"/>
      <c r="UON105" s="29"/>
      <c r="UOO105" s="29"/>
      <c r="UOP105" s="29"/>
      <c r="UOQ105" s="29"/>
      <c r="UOR105" s="29"/>
      <c r="UOS105" s="29"/>
      <c r="UOT105" s="29"/>
      <c r="UOU105" s="29"/>
      <c r="UOV105" s="29"/>
      <c r="UOW105" s="29"/>
      <c r="UOX105" s="29"/>
      <c r="UOY105" s="29"/>
      <c r="UOZ105" s="29"/>
      <c r="UPA105" s="29"/>
      <c r="UPB105" s="29"/>
      <c r="UPC105" s="29"/>
      <c r="UPD105" s="29"/>
      <c r="UPE105" s="29"/>
      <c r="UPF105" s="29"/>
      <c r="UPG105" s="29"/>
      <c r="UPH105" s="29"/>
      <c r="UPI105" s="29"/>
      <c r="UPJ105" s="29"/>
      <c r="UPK105" s="29"/>
      <c r="UPL105" s="29"/>
      <c r="UPM105" s="29"/>
      <c r="UPN105" s="29"/>
      <c r="UPO105" s="29"/>
      <c r="UPP105" s="29"/>
      <c r="UPQ105" s="29"/>
      <c r="UPR105" s="29"/>
      <c r="UPS105" s="29"/>
      <c r="UPT105" s="29"/>
      <c r="UPU105" s="29"/>
      <c r="UPV105" s="29"/>
      <c r="UPW105" s="29"/>
      <c r="UPX105" s="29"/>
      <c r="UPY105" s="29"/>
      <c r="UPZ105" s="29"/>
      <c r="UQA105" s="29"/>
      <c r="UQB105" s="29"/>
      <c r="UQC105" s="29"/>
      <c r="UQD105" s="29"/>
      <c r="UQE105" s="29"/>
      <c r="UQF105" s="29"/>
      <c r="UQG105" s="29"/>
      <c r="UQH105" s="29"/>
      <c r="UQI105" s="29"/>
      <c r="UQJ105" s="29"/>
      <c r="UQK105" s="29"/>
      <c r="UQL105" s="29"/>
      <c r="UQM105" s="29"/>
      <c r="UQN105" s="29"/>
      <c r="UQO105" s="29"/>
      <c r="UQP105" s="29"/>
      <c r="UQQ105" s="29"/>
      <c r="UQR105" s="29"/>
      <c r="UQS105" s="29"/>
      <c r="UQT105" s="29"/>
      <c r="UQU105" s="29"/>
      <c r="UQV105" s="29"/>
      <c r="UQW105" s="29"/>
      <c r="UQX105" s="29"/>
      <c r="UQY105" s="29"/>
      <c r="UQZ105" s="29"/>
      <c r="URA105" s="29"/>
      <c r="URB105" s="29"/>
      <c r="URC105" s="29"/>
      <c r="URD105" s="29"/>
      <c r="URE105" s="29"/>
      <c r="URF105" s="29"/>
      <c r="URG105" s="29"/>
      <c r="URH105" s="29"/>
      <c r="URI105" s="29"/>
      <c r="URJ105" s="29"/>
      <c r="URK105" s="29"/>
      <c r="URL105" s="29"/>
      <c r="URM105" s="29"/>
      <c r="URN105" s="29"/>
      <c r="URO105" s="29"/>
      <c r="URP105" s="29"/>
      <c r="URQ105" s="29"/>
      <c r="URR105" s="29"/>
      <c r="URS105" s="29"/>
      <c r="URT105" s="29"/>
      <c r="URU105" s="29"/>
      <c r="URV105" s="29"/>
      <c r="URW105" s="29"/>
      <c r="URX105" s="29"/>
      <c r="URY105" s="29"/>
      <c r="URZ105" s="29"/>
      <c r="USA105" s="29"/>
      <c r="USB105" s="29"/>
      <c r="USC105" s="29"/>
      <c r="USD105" s="29"/>
      <c r="USE105" s="29"/>
      <c r="USF105" s="29"/>
      <c r="USG105" s="29"/>
      <c r="USH105" s="29"/>
      <c r="USI105" s="29"/>
      <c r="USJ105" s="29"/>
      <c r="USK105" s="29"/>
      <c r="USL105" s="29"/>
      <c r="USM105" s="29"/>
      <c r="USN105" s="29"/>
      <c r="USO105" s="29"/>
      <c r="USP105" s="29"/>
      <c r="USQ105" s="29"/>
      <c r="USR105" s="29"/>
      <c r="USS105" s="29"/>
      <c r="UST105" s="29"/>
      <c r="USU105" s="29"/>
      <c r="USV105" s="29"/>
      <c r="USW105" s="29"/>
      <c r="USX105" s="29"/>
      <c r="USY105" s="29"/>
      <c r="USZ105" s="29"/>
      <c r="UTA105" s="29"/>
      <c r="UTB105" s="29"/>
      <c r="UTC105" s="29"/>
      <c r="UTD105" s="29"/>
      <c r="UTE105" s="29"/>
      <c r="UTF105" s="29"/>
      <c r="UTG105" s="29"/>
      <c r="UTH105" s="29"/>
      <c r="UTI105" s="29"/>
      <c r="UTJ105" s="29"/>
      <c r="UTK105" s="29"/>
      <c r="UTL105" s="29"/>
      <c r="UTM105" s="29"/>
      <c r="UTN105" s="29"/>
      <c r="UTO105" s="29"/>
      <c r="UTP105" s="29"/>
      <c r="UTQ105" s="29"/>
      <c r="UTR105" s="29"/>
      <c r="UTS105" s="29"/>
      <c r="UTT105" s="29"/>
      <c r="UTU105" s="29"/>
      <c r="UTV105" s="29"/>
      <c r="UTW105" s="29"/>
      <c r="UTX105" s="29"/>
      <c r="UTY105" s="29"/>
      <c r="UTZ105" s="29"/>
      <c r="UUA105" s="29"/>
      <c r="UUB105" s="29"/>
      <c r="UUC105" s="29"/>
      <c r="UUD105" s="29"/>
      <c r="UUE105" s="29"/>
      <c r="UUF105" s="29"/>
      <c r="UUG105" s="29"/>
      <c r="UUH105" s="29"/>
      <c r="UUI105" s="29"/>
      <c r="UUJ105" s="29"/>
      <c r="UUK105" s="29"/>
      <c r="UUL105" s="29"/>
      <c r="UUM105" s="29"/>
      <c r="UUN105" s="29"/>
      <c r="UUO105" s="29"/>
      <c r="UUP105" s="29"/>
      <c r="UUQ105" s="29"/>
      <c r="UUR105" s="29"/>
      <c r="UUS105" s="29"/>
      <c r="UUT105" s="29"/>
      <c r="UUU105" s="29"/>
      <c r="UUV105" s="29"/>
      <c r="UUW105" s="29"/>
      <c r="UUX105" s="29"/>
      <c r="UUY105" s="29"/>
      <c r="UUZ105" s="29"/>
      <c r="UVA105" s="29"/>
      <c r="UVB105" s="29"/>
      <c r="UVC105" s="29"/>
      <c r="UVD105" s="29"/>
      <c r="UVE105" s="29"/>
      <c r="UVF105" s="29"/>
      <c r="UVG105" s="29"/>
      <c r="UVH105" s="29"/>
      <c r="UVI105" s="29"/>
      <c r="UVJ105" s="29"/>
      <c r="UVK105" s="29"/>
      <c r="UVL105" s="29"/>
      <c r="UVM105" s="29"/>
      <c r="UVN105" s="29"/>
      <c r="UVO105" s="29"/>
      <c r="UVP105" s="29"/>
      <c r="UVQ105" s="29"/>
      <c r="UVR105" s="29"/>
      <c r="UVS105" s="29"/>
      <c r="UVT105" s="29"/>
      <c r="UVU105" s="29"/>
      <c r="UVV105" s="29"/>
      <c r="UVW105" s="29"/>
      <c r="UVX105" s="29"/>
      <c r="UVY105" s="29"/>
      <c r="UVZ105" s="29"/>
      <c r="UWA105" s="29"/>
      <c r="UWB105" s="29"/>
      <c r="UWC105" s="29"/>
      <c r="UWD105" s="29"/>
      <c r="UWE105" s="29"/>
      <c r="UWF105" s="29"/>
      <c r="UWG105" s="29"/>
      <c r="UWH105" s="29"/>
      <c r="UWI105" s="29"/>
      <c r="UWJ105" s="29"/>
      <c r="UWK105" s="29"/>
      <c r="UWL105" s="29"/>
      <c r="UWM105" s="29"/>
      <c r="UWN105" s="29"/>
      <c r="UWO105" s="29"/>
      <c r="UWP105" s="29"/>
      <c r="UWQ105" s="29"/>
      <c r="UWR105" s="29"/>
      <c r="UWS105" s="29"/>
      <c r="UWT105" s="29"/>
      <c r="UWU105" s="29"/>
      <c r="UWV105" s="29"/>
      <c r="UWW105" s="29"/>
      <c r="UWX105" s="29"/>
      <c r="UWY105" s="29"/>
      <c r="UWZ105" s="29"/>
      <c r="UXA105" s="29"/>
      <c r="UXB105" s="29"/>
      <c r="UXC105" s="29"/>
      <c r="UXD105" s="29"/>
      <c r="UXE105" s="29"/>
      <c r="UXF105" s="29"/>
      <c r="UXG105" s="29"/>
      <c r="UXH105" s="29"/>
      <c r="UXI105" s="29"/>
      <c r="UXJ105" s="29"/>
      <c r="UXK105" s="29"/>
      <c r="UXL105" s="29"/>
      <c r="UXM105" s="29"/>
      <c r="UXN105" s="29"/>
      <c r="UXO105" s="29"/>
      <c r="UXP105" s="29"/>
      <c r="UXQ105" s="29"/>
      <c r="UXR105" s="29"/>
      <c r="UXS105" s="29"/>
      <c r="UXT105" s="29"/>
      <c r="UXU105" s="29"/>
      <c r="UXV105" s="29"/>
      <c r="UXW105" s="29"/>
      <c r="UXX105" s="29"/>
      <c r="UXY105" s="29"/>
      <c r="UXZ105" s="29"/>
      <c r="UYA105" s="29"/>
      <c r="UYB105" s="29"/>
      <c r="UYC105" s="29"/>
      <c r="UYD105" s="29"/>
      <c r="UYE105" s="29"/>
      <c r="UYF105" s="29"/>
      <c r="UYG105" s="29"/>
      <c r="UYH105" s="29"/>
      <c r="UYI105" s="29"/>
      <c r="UYJ105" s="29"/>
      <c r="UYK105" s="29"/>
      <c r="UYL105" s="29"/>
      <c r="UYM105" s="29"/>
      <c r="UYN105" s="29"/>
      <c r="UYO105" s="29"/>
      <c r="UYP105" s="29"/>
      <c r="UYQ105" s="29"/>
      <c r="UYR105" s="29"/>
      <c r="UYS105" s="29"/>
      <c r="UYT105" s="29"/>
      <c r="UYU105" s="29"/>
      <c r="UYV105" s="29"/>
      <c r="UYW105" s="29"/>
      <c r="UYX105" s="29"/>
      <c r="UYY105" s="29"/>
      <c r="UYZ105" s="29"/>
      <c r="UZA105" s="29"/>
      <c r="UZB105" s="29"/>
      <c r="UZC105" s="29"/>
      <c r="UZD105" s="29"/>
      <c r="UZE105" s="29"/>
      <c r="UZF105" s="29"/>
      <c r="UZG105" s="29"/>
      <c r="UZH105" s="29"/>
      <c r="UZI105" s="29"/>
      <c r="UZJ105" s="29"/>
      <c r="UZK105" s="29"/>
      <c r="UZL105" s="29"/>
      <c r="UZM105" s="29"/>
      <c r="UZN105" s="29"/>
      <c r="UZO105" s="29"/>
      <c r="UZP105" s="29"/>
      <c r="UZQ105" s="29"/>
      <c r="UZR105" s="29"/>
      <c r="UZS105" s="29"/>
      <c r="UZT105" s="29"/>
      <c r="UZU105" s="29"/>
      <c r="UZV105" s="29"/>
      <c r="UZW105" s="29"/>
      <c r="UZX105" s="29"/>
      <c r="UZY105" s="29"/>
      <c r="UZZ105" s="29"/>
      <c r="VAA105" s="29"/>
      <c r="VAB105" s="29"/>
      <c r="VAC105" s="29"/>
      <c r="VAD105" s="29"/>
      <c r="VAE105" s="29"/>
      <c r="VAF105" s="29"/>
      <c r="VAG105" s="29"/>
      <c r="VAH105" s="29"/>
      <c r="VAI105" s="29"/>
      <c r="VAJ105" s="29"/>
      <c r="VAK105" s="29"/>
      <c r="VAL105" s="29"/>
      <c r="VAM105" s="29"/>
      <c r="VAN105" s="29"/>
      <c r="VAO105" s="29"/>
      <c r="VAP105" s="29"/>
      <c r="VAQ105" s="29"/>
      <c r="VAR105" s="29"/>
      <c r="VAS105" s="29"/>
      <c r="VAT105" s="29"/>
      <c r="VAU105" s="29"/>
      <c r="VAV105" s="29"/>
      <c r="VAW105" s="29"/>
      <c r="VAX105" s="29"/>
      <c r="VAY105" s="29"/>
      <c r="VAZ105" s="29"/>
      <c r="VBA105" s="29"/>
      <c r="VBB105" s="29"/>
      <c r="VBC105" s="29"/>
      <c r="VBD105" s="29"/>
      <c r="VBE105" s="29"/>
      <c r="VBF105" s="29"/>
      <c r="VBG105" s="29"/>
      <c r="VBH105" s="29"/>
      <c r="VBI105" s="29"/>
      <c r="VBJ105" s="29"/>
      <c r="VBK105" s="29"/>
      <c r="VBL105" s="29"/>
      <c r="VBM105" s="29"/>
      <c r="VBN105" s="29"/>
      <c r="VBO105" s="29"/>
      <c r="VBP105" s="29"/>
      <c r="VBQ105" s="29"/>
      <c r="VBR105" s="29"/>
      <c r="VBS105" s="29"/>
      <c r="VBT105" s="29"/>
      <c r="VBU105" s="29"/>
      <c r="VBV105" s="29"/>
      <c r="VBW105" s="29"/>
      <c r="VBX105" s="29"/>
      <c r="VBY105" s="29"/>
      <c r="VBZ105" s="29"/>
      <c r="VCA105" s="29"/>
      <c r="VCB105" s="29"/>
      <c r="VCC105" s="29"/>
      <c r="VCD105" s="29"/>
      <c r="VCE105" s="29"/>
      <c r="VCF105" s="29"/>
      <c r="VCG105" s="29"/>
      <c r="VCH105" s="29"/>
      <c r="VCI105" s="29"/>
      <c r="VCJ105" s="29"/>
      <c r="VCK105" s="29"/>
      <c r="VCL105" s="29"/>
      <c r="VCM105" s="29"/>
      <c r="VCN105" s="29"/>
      <c r="VCO105" s="29"/>
      <c r="VCP105" s="29"/>
      <c r="VCQ105" s="29"/>
      <c r="VCR105" s="29"/>
      <c r="VCS105" s="29"/>
      <c r="VCT105" s="29"/>
      <c r="VCU105" s="29"/>
      <c r="VCV105" s="29"/>
      <c r="VCW105" s="29"/>
      <c r="VCX105" s="29"/>
      <c r="VCY105" s="29"/>
      <c r="VCZ105" s="29"/>
      <c r="VDA105" s="29"/>
      <c r="VDB105" s="29"/>
      <c r="VDC105" s="29"/>
      <c r="VDD105" s="29"/>
      <c r="VDE105" s="29"/>
      <c r="VDF105" s="29"/>
      <c r="VDG105" s="29"/>
      <c r="VDH105" s="29"/>
      <c r="VDI105" s="29"/>
      <c r="VDJ105" s="29"/>
      <c r="VDK105" s="29"/>
      <c r="VDL105" s="29"/>
      <c r="VDM105" s="29"/>
      <c r="VDN105" s="29"/>
      <c r="VDO105" s="29"/>
      <c r="VDP105" s="29"/>
      <c r="VDQ105" s="29"/>
      <c r="VDR105" s="29"/>
      <c r="VDS105" s="29"/>
      <c r="VDT105" s="29"/>
      <c r="VDU105" s="29"/>
      <c r="VDV105" s="29"/>
      <c r="VDW105" s="29"/>
      <c r="VDX105" s="29"/>
      <c r="VDY105" s="29"/>
      <c r="VDZ105" s="29"/>
      <c r="VEA105" s="29"/>
      <c r="VEB105" s="29"/>
      <c r="VEC105" s="29"/>
      <c r="VED105" s="29"/>
      <c r="VEE105" s="29"/>
      <c r="VEF105" s="29"/>
      <c r="VEG105" s="29"/>
      <c r="VEH105" s="29"/>
      <c r="VEI105" s="29"/>
      <c r="VEJ105" s="29"/>
      <c r="VEK105" s="29"/>
      <c r="VEL105" s="29"/>
      <c r="VEM105" s="29"/>
      <c r="VEN105" s="29"/>
      <c r="VEO105" s="29"/>
      <c r="VEP105" s="29"/>
      <c r="VEQ105" s="29"/>
      <c r="VER105" s="29"/>
      <c r="VES105" s="29"/>
      <c r="VET105" s="29"/>
      <c r="VEU105" s="29"/>
      <c r="VEV105" s="29"/>
      <c r="VEW105" s="29"/>
      <c r="VEX105" s="29"/>
      <c r="VEY105" s="29"/>
      <c r="VEZ105" s="29"/>
      <c r="VFA105" s="29"/>
      <c r="VFB105" s="29"/>
      <c r="VFC105" s="29"/>
      <c r="VFD105" s="29"/>
      <c r="VFE105" s="29"/>
      <c r="VFF105" s="29"/>
      <c r="VFG105" s="29"/>
      <c r="VFH105" s="29"/>
      <c r="VFI105" s="29"/>
      <c r="VFJ105" s="29"/>
      <c r="VFK105" s="29"/>
      <c r="VFL105" s="29"/>
      <c r="VFM105" s="29"/>
      <c r="VFN105" s="29"/>
      <c r="VFO105" s="29"/>
      <c r="VFP105" s="29"/>
      <c r="VFQ105" s="29"/>
      <c r="VFR105" s="29"/>
      <c r="VFS105" s="29"/>
      <c r="VFT105" s="29"/>
      <c r="VFU105" s="29"/>
      <c r="VFV105" s="29"/>
      <c r="VFW105" s="29"/>
      <c r="VFX105" s="29"/>
      <c r="VFY105" s="29"/>
      <c r="VFZ105" s="29"/>
      <c r="VGA105" s="29"/>
      <c r="VGB105" s="29"/>
      <c r="VGC105" s="29"/>
      <c r="VGD105" s="29"/>
      <c r="VGE105" s="29"/>
      <c r="VGF105" s="29"/>
      <c r="VGG105" s="29"/>
      <c r="VGH105" s="29"/>
      <c r="VGI105" s="29"/>
      <c r="VGJ105" s="29"/>
      <c r="VGK105" s="29"/>
      <c r="VGL105" s="29"/>
      <c r="VGM105" s="29"/>
      <c r="VGN105" s="29"/>
      <c r="VGO105" s="29"/>
      <c r="VGP105" s="29"/>
      <c r="VGQ105" s="29"/>
      <c r="VGR105" s="29"/>
      <c r="VGS105" s="29"/>
      <c r="VGT105" s="29"/>
      <c r="VGU105" s="29"/>
      <c r="VGV105" s="29"/>
      <c r="VGW105" s="29"/>
      <c r="VGX105" s="29"/>
      <c r="VGY105" s="29"/>
      <c r="VGZ105" s="29"/>
      <c r="VHA105" s="29"/>
      <c r="VHB105" s="29"/>
      <c r="VHC105" s="29"/>
      <c r="VHD105" s="29"/>
      <c r="VHE105" s="29"/>
      <c r="VHF105" s="29"/>
      <c r="VHG105" s="29"/>
      <c r="VHH105" s="29"/>
      <c r="VHI105" s="29"/>
      <c r="VHJ105" s="29"/>
      <c r="VHK105" s="29"/>
      <c r="VHL105" s="29"/>
      <c r="VHM105" s="29"/>
      <c r="VHN105" s="29"/>
      <c r="VHO105" s="29"/>
      <c r="VHP105" s="29"/>
      <c r="VHQ105" s="29"/>
      <c r="VHR105" s="29"/>
      <c r="VHS105" s="29"/>
      <c r="VHT105" s="29"/>
      <c r="VHU105" s="29"/>
      <c r="VHV105" s="29"/>
      <c r="VHW105" s="29"/>
      <c r="VHX105" s="29"/>
      <c r="VHY105" s="29"/>
      <c r="VHZ105" s="29"/>
      <c r="VIA105" s="29"/>
      <c r="VIB105" s="29"/>
      <c r="VIC105" s="29"/>
      <c r="VID105" s="29"/>
      <c r="VIE105" s="29"/>
      <c r="VIF105" s="29"/>
      <c r="VIG105" s="29"/>
      <c r="VIH105" s="29"/>
      <c r="VII105" s="29"/>
      <c r="VIJ105" s="29"/>
      <c r="VIK105" s="29"/>
      <c r="VIL105" s="29"/>
      <c r="VIM105" s="29"/>
      <c r="VIN105" s="29"/>
      <c r="VIO105" s="29"/>
      <c r="VIP105" s="29"/>
      <c r="VIQ105" s="29"/>
      <c r="VIR105" s="29"/>
      <c r="VIS105" s="29"/>
      <c r="VIT105" s="29"/>
      <c r="VIU105" s="29"/>
      <c r="VIV105" s="29"/>
      <c r="VIW105" s="29"/>
      <c r="VIX105" s="29"/>
      <c r="VIY105" s="29"/>
      <c r="VIZ105" s="29"/>
      <c r="VJA105" s="29"/>
      <c r="VJB105" s="29"/>
      <c r="VJC105" s="29"/>
      <c r="VJD105" s="29"/>
      <c r="VJE105" s="29"/>
      <c r="VJF105" s="29"/>
      <c r="VJG105" s="29"/>
      <c r="VJH105" s="29"/>
      <c r="VJI105" s="29"/>
      <c r="VJJ105" s="29"/>
      <c r="VJK105" s="29"/>
      <c r="VJL105" s="29"/>
      <c r="VJM105" s="29"/>
      <c r="VJN105" s="29"/>
      <c r="VJO105" s="29"/>
      <c r="VJP105" s="29"/>
      <c r="VJQ105" s="29"/>
      <c r="VJR105" s="29"/>
      <c r="VJS105" s="29"/>
      <c r="VJT105" s="29"/>
      <c r="VJU105" s="29"/>
      <c r="VJV105" s="29"/>
      <c r="VJW105" s="29"/>
      <c r="VJX105" s="29"/>
      <c r="VJY105" s="29"/>
      <c r="VJZ105" s="29"/>
      <c r="VKA105" s="29"/>
      <c r="VKB105" s="29"/>
      <c r="VKC105" s="29"/>
      <c r="VKD105" s="29"/>
      <c r="VKE105" s="29"/>
      <c r="VKF105" s="29"/>
      <c r="VKG105" s="29"/>
      <c r="VKH105" s="29"/>
      <c r="VKI105" s="29"/>
      <c r="VKJ105" s="29"/>
      <c r="VKK105" s="29"/>
      <c r="VKL105" s="29"/>
      <c r="VKM105" s="29"/>
      <c r="VKN105" s="29"/>
      <c r="VKO105" s="29"/>
      <c r="VKP105" s="29"/>
      <c r="VKQ105" s="29"/>
      <c r="VKR105" s="29"/>
      <c r="VKS105" s="29"/>
      <c r="VKT105" s="29"/>
      <c r="VKU105" s="29"/>
      <c r="VKV105" s="29"/>
      <c r="VKW105" s="29"/>
      <c r="VKX105" s="29"/>
      <c r="VKY105" s="29"/>
      <c r="VKZ105" s="29"/>
      <c r="VLA105" s="29"/>
      <c r="VLB105" s="29"/>
      <c r="VLC105" s="29"/>
      <c r="VLD105" s="29"/>
      <c r="VLE105" s="29"/>
      <c r="VLF105" s="29"/>
      <c r="VLG105" s="29"/>
      <c r="VLH105" s="29"/>
      <c r="VLI105" s="29"/>
      <c r="VLJ105" s="29"/>
      <c r="VLK105" s="29"/>
      <c r="VLL105" s="29"/>
      <c r="VLM105" s="29"/>
      <c r="VLN105" s="29"/>
      <c r="VLO105" s="29"/>
      <c r="VLP105" s="29"/>
      <c r="VLQ105" s="29"/>
      <c r="VLR105" s="29"/>
      <c r="VLS105" s="29"/>
      <c r="VLT105" s="29"/>
      <c r="VLU105" s="29"/>
      <c r="VLV105" s="29"/>
      <c r="VLW105" s="29"/>
      <c r="VLX105" s="29"/>
      <c r="VLY105" s="29"/>
      <c r="VLZ105" s="29"/>
      <c r="VMA105" s="29"/>
      <c r="VMB105" s="29"/>
      <c r="VMC105" s="29"/>
      <c r="VMD105" s="29"/>
      <c r="VME105" s="29"/>
      <c r="VMF105" s="29"/>
      <c r="VMG105" s="29"/>
      <c r="VMH105" s="29"/>
      <c r="VMI105" s="29"/>
      <c r="VMJ105" s="29"/>
      <c r="VMK105" s="29"/>
      <c r="VML105" s="29"/>
      <c r="VMM105" s="29"/>
      <c r="VMN105" s="29"/>
      <c r="VMO105" s="29"/>
      <c r="VMP105" s="29"/>
      <c r="VMQ105" s="29"/>
      <c r="VMR105" s="29"/>
      <c r="VMS105" s="29"/>
      <c r="VMT105" s="29"/>
      <c r="VMU105" s="29"/>
      <c r="VMV105" s="29"/>
      <c r="VMW105" s="29"/>
      <c r="VMX105" s="29"/>
      <c r="VMY105" s="29"/>
      <c r="VMZ105" s="29"/>
      <c r="VNA105" s="29"/>
      <c r="VNB105" s="29"/>
      <c r="VNC105" s="29"/>
      <c r="VND105" s="29"/>
      <c r="VNE105" s="29"/>
      <c r="VNF105" s="29"/>
      <c r="VNG105" s="29"/>
      <c r="VNH105" s="29"/>
      <c r="VNI105" s="29"/>
      <c r="VNJ105" s="29"/>
      <c r="VNK105" s="29"/>
      <c r="VNL105" s="29"/>
      <c r="VNM105" s="29"/>
      <c r="VNN105" s="29"/>
      <c r="VNO105" s="29"/>
      <c r="VNP105" s="29"/>
      <c r="VNQ105" s="29"/>
      <c r="VNR105" s="29"/>
      <c r="VNS105" s="29"/>
      <c r="VNT105" s="29"/>
      <c r="VNU105" s="29"/>
      <c r="VNV105" s="29"/>
      <c r="VNW105" s="29"/>
      <c r="VNX105" s="29"/>
      <c r="VNY105" s="29"/>
      <c r="VNZ105" s="29"/>
      <c r="VOA105" s="29"/>
      <c r="VOB105" s="29"/>
      <c r="VOC105" s="29"/>
      <c r="VOD105" s="29"/>
      <c r="VOE105" s="29"/>
      <c r="VOF105" s="29"/>
      <c r="VOG105" s="29"/>
      <c r="VOH105" s="29"/>
      <c r="VOI105" s="29"/>
      <c r="VOJ105" s="29"/>
      <c r="VOK105" s="29"/>
      <c r="VOL105" s="29"/>
      <c r="VOM105" s="29"/>
      <c r="VON105" s="29"/>
      <c r="VOO105" s="29"/>
      <c r="VOP105" s="29"/>
      <c r="VOQ105" s="29"/>
      <c r="VOR105" s="29"/>
      <c r="VOS105" s="29"/>
      <c r="VOT105" s="29"/>
      <c r="VOU105" s="29"/>
      <c r="VOV105" s="29"/>
      <c r="VOW105" s="29"/>
      <c r="VOX105" s="29"/>
      <c r="VOY105" s="29"/>
      <c r="VOZ105" s="29"/>
      <c r="VPA105" s="29"/>
      <c r="VPB105" s="29"/>
      <c r="VPC105" s="29"/>
      <c r="VPD105" s="29"/>
      <c r="VPE105" s="29"/>
      <c r="VPF105" s="29"/>
      <c r="VPG105" s="29"/>
      <c r="VPH105" s="29"/>
      <c r="VPI105" s="29"/>
      <c r="VPJ105" s="29"/>
      <c r="VPK105" s="29"/>
      <c r="VPL105" s="29"/>
      <c r="VPM105" s="29"/>
      <c r="VPN105" s="29"/>
      <c r="VPO105" s="29"/>
      <c r="VPP105" s="29"/>
      <c r="VPQ105" s="29"/>
      <c r="VPR105" s="29"/>
      <c r="VPS105" s="29"/>
      <c r="VPT105" s="29"/>
      <c r="VPU105" s="29"/>
      <c r="VPV105" s="29"/>
      <c r="VPW105" s="29"/>
      <c r="VPX105" s="29"/>
      <c r="VPY105" s="29"/>
      <c r="VPZ105" s="29"/>
      <c r="VQA105" s="29"/>
      <c r="VQB105" s="29"/>
      <c r="VQC105" s="29"/>
      <c r="VQD105" s="29"/>
      <c r="VQE105" s="29"/>
      <c r="VQF105" s="29"/>
      <c r="VQG105" s="29"/>
      <c r="VQH105" s="29"/>
      <c r="VQI105" s="29"/>
      <c r="VQJ105" s="29"/>
      <c r="VQK105" s="29"/>
      <c r="VQL105" s="29"/>
      <c r="VQM105" s="29"/>
      <c r="VQN105" s="29"/>
      <c r="VQO105" s="29"/>
      <c r="VQP105" s="29"/>
      <c r="VQQ105" s="29"/>
      <c r="VQR105" s="29"/>
      <c r="VQS105" s="29"/>
      <c r="VQT105" s="29"/>
      <c r="VQU105" s="29"/>
      <c r="VQV105" s="29"/>
      <c r="VQW105" s="29"/>
      <c r="VQX105" s="29"/>
      <c r="VQY105" s="29"/>
      <c r="VQZ105" s="29"/>
      <c r="VRA105" s="29"/>
      <c r="VRB105" s="29"/>
      <c r="VRC105" s="29"/>
      <c r="VRD105" s="29"/>
      <c r="VRE105" s="29"/>
      <c r="VRF105" s="29"/>
      <c r="VRG105" s="29"/>
      <c r="VRH105" s="29"/>
      <c r="VRI105" s="29"/>
      <c r="VRJ105" s="29"/>
      <c r="VRK105" s="29"/>
      <c r="VRL105" s="29"/>
      <c r="VRM105" s="29"/>
      <c r="VRN105" s="29"/>
      <c r="VRO105" s="29"/>
      <c r="VRP105" s="29"/>
      <c r="VRQ105" s="29"/>
      <c r="VRR105" s="29"/>
      <c r="VRS105" s="29"/>
      <c r="VRT105" s="29"/>
      <c r="VRU105" s="29"/>
      <c r="VRV105" s="29"/>
      <c r="VRW105" s="29"/>
      <c r="VRX105" s="29"/>
      <c r="VRY105" s="29"/>
      <c r="VRZ105" s="29"/>
      <c r="VSA105" s="29"/>
      <c r="VSB105" s="29"/>
      <c r="VSC105" s="29"/>
      <c r="VSD105" s="29"/>
      <c r="VSE105" s="29"/>
      <c r="VSF105" s="29"/>
      <c r="VSG105" s="29"/>
      <c r="VSH105" s="29"/>
      <c r="VSI105" s="29"/>
      <c r="VSJ105" s="29"/>
      <c r="VSK105" s="29"/>
      <c r="VSL105" s="29"/>
      <c r="VSM105" s="29"/>
      <c r="VSN105" s="29"/>
      <c r="VSO105" s="29"/>
      <c r="VSP105" s="29"/>
      <c r="VSQ105" s="29"/>
      <c r="VSR105" s="29"/>
      <c r="VSS105" s="29"/>
      <c r="VST105" s="29"/>
      <c r="VSU105" s="29"/>
      <c r="VSV105" s="29"/>
      <c r="VSW105" s="29"/>
      <c r="VSX105" s="29"/>
      <c r="VSY105" s="29"/>
      <c r="VSZ105" s="29"/>
      <c r="VTA105" s="29"/>
      <c r="VTB105" s="29"/>
      <c r="VTC105" s="29"/>
      <c r="VTD105" s="29"/>
      <c r="VTE105" s="29"/>
      <c r="VTF105" s="29"/>
      <c r="VTG105" s="29"/>
      <c r="VTH105" s="29"/>
      <c r="VTI105" s="29"/>
      <c r="VTJ105" s="29"/>
      <c r="VTK105" s="29"/>
      <c r="VTL105" s="29"/>
      <c r="VTM105" s="29"/>
      <c r="VTN105" s="29"/>
      <c r="VTO105" s="29"/>
      <c r="VTP105" s="29"/>
      <c r="VTQ105" s="29"/>
      <c r="VTR105" s="29"/>
      <c r="VTS105" s="29"/>
      <c r="VTT105" s="29"/>
      <c r="VTU105" s="29"/>
      <c r="VTV105" s="29"/>
      <c r="VTW105" s="29"/>
      <c r="VTX105" s="29"/>
      <c r="VTY105" s="29"/>
      <c r="VTZ105" s="29"/>
      <c r="VUA105" s="29"/>
      <c r="VUB105" s="29"/>
      <c r="VUC105" s="29"/>
      <c r="VUD105" s="29"/>
      <c r="VUE105" s="29"/>
      <c r="VUF105" s="29"/>
      <c r="VUG105" s="29"/>
      <c r="VUH105" s="29"/>
      <c r="VUI105" s="29"/>
      <c r="VUJ105" s="29"/>
      <c r="VUK105" s="29"/>
      <c r="VUL105" s="29"/>
      <c r="VUM105" s="29"/>
      <c r="VUN105" s="29"/>
      <c r="VUO105" s="29"/>
      <c r="VUP105" s="29"/>
      <c r="VUQ105" s="29"/>
      <c r="VUR105" s="29"/>
      <c r="VUS105" s="29"/>
      <c r="VUT105" s="29"/>
      <c r="VUU105" s="29"/>
      <c r="VUV105" s="29"/>
      <c r="VUW105" s="29"/>
      <c r="VUX105" s="29"/>
      <c r="VUY105" s="29"/>
      <c r="VUZ105" s="29"/>
      <c r="VVA105" s="29"/>
      <c r="VVB105" s="29"/>
      <c r="VVC105" s="29"/>
      <c r="VVD105" s="29"/>
      <c r="VVE105" s="29"/>
      <c r="VVF105" s="29"/>
      <c r="VVG105" s="29"/>
      <c r="VVH105" s="29"/>
      <c r="VVI105" s="29"/>
      <c r="VVJ105" s="29"/>
      <c r="VVK105" s="29"/>
      <c r="VVL105" s="29"/>
      <c r="VVM105" s="29"/>
      <c r="VVN105" s="29"/>
      <c r="VVO105" s="29"/>
      <c r="VVP105" s="29"/>
      <c r="VVQ105" s="29"/>
      <c r="VVR105" s="29"/>
      <c r="VVS105" s="29"/>
      <c r="VVT105" s="29"/>
      <c r="VVU105" s="29"/>
      <c r="VVV105" s="29"/>
      <c r="VVW105" s="29"/>
      <c r="VVX105" s="29"/>
      <c r="VVY105" s="29"/>
      <c r="VVZ105" s="29"/>
      <c r="VWA105" s="29"/>
      <c r="VWB105" s="29"/>
      <c r="VWC105" s="29"/>
      <c r="VWD105" s="29"/>
      <c r="VWE105" s="29"/>
      <c r="VWF105" s="29"/>
      <c r="VWG105" s="29"/>
      <c r="VWH105" s="29"/>
      <c r="VWI105" s="29"/>
      <c r="VWJ105" s="29"/>
      <c r="VWK105" s="29"/>
      <c r="VWL105" s="29"/>
      <c r="VWM105" s="29"/>
      <c r="VWN105" s="29"/>
      <c r="VWO105" s="29"/>
      <c r="VWP105" s="29"/>
      <c r="VWQ105" s="29"/>
      <c r="VWR105" s="29"/>
      <c r="VWS105" s="29"/>
      <c r="VWT105" s="29"/>
      <c r="VWU105" s="29"/>
      <c r="VWV105" s="29"/>
      <c r="VWW105" s="29"/>
      <c r="VWX105" s="29"/>
      <c r="VWY105" s="29"/>
      <c r="VWZ105" s="29"/>
      <c r="VXA105" s="29"/>
      <c r="VXB105" s="29"/>
      <c r="VXC105" s="29"/>
      <c r="VXD105" s="29"/>
      <c r="VXE105" s="29"/>
      <c r="VXF105" s="29"/>
      <c r="VXG105" s="29"/>
      <c r="VXH105" s="29"/>
      <c r="VXI105" s="29"/>
      <c r="VXJ105" s="29"/>
      <c r="VXK105" s="29"/>
      <c r="VXL105" s="29"/>
      <c r="VXM105" s="29"/>
      <c r="VXN105" s="29"/>
      <c r="VXO105" s="29"/>
      <c r="VXP105" s="29"/>
      <c r="VXQ105" s="29"/>
      <c r="VXR105" s="29"/>
      <c r="VXS105" s="29"/>
      <c r="VXT105" s="29"/>
      <c r="VXU105" s="29"/>
      <c r="VXV105" s="29"/>
      <c r="VXW105" s="29"/>
      <c r="VXX105" s="29"/>
      <c r="VXY105" s="29"/>
      <c r="VXZ105" s="29"/>
      <c r="VYA105" s="29"/>
      <c r="VYB105" s="29"/>
      <c r="VYC105" s="29"/>
      <c r="VYD105" s="29"/>
      <c r="VYE105" s="29"/>
      <c r="VYF105" s="29"/>
      <c r="VYG105" s="29"/>
      <c r="VYH105" s="29"/>
      <c r="VYI105" s="29"/>
      <c r="VYJ105" s="29"/>
      <c r="VYK105" s="29"/>
      <c r="VYL105" s="29"/>
      <c r="VYM105" s="29"/>
      <c r="VYN105" s="29"/>
      <c r="VYO105" s="29"/>
      <c r="VYP105" s="29"/>
      <c r="VYQ105" s="29"/>
      <c r="VYR105" s="29"/>
      <c r="VYS105" s="29"/>
      <c r="VYT105" s="29"/>
      <c r="VYU105" s="29"/>
      <c r="VYV105" s="29"/>
      <c r="VYW105" s="29"/>
      <c r="VYX105" s="29"/>
      <c r="VYY105" s="29"/>
      <c r="VYZ105" s="29"/>
      <c r="VZA105" s="29"/>
      <c r="VZB105" s="29"/>
      <c r="VZC105" s="29"/>
      <c r="VZD105" s="29"/>
      <c r="VZE105" s="29"/>
      <c r="VZF105" s="29"/>
      <c r="VZG105" s="29"/>
      <c r="VZH105" s="29"/>
      <c r="VZI105" s="29"/>
      <c r="VZJ105" s="29"/>
      <c r="VZK105" s="29"/>
      <c r="VZL105" s="29"/>
      <c r="VZM105" s="29"/>
      <c r="VZN105" s="29"/>
      <c r="VZO105" s="29"/>
      <c r="VZP105" s="29"/>
      <c r="VZQ105" s="29"/>
      <c r="VZR105" s="29"/>
      <c r="VZS105" s="29"/>
      <c r="VZT105" s="29"/>
      <c r="VZU105" s="29"/>
      <c r="VZV105" s="29"/>
      <c r="VZW105" s="29"/>
      <c r="VZX105" s="29"/>
      <c r="VZY105" s="29"/>
      <c r="VZZ105" s="29"/>
      <c r="WAA105" s="29"/>
      <c r="WAB105" s="29"/>
      <c r="WAC105" s="29"/>
      <c r="WAD105" s="29"/>
      <c r="WAE105" s="29"/>
      <c r="WAF105" s="29"/>
      <c r="WAG105" s="29"/>
      <c r="WAH105" s="29"/>
      <c r="WAI105" s="29"/>
      <c r="WAJ105" s="29"/>
      <c r="WAK105" s="29"/>
      <c r="WAL105" s="29"/>
      <c r="WAM105" s="29"/>
      <c r="WAN105" s="29"/>
      <c r="WAO105" s="29"/>
      <c r="WAP105" s="29"/>
      <c r="WAQ105" s="29"/>
      <c r="WAR105" s="29"/>
      <c r="WAS105" s="29"/>
      <c r="WAT105" s="29"/>
      <c r="WAU105" s="29"/>
      <c r="WAV105" s="29"/>
      <c r="WAW105" s="29"/>
      <c r="WAX105" s="29"/>
      <c r="WAY105" s="29"/>
      <c r="WAZ105" s="29"/>
      <c r="WBA105" s="29"/>
      <c r="WBB105" s="29"/>
      <c r="WBC105" s="29"/>
      <c r="WBD105" s="29"/>
      <c r="WBE105" s="29"/>
      <c r="WBF105" s="29"/>
      <c r="WBG105" s="29"/>
      <c r="WBH105" s="29"/>
      <c r="WBI105" s="29"/>
      <c r="WBJ105" s="29"/>
      <c r="WBK105" s="29"/>
      <c r="WBL105" s="29"/>
      <c r="WBM105" s="29"/>
      <c r="WBN105" s="29"/>
      <c r="WBO105" s="29"/>
      <c r="WBP105" s="29"/>
      <c r="WBQ105" s="29"/>
      <c r="WBR105" s="29"/>
      <c r="WBS105" s="29"/>
      <c r="WBT105" s="29"/>
      <c r="WBU105" s="29"/>
      <c r="WBV105" s="29"/>
      <c r="WBW105" s="29"/>
      <c r="WBX105" s="29"/>
      <c r="WBY105" s="29"/>
      <c r="WBZ105" s="29"/>
      <c r="WCA105" s="29"/>
      <c r="WCB105" s="29"/>
      <c r="WCC105" s="29"/>
      <c r="WCD105" s="29"/>
      <c r="WCE105" s="29"/>
      <c r="WCF105" s="29"/>
      <c r="WCG105" s="29"/>
      <c r="WCH105" s="29"/>
      <c r="WCI105" s="29"/>
      <c r="WCJ105" s="29"/>
      <c r="WCK105" s="29"/>
      <c r="WCL105" s="29"/>
      <c r="WCM105" s="29"/>
      <c r="WCN105" s="29"/>
      <c r="WCO105" s="29"/>
      <c r="WCP105" s="29"/>
      <c r="WCQ105" s="29"/>
      <c r="WCR105" s="29"/>
      <c r="WCS105" s="29"/>
      <c r="WCT105" s="29"/>
      <c r="WCU105" s="29"/>
      <c r="WCV105" s="29"/>
      <c r="WCW105" s="29"/>
      <c r="WCX105" s="29"/>
      <c r="WCY105" s="29"/>
      <c r="WCZ105" s="29"/>
      <c r="WDA105" s="29"/>
      <c r="WDB105" s="29"/>
      <c r="WDC105" s="29"/>
      <c r="WDD105" s="29"/>
      <c r="WDE105" s="29"/>
      <c r="WDF105" s="29"/>
      <c r="WDG105" s="29"/>
      <c r="WDH105" s="29"/>
      <c r="WDI105" s="29"/>
      <c r="WDJ105" s="29"/>
      <c r="WDK105" s="29"/>
      <c r="WDL105" s="29"/>
      <c r="WDM105" s="29"/>
      <c r="WDN105" s="29"/>
      <c r="WDO105" s="29"/>
      <c r="WDP105" s="29"/>
      <c r="WDQ105" s="29"/>
      <c r="WDR105" s="29"/>
      <c r="WDS105" s="29"/>
      <c r="WDT105" s="29"/>
      <c r="WDU105" s="29"/>
      <c r="WDV105" s="29"/>
      <c r="WDW105" s="29"/>
      <c r="WDX105" s="29"/>
      <c r="WDY105" s="29"/>
      <c r="WDZ105" s="29"/>
      <c r="WEA105" s="29"/>
      <c r="WEB105" s="29"/>
      <c r="WEC105" s="29"/>
      <c r="WED105" s="29"/>
      <c r="WEE105" s="29"/>
      <c r="WEF105" s="29"/>
      <c r="WEG105" s="29"/>
      <c r="WEH105" s="29"/>
      <c r="WEI105" s="29"/>
      <c r="WEJ105" s="29"/>
      <c r="WEK105" s="29"/>
      <c r="WEL105" s="29"/>
      <c r="WEM105" s="29"/>
      <c r="WEN105" s="29"/>
      <c r="WEO105" s="29"/>
      <c r="WEP105" s="29"/>
      <c r="WEQ105" s="29"/>
      <c r="WER105" s="29"/>
      <c r="WES105" s="29"/>
      <c r="WET105" s="29"/>
      <c r="WEU105" s="29"/>
      <c r="WEV105" s="29"/>
      <c r="WEW105" s="29"/>
      <c r="WEX105" s="29"/>
      <c r="WEY105" s="29"/>
      <c r="WEZ105" s="29"/>
      <c r="WFA105" s="29"/>
      <c r="WFB105" s="29"/>
      <c r="WFC105" s="29"/>
      <c r="WFD105" s="29"/>
      <c r="WFE105" s="29"/>
      <c r="WFF105" s="29"/>
      <c r="WFG105" s="29"/>
      <c r="WFH105" s="29"/>
      <c r="WFI105" s="29"/>
      <c r="WFJ105" s="29"/>
      <c r="WFK105" s="29"/>
      <c r="WFL105" s="29"/>
      <c r="WFM105" s="29"/>
      <c r="WFN105" s="29"/>
      <c r="WFO105" s="29"/>
      <c r="WFP105" s="29"/>
      <c r="WFQ105" s="29"/>
      <c r="WFR105" s="29"/>
      <c r="WFS105" s="29"/>
      <c r="WFT105" s="29"/>
      <c r="WFU105" s="29"/>
      <c r="WFV105" s="29"/>
      <c r="WFW105" s="29"/>
      <c r="WFX105" s="29"/>
      <c r="WFY105" s="29"/>
      <c r="WFZ105" s="29"/>
      <c r="WGA105" s="29"/>
      <c r="WGB105" s="29"/>
      <c r="WGC105" s="29"/>
      <c r="WGD105" s="29"/>
      <c r="WGE105" s="29"/>
      <c r="WGF105" s="29"/>
      <c r="WGG105" s="29"/>
      <c r="WGH105" s="29"/>
      <c r="WGI105" s="29"/>
      <c r="WGJ105" s="29"/>
      <c r="WGK105" s="29"/>
      <c r="WGL105" s="29"/>
      <c r="WGM105" s="29"/>
      <c r="WGN105" s="29"/>
      <c r="WGO105" s="29"/>
      <c r="WGP105" s="29"/>
      <c r="WGQ105" s="29"/>
      <c r="WGR105" s="29"/>
      <c r="WGS105" s="29"/>
      <c r="WGT105" s="29"/>
      <c r="WGU105" s="29"/>
      <c r="WGV105" s="29"/>
      <c r="WGW105" s="29"/>
      <c r="WGX105" s="29"/>
      <c r="WGY105" s="29"/>
      <c r="WGZ105" s="29"/>
      <c r="WHA105" s="29"/>
      <c r="WHB105" s="29"/>
      <c r="WHC105" s="29"/>
      <c r="WHD105" s="29"/>
      <c r="WHE105" s="29"/>
      <c r="WHF105" s="29"/>
      <c r="WHG105" s="29"/>
      <c r="WHH105" s="29"/>
      <c r="WHI105" s="29"/>
      <c r="WHJ105" s="29"/>
      <c r="WHK105" s="29"/>
      <c r="WHL105" s="29"/>
      <c r="WHM105" s="29"/>
      <c r="WHN105" s="29"/>
      <c r="WHO105" s="29"/>
      <c r="WHP105" s="29"/>
      <c r="WHQ105" s="29"/>
      <c r="WHR105" s="29"/>
      <c r="WHS105" s="29"/>
      <c r="WHT105" s="29"/>
      <c r="WHU105" s="29"/>
      <c r="WHV105" s="29"/>
      <c r="WHW105" s="29"/>
      <c r="WHX105" s="29"/>
      <c r="WHY105" s="29"/>
      <c r="WHZ105" s="29"/>
      <c r="WIA105" s="29"/>
      <c r="WIB105" s="29"/>
      <c r="WIC105" s="29"/>
      <c r="WID105" s="29"/>
      <c r="WIE105" s="29"/>
      <c r="WIF105" s="29"/>
      <c r="WIG105" s="29"/>
      <c r="WIH105" s="29"/>
      <c r="WII105" s="29"/>
      <c r="WIJ105" s="29"/>
      <c r="WIK105" s="29"/>
      <c r="WIL105" s="29"/>
      <c r="WIM105" s="29"/>
      <c r="WIN105" s="29"/>
      <c r="WIO105" s="29"/>
      <c r="WIP105" s="29"/>
      <c r="WIQ105" s="29"/>
      <c r="WIR105" s="29"/>
      <c r="WIS105" s="29"/>
      <c r="WIT105" s="29"/>
      <c r="WIU105" s="29"/>
      <c r="WIV105" s="29"/>
      <c r="WIW105" s="29"/>
      <c r="WIX105" s="29"/>
      <c r="WIY105" s="29"/>
      <c r="WIZ105" s="29"/>
      <c r="WJA105" s="29"/>
      <c r="WJB105" s="29"/>
      <c r="WJC105" s="29"/>
      <c r="WJD105" s="29"/>
      <c r="WJE105" s="29"/>
      <c r="WJF105" s="29"/>
      <c r="WJG105" s="29"/>
      <c r="WJH105" s="29"/>
      <c r="WJI105" s="29"/>
      <c r="WJJ105" s="29"/>
      <c r="WJK105" s="29"/>
      <c r="WJL105" s="29"/>
      <c r="WJM105" s="29"/>
      <c r="WJN105" s="29"/>
      <c r="WJO105" s="29"/>
      <c r="WJP105" s="29"/>
      <c r="WJQ105" s="29"/>
      <c r="WJR105" s="29"/>
      <c r="WJS105" s="29"/>
      <c r="WJT105" s="29"/>
      <c r="WJU105" s="29"/>
      <c r="WJV105" s="29"/>
      <c r="WJW105" s="29"/>
      <c r="WJX105" s="29"/>
      <c r="WJY105" s="29"/>
      <c r="WJZ105" s="29"/>
      <c r="WKA105" s="29"/>
      <c r="WKB105" s="29"/>
      <c r="WKC105" s="29"/>
      <c r="WKD105" s="29"/>
      <c r="WKE105" s="29"/>
      <c r="WKF105" s="29"/>
      <c r="WKG105" s="29"/>
      <c r="WKH105" s="29"/>
      <c r="WKI105" s="29"/>
      <c r="WKJ105" s="29"/>
      <c r="WKK105" s="29"/>
      <c r="WKL105" s="29"/>
      <c r="WKM105" s="29"/>
      <c r="WKN105" s="29"/>
      <c r="WKO105" s="29"/>
      <c r="WKP105" s="29"/>
      <c r="WKQ105" s="29"/>
      <c r="WKR105" s="29"/>
      <c r="WKS105" s="29"/>
      <c r="WKT105" s="29"/>
      <c r="WKU105" s="29"/>
      <c r="WKV105" s="29"/>
      <c r="WKW105" s="29"/>
      <c r="WKX105" s="29"/>
      <c r="WKY105" s="29"/>
      <c r="WKZ105" s="29"/>
      <c r="WLA105" s="29"/>
      <c r="WLB105" s="29"/>
      <c r="WLC105" s="29"/>
      <c r="WLD105" s="29"/>
      <c r="WLE105" s="29"/>
      <c r="WLF105" s="29"/>
      <c r="WLG105" s="29"/>
      <c r="WLH105" s="29"/>
      <c r="WLI105" s="29"/>
      <c r="WLJ105" s="29"/>
      <c r="WLK105" s="29"/>
      <c r="WLL105" s="29"/>
      <c r="WLM105" s="29"/>
      <c r="WLN105" s="29"/>
      <c r="WLO105" s="29"/>
      <c r="WLP105" s="29"/>
      <c r="WLQ105" s="29"/>
      <c r="WLR105" s="29"/>
      <c r="WLS105" s="29"/>
      <c r="WLT105" s="29"/>
      <c r="WLU105" s="29"/>
      <c r="WLV105" s="29"/>
      <c r="WLW105" s="29"/>
      <c r="WLX105" s="29"/>
      <c r="WLY105" s="29"/>
      <c r="WLZ105" s="29"/>
      <c r="WMA105" s="29"/>
      <c r="WMB105" s="29"/>
      <c r="WMC105" s="29"/>
      <c r="WMD105" s="29"/>
      <c r="WME105" s="29"/>
      <c r="WMF105" s="29"/>
      <c r="WMG105" s="29"/>
      <c r="WMH105" s="29"/>
      <c r="WMI105" s="29"/>
      <c r="WMJ105" s="29"/>
      <c r="WMK105" s="29"/>
      <c r="WML105" s="29"/>
      <c r="WMM105" s="29"/>
      <c r="WMN105" s="29"/>
      <c r="WMO105" s="29"/>
      <c r="WMP105" s="29"/>
      <c r="WMQ105" s="29"/>
      <c r="WMR105" s="29"/>
      <c r="WMS105" s="29"/>
      <c r="WMT105" s="29"/>
      <c r="WMU105" s="29"/>
      <c r="WMV105" s="29"/>
      <c r="WMW105" s="29"/>
      <c r="WMX105" s="29"/>
      <c r="WMY105" s="29"/>
      <c r="WMZ105" s="29"/>
      <c r="WNA105" s="29"/>
      <c r="WNB105" s="29"/>
      <c r="WNC105" s="29"/>
      <c r="WND105" s="29"/>
      <c r="WNE105" s="29"/>
      <c r="WNF105" s="29"/>
      <c r="WNG105" s="29"/>
      <c r="WNH105" s="29"/>
      <c r="WNI105" s="29"/>
      <c r="WNJ105" s="29"/>
      <c r="WNK105" s="29"/>
      <c r="WNL105" s="29"/>
      <c r="WNM105" s="29"/>
      <c r="WNN105" s="29"/>
      <c r="WNO105" s="29"/>
      <c r="WNP105" s="29"/>
      <c r="WNQ105" s="29"/>
      <c r="WNR105" s="29"/>
      <c r="WNS105" s="29"/>
      <c r="WNT105" s="29"/>
      <c r="WNU105" s="29"/>
      <c r="WNV105" s="29"/>
      <c r="WNW105" s="29"/>
      <c r="WNX105" s="29"/>
      <c r="WNY105" s="29"/>
      <c r="WNZ105" s="29"/>
      <c r="WOA105" s="29"/>
      <c r="WOB105" s="29"/>
      <c r="WOC105" s="29"/>
      <c r="WOD105" s="29"/>
      <c r="WOE105" s="29"/>
      <c r="WOF105" s="29"/>
      <c r="WOG105" s="29"/>
      <c r="WOH105" s="29"/>
      <c r="WOI105" s="29"/>
      <c r="WOJ105" s="29"/>
      <c r="WOK105" s="29"/>
      <c r="WOL105" s="29"/>
      <c r="WOM105" s="29"/>
      <c r="WON105" s="29"/>
      <c r="WOO105" s="29"/>
      <c r="WOP105" s="29"/>
      <c r="WOQ105" s="29"/>
      <c r="WOR105" s="29"/>
      <c r="WOS105" s="29"/>
      <c r="WOT105" s="29"/>
      <c r="WOU105" s="29"/>
      <c r="WOV105" s="29"/>
      <c r="WOW105" s="29"/>
      <c r="WOX105" s="29"/>
      <c r="WOY105" s="29"/>
      <c r="WOZ105" s="29"/>
      <c r="WPA105" s="29"/>
      <c r="WPB105" s="29"/>
      <c r="WPC105" s="29"/>
      <c r="WPD105" s="29"/>
      <c r="WPE105" s="29"/>
      <c r="WPF105" s="29"/>
      <c r="WPG105" s="29"/>
      <c r="WPH105" s="29"/>
      <c r="WPI105" s="29"/>
      <c r="WPJ105" s="29"/>
      <c r="WPK105" s="29"/>
      <c r="WPL105" s="29"/>
      <c r="WPM105" s="29"/>
      <c r="WPN105" s="29"/>
      <c r="WPO105" s="29"/>
      <c r="WPP105" s="29"/>
      <c r="WPQ105" s="29"/>
      <c r="WPR105" s="29"/>
      <c r="WPS105" s="29"/>
      <c r="WPT105" s="29"/>
      <c r="WPU105" s="29"/>
      <c r="WPV105" s="29"/>
      <c r="WPW105" s="29"/>
      <c r="WPX105" s="29"/>
      <c r="WPY105" s="29"/>
      <c r="WPZ105" s="29"/>
      <c r="WQA105" s="29"/>
      <c r="WQB105" s="29"/>
      <c r="WQC105" s="29"/>
      <c r="WQD105" s="29"/>
      <c r="WQE105" s="29"/>
      <c r="WQF105" s="29"/>
      <c r="WQG105" s="29"/>
      <c r="WQH105" s="29"/>
      <c r="WQI105" s="29"/>
      <c r="WQJ105" s="29"/>
      <c r="WQK105" s="29"/>
      <c r="WQL105" s="29"/>
      <c r="WQM105" s="29"/>
      <c r="WQN105" s="29"/>
      <c r="WQO105" s="29"/>
      <c r="WQP105" s="29"/>
      <c r="WQQ105" s="29"/>
      <c r="WQR105" s="29"/>
      <c r="WQS105" s="29"/>
      <c r="WQT105" s="29"/>
      <c r="WQU105" s="29"/>
      <c r="WQV105" s="29"/>
      <c r="WQW105" s="29"/>
      <c r="WQX105" s="29"/>
      <c r="WQY105" s="29"/>
      <c r="WQZ105" s="29"/>
      <c r="WRA105" s="29"/>
      <c r="WRB105" s="29"/>
      <c r="WRC105" s="29"/>
      <c r="WRD105" s="29"/>
      <c r="WRE105" s="29"/>
      <c r="WRF105" s="29"/>
      <c r="WRG105" s="29"/>
      <c r="WRH105" s="29"/>
      <c r="WRI105" s="29"/>
      <c r="WRJ105" s="29"/>
      <c r="WRK105" s="29"/>
      <c r="WRL105" s="29"/>
      <c r="WRM105" s="29"/>
      <c r="WRN105" s="29"/>
      <c r="WRO105" s="29"/>
      <c r="WRP105" s="29"/>
      <c r="WRQ105" s="29"/>
      <c r="WRR105" s="29"/>
      <c r="WRS105" s="29"/>
      <c r="WRT105" s="29"/>
      <c r="WRU105" s="29"/>
      <c r="WRV105" s="29"/>
      <c r="WRW105" s="29"/>
      <c r="WRX105" s="29"/>
      <c r="WRY105" s="29"/>
      <c r="WRZ105" s="29"/>
      <c r="WSA105" s="29"/>
      <c r="WSB105" s="29"/>
      <c r="WSC105" s="29"/>
      <c r="WSD105" s="29"/>
      <c r="WSE105" s="29"/>
      <c r="WSF105" s="29"/>
      <c r="WSG105" s="29"/>
      <c r="WSH105" s="29"/>
      <c r="WSI105" s="29"/>
      <c r="WSJ105" s="29"/>
      <c r="WSK105" s="29"/>
      <c r="WSL105" s="29"/>
      <c r="WSM105" s="29"/>
      <c r="WSN105" s="29"/>
      <c r="WSO105" s="29"/>
      <c r="WSP105" s="29"/>
      <c r="WSQ105" s="29"/>
      <c r="WSR105" s="29"/>
      <c r="WSS105" s="29"/>
      <c r="WST105" s="29"/>
      <c r="WSU105" s="29"/>
      <c r="WSV105" s="29"/>
      <c r="WSW105" s="29"/>
      <c r="WSX105" s="29"/>
      <c r="WSY105" s="29"/>
      <c r="WSZ105" s="29"/>
      <c r="WTA105" s="29"/>
      <c r="WTB105" s="29"/>
      <c r="WTC105" s="29"/>
      <c r="WTD105" s="29"/>
      <c r="WTE105" s="29"/>
      <c r="WTF105" s="29"/>
      <c r="WTG105" s="29"/>
      <c r="WTH105" s="29"/>
      <c r="WTI105" s="29"/>
      <c r="WTJ105" s="29"/>
      <c r="WTK105" s="29"/>
      <c r="WTL105" s="29"/>
      <c r="WTM105" s="29"/>
      <c r="WTN105" s="29"/>
      <c r="WTO105" s="29"/>
      <c r="WTP105" s="29"/>
      <c r="WTQ105" s="29"/>
      <c r="WTR105" s="29"/>
      <c r="WTS105" s="29"/>
      <c r="WTT105" s="29"/>
      <c r="WTU105" s="29"/>
      <c r="WTV105" s="29"/>
      <c r="WTW105" s="29"/>
      <c r="WTX105" s="29"/>
      <c r="WTY105" s="29"/>
      <c r="WTZ105" s="29"/>
      <c r="WUA105" s="29"/>
      <c r="WUB105" s="29"/>
      <c r="WUC105" s="29"/>
      <c r="WUD105" s="29"/>
      <c r="WUE105" s="29"/>
      <c r="WUF105" s="29"/>
      <c r="WUG105" s="29"/>
      <c r="WUH105" s="29"/>
      <c r="WUI105" s="29"/>
      <c r="WUJ105" s="29"/>
      <c r="WUK105" s="29"/>
      <c r="WUL105" s="29"/>
      <c r="WUM105" s="29"/>
      <c r="WUN105" s="29"/>
      <c r="WUO105" s="29"/>
      <c r="WUP105" s="29"/>
      <c r="WUQ105" s="29"/>
      <c r="WUR105" s="29"/>
      <c r="WUS105" s="29"/>
      <c r="WUT105" s="29"/>
      <c r="WUU105" s="29"/>
      <c r="WUV105" s="29"/>
      <c r="WUW105" s="29"/>
      <c r="WUX105" s="29"/>
      <c r="WUY105" s="29"/>
      <c r="WUZ105" s="29"/>
      <c r="WVA105" s="29"/>
      <c r="WVB105" s="29"/>
      <c r="WVC105" s="29"/>
      <c r="WVD105" s="29"/>
      <c r="WVE105" s="29"/>
      <c r="WVF105" s="29"/>
      <c r="WVG105" s="29"/>
      <c r="WVH105" s="29"/>
      <c r="WVI105" s="29"/>
      <c r="WVJ105" s="29"/>
      <c r="WVK105" s="29"/>
      <c r="WVL105" s="29"/>
      <c r="WVM105" s="29"/>
      <c r="WVN105" s="29"/>
      <c r="WVO105" s="29"/>
      <c r="WVP105" s="29"/>
      <c r="WVQ105" s="29"/>
      <c r="WVR105" s="29"/>
      <c r="WVS105" s="29"/>
      <c r="WVT105" s="29"/>
      <c r="WVU105" s="29"/>
      <c r="WVV105" s="29"/>
      <c r="WVW105" s="29"/>
      <c r="WVX105" s="29"/>
      <c r="WVY105" s="29"/>
      <c r="WVZ105" s="29"/>
      <c r="WWA105" s="29"/>
      <c r="WWB105" s="29"/>
      <c r="WWC105" s="29"/>
      <c r="WWD105" s="29"/>
      <c r="WWE105" s="29"/>
      <c r="WWF105" s="29"/>
      <c r="WWG105" s="29"/>
      <c r="WWH105" s="29"/>
      <c r="WWI105" s="29"/>
      <c r="WWJ105" s="29"/>
      <c r="WWK105" s="29"/>
      <c r="WWL105" s="29"/>
      <c r="WWM105" s="29"/>
      <c r="WWN105" s="29"/>
      <c r="WWO105" s="29"/>
      <c r="WWP105" s="29"/>
      <c r="WWQ105" s="29"/>
      <c r="WWR105" s="29"/>
      <c r="WWS105" s="29"/>
      <c r="WWT105" s="29"/>
      <c r="WWU105" s="29"/>
      <c r="WWV105" s="29"/>
      <c r="WWW105" s="29"/>
      <c r="WWX105" s="29"/>
      <c r="WWY105" s="29"/>
      <c r="WWZ105" s="29"/>
      <c r="WXA105" s="29"/>
      <c r="WXB105" s="29"/>
      <c r="WXC105" s="29"/>
      <c r="WXD105" s="29"/>
      <c r="WXE105" s="29"/>
      <c r="WXF105" s="29"/>
      <c r="WXG105" s="29"/>
      <c r="WXH105" s="29"/>
      <c r="WXI105" s="29"/>
      <c r="WXJ105" s="29"/>
      <c r="WXK105" s="29"/>
      <c r="WXL105" s="29"/>
      <c r="WXM105" s="29"/>
      <c r="WXN105" s="29"/>
      <c r="WXO105" s="29"/>
      <c r="WXP105" s="29"/>
      <c r="WXQ105" s="29"/>
      <c r="WXR105" s="29"/>
      <c r="WXS105" s="29"/>
      <c r="WXT105" s="29"/>
      <c r="WXU105" s="29"/>
      <c r="WXV105" s="29"/>
      <c r="WXW105" s="29"/>
      <c r="WXX105" s="29"/>
      <c r="WXY105" s="29"/>
      <c r="WXZ105" s="29"/>
      <c r="WYA105" s="29"/>
      <c r="WYB105" s="29"/>
      <c r="WYC105" s="29"/>
      <c r="WYD105" s="29"/>
      <c r="WYE105" s="29"/>
      <c r="WYF105" s="29"/>
      <c r="WYG105" s="29"/>
      <c r="WYH105" s="29"/>
      <c r="WYI105" s="29"/>
      <c r="WYJ105" s="29"/>
      <c r="WYK105" s="29"/>
      <c r="WYL105" s="29"/>
      <c r="WYM105" s="29"/>
      <c r="WYN105" s="29"/>
      <c r="WYO105" s="29"/>
      <c r="WYP105" s="29"/>
      <c r="WYQ105" s="29"/>
      <c r="WYR105" s="29"/>
      <c r="WYS105" s="29"/>
      <c r="WYT105" s="29"/>
      <c r="WYU105" s="29"/>
      <c r="WYV105" s="29"/>
      <c r="WYW105" s="29"/>
      <c r="WYX105" s="29"/>
      <c r="WYY105" s="29"/>
      <c r="WYZ105" s="29"/>
      <c r="WZA105" s="29"/>
      <c r="WZB105" s="29"/>
      <c r="WZC105" s="29"/>
      <c r="WZD105" s="29"/>
      <c r="WZE105" s="29"/>
      <c r="WZF105" s="29"/>
      <c r="WZG105" s="29"/>
      <c r="WZH105" s="29"/>
      <c r="WZI105" s="29"/>
      <c r="WZJ105" s="29"/>
      <c r="WZK105" s="29"/>
      <c r="WZL105" s="29"/>
      <c r="WZM105" s="29"/>
      <c r="WZN105" s="29"/>
      <c r="WZO105" s="29"/>
      <c r="WZP105" s="29"/>
      <c r="WZQ105" s="29"/>
      <c r="WZR105" s="29"/>
      <c r="WZS105" s="29"/>
      <c r="WZT105" s="29"/>
      <c r="WZU105" s="29"/>
      <c r="WZV105" s="29"/>
      <c r="WZW105" s="29"/>
      <c r="WZX105" s="29"/>
      <c r="WZY105" s="29"/>
      <c r="WZZ105" s="29"/>
      <c r="XAA105" s="29"/>
      <c r="XAB105" s="29"/>
      <c r="XAC105" s="29"/>
      <c r="XAD105" s="29"/>
      <c r="XAE105" s="29"/>
      <c r="XAF105" s="29"/>
      <c r="XAG105" s="29"/>
      <c r="XAH105" s="29"/>
      <c r="XAI105" s="29"/>
      <c r="XAJ105" s="29"/>
      <c r="XAK105" s="29"/>
      <c r="XAL105" s="29"/>
      <c r="XAM105" s="29"/>
      <c r="XAN105" s="29"/>
      <c r="XAO105" s="29"/>
      <c r="XAP105" s="29"/>
      <c r="XAQ105" s="29"/>
      <c r="XAR105" s="29"/>
      <c r="XAS105" s="29"/>
      <c r="XAT105" s="29"/>
      <c r="XAU105" s="29"/>
      <c r="XAV105" s="29"/>
      <c r="XAW105" s="29"/>
      <c r="XAX105" s="29"/>
      <c r="XAY105" s="29"/>
      <c r="XAZ105" s="29"/>
      <c r="XBA105" s="29"/>
      <c r="XBB105" s="29"/>
      <c r="XBC105" s="29"/>
      <c r="XBD105" s="29"/>
      <c r="XBE105" s="29"/>
      <c r="XBF105" s="29"/>
      <c r="XBG105" s="29"/>
      <c r="XBH105" s="29"/>
      <c r="XBI105" s="29"/>
      <c r="XBJ105" s="29"/>
      <c r="XBK105" s="29"/>
      <c r="XBL105" s="29"/>
      <c r="XBM105" s="29"/>
      <c r="XBN105" s="29"/>
      <c r="XBO105" s="29"/>
      <c r="XBP105" s="29"/>
      <c r="XBQ105" s="29"/>
      <c r="XBR105" s="29"/>
      <c r="XBS105" s="29"/>
      <c r="XBT105" s="29"/>
      <c r="XBU105" s="29"/>
      <c r="XBV105" s="29"/>
      <c r="XBW105" s="29"/>
      <c r="XBX105" s="29"/>
      <c r="XBY105" s="29"/>
      <c r="XBZ105" s="29"/>
      <c r="XCA105" s="29"/>
      <c r="XCB105" s="29"/>
      <c r="XCC105" s="29"/>
      <c r="XCD105" s="29"/>
      <c r="XCE105" s="29"/>
      <c r="XCF105" s="29"/>
      <c r="XCG105" s="29"/>
      <c r="XCH105" s="29"/>
      <c r="XCI105" s="29"/>
      <c r="XCJ105" s="29"/>
      <c r="XCK105" s="29"/>
      <c r="XCL105" s="29"/>
      <c r="XCM105" s="29"/>
      <c r="XCN105" s="29"/>
      <c r="XCO105" s="29"/>
      <c r="XCP105" s="29"/>
      <c r="XCQ105" s="29"/>
      <c r="XCR105" s="29"/>
      <c r="XCS105" s="29"/>
      <c r="XCT105" s="29"/>
      <c r="XCU105" s="29"/>
      <c r="XCV105" s="29"/>
      <c r="XCW105" s="29"/>
      <c r="XCX105" s="29"/>
      <c r="XCY105" s="29"/>
      <c r="XCZ105" s="29"/>
      <c r="XDA105" s="29"/>
      <c r="XDB105" s="29"/>
      <c r="XDC105" s="29"/>
      <c r="XDD105" s="29"/>
      <c r="XDE105" s="29"/>
      <c r="XDF105" s="29"/>
      <c r="XDG105" s="29"/>
      <c r="XDH105" s="29"/>
      <c r="XDI105" s="29"/>
      <c r="XDJ105" s="29"/>
      <c r="XDK105" s="29"/>
      <c r="XDL105" s="29"/>
      <c r="XDM105" s="29"/>
      <c r="XDN105" s="29"/>
      <c r="XDO105" s="29"/>
      <c r="XDP105" s="29"/>
      <c r="XDQ105" s="29"/>
      <c r="XDR105" s="29"/>
      <c r="XDS105" s="29"/>
      <c r="XDT105" s="29"/>
      <c r="XDU105" s="29"/>
      <c r="XDV105" s="29"/>
      <c r="XDW105" s="29"/>
      <c r="XDX105" s="29"/>
      <c r="XDY105" s="29"/>
      <c r="XDZ105" s="29"/>
      <c r="XEA105" s="29"/>
      <c r="XEB105" s="29"/>
      <c r="XEC105" s="29"/>
      <c r="XED105" s="29"/>
      <c r="XEE105" s="29"/>
      <c r="XEF105" s="29"/>
      <c r="XEG105" s="29"/>
      <c r="XEH105" s="29"/>
      <c r="XEI105" s="29"/>
      <c r="XEJ105" s="29"/>
      <c r="XEK105" s="29"/>
      <c r="XEL105" s="29"/>
      <c r="XEM105" s="29"/>
      <c r="XEN105" s="29"/>
      <c r="XEO105" s="29"/>
      <c r="XEP105" s="29"/>
      <c r="XEQ105" s="29"/>
      <c r="XER105" s="29"/>
      <c r="XES105" s="29"/>
      <c r="XET105" s="29"/>
      <c r="XEU105" s="29"/>
      <c r="XEV105" s="29"/>
      <c r="XEW105" s="29"/>
      <c r="XEX105" s="29"/>
      <c r="XEY105" s="29"/>
      <c r="XEZ105" s="29"/>
      <c r="XFA105" s="29"/>
      <c r="XFB105" s="29"/>
      <c r="XFC105" s="29"/>
      <c r="XFD105" s="29"/>
    </row>
    <row r="106" spans="1:16384">
      <c r="A106" s="18" t="s">
        <v>592</v>
      </c>
      <c r="B106" s="18" t="s">
        <v>593</v>
      </c>
      <c r="C106" s="18" t="s">
        <v>10</v>
      </c>
      <c r="D106" s="18">
        <v>0</v>
      </c>
      <c r="E106" s="18">
        <v>0</v>
      </c>
      <c r="F106" s="18">
        <v>12</v>
      </c>
      <c r="G106" s="18">
        <v>0</v>
      </c>
      <c r="H106" s="18">
        <v>0</v>
      </c>
      <c r="I106" s="18">
        <v>0</v>
      </c>
      <c r="J106" s="18">
        <f t="shared" ca="1" si="0"/>
        <v>0</v>
      </c>
      <c r="K106" s="18">
        <f t="shared" ca="1" si="0"/>
        <v>0</v>
      </c>
      <c r="L106" s="18">
        <f t="shared" ca="1" si="0"/>
        <v>0</v>
      </c>
      <c r="M106" s="18">
        <f t="shared" ca="1" si="0"/>
        <v>0</v>
      </c>
    </row>
    <row r="107" spans="1:16384">
      <c r="A107" s="18" t="s">
        <v>592</v>
      </c>
      <c r="B107" s="18" t="s">
        <v>593</v>
      </c>
      <c r="C107" s="18" t="s">
        <v>9</v>
      </c>
      <c r="D107" s="18">
        <v>0</v>
      </c>
      <c r="E107" s="18">
        <v>0</v>
      </c>
      <c r="F107" s="18">
        <v>6</v>
      </c>
      <c r="G107" s="18">
        <v>0</v>
      </c>
      <c r="H107" s="18">
        <v>0</v>
      </c>
      <c r="I107" s="18">
        <v>0</v>
      </c>
      <c r="J107" s="18">
        <f t="shared" ca="1" si="0"/>
        <v>0</v>
      </c>
      <c r="K107" s="18">
        <f t="shared" ca="1" si="0"/>
        <v>0</v>
      </c>
      <c r="L107" s="18">
        <f t="shared" ca="1" si="0"/>
        <v>0</v>
      </c>
      <c r="M107" s="18">
        <f t="shared" ca="1" si="0"/>
        <v>0</v>
      </c>
    </row>
    <row r="108" spans="1:16384">
      <c r="A108" s="18" t="s">
        <v>135</v>
      </c>
      <c r="B108" s="18"/>
      <c r="C108" s="18" t="s">
        <v>11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50</v>
      </c>
      <c r="J108" s="18">
        <f t="shared" ca="1" si="0"/>
        <v>0</v>
      </c>
      <c r="K108" s="18">
        <f t="shared" ca="1" si="0"/>
        <v>0</v>
      </c>
      <c r="L108" s="18">
        <f t="shared" ca="1" si="0"/>
        <v>0</v>
      </c>
      <c r="M108" s="18">
        <f t="shared" ca="1" si="0"/>
        <v>0</v>
      </c>
    </row>
    <row r="109" spans="1:16384">
      <c r="A109" s="18" t="s">
        <v>435</v>
      </c>
      <c r="B109" s="18"/>
      <c r="C109" s="18" t="s">
        <v>3</v>
      </c>
      <c r="D109" s="18">
        <v>0</v>
      </c>
      <c r="E109" s="18">
        <v>0</v>
      </c>
      <c r="F109" s="18">
        <v>2</v>
      </c>
      <c r="G109" s="18">
        <v>5</v>
      </c>
      <c r="H109" s="18">
        <v>10</v>
      </c>
      <c r="I109" s="18">
        <v>15</v>
      </c>
      <c r="J109" s="18">
        <f t="shared" ca="1" si="0"/>
        <v>0</v>
      </c>
      <c r="K109" s="18">
        <f t="shared" ca="1" si="0"/>
        <v>0</v>
      </c>
      <c r="L109" s="18">
        <f t="shared" ca="1" si="0"/>
        <v>0</v>
      </c>
      <c r="M109" s="18">
        <f t="shared" ca="1" si="0"/>
        <v>0</v>
      </c>
    </row>
    <row r="110" spans="1:16384">
      <c r="A110" s="18" t="s">
        <v>435</v>
      </c>
      <c r="B110" s="18"/>
      <c r="C110" s="18" t="s">
        <v>5</v>
      </c>
      <c r="D110" s="18">
        <v>0</v>
      </c>
      <c r="E110" s="18">
        <v>0</v>
      </c>
      <c r="F110" s="18">
        <v>2</v>
      </c>
      <c r="G110" s="18">
        <v>5</v>
      </c>
      <c r="H110" s="18">
        <v>10</v>
      </c>
      <c r="I110" s="18">
        <v>15</v>
      </c>
      <c r="J110" s="18">
        <f t="shared" ca="1" si="0"/>
        <v>0</v>
      </c>
      <c r="K110" s="18">
        <f t="shared" ca="1" si="0"/>
        <v>0</v>
      </c>
      <c r="L110" s="18">
        <f t="shared" ca="1" si="0"/>
        <v>0</v>
      </c>
      <c r="M110" s="18">
        <f t="shared" ca="1" si="0"/>
        <v>0</v>
      </c>
    </row>
    <row r="111" spans="1:16384">
      <c r="A111" s="18" t="s">
        <v>435</v>
      </c>
      <c r="B111" s="18"/>
      <c r="C111" s="18" t="s">
        <v>181</v>
      </c>
      <c r="D111" s="18">
        <v>0</v>
      </c>
      <c r="E111" s="18">
        <v>0</v>
      </c>
      <c r="F111" s="18">
        <v>2</v>
      </c>
      <c r="G111" s="18">
        <v>5</v>
      </c>
      <c r="H111" s="18">
        <v>10</v>
      </c>
      <c r="I111" s="18">
        <v>15</v>
      </c>
      <c r="J111" s="18">
        <f t="shared" ca="1" si="0"/>
        <v>0</v>
      </c>
      <c r="K111" s="18">
        <f t="shared" ca="1" si="0"/>
        <v>0</v>
      </c>
      <c r="L111" s="18">
        <f t="shared" ca="1" si="0"/>
        <v>0</v>
      </c>
      <c r="M111" s="18">
        <f t="shared" ca="1" si="0"/>
        <v>0</v>
      </c>
    </row>
    <row r="112" spans="1:16384">
      <c r="A112" s="18" t="s">
        <v>435</v>
      </c>
      <c r="B112" s="18"/>
      <c r="C112" s="18" t="s">
        <v>182</v>
      </c>
      <c r="D112" s="18">
        <v>0</v>
      </c>
      <c r="E112" s="18">
        <v>0</v>
      </c>
      <c r="F112" s="18">
        <v>2</v>
      </c>
      <c r="G112" s="18">
        <v>5</v>
      </c>
      <c r="H112" s="18">
        <v>10</v>
      </c>
      <c r="I112" s="18">
        <v>15</v>
      </c>
      <c r="J112" s="18">
        <f t="shared" ca="1" si="0"/>
        <v>0</v>
      </c>
      <c r="K112" s="18">
        <f t="shared" ca="1" si="0"/>
        <v>0</v>
      </c>
      <c r="L112" s="18">
        <f t="shared" ca="1" si="0"/>
        <v>0</v>
      </c>
      <c r="M112" s="18">
        <f t="shared" ca="1" si="0"/>
        <v>0</v>
      </c>
    </row>
    <row r="113" spans="1:21">
      <c r="A113" s="18" t="s">
        <v>208</v>
      </c>
      <c r="B113" s="18"/>
      <c r="C113" s="18" t="s">
        <v>12</v>
      </c>
      <c r="D113" s="74">
        <v>0</v>
      </c>
      <c r="E113" s="74">
        <v>0</v>
      </c>
      <c r="F113" s="18">
        <v>0</v>
      </c>
      <c r="G113" s="18">
        <v>0</v>
      </c>
      <c r="H113" s="18">
        <v>0</v>
      </c>
      <c r="I113" s="141">
        <v>0.05</v>
      </c>
      <c r="J113" s="18">
        <f t="shared" ca="1" si="0"/>
        <v>0</v>
      </c>
      <c r="K113" s="18">
        <f t="shared" ca="1" si="0"/>
        <v>0</v>
      </c>
      <c r="L113" s="18">
        <f t="shared" ca="1" si="0"/>
        <v>0</v>
      </c>
      <c r="M113" s="18">
        <f t="shared" ca="1" si="0"/>
        <v>0</v>
      </c>
    </row>
    <row r="114" spans="1:21">
      <c r="A114" s="18" t="s">
        <v>577</v>
      </c>
      <c r="B114" s="18"/>
      <c r="C114" s="18" t="s">
        <v>12</v>
      </c>
      <c r="D114" s="18">
        <v>0</v>
      </c>
      <c r="E114" s="18">
        <v>0</v>
      </c>
      <c r="F114" s="141">
        <v>0.03</v>
      </c>
      <c r="G114" s="141">
        <v>0.05</v>
      </c>
      <c r="H114" s="141">
        <v>7.0000000000000007E-2</v>
      </c>
      <c r="I114" s="141">
        <v>0.09</v>
      </c>
      <c r="J114" s="18">
        <f t="shared" ca="1" si="0"/>
        <v>0</v>
      </c>
      <c r="K114" s="18">
        <f t="shared" ca="1" si="0"/>
        <v>0</v>
      </c>
      <c r="L114" s="18">
        <f t="shared" ca="1" si="0"/>
        <v>0</v>
      </c>
      <c r="M114" s="18">
        <f t="shared" ca="1" si="0"/>
        <v>0</v>
      </c>
    </row>
    <row r="118" spans="1:21">
      <c r="A118" s="22" t="s">
        <v>646</v>
      </c>
    </row>
    <row r="119" spans="1:21">
      <c r="A119" s="154" t="s">
        <v>9</v>
      </c>
      <c r="B119">
        <v>20</v>
      </c>
    </row>
    <row r="120" spans="1:21">
      <c r="A120" s="154" t="s">
        <v>10</v>
      </c>
      <c r="B120">
        <v>20</v>
      </c>
    </row>
    <row r="121" spans="1:21">
      <c r="A121" s="154" t="s">
        <v>11</v>
      </c>
      <c r="B121">
        <v>12</v>
      </c>
    </row>
    <row r="122" spans="1:21">
      <c r="A122" s="154" t="s">
        <v>537</v>
      </c>
      <c r="B122">
        <v>100</v>
      </c>
    </row>
    <row r="123" spans="1:21">
      <c r="A123" s="154" t="s">
        <v>125</v>
      </c>
      <c r="B123" s="2">
        <v>0.02</v>
      </c>
    </row>
    <row r="126" spans="1:21">
      <c r="A126" s="14" t="s">
        <v>113</v>
      </c>
      <c r="B126" s="14" t="s">
        <v>30</v>
      </c>
      <c r="C126" s="14" t="s">
        <v>3</v>
      </c>
      <c r="D126" s="14" t="s">
        <v>4</v>
      </c>
      <c r="E126" s="14" t="s">
        <v>42</v>
      </c>
      <c r="F126" s="14" t="s">
        <v>5</v>
      </c>
      <c r="G126" s="14" t="s">
        <v>181</v>
      </c>
      <c r="H126" s="14" t="s">
        <v>182</v>
      </c>
      <c r="I126" s="14" t="s">
        <v>217</v>
      </c>
      <c r="J126" s="14" t="s">
        <v>218</v>
      </c>
      <c r="K126" s="14" t="s">
        <v>9</v>
      </c>
      <c r="L126" s="14" t="s">
        <v>10</v>
      </c>
      <c r="M126" s="14" t="s">
        <v>12</v>
      </c>
      <c r="N126" s="14" t="s">
        <v>149</v>
      </c>
      <c r="O126" s="14" t="s">
        <v>112</v>
      </c>
      <c r="P126" s="14" t="s">
        <v>114</v>
      </c>
      <c r="Q126" s="14" t="s">
        <v>11</v>
      </c>
      <c r="R126" s="14" t="s">
        <v>13</v>
      </c>
      <c r="S126" s="14" t="s">
        <v>163</v>
      </c>
      <c r="T126" s="14" t="s">
        <v>183</v>
      </c>
      <c r="U126" s="14" t="s">
        <v>122</v>
      </c>
    </row>
    <row r="127" spans="1:21">
      <c r="A127" t="s">
        <v>53</v>
      </c>
    </row>
    <row r="128" spans="1:21">
      <c r="A128" t="s">
        <v>150</v>
      </c>
      <c r="K128">
        <v>50</v>
      </c>
      <c r="N128" s="2">
        <v>0.1</v>
      </c>
    </row>
    <row r="129" spans="1:21">
      <c r="A129" t="s">
        <v>151</v>
      </c>
      <c r="N129" s="2">
        <v>0.15</v>
      </c>
    </row>
    <row r="130" spans="1:21">
      <c r="A130" t="s">
        <v>131</v>
      </c>
      <c r="K130">
        <v>30</v>
      </c>
    </row>
    <row r="131" spans="1:21">
      <c r="A131" t="s">
        <v>121</v>
      </c>
      <c r="K131">
        <v>30</v>
      </c>
      <c r="M131" s="2">
        <v>0.05</v>
      </c>
      <c r="O131" s="2"/>
      <c r="P131" s="2"/>
    </row>
    <row r="132" spans="1:21">
      <c r="A132" t="s">
        <v>118</v>
      </c>
      <c r="E132">
        <v>50</v>
      </c>
      <c r="M132" s="2"/>
      <c r="O132" s="2">
        <v>0.2</v>
      </c>
      <c r="P132" s="2"/>
    </row>
    <row r="133" spans="1:21">
      <c r="A133" t="s">
        <v>431</v>
      </c>
      <c r="B133">
        <v>10</v>
      </c>
      <c r="M133" s="2"/>
      <c r="O133" s="2"/>
      <c r="P133" s="2"/>
      <c r="S133" s="2">
        <v>0.2</v>
      </c>
    </row>
    <row r="134" spans="1:21">
      <c r="A134" t="s">
        <v>116</v>
      </c>
      <c r="C134">
        <v>40</v>
      </c>
      <c r="M134" s="2">
        <v>0.05</v>
      </c>
      <c r="O134" s="2"/>
      <c r="P134" s="2"/>
    </row>
    <row r="135" spans="1:21">
      <c r="A135" t="s">
        <v>119</v>
      </c>
      <c r="D135">
        <v>50</v>
      </c>
      <c r="M135" s="2"/>
      <c r="O135" s="2">
        <v>0.3</v>
      </c>
      <c r="P135" s="2">
        <v>0.3</v>
      </c>
    </row>
    <row r="136" spans="1:21">
      <c r="A136" t="s">
        <v>120</v>
      </c>
      <c r="J136" s="2">
        <v>0.2</v>
      </c>
      <c r="M136" s="2"/>
      <c r="O136" s="2"/>
      <c r="P136" s="2">
        <v>0.3</v>
      </c>
    </row>
    <row r="137" spans="1:21">
      <c r="A137" t="s">
        <v>164</v>
      </c>
      <c r="M137" s="2"/>
      <c r="O137" s="2">
        <v>0.1</v>
      </c>
      <c r="P137" s="2"/>
      <c r="R137">
        <v>20</v>
      </c>
    </row>
    <row r="138" spans="1:21">
      <c r="A138" t="s">
        <v>184</v>
      </c>
      <c r="M138" s="2"/>
      <c r="O138" s="2"/>
      <c r="P138" s="2"/>
      <c r="T138">
        <v>1000</v>
      </c>
    </row>
    <row r="139" spans="1:21">
      <c r="A139" t="s">
        <v>115</v>
      </c>
      <c r="C139">
        <v>40</v>
      </c>
      <c r="K139">
        <v>50</v>
      </c>
      <c r="M139" s="2"/>
      <c r="N139" s="2"/>
      <c r="O139" s="2"/>
      <c r="P139" s="2"/>
    </row>
    <row r="140" spans="1:21">
      <c r="A140" t="s">
        <v>117</v>
      </c>
      <c r="C140">
        <v>50</v>
      </c>
      <c r="M140" s="2">
        <v>0.05</v>
      </c>
      <c r="N140" s="2"/>
      <c r="O140" s="2"/>
      <c r="P140" s="2"/>
      <c r="U140">
        <v>20</v>
      </c>
    </row>
    <row r="143" spans="1:21">
      <c r="A143" s="14" t="s">
        <v>159</v>
      </c>
    </row>
    <row r="144" spans="1:21">
      <c r="A144">
        <v>0</v>
      </c>
    </row>
    <row r="145" spans="1:1">
      <c r="A145">
        <v>1</v>
      </c>
    </row>
    <row r="147" spans="1:1">
      <c r="A147" s="14" t="s">
        <v>306</v>
      </c>
    </row>
    <row r="148" spans="1:1">
      <c r="A148" t="s">
        <v>53</v>
      </c>
    </row>
    <row r="149" spans="1:1">
      <c r="A149" t="s">
        <v>318</v>
      </c>
    </row>
    <row r="150" spans="1:1">
      <c r="A150" t="s">
        <v>319</v>
      </c>
    </row>
    <row r="152" spans="1:1">
      <c r="A152" s="14" t="s">
        <v>247</v>
      </c>
    </row>
    <row r="153" spans="1:1">
      <c r="A153" t="s">
        <v>222</v>
      </c>
    </row>
    <row r="154" spans="1:1">
      <c r="A154" t="s">
        <v>245</v>
      </c>
    </row>
    <row r="155" spans="1:1">
      <c r="A155" t="s">
        <v>246</v>
      </c>
    </row>
    <row r="156" spans="1:1">
      <c r="A156" s="26"/>
    </row>
    <row r="157" spans="1:1">
      <c r="A157" s="14" t="s">
        <v>239</v>
      </c>
    </row>
    <row r="158" spans="1:1">
      <c r="A158" t="s">
        <v>1</v>
      </c>
    </row>
    <row r="159" spans="1:1">
      <c r="A159" t="s">
        <v>240</v>
      </c>
    </row>
    <row r="160" spans="1:1">
      <c r="A160" t="s">
        <v>241</v>
      </c>
    </row>
    <row r="161" spans="1:10">
      <c r="A161" t="s">
        <v>242</v>
      </c>
    </row>
    <row r="162" spans="1:10">
      <c r="A162" t="s">
        <v>243</v>
      </c>
    </row>
    <row r="164" spans="1:10">
      <c r="A164" s="14" t="s">
        <v>308</v>
      </c>
      <c r="B164" s="14" t="s">
        <v>32</v>
      </c>
      <c r="C164" s="14" t="s">
        <v>586</v>
      </c>
      <c r="D164" s="14" t="s">
        <v>33</v>
      </c>
      <c r="E164" s="14" t="s">
        <v>34</v>
      </c>
      <c r="F164" s="14" t="s">
        <v>42</v>
      </c>
      <c r="G164" s="14" t="s">
        <v>5</v>
      </c>
      <c r="H164" s="22" t="s">
        <v>181</v>
      </c>
      <c r="I164" s="14" t="s">
        <v>495</v>
      </c>
      <c r="J164" s="14" t="s">
        <v>496</v>
      </c>
    </row>
    <row r="165" spans="1:10">
      <c r="A165" s="29" t="s">
        <v>699</v>
      </c>
      <c r="B165">
        <v>84</v>
      </c>
      <c r="C165" t="s">
        <v>587</v>
      </c>
      <c r="D165">
        <v>360</v>
      </c>
      <c r="E165">
        <v>351</v>
      </c>
      <c r="F165">
        <v>74</v>
      </c>
      <c r="G165">
        <v>75</v>
      </c>
      <c r="H165">
        <v>75</v>
      </c>
      <c r="I165" s="2">
        <v>0</v>
      </c>
      <c r="J165" s="2">
        <v>0</v>
      </c>
    </row>
    <row r="166" spans="1:10">
      <c r="A166" s="29" t="s">
        <v>700</v>
      </c>
      <c r="B166">
        <v>96</v>
      </c>
      <c r="C166" t="s">
        <v>587</v>
      </c>
      <c r="D166">
        <v>435</v>
      </c>
      <c r="E166">
        <v>405</v>
      </c>
      <c r="F166">
        <v>98</v>
      </c>
      <c r="G166">
        <v>95</v>
      </c>
      <c r="H166">
        <v>95</v>
      </c>
      <c r="I166" s="2">
        <v>0</v>
      </c>
      <c r="J166" s="2">
        <v>0</v>
      </c>
    </row>
    <row r="167" spans="1:10">
      <c r="A167" t="s">
        <v>497</v>
      </c>
      <c r="B167">
        <v>99</v>
      </c>
      <c r="C167" t="s">
        <v>587</v>
      </c>
      <c r="D167">
        <v>516</v>
      </c>
      <c r="E167">
        <v>411</v>
      </c>
      <c r="F167">
        <v>77</v>
      </c>
      <c r="G167">
        <v>118</v>
      </c>
      <c r="H167">
        <v>118</v>
      </c>
      <c r="I167" s="2">
        <v>0.14000000000000001</v>
      </c>
      <c r="J167" s="2">
        <v>0</v>
      </c>
    </row>
    <row r="168" spans="1:10">
      <c r="A168" t="s">
        <v>594</v>
      </c>
      <c r="B168">
        <v>100</v>
      </c>
      <c r="C168" t="s">
        <v>589</v>
      </c>
      <c r="D168">
        <v>498</v>
      </c>
      <c r="E168">
        <v>468</v>
      </c>
      <c r="F168">
        <v>106</v>
      </c>
      <c r="G168">
        <v>110</v>
      </c>
      <c r="H168">
        <v>110</v>
      </c>
      <c r="I168" s="2">
        <v>0</v>
      </c>
      <c r="J168" s="2">
        <v>0</v>
      </c>
    </row>
    <row r="169" spans="1:10">
      <c r="A169" t="s">
        <v>588</v>
      </c>
      <c r="B169">
        <v>102</v>
      </c>
      <c r="C169" t="s">
        <v>589</v>
      </c>
      <c r="D169">
        <v>534</v>
      </c>
      <c r="E169">
        <v>505</v>
      </c>
      <c r="F169">
        <v>108</v>
      </c>
      <c r="G169">
        <v>112</v>
      </c>
      <c r="H169">
        <v>112</v>
      </c>
      <c r="I169" s="2">
        <v>0</v>
      </c>
      <c r="J169" s="2">
        <v>0</v>
      </c>
    </row>
    <row r="170" spans="1:10">
      <c r="A170" t="s">
        <v>606</v>
      </c>
      <c r="B170">
        <v>107</v>
      </c>
      <c r="C170" t="s">
        <v>589</v>
      </c>
      <c r="D170">
        <v>610</v>
      </c>
      <c r="E170">
        <v>590</v>
      </c>
      <c r="F170">
        <v>136</v>
      </c>
      <c r="G170">
        <v>136</v>
      </c>
      <c r="H170">
        <v>136</v>
      </c>
      <c r="I170" s="2">
        <v>0</v>
      </c>
      <c r="J170" s="2">
        <v>0</v>
      </c>
    </row>
    <row r="171" spans="1:10">
      <c r="A171" t="s">
        <v>434</v>
      </c>
      <c r="B171">
        <v>110</v>
      </c>
      <c r="C171" t="s">
        <v>587</v>
      </c>
      <c r="D171">
        <v>560</v>
      </c>
      <c r="E171">
        <v>485</v>
      </c>
      <c r="F171">
        <v>120</v>
      </c>
      <c r="G171">
        <v>120</v>
      </c>
      <c r="H171">
        <v>120</v>
      </c>
      <c r="I171" s="2">
        <v>0</v>
      </c>
      <c r="J171" s="2">
        <v>0</v>
      </c>
    </row>
    <row r="172" spans="1:10">
      <c r="A172" t="s">
        <v>727</v>
      </c>
      <c r="B172">
        <v>113</v>
      </c>
      <c r="C172" t="s">
        <v>589</v>
      </c>
      <c r="D172">
        <v>753</v>
      </c>
      <c r="E172">
        <v>713</v>
      </c>
      <c r="F172">
        <v>127</v>
      </c>
      <c r="G172">
        <v>138</v>
      </c>
      <c r="H172">
        <v>123</v>
      </c>
      <c r="I172" s="2">
        <v>0</v>
      </c>
      <c r="J172" s="2">
        <v>0</v>
      </c>
    </row>
    <row r="173" spans="1:10">
      <c r="A173" t="s">
        <v>498</v>
      </c>
      <c r="B173">
        <v>120</v>
      </c>
      <c r="C173" t="s">
        <v>587</v>
      </c>
      <c r="D173">
        <v>750</v>
      </c>
      <c r="E173">
        <v>540</v>
      </c>
      <c r="F173">
        <v>110</v>
      </c>
      <c r="G173">
        <v>123</v>
      </c>
      <c r="H173">
        <v>123</v>
      </c>
      <c r="I173" s="2">
        <v>0</v>
      </c>
      <c r="J173" s="2">
        <v>0</v>
      </c>
    </row>
    <row r="174" spans="1:10">
      <c r="A174" s="29" t="s">
        <v>639</v>
      </c>
      <c r="B174">
        <v>130</v>
      </c>
      <c r="C174" t="s">
        <v>589</v>
      </c>
      <c r="D174">
        <v>1900</v>
      </c>
      <c r="E174">
        <v>870</v>
      </c>
      <c r="F174">
        <v>200</v>
      </c>
      <c r="G174">
        <v>200</v>
      </c>
      <c r="H174">
        <v>200</v>
      </c>
      <c r="I174" s="2">
        <v>0</v>
      </c>
      <c r="J174" s="2">
        <v>0</v>
      </c>
    </row>
    <row r="175" spans="1:10">
      <c r="A175" s="29" t="s">
        <v>701</v>
      </c>
      <c r="B175">
        <v>126</v>
      </c>
      <c r="C175" s="29" t="s">
        <v>589</v>
      </c>
      <c r="D175">
        <v>1090</v>
      </c>
      <c r="E175">
        <v>1068</v>
      </c>
      <c r="F175">
        <v>235</v>
      </c>
      <c r="G175">
        <v>228</v>
      </c>
      <c r="H175">
        <v>215</v>
      </c>
      <c r="I175" s="2">
        <v>0</v>
      </c>
      <c r="J175" s="2">
        <v>0</v>
      </c>
    </row>
    <row r="176" spans="1:10">
      <c r="A176" s="29" t="s">
        <v>788</v>
      </c>
      <c r="B176">
        <v>122</v>
      </c>
      <c r="C176" s="29" t="s">
        <v>589</v>
      </c>
      <c r="D176">
        <v>919</v>
      </c>
      <c r="E176">
        <v>899</v>
      </c>
      <c r="F176">
        <v>200</v>
      </c>
      <c r="G176">
        <v>199</v>
      </c>
      <c r="H176">
        <v>186</v>
      </c>
      <c r="I176" s="2">
        <v>0</v>
      </c>
      <c r="J176" s="2">
        <v>0</v>
      </c>
    </row>
    <row r="177" spans="1:10">
      <c r="A177" s="29" t="s">
        <v>859</v>
      </c>
      <c r="B177">
        <v>128</v>
      </c>
      <c r="C177" s="29" t="s">
        <v>860</v>
      </c>
      <c r="D177">
        <v>1159</v>
      </c>
      <c r="E177">
        <v>1039</v>
      </c>
      <c r="F177">
        <v>254</v>
      </c>
      <c r="G177">
        <v>253</v>
      </c>
      <c r="H177">
        <v>240</v>
      </c>
      <c r="I177" s="2">
        <v>0</v>
      </c>
      <c r="J177" s="2">
        <v>0</v>
      </c>
    </row>
    <row r="178" spans="1:10">
      <c r="A178" s="29" t="s">
        <v>795</v>
      </c>
      <c r="B178">
        <v>130</v>
      </c>
      <c r="C178" s="29" t="s">
        <v>589</v>
      </c>
      <c r="D178">
        <f>D176+40*8</f>
        <v>1239</v>
      </c>
      <c r="E178">
        <v>1119</v>
      </c>
      <c r="F178">
        <f>F176+9*8</f>
        <v>272</v>
      </c>
      <c r="G178">
        <f>G176+9*8</f>
        <v>271</v>
      </c>
      <c r="H178">
        <f>H176+9*8</f>
        <v>258</v>
      </c>
      <c r="I178" s="2">
        <v>0</v>
      </c>
      <c r="J178" s="2">
        <v>0</v>
      </c>
    </row>
    <row r="179" spans="1:10">
      <c r="A179" s="29" t="s">
        <v>789</v>
      </c>
      <c r="B179">
        <v>135</v>
      </c>
      <c r="C179" s="29" t="s">
        <v>589</v>
      </c>
      <c r="D179">
        <v>1400</v>
      </c>
      <c r="E179">
        <v>1300</v>
      </c>
      <c r="F179">
        <v>305</v>
      </c>
      <c r="G179">
        <v>305</v>
      </c>
      <c r="H179">
        <v>295</v>
      </c>
      <c r="I179" s="2">
        <v>0</v>
      </c>
      <c r="J179" s="2">
        <v>0</v>
      </c>
    </row>
    <row r="182" spans="1:10">
      <c r="A182" s="22" t="s">
        <v>730</v>
      </c>
    </row>
    <row r="183" spans="1:10">
      <c r="A183" s="29" t="s">
        <v>11</v>
      </c>
    </row>
    <row r="184" spans="1:10">
      <c r="A184" s="29" t="s">
        <v>731</v>
      </c>
    </row>
    <row r="186" spans="1:10">
      <c r="A186" s="22" t="s">
        <v>732</v>
      </c>
    </row>
    <row r="187" spans="1:10">
      <c r="A187" s="29" t="s">
        <v>509</v>
      </c>
    </row>
    <row r="188" spans="1:10">
      <c r="A188" s="29" t="s">
        <v>510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8" enableFormatConditionsCalculation="0">
    <tabColor indexed="46"/>
  </sheetPr>
  <dimension ref="A1:J76"/>
  <sheetViews>
    <sheetView topLeftCell="A34" workbookViewId="0">
      <selection activeCell="J9" sqref="J9"/>
    </sheetView>
  </sheetViews>
  <sheetFormatPr defaultRowHeight="12.75"/>
  <cols>
    <col min="1" max="1" width="12.7109375" customWidth="1"/>
    <col min="2" max="10" width="10.7109375" customWidth="1"/>
  </cols>
  <sheetData>
    <row r="1" spans="1:9">
      <c r="A1" t="s">
        <v>32</v>
      </c>
      <c r="B1">
        <f>Data!B1</f>
        <v>99</v>
      </c>
      <c r="C1">
        <f>FLOOR(B1/2,1)</f>
        <v>49</v>
      </c>
    </row>
    <row r="2" spans="1:9">
      <c r="B2" s="14" t="s">
        <v>217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181</v>
      </c>
      <c r="H2" s="14" t="s">
        <v>182</v>
      </c>
      <c r="I2" s="14" t="s">
        <v>244</v>
      </c>
    </row>
    <row r="3" spans="1:9">
      <c r="A3" t="s">
        <v>334</v>
      </c>
      <c r="B3">
        <v>1700</v>
      </c>
      <c r="C3">
        <f t="shared" ref="C3:I3" si="0">FLOOR(C53+C63+C73+C76, 1)</f>
        <v>94</v>
      </c>
      <c r="D3">
        <f t="shared" si="0"/>
        <v>89</v>
      </c>
      <c r="E3">
        <f t="shared" si="0"/>
        <v>89</v>
      </c>
      <c r="F3">
        <f t="shared" si="0"/>
        <v>84</v>
      </c>
      <c r="G3">
        <f t="shared" si="0"/>
        <v>86</v>
      </c>
      <c r="H3">
        <f t="shared" si="0"/>
        <v>74</v>
      </c>
      <c r="I3">
        <f t="shared" si="0"/>
        <v>75</v>
      </c>
    </row>
    <row r="6" spans="1:9">
      <c r="A6" s="9" t="s">
        <v>335</v>
      </c>
    </row>
    <row r="8" spans="1:9">
      <c r="A8" s="9" t="s">
        <v>336</v>
      </c>
      <c r="B8" s="14" t="s">
        <v>217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181</v>
      </c>
      <c r="H8" s="14" t="s">
        <v>182</v>
      </c>
      <c r="I8" s="14" t="s">
        <v>244</v>
      </c>
    </row>
    <row r="9" spans="1:9">
      <c r="A9" t="s">
        <v>1</v>
      </c>
      <c r="B9" t="s">
        <v>337</v>
      </c>
      <c r="C9" t="s">
        <v>337</v>
      </c>
      <c r="D9" t="s">
        <v>337</v>
      </c>
      <c r="E9" t="s">
        <v>337</v>
      </c>
      <c r="F9" t="s">
        <v>337</v>
      </c>
      <c r="G9" t="s">
        <v>337</v>
      </c>
      <c r="H9" t="s">
        <v>337</v>
      </c>
      <c r="I9" t="s">
        <v>337</v>
      </c>
    </row>
    <row r="10" spans="1:9">
      <c r="A10" t="s">
        <v>242</v>
      </c>
      <c r="B10" t="s">
        <v>338</v>
      </c>
      <c r="C10" t="s">
        <v>339</v>
      </c>
      <c r="D10" t="s">
        <v>340</v>
      </c>
      <c r="E10" t="s">
        <v>338</v>
      </c>
      <c r="F10" t="s">
        <v>341</v>
      </c>
      <c r="G10" t="s">
        <v>341</v>
      </c>
      <c r="H10" t="s">
        <v>339</v>
      </c>
      <c r="I10" t="s">
        <v>337</v>
      </c>
    </row>
    <row r="11" spans="1:9">
      <c r="A11" t="s">
        <v>243</v>
      </c>
      <c r="B11" t="s">
        <v>342</v>
      </c>
      <c r="C11" t="s">
        <v>341</v>
      </c>
      <c r="D11" t="s">
        <v>337</v>
      </c>
      <c r="E11" t="s">
        <v>340</v>
      </c>
      <c r="F11" t="s">
        <v>338</v>
      </c>
      <c r="G11" t="s">
        <v>343</v>
      </c>
      <c r="H11" t="s">
        <v>340</v>
      </c>
      <c r="I11" t="s">
        <v>337</v>
      </c>
    </row>
    <row r="12" spans="1:9">
      <c r="A12" t="s">
        <v>240</v>
      </c>
      <c r="B12" t="s">
        <v>337</v>
      </c>
      <c r="C12" t="s">
        <v>340</v>
      </c>
      <c r="D12" t="s">
        <v>343</v>
      </c>
      <c r="E12" t="s">
        <v>340</v>
      </c>
      <c r="F12" t="s">
        <v>339</v>
      </c>
      <c r="G12" t="s">
        <v>337</v>
      </c>
      <c r="H12" t="s">
        <v>340</v>
      </c>
      <c r="I12" t="s">
        <v>341</v>
      </c>
    </row>
    <row r="13" spans="1:9">
      <c r="A13" t="s">
        <v>241</v>
      </c>
      <c r="B13" t="s">
        <v>343</v>
      </c>
      <c r="C13" t="s">
        <v>338</v>
      </c>
      <c r="D13" t="s">
        <v>337</v>
      </c>
      <c r="E13" t="s">
        <v>343</v>
      </c>
      <c r="F13" t="s">
        <v>340</v>
      </c>
      <c r="G13" t="s">
        <v>340</v>
      </c>
      <c r="H13" t="s">
        <v>337</v>
      </c>
      <c r="I13" t="s">
        <v>341</v>
      </c>
    </row>
    <row r="14" spans="1:9">
      <c r="A14" t="s">
        <v>344</v>
      </c>
      <c r="B14" t="s">
        <v>337</v>
      </c>
      <c r="C14" t="s">
        <v>337</v>
      </c>
      <c r="D14" t="s">
        <v>337</v>
      </c>
      <c r="E14" t="s">
        <v>337</v>
      </c>
      <c r="F14" t="s">
        <v>341</v>
      </c>
      <c r="G14" t="s">
        <v>337</v>
      </c>
      <c r="H14" t="s">
        <v>337</v>
      </c>
      <c r="I14" t="s">
        <v>339</v>
      </c>
    </row>
    <row r="15" spans="1:9">
      <c r="A15" t="s">
        <v>345</v>
      </c>
      <c r="B15" t="s">
        <v>338</v>
      </c>
      <c r="C15" t="s">
        <v>337</v>
      </c>
      <c r="D15" t="s">
        <v>338</v>
      </c>
      <c r="E15" t="s">
        <v>337</v>
      </c>
      <c r="F15" t="s">
        <v>341</v>
      </c>
      <c r="G15" t="s">
        <v>340</v>
      </c>
      <c r="H15" t="s">
        <v>340</v>
      </c>
      <c r="I15" t="s">
        <v>343</v>
      </c>
    </row>
    <row r="16" spans="1:9">
      <c r="A16" t="s">
        <v>346</v>
      </c>
      <c r="B16" t="s">
        <v>341</v>
      </c>
      <c r="C16" t="s">
        <v>341</v>
      </c>
      <c r="D16" t="s">
        <v>338</v>
      </c>
      <c r="E16" t="s">
        <v>341</v>
      </c>
      <c r="F16" t="s">
        <v>338</v>
      </c>
      <c r="G16" t="s">
        <v>343</v>
      </c>
      <c r="H16" t="s">
        <v>340</v>
      </c>
      <c r="I16" t="s">
        <v>337</v>
      </c>
    </row>
    <row r="17" spans="1:9">
      <c r="A17" t="s">
        <v>347</v>
      </c>
      <c r="B17" t="s">
        <v>337</v>
      </c>
      <c r="C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340</v>
      </c>
      <c r="I17" t="s">
        <v>340</v>
      </c>
    </row>
    <row r="18" spans="1:9">
      <c r="A18" t="s">
        <v>348</v>
      </c>
      <c r="B18" t="s">
        <v>337</v>
      </c>
      <c r="C18" t="s">
        <v>340</v>
      </c>
      <c r="D18" t="s">
        <v>338</v>
      </c>
      <c r="E18" t="s">
        <v>340</v>
      </c>
      <c r="F18" t="s">
        <v>339</v>
      </c>
      <c r="G18" t="s">
        <v>338</v>
      </c>
      <c r="H18" t="s">
        <v>340</v>
      </c>
      <c r="I18" t="s">
        <v>340</v>
      </c>
    </row>
    <row r="19" spans="1:9">
      <c r="A19" t="s">
        <v>349</v>
      </c>
      <c r="B19" t="s">
        <v>337</v>
      </c>
      <c r="C19" t="s">
        <v>337</v>
      </c>
      <c r="D19" t="s">
        <v>338</v>
      </c>
      <c r="E19" t="s">
        <v>340</v>
      </c>
      <c r="F19" t="s">
        <v>339</v>
      </c>
      <c r="G19" t="s">
        <v>341</v>
      </c>
      <c r="H19" t="s">
        <v>341</v>
      </c>
      <c r="I19" t="s">
        <v>339</v>
      </c>
    </row>
    <row r="20" spans="1:9">
      <c r="A20" t="s">
        <v>350</v>
      </c>
      <c r="B20" t="s">
        <v>338</v>
      </c>
      <c r="C20" t="s">
        <v>343</v>
      </c>
      <c r="D20" t="s">
        <v>338</v>
      </c>
      <c r="E20" t="s">
        <v>338</v>
      </c>
      <c r="F20" t="s">
        <v>337</v>
      </c>
      <c r="G20" t="s">
        <v>338</v>
      </c>
      <c r="H20" t="s">
        <v>342</v>
      </c>
      <c r="I20" t="s">
        <v>342</v>
      </c>
    </row>
    <row r="21" spans="1:9">
      <c r="A21" t="s">
        <v>351</v>
      </c>
      <c r="B21" t="s">
        <v>338</v>
      </c>
      <c r="C21" t="s">
        <v>339</v>
      </c>
      <c r="D21" t="s">
        <v>337</v>
      </c>
      <c r="E21" t="s">
        <v>338</v>
      </c>
      <c r="F21" t="s">
        <v>337</v>
      </c>
      <c r="G21" t="s">
        <v>341</v>
      </c>
      <c r="H21" t="s">
        <v>340</v>
      </c>
      <c r="I21" t="s">
        <v>338</v>
      </c>
    </row>
    <row r="22" spans="1:9">
      <c r="A22" t="s">
        <v>352</v>
      </c>
      <c r="B22" t="s">
        <v>343</v>
      </c>
      <c r="C22" t="s">
        <v>338</v>
      </c>
      <c r="D22" t="s">
        <v>339</v>
      </c>
      <c r="E22" t="s">
        <v>343</v>
      </c>
      <c r="F22" t="s">
        <v>341</v>
      </c>
      <c r="G22" t="s">
        <v>342</v>
      </c>
      <c r="H22" t="s">
        <v>337</v>
      </c>
      <c r="I22" t="s">
        <v>340</v>
      </c>
    </row>
    <row r="23" spans="1:9">
      <c r="A23" t="s">
        <v>353</v>
      </c>
      <c r="B23" t="s">
        <v>337</v>
      </c>
      <c r="C23" t="s">
        <v>338</v>
      </c>
      <c r="D23" t="s">
        <v>339</v>
      </c>
      <c r="E23" t="s">
        <v>338</v>
      </c>
      <c r="F23" t="s">
        <v>339</v>
      </c>
      <c r="G23" t="s">
        <v>337</v>
      </c>
      <c r="H23" t="s">
        <v>342</v>
      </c>
      <c r="I23" t="s">
        <v>341</v>
      </c>
    </row>
    <row r="24" spans="1:9">
      <c r="A24" t="s">
        <v>354</v>
      </c>
      <c r="B24" t="s">
        <v>338</v>
      </c>
      <c r="C24" t="s">
        <v>339</v>
      </c>
      <c r="D24" t="s">
        <v>340</v>
      </c>
      <c r="E24" t="s">
        <v>343</v>
      </c>
      <c r="F24" t="s">
        <v>342</v>
      </c>
      <c r="G24" t="s">
        <v>342</v>
      </c>
      <c r="H24" t="s">
        <v>338</v>
      </c>
      <c r="I24" t="s">
        <v>338</v>
      </c>
    </row>
    <row r="25" spans="1:9">
      <c r="A25" t="s">
        <v>355</v>
      </c>
      <c r="B25" t="s">
        <v>337</v>
      </c>
      <c r="C25" t="s">
        <v>340</v>
      </c>
      <c r="D25" t="s">
        <v>339</v>
      </c>
      <c r="E25" t="s">
        <v>337</v>
      </c>
      <c r="F25" t="s">
        <v>338</v>
      </c>
      <c r="G25" t="s">
        <v>340</v>
      </c>
      <c r="H25" t="s">
        <v>341</v>
      </c>
      <c r="I25" t="s">
        <v>338</v>
      </c>
    </row>
    <row r="26" spans="1:9">
      <c r="A26" t="s">
        <v>356</v>
      </c>
      <c r="B26" t="s">
        <v>340</v>
      </c>
      <c r="C26" t="s">
        <v>340</v>
      </c>
      <c r="D26" t="s">
        <v>337</v>
      </c>
      <c r="E26" t="s">
        <v>337</v>
      </c>
      <c r="F26" t="s">
        <v>343</v>
      </c>
      <c r="G26" t="s">
        <v>340</v>
      </c>
      <c r="H26" t="s">
        <v>337</v>
      </c>
      <c r="I26" t="s">
        <v>340</v>
      </c>
    </row>
    <row r="27" spans="1:9">
      <c r="A27" t="s">
        <v>357</v>
      </c>
      <c r="B27" t="s">
        <v>337</v>
      </c>
      <c r="C27" t="s">
        <v>337</v>
      </c>
      <c r="D27" t="s">
        <v>337</v>
      </c>
      <c r="E27" t="s">
        <v>340</v>
      </c>
      <c r="F27" t="s">
        <v>340</v>
      </c>
      <c r="G27" t="s">
        <v>338</v>
      </c>
      <c r="H27" t="s">
        <v>338</v>
      </c>
      <c r="I27" t="s">
        <v>337</v>
      </c>
    </row>
    <row r="28" spans="1:9">
      <c r="A28" t="s">
        <v>358</v>
      </c>
      <c r="B28" t="s">
        <v>339</v>
      </c>
      <c r="C28" t="s">
        <v>338</v>
      </c>
      <c r="D28" t="s">
        <v>338</v>
      </c>
      <c r="E28" t="s">
        <v>338</v>
      </c>
      <c r="F28" t="s">
        <v>337</v>
      </c>
      <c r="G28" t="s">
        <v>340</v>
      </c>
      <c r="H28" t="s">
        <v>340</v>
      </c>
      <c r="I28" t="s">
        <v>337</v>
      </c>
    </row>
    <row r="29" spans="1:9">
      <c r="A29" t="s">
        <v>359</v>
      </c>
      <c r="B29" t="s">
        <v>340</v>
      </c>
      <c r="C29" t="s">
        <v>341</v>
      </c>
      <c r="D29" t="s">
        <v>337</v>
      </c>
      <c r="E29" t="s">
        <v>340</v>
      </c>
      <c r="F29" t="s">
        <v>337</v>
      </c>
      <c r="G29" t="s">
        <v>339</v>
      </c>
      <c r="H29" t="s">
        <v>337</v>
      </c>
      <c r="I29" t="s">
        <v>338</v>
      </c>
    </row>
    <row r="30" spans="1:9">
      <c r="A30" t="s">
        <v>360</v>
      </c>
      <c r="B30" t="s">
        <v>342</v>
      </c>
      <c r="C30" t="s">
        <v>341</v>
      </c>
      <c r="D30" t="s">
        <v>340</v>
      </c>
      <c r="E30" t="s">
        <v>341</v>
      </c>
      <c r="F30" t="s">
        <v>337</v>
      </c>
      <c r="G30" t="s">
        <v>339</v>
      </c>
      <c r="H30" t="s">
        <v>339</v>
      </c>
      <c r="I30" t="s">
        <v>339</v>
      </c>
    </row>
    <row r="31" spans="1:9">
      <c r="A31" t="s">
        <v>361</v>
      </c>
      <c r="B31" t="s">
        <v>337</v>
      </c>
      <c r="C31" t="s">
        <v>337</v>
      </c>
      <c r="D31" t="s">
        <v>343</v>
      </c>
      <c r="E31" t="s">
        <v>337</v>
      </c>
      <c r="F31" t="s">
        <v>339</v>
      </c>
      <c r="G31" t="s">
        <v>338</v>
      </c>
      <c r="H31" t="s">
        <v>342</v>
      </c>
      <c r="I31" t="s">
        <v>342</v>
      </c>
    </row>
    <row r="32" spans="1:9">
      <c r="A32" t="s">
        <v>362</v>
      </c>
      <c r="B32" t="s">
        <v>339</v>
      </c>
      <c r="C32" t="s">
        <v>343</v>
      </c>
      <c r="D32" t="s">
        <v>338</v>
      </c>
      <c r="E32" t="s">
        <v>337</v>
      </c>
      <c r="F32" t="s">
        <v>338</v>
      </c>
      <c r="G32" t="s">
        <v>341</v>
      </c>
      <c r="H32" t="s">
        <v>341</v>
      </c>
      <c r="I32" t="s">
        <v>340</v>
      </c>
    </row>
    <row r="33" spans="1:10">
      <c r="A33" t="s">
        <v>363</v>
      </c>
      <c r="B33" t="s">
        <v>340</v>
      </c>
      <c r="C33" t="s">
        <v>337</v>
      </c>
      <c r="D33" t="s">
        <v>341</v>
      </c>
      <c r="E33" t="s">
        <v>337</v>
      </c>
      <c r="F33" t="s">
        <v>340</v>
      </c>
      <c r="G33" t="s">
        <v>340</v>
      </c>
      <c r="H33" t="s">
        <v>343</v>
      </c>
      <c r="I33" t="s">
        <v>338</v>
      </c>
    </row>
    <row r="36" spans="1:10">
      <c r="A36" s="9" t="s">
        <v>364</v>
      </c>
      <c r="B36" t="s">
        <v>365</v>
      </c>
      <c r="C36" t="s">
        <v>366</v>
      </c>
      <c r="D36" t="s">
        <v>367</v>
      </c>
      <c r="E36" t="s">
        <v>368</v>
      </c>
      <c r="F36" t="s">
        <v>369</v>
      </c>
      <c r="G36" t="s">
        <v>370</v>
      </c>
      <c r="H36" t="s">
        <v>371</v>
      </c>
      <c r="I36" t="s">
        <v>372</v>
      </c>
      <c r="J36" t="s">
        <v>373</v>
      </c>
    </row>
    <row r="37" spans="1:10">
      <c r="A37" t="s">
        <v>343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>
      <c r="A38" t="s">
        <v>339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>
      <c r="A39" t="s">
        <v>338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>
      <c r="A40" t="s">
        <v>337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>
      <c r="A41" t="s">
        <v>340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>
      <c r="A42" t="s">
        <v>341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>
      <c r="A43" t="s">
        <v>342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>
      <c r="A46" s="9" t="s">
        <v>2</v>
      </c>
      <c r="B46" s="14" t="s">
        <v>217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181</v>
      </c>
      <c r="H46" s="14" t="s">
        <v>182</v>
      </c>
      <c r="I46" s="14" t="s">
        <v>244</v>
      </c>
    </row>
    <row r="47" spans="1:10">
      <c r="A47" t="str">
        <f>Data!C1</f>
        <v>Drk</v>
      </c>
      <c r="B47" t="str">
        <f t="shared" ref="B47:I47" si="2">VLOOKUP($A47, Grades, MATCH(B$46, Stats, 0), 0)</f>
        <v>C</v>
      </c>
      <c r="C47" t="str">
        <f t="shared" si="2"/>
        <v>A</v>
      </c>
      <c r="D47" t="str">
        <f t="shared" si="2"/>
        <v>C</v>
      </c>
      <c r="E47" t="str">
        <f t="shared" si="2"/>
        <v>C</v>
      </c>
      <c r="F47" t="str">
        <f t="shared" si="2"/>
        <v>D</v>
      </c>
      <c r="G47" t="str">
        <f t="shared" si="2"/>
        <v>C</v>
      </c>
      <c r="H47" t="str">
        <f t="shared" si="2"/>
        <v>G</v>
      </c>
      <c r="I47" t="str">
        <f t="shared" si="2"/>
        <v>G</v>
      </c>
    </row>
    <row r="48" spans="1:10">
      <c r="A48" t="s">
        <v>365</v>
      </c>
      <c r="B48">
        <f>VLOOKUP(B$47, GradeRates, MATCH($A48, RateTiers, 0), 0)</f>
        <v>16</v>
      </c>
      <c r="C48" s="4">
        <f t="shared" ref="C48:I51" si="3">VLOOKUP(C$47, GradeRates, MATCH($J48, RateTiers, 0), 0)</f>
        <v>5</v>
      </c>
      <c r="D48" s="4">
        <f t="shared" si="3"/>
        <v>4</v>
      </c>
      <c r="E48" s="4">
        <f t="shared" si="3"/>
        <v>4</v>
      </c>
      <c r="F48" s="4">
        <f t="shared" si="3"/>
        <v>3</v>
      </c>
      <c r="G48" s="4">
        <f t="shared" si="3"/>
        <v>4</v>
      </c>
      <c r="H48" s="4">
        <f t="shared" si="3"/>
        <v>2</v>
      </c>
      <c r="I48" s="4">
        <f t="shared" si="3"/>
        <v>2</v>
      </c>
      <c r="J48" t="s">
        <v>370</v>
      </c>
    </row>
    <row r="49" spans="1:10">
      <c r="A49" t="s">
        <v>366</v>
      </c>
      <c r="B49">
        <f>VLOOKUP(B$47, GradeRates, MATCH($A49, RateTiers, 0), 0)</f>
        <v>7</v>
      </c>
      <c r="C49" s="4">
        <f t="shared" si="3"/>
        <v>0.5</v>
      </c>
      <c r="D49" s="4">
        <f t="shared" si="3"/>
        <v>0.4</v>
      </c>
      <c r="E49" s="4">
        <f t="shared" si="3"/>
        <v>0.4</v>
      </c>
      <c r="F49" s="4">
        <f t="shared" si="3"/>
        <v>0.35</v>
      </c>
      <c r="G49" s="4">
        <f t="shared" si="3"/>
        <v>0.4</v>
      </c>
      <c r="H49" s="4">
        <f t="shared" si="3"/>
        <v>0.2</v>
      </c>
      <c r="I49" s="4">
        <f t="shared" si="3"/>
        <v>0.2</v>
      </c>
      <c r="J49" t="s">
        <v>371</v>
      </c>
    </row>
    <row r="50" spans="1:10">
      <c r="A50" t="s">
        <v>367</v>
      </c>
      <c r="B50">
        <f>VLOOKUP(B$47, GradeRates, MATCH($A50, RateTiers, 0), 0)</f>
        <v>1</v>
      </c>
      <c r="C50" s="4">
        <f t="shared" si="3"/>
        <v>0.107421875</v>
      </c>
      <c r="D50" s="4">
        <f t="shared" si="3"/>
        <v>0.29296875</v>
      </c>
      <c r="E50" s="4">
        <f t="shared" si="3"/>
        <v>0.29296875</v>
      </c>
      <c r="F50" s="4">
        <f t="shared" si="3"/>
        <v>0.341796875</v>
      </c>
      <c r="G50" s="4">
        <f t="shared" si="3"/>
        <v>0.29296875</v>
      </c>
      <c r="H50" s="4">
        <f t="shared" si="3"/>
        <v>0.419921875</v>
      </c>
      <c r="I50" s="4">
        <f t="shared" si="3"/>
        <v>0.419921875</v>
      </c>
      <c r="J50" t="s">
        <v>372</v>
      </c>
    </row>
    <row r="51" spans="1:10">
      <c r="A51" t="s">
        <v>368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373</v>
      </c>
    </row>
    <row r="52" spans="1:10">
      <c r="A52" t="s">
        <v>369</v>
      </c>
      <c r="B52">
        <f>VLOOKUP(B$47, GradeRates, MATCH($A52, RateTiers, 0), 0)</f>
        <v>3</v>
      </c>
    </row>
    <row r="53" spans="1:10">
      <c r="A53" t="s">
        <v>7</v>
      </c>
      <c r="B53">
        <f>B48+MIN(59,$B$1-1)*B49+MAX(0,$B$1-30)*B50+MIN(15,MAX(0,$B$1-60))*B51+MAX(0,$B$1-75)*B52</f>
        <v>615</v>
      </c>
      <c r="C53">
        <f t="shared" ref="C53:I53" si="4">C48+FLOOR(MIN(59,$B$1-1)*C49,0.5)+FLOOR(MIN(15,MAX(0,$B$1-60))*C50,0.5)+FLOOR(MAX(0,$B$1-75)*C51,0.5)</f>
        <v>45</v>
      </c>
      <c r="D53">
        <f t="shared" si="4"/>
        <v>40.5</v>
      </c>
      <c r="E53">
        <f t="shared" si="4"/>
        <v>40.5</v>
      </c>
      <c r="F53">
        <f t="shared" si="4"/>
        <v>37.5</v>
      </c>
      <c r="G53">
        <f t="shared" si="4"/>
        <v>40.5</v>
      </c>
      <c r="H53">
        <f t="shared" si="4"/>
        <v>28.5</v>
      </c>
      <c r="I53">
        <f t="shared" si="4"/>
        <v>28.5</v>
      </c>
    </row>
    <row r="56" spans="1:10">
      <c r="A56" s="9" t="s">
        <v>221</v>
      </c>
      <c r="B56" s="14" t="s">
        <v>217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181</v>
      </c>
      <c r="H56" s="14" t="s">
        <v>182</v>
      </c>
      <c r="I56" s="14" t="s">
        <v>244</v>
      </c>
    </row>
    <row r="57" spans="1:10">
      <c r="A57" t="str">
        <f>Data!D1</f>
        <v>Sam</v>
      </c>
      <c r="B57" t="str">
        <f t="shared" ref="B57:I57" si="5">VLOOKUP($A57, Grades, MATCH(B$56, Stats, 0), 0)</f>
        <v>B</v>
      </c>
      <c r="C57" t="str">
        <f t="shared" si="5"/>
        <v>C</v>
      </c>
      <c r="D57" t="str">
        <f t="shared" si="5"/>
        <v>C</v>
      </c>
      <c r="E57" t="str">
        <f t="shared" si="5"/>
        <v>C</v>
      </c>
      <c r="F57" t="str">
        <f t="shared" si="5"/>
        <v>D</v>
      </c>
      <c r="G57" t="str">
        <f t="shared" si="5"/>
        <v>E</v>
      </c>
      <c r="H57" t="str">
        <f t="shared" si="5"/>
        <v>E</v>
      </c>
      <c r="I57" t="str">
        <f t="shared" si="5"/>
        <v>D</v>
      </c>
    </row>
    <row r="58" spans="1:10">
      <c r="A58" t="s">
        <v>365</v>
      </c>
      <c r="B58">
        <f>VLOOKUP(B$57, GradeRates, MATCH($A58, RateTiers, 0), 0)</f>
        <v>17</v>
      </c>
      <c r="C58" s="4">
        <f t="shared" ref="C58:I61" si="6">VLOOKUP(C$57, GradeRates, MATCH($J58, RateTiers, 0), 0)</f>
        <v>4</v>
      </c>
      <c r="D58" s="4">
        <f t="shared" si="6"/>
        <v>4</v>
      </c>
      <c r="E58" s="4">
        <f t="shared" si="6"/>
        <v>4</v>
      </c>
      <c r="F58" s="4">
        <f t="shared" si="6"/>
        <v>3</v>
      </c>
      <c r="G58" s="4">
        <f t="shared" si="6"/>
        <v>3</v>
      </c>
      <c r="H58" s="4">
        <f t="shared" si="6"/>
        <v>3</v>
      </c>
      <c r="I58" s="4">
        <f t="shared" si="6"/>
        <v>3</v>
      </c>
      <c r="J58" t="s">
        <v>370</v>
      </c>
    </row>
    <row r="59" spans="1:10">
      <c r="A59" t="s">
        <v>366</v>
      </c>
      <c r="B59">
        <f>VLOOKUP(B$57, GradeRates, MATCH($A59, RateTiers, 0), 0)</f>
        <v>8</v>
      </c>
      <c r="C59" s="4">
        <f t="shared" si="6"/>
        <v>0.4</v>
      </c>
      <c r="D59" s="4">
        <f t="shared" si="6"/>
        <v>0.4</v>
      </c>
      <c r="E59" s="4">
        <f t="shared" si="6"/>
        <v>0.4</v>
      </c>
      <c r="F59" s="4">
        <f t="shared" si="6"/>
        <v>0.35</v>
      </c>
      <c r="G59" s="4">
        <f t="shared" si="6"/>
        <v>0.3</v>
      </c>
      <c r="H59" s="4">
        <f t="shared" si="6"/>
        <v>0.3</v>
      </c>
      <c r="I59" s="4">
        <f t="shared" si="6"/>
        <v>0.35</v>
      </c>
      <c r="J59" t="s">
        <v>371</v>
      </c>
    </row>
    <row r="60" spans="1:10">
      <c r="A60" t="s">
        <v>367</v>
      </c>
      <c r="B60">
        <f>VLOOKUP(B$57, GradeRates, MATCH($A60, RateTiers, 0), 0)</f>
        <v>1</v>
      </c>
      <c r="C60" s="4">
        <f t="shared" si="6"/>
        <v>0.29296875</v>
      </c>
      <c r="D60" s="4">
        <f t="shared" si="6"/>
        <v>0.29296875</v>
      </c>
      <c r="E60" s="4">
        <f t="shared" si="6"/>
        <v>0.29296875</v>
      </c>
      <c r="F60" s="4">
        <f t="shared" si="6"/>
        <v>0.341796875</v>
      </c>
      <c r="G60" s="4">
        <f t="shared" si="6"/>
        <v>0.341796875</v>
      </c>
      <c r="H60" s="4">
        <f t="shared" si="6"/>
        <v>0.341796875</v>
      </c>
      <c r="I60" s="4">
        <f t="shared" si="6"/>
        <v>0.341796875</v>
      </c>
      <c r="J60" t="s">
        <v>372</v>
      </c>
    </row>
    <row r="61" spans="1:10">
      <c r="A61" t="s">
        <v>368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373</v>
      </c>
    </row>
    <row r="62" spans="1:10">
      <c r="A62" t="s">
        <v>369</v>
      </c>
      <c r="B62">
        <f>VLOOKUP(B$57, GradeRates, MATCH($A62, RateTiers, 0), 0)</f>
        <v>3</v>
      </c>
    </row>
    <row r="63" spans="1:10">
      <c r="A63" t="s">
        <v>7</v>
      </c>
      <c r="B63">
        <f>FLOOR((B58+MIN(59,$C$1-1)*B59+MAX(0,$C$1-30)*B60+MIN(15,MAX(0,$C$1-60))*B61+MAX(0,$C$1-75)*B62)/2,1)</f>
        <v>210</v>
      </c>
      <c r="C63">
        <f t="shared" ref="C63:I63" si="7">FLOOR((C58+FLOOR(MIN(59,$C$1-1)*C59,0.5)+FLOOR(MIN(15,MAX(0,$C$1-60))*C60,0.5)+FLOOR(MAX(0,$C$1-75)*C61,0.5))/2,0.5)</f>
        <v>11.5</v>
      </c>
      <c r="D63">
        <f t="shared" si="7"/>
        <v>11.5</v>
      </c>
      <c r="E63">
        <f t="shared" si="7"/>
        <v>11.5</v>
      </c>
      <c r="F63">
        <f t="shared" si="7"/>
        <v>9.5</v>
      </c>
      <c r="G63">
        <f t="shared" si="7"/>
        <v>8.5</v>
      </c>
      <c r="H63">
        <f t="shared" si="7"/>
        <v>8.5</v>
      </c>
      <c r="I63">
        <f t="shared" si="7"/>
        <v>9.5</v>
      </c>
    </row>
    <row r="66" spans="1:10">
      <c r="A66" s="9" t="s">
        <v>0</v>
      </c>
      <c r="B66" s="14" t="s">
        <v>217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181</v>
      </c>
      <c r="H66" s="14" t="s">
        <v>182</v>
      </c>
      <c r="I66" s="14" t="s">
        <v>244</v>
      </c>
    </row>
    <row r="67" spans="1:10">
      <c r="A67" t="str">
        <f>Data!A1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>
      <c r="A68" t="s">
        <v>365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370</v>
      </c>
    </row>
    <row r="69" spans="1:10">
      <c r="A69" t="s">
        <v>366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371</v>
      </c>
    </row>
    <row r="70" spans="1:10">
      <c r="A70" t="s">
        <v>367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372</v>
      </c>
    </row>
    <row r="71" spans="1:10">
      <c r="A71" t="s">
        <v>368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373</v>
      </c>
    </row>
    <row r="72" spans="1:10">
      <c r="A72" t="s">
        <v>369</v>
      </c>
      <c r="B72">
        <f>VLOOKUP(B$67, GradeRates, MATCH($A72, RateTiers, 0), 0)</f>
        <v>3</v>
      </c>
    </row>
    <row r="73" spans="1:10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>
      <c r="B75" s="14" t="s">
        <v>217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181</v>
      </c>
      <c r="H75" s="14" t="s">
        <v>182</v>
      </c>
      <c r="I75" s="14" t="s">
        <v>244</v>
      </c>
    </row>
    <row r="76" spans="1:10">
      <c r="A76" t="s">
        <v>374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9"/>
  <dimension ref="A1:J78"/>
  <sheetViews>
    <sheetView workbookViewId="0">
      <selection activeCell="H19" sqref="H19"/>
    </sheetView>
  </sheetViews>
  <sheetFormatPr defaultRowHeight="12.75"/>
  <cols>
    <col min="1" max="1" width="15.7109375" customWidth="1"/>
    <col min="2" max="2" width="21.42578125" customWidth="1"/>
    <col min="3" max="3" width="14.42578125" customWidth="1"/>
    <col min="4" max="4" width="30.28515625" customWidth="1"/>
    <col min="5" max="5" width="14.140625" customWidth="1"/>
    <col min="6" max="6" width="30.7109375" customWidth="1"/>
    <col min="7" max="7" width="25.140625" customWidth="1"/>
    <col min="8" max="8" width="12" customWidth="1"/>
    <col min="9" max="9" width="15.7109375" customWidth="1"/>
    <col min="10" max="10" width="16.140625" customWidth="1"/>
  </cols>
  <sheetData>
    <row r="1" spans="1:10">
      <c r="A1" t="s">
        <v>194</v>
      </c>
      <c r="B1">
        <v>50</v>
      </c>
      <c r="C1" t="s">
        <v>195</v>
      </c>
      <c r="D1">
        <v>50</v>
      </c>
    </row>
    <row r="2" spans="1:10">
      <c r="G2" t="s">
        <v>567</v>
      </c>
      <c r="H2">
        <v>0.3</v>
      </c>
    </row>
    <row r="3" spans="1:10">
      <c r="A3" t="s">
        <v>47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</row>
    <row r="4" spans="1:10">
      <c r="A4">
        <v>1</v>
      </c>
      <c r="B4">
        <f>IF($B$1&gt;=A4, SUM(A$4:A4), 0)</f>
        <v>1</v>
      </c>
      <c r="C4">
        <f t="shared" ref="C4:C35" si="0">($B$1+1)-A4</f>
        <v>50</v>
      </c>
      <c r="D4">
        <f ca="1">IF($B$1&gt;=A4, SUM(INDIRECT("A"&amp;($B$1+3)):INDIRECT("A"&amp;(C4+3))), 0)</f>
        <v>50</v>
      </c>
      <c r="E4">
        <f t="shared" ref="E4:E35" ca="1" si="1">D4-B4</f>
        <v>49</v>
      </c>
      <c r="F4">
        <f ca="1">IF($B$1&gt;=A4, SUM(INDIRECT("A"&amp;ROW()+1&amp;":A"&amp;($B$1+4))), 0)</f>
        <v>1325</v>
      </c>
      <c r="G4">
        <f t="shared" ref="G4:G35" ca="1" si="2">F4+D4</f>
        <v>1375</v>
      </c>
      <c r="H4" s="4">
        <f ca="1">G4/$B$1/$H$2</f>
        <v>91.666666666666671</v>
      </c>
      <c r="I4" s="4">
        <f t="shared" ref="I4:I35" ca="1" si="3">H4*AvgHitsPerRound1</f>
        <v>144.27618333333334</v>
      </c>
      <c r="J4" s="4">
        <f t="shared" ref="J4:J35" ca="1" si="4">H4*AvgHitsPerRound2</f>
        <v>143.7874716666667</v>
      </c>
    </row>
    <row r="5" spans="1:10">
      <c r="A5">
        <v>2</v>
      </c>
      <c r="B5">
        <f>IF($B$1&gt;=A5, SUM(A$4:A5), 0)</f>
        <v>3</v>
      </c>
      <c r="C5">
        <f t="shared" si="0"/>
        <v>49</v>
      </c>
      <c r="D5">
        <f ca="1">IF($B$1&gt;=A5, SUM(INDIRECT("A"&amp;($B$1+3)):INDIRECT("A"&amp;(C5+3))), 0)</f>
        <v>99</v>
      </c>
      <c r="E5">
        <f t="shared" ca="1" si="1"/>
        <v>96</v>
      </c>
      <c r="F5">
        <f t="shared" ref="F5:F68" ca="1" si="5">IF($B$1&gt;=A5, SUM(INDIRECT("A"&amp;ROW()+1&amp;":A"&amp;($B$1+4))), 0)</f>
        <v>1323</v>
      </c>
      <c r="G5">
        <f t="shared" ca="1" si="2"/>
        <v>1422</v>
      </c>
      <c r="H5" s="4">
        <f t="shared" ref="H5:H68" ca="1" si="6">G5/$B$1/$H$2</f>
        <v>94.800000000000011</v>
      </c>
      <c r="I5" s="4">
        <f t="shared" ca="1" si="3"/>
        <v>149.2078056</v>
      </c>
      <c r="J5" s="4">
        <f t="shared" ca="1" si="4"/>
        <v>148.70238888000006</v>
      </c>
    </row>
    <row r="6" spans="1:10">
      <c r="A6">
        <v>3</v>
      </c>
      <c r="B6">
        <f>IF($B$1&gt;=A6, SUM(A$4:A6), 0)</f>
        <v>6</v>
      </c>
      <c r="C6">
        <f t="shared" si="0"/>
        <v>48</v>
      </c>
      <c r="D6">
        <f ca="1">IF($B$1&gt;=A6, SUM(INDIRECT("A"&amp;($B$1+3)):INDIRECT("A"&amp;(C6+3))), 0)</f>
        <v>147</v>
      </c>
      <c r="E6">
        <f t="shared" ca="1" si="1"/>
        <v>141</v>
      </c>
      <c r="F6">
        <f t="shared" ca="1" si="5"/>
        <v>1320</v>
      </c>
      <c r="G6">
        <f t="shared" ca="1" si="2"/>
        <v>1467</v>
      </c>
      <c r="H6" s="4">
        <f t="shared" ca="1" si="6"/>
        <v>97.8</v>
      </c>
      <c r="I6" s="4">
        <f t="shared" ca="1" si="3"/>
        <v>153.92957159999997</v>
      </c>
      <c r="J6" s="4">
        <f t="shared" ca="1" si="4"/>
        <v>153.40816068000001</v>
      </c>
    </row>
    <row r="7" spans="1:10">
      <c r="A7">
        <v>4</v>
      </c>
      <c r="B7">
        <f>IF($B$1&gt;=A7, SUM(A$4:A7), 0)</f>
        <v>10</v>
      </c>
      <c r="C7">
        <f t="shared" si="0"/>
        <v>47</v>
      </c>
      <c r="D7">
        <f ca="1">IF($B$1&gt;=A7, SUM(INDIRECT("A"&amp;($B$1+3)):INDIRECT("A"&amp;(C7+3))), 0)</f>
        <v>194</v>
      </c>
      <c r="E7">
        <f t="shared" ca="1" si="1"/>
        <v>184</v>
      </c>
      <c r="F7">
        <f t="shared" ca="1" si="5"/>
        <v>1316</v>
      </c>
      <c r="G7">
        <f t="shared" ca="1" si="2"/>
        <v>1510</v>
      </c>
      <c r="H7" s="4">
        <f t="shared" ca="1" si="6"/>
        <v>100.66666666666667</v>
      </c>
      <c r="I7" s="4">
        <f t="shared" ca="1" si="3"/>
        <v>158.44148133333331</v>
      </c>
      <c r="J7" s="4">
        <f t="shared" ca="1" si="4"/>
        <v>157.9047870666667</v>
      </c>
    </row>
    <row r="8" spans="1:10">
      <c r="A8">
        <v>5</v>
      </c>
      <c r="B8">
        <f>IF($B$1&gt;=A8, SUM(A$4:A8), 0)</f>
        <v>15</v>
      </c>
      <c r="C8">
        <f t="shared" si="0"/>
        <v>46</v>
      </c>
      <c r="D8">
        <f ca="1">IF($B$1&gt;=A8, SUM(INDIRECT("A"&amp;($B$1+3)):INDIRECT("A"&amp;(C8+3))), 0)</f>
        <v>240</v>
      </c>
      <c r="E8">
        <f t="shared" ca="1" si="1"/>
        <v>225</v>
      </c>
      <c r="F8">
        <f t="shared" ca="1" si="5"/>
        <v>1311</v>
      </c>
      <c r="G8">
        <f t="shared" ca="1" si="2"/>
        <v>1551</v>
      </c>
      <c r="H8" s="4">
        <f t="shared" ca="1" si="6"/>
        <v>103.4</v>
      </c>
      <c r="I8" s="4">
        <f t="shared" ca="1" si="3"/>
        <v>162.74353479999999</v>
      </c>
      <c r="J8" s="4">
        <f t="shared" ca="1" si="4"/>
        <v>162.19226804000004</v>
      </c>
    </row>
    <row r="9" spans="1:10">
      <c r="A9">
        <v>6</v>
      </c>
      <c r="B9">
        <f>IF($B$1&gt;=A9, SUM(A$4:A9), 0)</f>
        <v>21</v>
      </c>
      <c r="C9">
        <f t="shared" si="0"/>
        <v>45</v>
      </c>
      <c r="D9">
        <f ca="1">IF($B$1&gt;=A9, SUM(INDIRECT("A"&amp;($B$1+3)):INDIRECT("A"&amp;(C9+3))), 0)</f>
        <v>285</v>
      </c>
      <c r="E9">
        <f t="shared" ca="1" si="1"/>
        <v>264</v>
      </c>
      <c r="F9">
        <f t="shared" ca="1" si="5"/>
        <v>1305</v>
      </c>
      <c r="G9">
        <f t="shared" ca="1" si="2"/>
        <v>1590</v>
      </c>
      <c r="H9" s="4">
        <f t="shared" ca="1" si="6"/>
        <v>106</v>
      </c>
      <c r="I9" s="4">
        <f t="shared" ca="1" si="3"/>
        <v>166.83573199999998</v>
      </c>
      <c r="J9" s="4">
        <f t="shared" ca="1" si="4"/>
        <v>166.27060360000002</v>
      </c>
    </row>
    <row r="10" spans="1:10">
      <c r="A10">
        <v>7</v>
      </c>
      <c r="B10">
        <f>IF($B$1&gt;=A10, SUM(A$4:A10), 0)</f>
        <v>28</v>
      </c>
      <c r="C10">
        <f t="shared" si="0"/>
        <v>44</v>
      </c>
      <c r="D10">
        <f ca="1">IF($B$1&gt;=A10, SUM(INDIRECT("A"&amp;($B$1+3)):INDIRECT("A"&amp;(C10+3))), 0)</f>
        <v>329</v>
      </c>
      <c r="E10">
        <f t="shared" ca="1" si="1"/>
        <v>301</v>
      </c>
      <c r="F10">
        <f t="shared" ca="1" si="5"/>
        <v>1298</v>
      </c>
      <c r="G10">
        <f t="shared" ca="1" si="2"/>
        <v>1627</v>
      </c>
      <c r="H10" s="4">
        <f t="shared" ca="1" si="6"/>
        <v>108.46666666666667</v>
      </c>
      <c r="I10" s="4">
        <f t="shared" ca="1" si="3"/>
        <v>170.7180729333333</v>
      </c>
      <c r="J10" s="4">
        <f t="shared" ca="1" si="4"/>
        <v>170.1397937466667</v>
      </c>
    </row>
    <row r="11" spans="1:10">
      <c r="A11">
        <v>8</v>
      </c>
      <c r="B11">
        <f>IF($B$1&gt;=A11, SUM(A$4:A11), 0)</f>
        <v>36</v>
      </c>
      <c r="C11">
        <f t="shared" si="0"/>
        <v>43</v>
      </c>
      <c r="D11">
        <f ca="1">IF($B$1&gt;=A11, SUM(INDIRECT("A"&amp;($B$1+3)):INDIRECT("A"&amp;(C11+3))), 0)</f>
        <v>372</v>
      </c>
      <c r="E11">
        <f t="shared" ca="1" si="1"/>
        <v>336</v>
      </c>
      <c r="F11">
        <f t="shared" ca="1" si="5"/>
        <v>1290</v>
      </c>
      <c r="G11">
        <f t="shared" ca="1" si="2"/>
        <v>1662</v>
      </c>
      <c r="H11" s="4">
        <f t="shared" ca="1" si="6"/>
        <v>110.80000000000001</v>
      </c>
      <c r="I11" s="4">
        <f t="shared" ca="1" si="3"/>
        <v>174.39055759999999</v>
      </c>
      <c r="J11" s="4">
        <f t="shared" ca="1" si="4"/>
        <v>173.79983848000006</v>
      </c>
    </row>
    <row r="12" spans="1:10">
      <c r="A12">
        <v>9</v>
      </c>
      <c r="B12">
        <f>IF($B$1&gt;=A12, SUM(A$4:A12), 0)</f>
        <v>45</v>
      </c>
      <c r="C12">
        <f t="shared" si="0"/>
        <v>42</v>
      </c>
      <c r="D12">
        <f ca="1">IF($B$1&gt;=A12, SUM(INDIRECT("A"&amp;($B$1+3)):INDIRECT("A"&amp;(C12+3))), 0)</f>
        <v>414</v>
      </c>
      <c r="E12">
        <f t="shared" ca="1" si="1"/>
        <v>369</v>
      </c>
      <c r="F12">
        <f t="shared" ca="1" si="5"/>
        <v>1281</v>
      </c>
      <c r="G12">
        <f t="shared" ca="1" si="2"/>
        <v>1695</v>
      </c>
      <c r="H12" s="4">
        <f t="shared" ca="1" si="6"/>
        <v>113</v>
      </c>
      <c r="I12" s="4">
        <f t="shared" ca="1" si="3"/>
        <v>177.85318599999999</v>
      </c>
      <c r="J12" s="4">
        <f t="shared" ca="1" si="4"/>
        <v>177.25073780000002</v>
      </c>
    </row>
    <row r="13" spans="1:10">
      <c r="A13">
        <v>10</v>
      </c>
      <c r="B13">
        <f>IF($B$1&gt;=A13, SUM(A$4:A13), 0)</f>
        <v>55</v>
      </c>
      <c r="C13">
        <f t="shared" si="0"/>
        <v>41</v>
      </c>
      <c r="D13">
        <f ca="1">IF($B$1&gt;=A13, SUM(INDIRECT("A"&amp;($B$1+3)):INDIRECT("A"&amp;(C13+3))), 0)</f>
        <v>455</v>
      </c>
      <c r="E13">
        <f t="shared" ca="1" si="1"/>
        <v>400</v>
      </c>
      <c r="F13">
        <f t="shared" ca="1" si="5"/>
        <v>1271</v>
      </c>
      <c r="G13">
        <f t="shared" ca="1" si="2"/>
        <v>1726</v>
      </c>
      <c r="H13" s="4">
        <f t="shared" ca="1" si="6"/>
        <v>115.06666666666668</v>
      </c>
      <c r="I13" s="4">
        <f t="shared" ca="1" si="3"/>
        <v>181.10595813333333</v>
      </c>
      <c r="J13" s="4">
        <f t="shared" ca="1" si="4"/>
        <v>180.49249170666673</v>
      </c>
    </row>
    <row r="14" spans="1:10">
      <c r="A14">
        <v>11</v>
      </c>
      <c r="B14">
        <f>IF($B$1&gt;=A14, SUM(A$4:A14), 0)</f>
        <v>66</v>
      </c>
      <c r="C14">
        <f t="shared" si="0"/>
        <v>40</v>
      </c>
      <c r="D14">
        <f ca="1">IF($B$1&gt;=A14, SUM(INDIRECT("A"&amp;($B$1+3)):INDIRECT("A"&amp;(C14+3))), 0)</f>
        <v>495</v>
      </c>
      <c r="E14">
        <f t="shared" ca="1" si="1"/>
        <v>429</v>
      </c>
      <c r="F14">
        <f t="shared" ca="1" si="5"/>
        <v>1260</v>
      </c>
      <c r="G14">
        <f t="shared" ca="1" si="2"/>
        <v>1755</v>
      </c>
      <c r="H14" s="4">
        <f t="shared" ca="1" si="6"/>
        <v>117.00000000000001</v>
      </c>
      <c r="I14" s="4">
        <f t="shared" ca="1" si="3"/>
        <v>184.14887400000001</v>
      </c>
      <c r="J14" s="4">
        <f t="shared" ca="1" si="4"/>
        <v>183.52510020000005</v>
      </c>
    </row>
    <row r="15" spans="1:10">
      <c r="A15">
        <v>12</v>
      </c>
      <c r="B15">
        <f>IF($B$1&gt;=A15, SUM(A$4:A15), 0)</f>
        <v>78</v>
      </c>
      <c r="C15">
        <f t="shared" si="0"/>
        <v>39</v>
      </c>
      <c r="D15">
        <f ca="1">IF($B$1&gt;=A15, SUM(INDIRECT("A"&amp;($B$1+3)):INDIRECT("A"&amp;(C15+3))), 0)</f>
        <v>534</v>
      </c>
      <c r="E15">
        <f t="shared" ca="1" si="1"/>
        <v>456</v>
      </c>
      <c r="F15">
        <f t="shared" ca="1" si="5"/>
        <v>1248</v>
      </c>
      <c r="G15">
        <f t="shared" ca="1" si="2"/>
        <v>1782</v>
      </c>
      <c r="H15" s="4">
        <f t="shared" ca="1" si="6"/>
        <v>118.80000000000001</v>
      </c>
      <c r="I15" s="4">
        <f t="shared" ca="1" si="3"/>
        <v>186.98193359999999</v>
      </c>
      <c r="J15" s="4">
        <f t="shared" ca="1" si="4"/>
        <v>186.34856328000006</v>
      </c>
    </row>
    <row r="16" spans="1:10">
      <c r="A16">
        <v>13</v>
      </c>
      <c r="B16">
        <f>IF($B$1&gt;=A16, SUM(A$4:A16), 0)</f>
        <v>91</v>
      </c>
      <c r="C16">
        <f t="shared" si="0"/>
        <v>38</v>
      </c>
      <c r="D16">
        <f ca="1">IF($B$1&gt;=A16, SUM(INDIRECT("A"&amp;($B$1+3)):INDIRECT("A"&amp;(C16+3))), 0)</f>
        <v>572</v>
      </c>
      <c r="E16">
        <f t="shared" ca="1" si="1"/>
        <v>481</v>
      </c>
      <c r="F16">
        <f t="shared" ca="1" si="5"/>
        <v>1235</v>
      </c>
      <c r="G16">
        <f t="shared" ca="1" si="2"/>
        <v>1807</v>
      </c>
      <c r="H16" s="4">
        <f t="shared" ca="1" si="6"/>
        <v>120.46666666666667</v>
      </c>
      <c r="I16" s="4">
        <f t="shared" ca="1" si="3"/>
        <v>189.60513693333331</v>
      </c>
      <c r="J16" s="4">
        <f t="shared" ca="1" si="4"/>
        <v>188.9628809466667</v>
      </c>
    </row>
    <row r="17" spans="1:10">
      <c r="A17">
        <v>14</v>
      </c>
      <c r="B17">
        <f>IF($B$1&gt;=A17, SUM(A$4:A17), 0)</f>
        <v>105</v>
      </c>
      <c r="C17">
        <f t="shared" si="0"/>
        <v>37</v>
      </c>
      <c r="D17">
        <f ca="1">IF($B$1&gt;=A17, SUM(INDIRECT("A"&amp;($B$1+3)):INDIRECT("A"&amp;(C17+3))), 0)</f>
        <v>609</v>
      </c>
      <c r="E17">
        <f t="shared" ca="1" si="1"/>
        <v>504</v>
      </c>
      <c r="F17">
        <f t="shared" ca="1" si="5"/>
        <v>1221</v>
      </c>
      <c r="G17">
        <f t="shared" ca="1" si="2"/>
        <v>1830</v>
      </c>
      <c r="H17" s="4">
        <f t="shared" ca="1" si="6"/>
        <v>122.00000000000001</v>
      </c>
      <c r="I17" s="4">
        <f t="shared" ca="1" si="3"/>
        <v>192.018484</v>
      </c>
      <c r="J17" s="4">
        <f t="shared" ca="1" si="4"/>
        <v>191.36805320000005</v>
      </c>
    </row>
    <row r="18" spans="1:10">
      <c r="A18">
        <v>15</v>
      </c>
      <c r="B18">
        <f>IF($B$1&gt;=A18, SUM(A$4:A18), 0)</f>
        <v>120</v>
      </c>
      <c r="C18">
        <f t="shared" si="0"/>
        <v>36</v>
      </c>
      <c r="D18">
        <f ca="1">IF($B$1&gt;=A18, SUM(INDIRECT("A"&amp;($B$1+3)):INDIRECT("A"&amp;(C18+3))), 0)</f>
        <v>645</v>
      </c>
      <c r="E18">
        <f t="shared" ca="1" si="1"/>
        <v>525</v>
      </c>
      <c r="F18">
        <f t="shared" ca="1" si="5"/>
        <v>1206</v>
      </c>
      <c r="G18">
        <f t="shared" ca="1" si="2"/>
        <v>1851</v>
      </c>
      <c r="H18" s="4">
        <f t="shared" ca="1" si="6"/>
        <v>123.40000000000002</v>
      </c>
      <c r="I18" s="4">
        <f t="shared" ca="1" si="3"/>
        <v>194.2219748</v>
      </c>
      <c r="J18" s="4">
        <f t="shared" ca="1" si="4"/>
        <v>193.56408004000008</v>
      </c>
    </row>
    <row r="19" spans="1:10">
      <c r="A19">
        <v>16</v>
      </c>
      <c r="B19">
        <f>IF($B$1&gt;=A19, SUM(A$4:A19), 0)</f>
        <v>136</v>
      </c>
      <c r="C19">
        <f t="shared" si="0"/>
        <v>35</v>
      </c>
      <c r="D19">
        <f ca="1">IF($B$1&gt;=A19, SUM(INDIRECT("A"&amp;($B$1+3)):INDIRECT("A"&amp;(C19+3))), 0)</f>
        <v>680</v>
      </c>
      <c r="E19">
        <f t="shared" ca="1" si="1"/>
        <v>544</v>
      </c>
      <c r="F19">
        <f t="shared" ca="1" si="5"/>
        <v>1190</v>
      </c>
      <c r="G19">
        <f t="shared" ca="1" si="2"/>
        <v>1870</v>
      </c>
      <c r="H19" s="4">
        <f t="shared" ca="1" si="6"/>
        <v>124.66666666666667</v>
      </c>
      <c r="I19" s="4">
        <f t="shared" ca="1" si="3"/>
        <v>196.2156093333333</v>
      </c>
      <c r="J19" s="4">
        <f t="shared" ca="1" si="4"/>
        <v>195.55096146666671</v>
      </c>
    </row>
    <row r="20" spans="1:10">
      <c r="A20">
        <v>17</v>
      </c>
      <c r="B20">
        <f>IF($B$1&gt;=A20, SUM(A$4:A20), 0)</f>
        <v>153</v>
      </c>
      <c r="C20">
        <f t="shared" si="0"/>
        <v>34</v>
      </c>
      <c r="D20">
        <f ca="1">IF($B$1&gt;=A20, SUM(INDIRECT("A"&amp;($B$1+3)):INDIRECT("A"&amp;(C20+3))), 0)</f>
        <v>714</v>
      </c>
      <c r="E20">
        <f t="shared" ca="1" si="1"/>
        <v>561</v>
      </c>
      <c r="F20">
        <f t="shared" ca="1" si="5"/>
        <v>1173</v>
      </c>
      <c r="G20">
        <f t="shared" ca="1" si="2"/>
        <v>1887</v>
      </c>
      <c r="H20" s="4">
        <f t="shared" ca="1" si="6"/>
        <v>125.80000000000001</v>
      </c>
      <c r="I20" s="4">
        <f t="shared" ca="1" si="3"/>
        <v>197.99938760000001</v>
      </c>
      <c r="J20" s="4">
        <f t="shared" ca="1" si="4"/>
        <v>197.32869748000005</v>
      </c>
    </row>
    <row r="21" spans="1:10">
      <c r="A21">
        <v>18</v>
      </c>
      <c r="B21">
        <f>IF($B$1&gt;=A21, SUM(A$4:A21), 0)</f>
        <v>171</v>
      </c>
      <c r="C21">
        <f t="shared" si="0"/>
        <v>33</v>
      </c>
      <c r="D21">
        <f ca="1">IF($B$1&gt;=A21, SUM(INDIRECT("A"&amp;($B$1+3)):INDIRECT("A"&amp;(C21+3))), 0)</f>
        <v>747</v>
      </c>
      <c r="E21">
        <f t="shared" ca="1" si="1"/>
        <v>576</v>
      </c>
      <c r="F21">
        <f t="shared" ca="1" si="5"/>
        <v>1155</v>
      </c>
      <c r="G21">
        <f t="shared" ca="1" si="2"/>
        <v>1902</v>
      </c>
      <c r="H21" s="4">
        <f t="shared" ca="1" si="6"/>
        <v>126.8</v>
      </c>
      <c r="I21" s="4">
        <f t="shared" ca="1" si="3"/>
        <v>199.57330959999996</v>
      </c>
      <c r="J21" s="4">
        <f t="shared" ca="1" si="4"/>
        <v>198.89728808000004</v>
      </c>
    </row>
    <row r="22" spans="1:10">
      <c r="A22">
        <v>19</v>
      </c>
      <c r="B22">
        <f>IF($B$1&gt;=A22, SUM(A$4:A22), 0)</f>
        <v>190</v>
      </c>
      <c r="C22">
        <f t="shared" si="0"/>
        <v>32</v>
      </c>
      <c r="D22">
        <f ca="1">IF($B$1&gt;=A22, SUM(INDIRECT("A"&amp;($B$1+3)):INDIRECT("A"&amp;(C22+3))), 0)</f>
        <v>779</v>
      </c>
      <c r="E22">
        <f t="shared" ca="1" si="1"/>
        <v>589</v>
      </c>
      <c r="F22">
        <f t="shared" ca="1" si="5"/>
        <v>1136</v>
      </c>
      <c r="G22">
        <f t="shared" ca="1" si="2"/>
        <v>1915</v>
      </c>
      <c r="H22" s="4">
        <f t="shared" ca="1" si="6"/>
        <v>127.66666666666666</v>
      </c>
      <c r="I22" s="4">
        <f t="shared" ca="1" si="3"/>
        <v>200.93737533333331</v>
      </c>
      <c r="J22" s="4">
        <f t="shared" ca="1" si="4"/>
        <v>200.25673326666669</v>
      </c>
    </row>
    <row r="23" spans="1:10">
      <c r="A23">
        <v>20</v>
      </c>
      <c r="B23">
        <f>IF($B$1&gt;=A23, SUM(A$4:A23), 0)</f>
        <v>210</v>
      </c>
      <c r="C23">
        <f t="shared" si="0"/>
        <v>31</v>
      </c>
      <c r="D23">
        <f ca="1">IF($B$1&gt;=A23, SUM(INDIRECT("A"&amp;($B$1+3)):INDIRECT("A"&amp;(C23+3))), 0)</f>
        <v>810</v>
      </c>
      <c r="E23">
        <f t="shared" ca="1" si="1"/>
        <v>600</v>
      </c>
      <c r="F23">
        <f t="shared" ca="1" si="5"/>
        <v>1116</v>
      </c>
      <c r="G23">
        <f t="shared" ca="1" si="2"/>
        <v>1926</v>
      </c>
      <c r="H23" s="4">
        <f t="shared" ca="1" si="6"/>
        <v>128.4</v>
      </c>
      <c r="I23" s="4">
        <f t="shared" ca="1" si="3"/>
        <v>202.09158479999999</v>
      </c>
      <c r="J23" s="4">
        <f t="shared" ca="1" si="4"/>
        <v>201.40703304000004</v>
      </c>
    </row>
    <row r="24" spans="1:10">
      <c r="A24">
        <v>21</v>
      </c>
      <c r="B24">
        <f>IF($B$1&gt;=A24, SUM(A$4:A24), 0)</f>
        <v>231</v>
      </c>
      <c r="C24">
        <f t="shared" si="0"/>
        <v>30</v>
      </c>
      <c r="D24">
        <f ca="1">IF($B$1&gt;=A24, SUM(INDIRECT("A"&amp;($B$1+3)):INDIRECT("A"&amp;(C24+3))), 0)</f>
        <v>840</v>
      </c>
      <c r="E24">
        <f t="shared" ca="1" si="1"/>
        <v>609</v>
      </c>
      <c r="F24">
        <f t="shared" ca="1" si="5"/>
        <v>1095</v>
      </c>
      <c r="G24">
        <f t="shared" ca="1" si="2"/>
        <v>1935</v>
      </c>
      <c r="H24" s="4">
        <f t="shared" ca="1" si="6"/>
        <v>129.00000000000003</v>
      </c>
      <c r="I24" s="4">
        <f t="shared" ca="1" si="3"/>
        <v>203.03593800000002</v>
      </c>
      <c r="J24" s="4">
        <f t="shared" ca="1" si="4"/>
        <v>202.34818740000009</v>
      </c>
    </row>
    <row r="25" spans="1:10">
      <c r="A25">
        <v>22</v>
      </c>
      <c r="B25">
        <f>IF($B$1&gt;=A25, SUM(A$4:A25), 0)</f>
        <v>253</v>
      </c>
      <c r="C25">
        <f t="shared" si="0"/>
        <v>29</v>
      </c>
      <c r="D25">
        <f ca="1">IF($B$1&gt;=A25, SUM(INDIRECT("A"&amp;($B$1+3)):INDIRECT("A"&amp;(C25+3))), 0)</f>
        <v>869</v>
      </c>
      <c r="E25">
        <f t="shared" ca="1" si="1"/>
        <v>616</v>
      </c>
      <c r="F25">
        <f t="shared" ca="1" si="5"/>
        <v>1073</v>
      </c>
      <c r="G25">
        <f t="shared" ca="1" si="2"/>
        <v>1942</v>
      </c>
      <c r="H25" s="4">
        <f t="shared" ca="1" si="6"/>
        <v>129.4666666666667</v>
      </c>
      <c r="I25" s="4">
        <f t="shared" ca="1" si="3"/>
        <v>203.77043493333335</v>
      </c>
      <c r="J25" s="4">
        <f t="shared" ca="1" si="4"/>
        <v>203.08019634666675</v>
      </c>
    </row>
    <row r="26" spans="1:10">
      <c r="A26">
        <v>23</v>
      </c>
      <c r="B26">
        <f>IF($B$1&gt;=A26, SUM(A$4:A26), 0)</f>
        <v>276</v>
      </c>
      <c r="C26">
        <f t="shared" si="0"/>
        <v>28</v>
      </c>
      <c r="D26">
        <f ca="1">IF($B$1&gt;=A26, SUM(INDIRECT("A"&amp;($B$1+3)):INDIRECT("A"&amp;(C26+3))), 0)</f>
        <v>897</v>
      </c>
      <c r="E26">
        <f t="shared" ca="1" si="1"/>
        <v>621</v>
      </c>
      <c r="F26">
        <f t="shared" ca="1" si="5"/>
        <v>1050</v>
      </c>
      <c r="G26">
        <f t="shared" ca="1" si="2"/>
        <v>1947</v>
      </c>
      <c r="H26" s="4">
        <f t="shared" ca="1" si="6"/>
        <v>129.80000000000001</v>
      </c>
      <c r="I26" s="4">
        <f t="shared" ca="1" si="3"/>
        <v>204.29507559999999</v>
      </c>
      <c r="J26" s="4">
        <f t="shared" ca="1" si="4"/>
        <v>203.60305988000005</v>
      </c>
    </row>
    <row r="27" spans="1:10">
      <c r="A27">
        <v>24</v>
      </c>
      <c r="B27">
        <f>IF($B$1&gt;=A27, SUM(A$4:A27), 0)</f>
        <v>300</v>
      </c>
      <c r="C27">
        <f t="shared" si="0"/>
        <v>27</v>
      </c>
      <c r="D27">
        <f ca="1">IF($B$1&gt;=A27, SUM(INDIRECT("A"&amp;($B$1+3)):INDIRECT("A"&amp;(C27+3))), 0)</f>
        <v>924</v>
      </c>
      <c r="E27">
        <f t="shared" ca="1" si="1"/>
        <v>624</v>
      </c>
      <c r="F27">
        <f t="shared" ca="1" si="5"/>
        <v>1026</v>
      </c>
      <c r="G27">
        <f t="shared" ca="1" si="2"/>
        <v>1950</v>
      </c>
      <c r="H27" s="4">
        <f t="shared" ca="1" si="6"/>
        <v>130</v>
      </c>
      <c r="I27" s="4">
        <f t="shared" ca="1" si="3"/>
        <v>204.60985999999997</v>
      </c>
      <c r="J27" s="4">
        <f t="shared" ca="1" si="4"/>
        <v>203.91677800000002</v>
      </c>
    </row>
    <row r="28" spans="1:10">
      <c r="A28">
        <v>25</v>
      </c>
      <c r="B28">
        <f>IF($B$1&gt;=A28, SUM(A$4:A28), 0)</f>
        <v>325</v>
      </c>
      <c r="C28">
        <f t="shared" si="0"/>
        <v>26</v>
      </c>
      <c r="D28">
        <f ca="1">IF($B$1&gt;=A28, SUM(INDIRECT("A"&amp;($B$1+3)):INDIRECT("A"&amp;(C28+3))), 0)</f>
        <v>950</v>
      </c>
      <c r="E28">
        <f t="shared" ca="1" si="1"/>
        <v>625</v>
      </c>
      <c r="F28">
        <f t="shared" ca="1" si="5"/>
        <v>1001</v>
      </c>
      <c r="G28">
        <f t="shared" ca="1" si="2"/>
        <v>1951</v>
      </c>
      <c r="H28" s="4">
        <f t="shared" ca="1" si="6"/>
        <v>130.06666666666669</v>
      </c>
      <c r="I28" s="4">
        <f t="shared" ca="1" si="3"/>
        <v>204.71478813333334</v>
      </c>
      <c r="J28" s="4">
        <f t="shared" ca="1" si="4"/>
        <v>204.02135070666674</v>
      </c>
    </row>
    <row r="29" spans="1:10">
      <c r="A29">
        <v>26</v>
      </c>
      <c r="B29">
        <f>IF($B$1&gt;=A29, SUM(A$4:A29), 0)</f>
        <v>351</v>
      </c>
      <c r="C29">
        <f t="shared" si="0"/>
        <v>25</v>
      </c>
      <c r="D29">
        <f ca="1">IF($B$1&gt;=A29, SUM(INDIRECT("A"&amp;($B$1+3)):INDIRECT("A"&amp;(C29+3))), 0)</f>
        <v>975</v>
      </c>
      <c r="E29">
        <f t="shared" ca="1" si="1"/>
        <v>624</v>
      </c>
      <c r="F29">
        <f t="shared" ca="1" si="5"/>
        <v>975</v>
      </c>
      <c r="G29">
        <f t="shared" ca="1" si="2"/>
        <v>1950</v>
      </c>
      <c r="H29" s="4">
        <f t="shared" ca="1" si="6"/>
        <v>130</v>
      </c>
      <c r="I29" s="4">
        <f t="shared" ca="1" si="3"/>
        <v>204.60985999999997</v>
      </c>
      <c r="J29" s="4">
        <f t="shared" ca="1" si="4"/>
        <v>203.91677800000002</v>
      </c>
    </row>
    <row r="30" spans="1:10">
      <c r="A30">
        <v>27</v>
      </c>
      <c r="B30">
        <f>IF($B$1&gt;=A30, SUM(A$4:A30), 0)</f>
        <v>378</v>
      </c>
      <c r="C30">
        <f t="shared" si="0"/>
        <v>24</v>
      </c>
      <c r="D30">
        <f ca="1">IF($B$1&gt;=A30, SUM(INDIRECT("A"&amp;($B$1+3)):INDIRECT("A"&amp;(C30+3))), 0)</f>
        <v>999</v>
      </c>
      <c r="E30">
        <f t="shared" ca="1" si="1"/>
        <v>621</v>
      </c>
      <c r="F30">
        <f t="shared" ca="1" si="5"/>
        <v>948</v>
      </c>
      <c r="G30">
        <f t="shared" ca="1" si="2"/>
        <v>1947</v>
      </c>
      <c r="H30" s="4">
        <f t="shared" ca="1" si="6"/>
        <v>129.80000000000001</v>
      </c>
      <c r="I30" s="4">
        <f t="shared" ca="1" si="3"/>
        <v>204.29507559999999</v>
      </c>
      <c r="J30" s="4">
        <f t="shared" ca="1" si="4"/>
        <v>203.60305988000005</v>
      </c>
    </row>
    <row r="31" spans="1:10">
      <c r="A31">
        <v>28</v>
      </c>
      <c r="B31">
        <f>IF($B$1&gt;=A31, SUM(A$4:A31), 0)</f>
        <v>406</v>
      </c>
      <c r="C31">
        <f t="shared" si="0"/>
        <v>23</v>
      </c>
      <c r="D31">
        <f ca="1">IF($B$1&gt;=A31, SUM(INDIRECT("A"&amp;($B$1+3)):INDIRECT("A"&amp;(C31+3))), 0)</f>
        <v>1022</v>
      </c>
      <c r="E31">
        <f t="shared" ca="1" si="1"/>
        <v>616</v>
      </c>
      <c r="F31">
        <f t="shared" ca="1" si="5"/>
        <v>920</v>
      </c>
      <c r="G31">
        <f t="shared" ca="1" si="2"/>
        <v>1942</v>
      </c>
      <c r="H31" s="4">
        <f t="shared" ca="1" si="6"/>
        <v>129.4666666666667</v>
      </c>
      <c r="I31" s="4">
        <f t="shared" ca="1" si="3"/>
        <v>203.77043493333335</v>
      </c>
      <c r="J31" s="4">
        <f t="shared" ca="1" si="4"/>
        <v>203.08019634666675</v>
      </c>
    </row>
    <row r="32" spans="1:10">
      <c r="A32">
        <v>29</v>
      </c>
      <c r="B32">
        <f>IF($B$1&gt;=A32, SUM(A$4:A32), 0)</f>
        <v>435</v>
      </c>
      <c r="C32">
        <f t="shared" si="0"/>
        <v>22</v>
      </c>
      <c r="D32">
        <f ca="1">IF($B$1&gt;=A32, SUM(INDIRECT("A"&amp;($B$1+3)):INDIRECT("A"&amp;(C32+3))), 0)</f>
        <v>1044</v>
      </c>
      <c r="E32">
        <f t="shared" ca="1" si="1"/>
        <v>609</v>
      </c>
      <c r="F32">
        <f t="shared" ca="1" si="5"/>
        <v>891</v>
      </c>
      <c r="G32">
        <f t="shared" ca="1" si="2"/>
        <v>1935</v>
      </c>
      <c r="H32" s="4">
        <f t="shared" ca="1" si="6"/>
        <v>129.00000000000003</v>
      </c>
      <c r="I32" s="4">
        <f t="shared" ca="1" si="3"/>
        <v>203.03593800000002</v>
      </c>
      <c r="J32" s="4">
        <f t="shared" ca="1" si="4"/>
        <v>202.34818740000009</v>
      </c>
    </row>
    <row r="33" spans="1:10">
      <c r="A33">
        <v>30</v>
      </c>
      <c r="B33">
        <f>IF($B$1&gt;=A33, SUM(A$4:A33), 0)</f>
        <v>465</v>
      </c>
      <c r="C33">
        <f t="shared" si="0"/>
        <v>21</v>
      </c>
      <c r="D33">
        <f ca="1">IF($B$1&gt;=A33, SUM(INDIRECT("A"&amp;($B$1+3)):INDIRECT("A"&amp;(C33+3))), 0)</f>
        <v>1065</v>
      </c>
      <c r="E33">
        <f t="shared" ca="1" si="1"/>
        <v>600</v>
      </c>
      <c r="F33">
        <f t="shared" ca="1" si="5"/>
        <v>861</v>
      </c>
      <c r="G33">
        <f t="shared" ca="1" si="2"/>
        <v>1926</v>
      </c>
      <c r="H33" s="4">
        <f t="shared" ca="1" si="6"/>
        <v>128.4</v>
      </c>
      <c r="I33" s="4">
        <f t="shared" ca="1" si="3"/>
        <v>202.09158479999999</v>
      </c>
      <c r="J33" s="4">
        <f t="shared" ca="1" si="4"/>
        <v>201.40703304000004</v>
      </c>
    </row>
    <row r="34" spans="1:10">
      <c r="A34">
        <v>31</v>
      </c>
      <c r="B34">
        <f>IF($B$1&gt;=A34, SUM(A$4:A34), 0)</f>
        <v>496</v>
      </c>
      <c r="C34">
        <f t="shared" si="0"/>
        <v>20</v>
      </c>
      <c r="D34">
        <f ca="1">IF($B$1&gt;=A34, SUM(INDIRECT("A"&amp;($B$1+3)):INDIRECT("A"&amp;(C34+3))), 0)</f>
        <v>1085</v>
      </c>
      <c r="E34">
        <f t="shared" ca="1" si="1"/>
        <v>589</v>
      </c>
      <c r="F34">
        <f t="shared" ca="1" si="5"/>
        <v>830</v>
      </c>
      <c r="G34">
        <f t="shared" ca="1" si="2"/>
        <v>1915</v>
      </c>
      <c r="H34" s="4">
        <f t="shared" ca="1" si="6"/>
        <v>127.66666666666666</v>
      </c>
      <c r="I34" s="4">
        <f t="shared" ca="1" si="3"/>
        <v>200.93737533333331</v>
      </c>
      <c r="J34" s="4">
        <f t="shared" ca="1" si="4"/>
        <v>200.25673326666669</v>
      </c>
    </row>
    <row r="35" spans="1:10">
      <c r="A35">
        <v>32</v>
      </c>
      <c r="B35">
        <f>IF($B$1&gt;=A35, SUM(A$4:A35), 0)</f>
        <v>528</v>
      </c>
      <c r="C35">
        <f t="shared" si="0"/>
        <v>19</v>
      </c>
      <c r="D35">
        <f ca="1">IF($B$1&gt;=A35, SUM(INDIRECT("A"&amp;($B$1+3)):INDIRECT("A"&amp;(C35+3))), 0)</f>
        <v>1104</v>
      </c>
      <c r="E35">
        <f t="shared" ca="1" si="1"/>
        <v>576</v>
      </c>
      <c r="F35">
        <f t="shared" ca="1" si="5"/>
        <v>798</v>
      </c>
      <c r="G35">
        <f t="shared" ca="1" si="2"/>
        <v>1902</v>
      </c>
      <c r="H35" s="4">
        <f t="shared" ca="1" si="6"/>
        <v>126.8</v>
      </c>
      <c r="I35" s="4">
        <f t="shared" ca="1" si="3"/>
        <v>199.57330959999996</v>
      </c>
      <c r="J35" s="4">
        <f t="shared" ca="1" si="4"/>
        <v>198.89728808000004</v>
      </c>
    </row>
    <row r="36" spans="1:10">
      <c r="A36">
        <v>33</v>
      </c>
      <c r="B36">
        <f>IF($B$1&gt;=A36, SUM(A$4:A36), 0)</f>
        <v>561</v>
      </c>
      <c r="C36">
        <f t="shared" ref="C36:C67" si="7">($B$1+1)-A36</f>
        <v>18</v>
      </c>
      <c r="D36">
        <f ca="1">IF($B$1&gt;=A36, SUM(INDIRECT("A"&amp;($B$1+3)):INDIRECT("A"&amp;(C36+3))), 0)</f>
        <v>1122</v>
      </c>
      <c r="E36">
        <f t="shared" ref="E36:E67" ca="1" si="8">D36-B36</f>
        <v>561</v>
      </c>
      <c r="F36">
        <f t="shared" ca="1" si="5"/>
        <v>765</v>
      </c>
      <c r="G36">
        <f t="shared" ref="G36:G67" ca="1" si="9">F36+D36</f>
        <v>1887</v>
      </c>
      <c r="H36" s="4">
        <f t="shared" ca="1" si="6"/>
        <v>125.80000000000001</v>
      </c>
      <c r="I36" s="4">
        <f t="shared" ref="I36:I67" ca="1" si="10">H36*AvgHitsPerRound1</f>
        <v>197.99938760000001</v>
      </c>
      <c r="J36" s="4">
        <f t="shared" ref="J36:J67" ca="1" si="11">H36*AvgHitsPerRound2</f>
        <v>197.32869748000005</v>
      </c>
    </row>
    <row r="37" spans="1:10">
      <c r="A37">
        <v>34</v>
      </c>
      <c r="B37">
        <f>IF($B$1&gt;=A37, SUM(A$4:A37), 0)</f>
        <v>595</v>
      </c>
      <c r="C37">
        <f t="shared" si="7"/>
        <v>17</v>
      </c>
      <c r="D37">
        <f ca="1">IF($B$1&gt;=A37, SUM(INDIRECT("A"&amp;($B$1+3)):INDIRECT("A"&amp;(C37+3))), 0)</f>
        <v>1139</v>
      </c>
      <c r="E37">
        <f t="shared" ca="1" si="8"/>
        <v>544</v>
      </c>
      <c r="F37">
        <f t="shared" ca="1" si="5"/>
        <v>731</v>
      </c>
      <c r="G37">
        <f t="shared" ca="1" si="9"/>
        <v>1870</v>
      </c>
      <c r="H37" s="4">
        <f t="shared" ca="1" si="6"/>
        <v>124.66666666666667</v>
      </c>
      <c r="I37" s="4">
        <f t="shared" ca="1" si="10"/>
        <v>196.2156093333333</v>
      </c>
      <c r="J37" s="4">
        <f t="shared" ca="1" si="11"/>
        <v>195.55096146666671</v>
      </c>
    </row>
    <row r="38" spans="1:10">
      <c r="A38">
        <v>35</v>
      </c>
      <c r="B38">
        <f>IF($B$1&gt;=A38, SUM(A$4:A38), 0)</f>
        <v>630</v>
      </c>
      <c r="C38">
        <f t="shared" si="7"/>
        <v>16</v>
      </c>
      <c r="D38">
        <f ca="1">IF($B$1&gt;=A38, SUM(INDIRECT("A"&amp;($B$1+3)):INDIRECT("A"&amp;(C38+3))), 0)</f>
        <v>1155</v>
      </c>
      <c r="E38">
        <f t="shared" ca="1" si="8"/>
        <v>525</v>
      </c>
      <c r="F38">
        <f t="shared" ca="1" si="5"/>
        <v>696</v>
      </c>
      <c r="G38">
        <f t="shared" ca="1" si="9"/>
        <v>1851</v>
      </c>
      <c r="H38" s="4">
        <f t="shared" ca="1" si="6"/>
        <v>123.40000000000002</v>
      </c>
      <c r="I38" s="4">
        <f t="shared" ca="1" si="10"/>
        <v>194.2219748</v>
      </c>
      <c r="J38" s="4">
        <f t="shared" ca="1" si="11"/>
        <v>193.56408004000008</v>
      </c>
    </row>
    <row r="39" spans="1:10">
      <c r="A39">
        <v>36</v>
      </c>
      <c r="B39">
        <f>IF($B$1&gt;=A39, SUM(A$4:A39), 0)</f>
        <v>666</v>
      </c>
      <c r="C39">
        <f t="shared" si="7"/>
        <v>15</v>
      </c>
      <c r="D39">
        <f ca="1">IF($B$1&gt;=A39, SUM(INDIRECT("A"&amp;($B$1+3)):INDIRECT("A"&amp;(C39+3))), 0)</f>
        <v>1170</v>
      </c>
      <c r="E39">
        <f t="shared" ca="1" si="8"/>
        <v>504</v>
      </c>
      <c r="F39">
        <f t="shared" ca="1" si="5"/>
        <v>660</v>
      </c>
      <c r="G39">
        <f t="shared" ca="1" si="9"/>
        <v>1830</v>
      </c>
      <c r="H39" s="4">
        <f t="shared" ca="1" si="6"/>
        <v>122.00000000000001</v>
      </c>
      <c r="I39" s="4">
        <f t="shared" ca="1" si="10"/>
        <v>192.018484</v>
      </c>
      <c r="J39" s="4">
        <f t="shared" ca="1" si="11"/>
        <v>191.36805320000005</v>
      </c>
    </row>
    <row r="40" spans="1:10">
      <c r="A40">
        <v>37</v>
      </c>
      <c r="B40">
        <f>IF($B$1&gt;=A40, SUM(A$4:A40), 0)</f>
        <v>703</v>
      </c>
      <c r="C40">
        <f t="shared" si="7"/>
        <v>14</v>
      </c>
      <c r="D40">
        <f ca="1">IF($B$1&gt;=A40, SUM(INDIRECT("A"&amp;($B$1+3)):INDIRECT("A"&amp;(C40+3))), 0)</f>
        <v>1184</v>
      </c>
      <c r="E40">
        <f t="shared" ca="1" si="8"/>
        <v>481</v>
      </c>
      <c r="F40">
        <f t="shared" ca="1" si="5"/>
        <v>623</v>
      </c>
      <c r="G40">
        <f t="shared" ca="1" si="9"/>
        <v>1807</v>
      </c>
      <c r="H40" s="4">
        <f t="shared" ca="1" si="6"/>
        <v>120.46666666666667</v>
      </c>
      <c r="I40" s="4">
        <f t="shared" ca="1" si="10"/>
        <v>189.60513693333331</v>
      </c>
      <c r="J40" s="4">
        <f t="shared" ca="1" si="11"/>
        <v>188.9628809466667</v>
      </c>
    </row>
    <row r="41" spans="1:10">
      <c r="A41">
        <v>38</v>
      </c>
      <c r="B41">
        <f>IF($B$1&gt;=A41, SUM(A$4:A41), 0)</f>
        <v>741</v>
      </c>
      <c r="C41">
        <f t="shared" si="7"/>
        <v>13</v>
      </c>
      <c r="D41">
        <f ca="1">IF($B$1&gt;=A41, SUM(INDIRECT("A"&amp;($B$1+3)):INDIRECT("A"&amp;(C41+3))), 0)</f>
        <v>1197</v>
      </c>
      <c r="E41">
        <f t="shared" ca="1" si="8"/>
        <v>456</v>
      </c>
      <c r="F41">
        <f t="shared" ca="1" si="5"/>
        <v>585</v>
      </c>
      <c r="G41">
        <f t="shared" ca="1" si="9"/>
        <v>1782</v>
      </c>
      <c r="H41" s="4">
        <f t="shared" ca="1" si="6"/>
        <v>118.80000000000001</v>
      </c>
      <c r="I41" s="4">
        <f t="shared" ca="1" si="10"/>
        <v>186.98193359999999</v>
      </c>
      <c r="J41" s="4">
        <f t="shared" ca="1" si="11"/>
        <v>186.34856328000006</v>
      </c>
    </row>
    <row r="42" spans="1:10">
      <c r="A42">
        <v>39</v>
      </c>
      <c r="B42">
        <f>IF($B$1&gt;=A42, SUM(A$4:A42), 0)</f>
        <v>780</v>
      </c>
      <c r="C42">
        <f t="shared" si="7"/>
        <v>12</v>
      </c>
      <c r="D42">
        <f ca="1">IF($B$1&gt;=A42, SUM(INDIRECT("A"&amp;($B$1+3)):INDIRECT("A"&amp;(C42+3))), 0)</f>
        <v>1209</v>
      </c>
      <c r="E42">
        <f t="shared" ca="1" si="8"/>
        <v>429</v>
      </c>
      <c r="F42">
        <f t="shared" ca="1" si="5"/>
        <v>546</v>
      </c>
      <c r="G42">
        <f t="shared" ca="1" si="9"/>
        <v>1755</v>
      </c>
      <c r="H42" s="4">
        <f t="shared" ca="1" si="6"/>
        <v>117.00000000000001</v>
      </c>
      <c r="I42" s="4">
        <f t="shared" ca="1" si="10"/>
        <v>184.14887400000001</v>
      </c>
      <c r="J42" s="4">
        <f t="shared" ca="1" si="11"/>
        <v>183.52510020000005</v>
      </c>
    </row>
    <row r="43" spans="1:10">
      <c r="A43">
        <v>40</v>
      </c>
      <c r="B43">
        <f>IF($B$1&gt;=A43, SUM(A$4:A43), 0)</f>
        <v>820</v>
      </c>
      <c r="C43">
        <f t="shared" si="7"/>
        <v>11</v>
      </c>
      <c r="D43">
        <f ca="1">IF($B$1&gt;=A43, SUM(INDIRECT("A"&amp;($B$1+3)):INDIRECT("A"&amp;(C43+3))), 0)</f>
        <v>1220</v>
      </c>
      <c r="E43">
        <f t="shared" ca="1" si="8"/>
        <v>400</v>
      </c>
      <c r="F43">
        <f t="shared" ca="1" si="5"/>
        <v>506</v>
      </c>
      <c r="G43">
        <f t="shared" ca="1" si="9"/>
        <v>1726</v>
      </c>
      <c r="H43" s="4">
        <f t="shared" ca="1" si="6"/>
        <v>115.06666666666668</v>
      </c>
      <c r="I43" s="4">
        <f t="shared" ca="1" si="10"/>
        <v>181.10595813333333</v>
      </c>
      <c r="J43" s="4">
        <f t="shared" ca="1" si="11"/>
        <v>180.49249170666673</v>
      </c>
    </row>
    <row r="44" spans="1:10">
      <c r="A44">
        <v>41</v>
      </c>
      <c r="B44">
        <f>IF($B$1&gt;=A44, SUM(A$4:A44), 0)</f>
        <v>861</v>
      </c>
      <c r="C44">
        <f t="shared" si="7"/>
        <v>10</v>
      </c>
      <c r="D44">
        <f ca="1">IF($B$1&gt;=A44, SUM(INDIRECT("A"&amp;($B$1+3)):INDIRECT("A"&amp;(C44+3))), 0)</f>
        <v>1230</v>
      </c>
      <c r="E44">
        <f t="shared" ca="1" si="8"/>
        <v>369</v>
      </c>
      <c r="F44">
        <f t="shared" ca="1" si="5"/>
        <v>465</v>
      </c>
      <c r="G44">
        <f t="shared" ca="1" si="9"/>
        <v>1695</v>
      </c>
      <c r="H44" s="4">
        <f t="shared" ca="1" si="6"/>
        <v>113</v>
      </c>
      <c r="I44" s="4">
        <f t="shared" ca="1" si="10"/>
        <v>177.85318599999999</v>
      </c>
      <c r="J44" s="4">
        <f t="shared" ca="1" si="11"/>
        <v>177.25073780000002</v>
      </c>
    </row>
    <row r="45" spans="1:10">
      <c r="A45">
        <v>42</v>
      </c>
      <c r="B45">
        <f>IF($B$1&gt;=A45, SUM(A$4:A45), 0)</f>
        <v>903</v>
      </c>
      <c r="C45">
        <f t="shared" si="7"/>
        <v>9</v>
      </c>
      <c r="D45">
        <f ca="1">IF($B$1&gt;=A45, SUM(INDIRECT("A"&amp;($B$1+3)):INDIRECT("A"&amp;(C45+3))), 0)</f>
        <v>1239</v>
      </c>
      <c r="E45">
        <f t="shared" ca="1" si="8"/>
        <v>336</v>
      </c>
      <c r="F45">
        <f t="shared" ca="1" si="5"/>
        <v>423</v>
      </c>
      <c r="G45">
        <f t="shared" ca="1" si="9"/>
        <v>1662</v>
      </c>
      <c r="H45" s="4">
        <f t="shared" ca="1" si="6"/>
        <v>110.80000000000001</v>
      </c>
      <c r="I45" s="4">
        <f t="shared" ca="1" si="10"/>
        <v>174.39055759999999</v>
      </c>
      <c r="J45" s="4">
        <f t="shared" ca="1" si="11"/>
        <v>173.79983848000006</v>
      </c>
    </row>
    <row r="46" spans="1:10">
      <c r="A46">
        <v>43</v>
      </c>
      <c r="B46">
        <f>IF($B$1&gt;=A46, SUM(A$4:A46), 0)</f>
        <v>946</v>
      </c>
      <c r="C46">
        <f t="shared" si="7"/>
        <v>8</v>
      </c>
      <c r="D46">
        <f ca="1">IF($B$1&gt;=A46, SUM(INDIRECT("A"&amp;($B$1+3)):INDIRECT("A"&amp;(C46+3))), 0)</f>
        <v>1247</v>
      </c>
      <c r="E46">
        <f t="shared" ca="1" si="8"/>
        <v>301</v>
      </c>
      <c r="F46">
        <f t="shared" ca="1" si="5"/>
        <v>380</v>
      </c>
      <c r="G46">
        <f t="shared" ca="1" si="9"/>
        <v>1627</v>
      </c>
      <c r="H46" s="4">
        <f t="shared" ca="1" si="6"/>
        <v>108.46666666666667</v>
      </c>
      <c r="I46" s="4">
        <f t="shared" ca="1" si="10"/>
        <v>170.7180729333333</v>
      </c>
      <c r="J46" s="4">
        <f t="shared" ca="1" si="11"/>
        <v>170.1397937466667</v>
      </c>
    </row>
    <row r="47" spans="1:10">
      <c r="A47">
        <v>44</v>
      </c>
      <c r="B47">
        <f>IF($B$1&gt;=A47, SUM(A$4:A47), 0)</f>
        <v>990</v>
      </c>
      <c r="C47">
        <f t="shared" si="7"/>
        <v>7</v>
      </c>
      <c r="D47">
        <f ca="1">IF($B$1&gt;=A47, SUM(INDIRECT("A"&amp;($B$1+3)):INDIRECT("A"&amp;(C47+3))), 0)</f>
        <v>1254</v>
      </c>
      <c r="E47">
        <f t="shared" ca="1" si="8"/>
        <v>264</v>
      </c>
      <c r="F47">
        <f t="shared" ca="1" si="5"/>
        <v>336</v>
      </c>
      <c r="G47">
        <f t="shared" ca="1" si="9"/>
        <v>1590</v>
      </c>
      <c r="H47" s="4">
        <f t="shared" ca="1" si="6"/>
        <v>106</v>
      </c>
      <c r="I47" s="4">
        <f t="shared" ca="1" si="10"/>
        <v>166.83573199999998</v>
      </c>
      <c r="J47" s="4">
        <f t="shared" ca="1" si="11"/>
        <v>166.27060360000002</v>
      </c>
    </row>
    <row r="48" spans="1:10">
      <c r="A48">
        <v>45</v>
      </c>
      <c r="B48">
        <f>IF($B$1&gt;=A48, SUM(A$4:A48), 0)</f>
        <v>1035</v>
      </c>
      <c r="C48">
        <f t="shared" si="7"/>
        <v>6</v>
      </c>
      <c r="D48">
        <f ca="1">IF($B$1&gt;=A48, SUM(INDIRECT("A"&amp;($B$1+3)):INDIRECT("A"&amp;(C48+3))), 0)</f>
        <v>1260</v>
      </c>
      <c r="E48">
        <f t="shared" ca="1" si="8"/>
        <v>225</v>
      </c>
      <c r="F48">
        <f t="shared" ca="1" si="5"/>
        <v>291</v>
      </c>
      <c r="G48">
        <f t="shared" ca="1" si="9"/>
        <v>1551</v>
      </c>
      <c r="H48" s="4">
        <f t="shared" ca="1" si="6"/>
        <v>103.4</v>
      </c>
      <c r="I48" s="4">
        <f t="shared" ca="1" si="10"/>
        <v>162.74353479999999</v>
      </c>
      <c r="J48" s="4">
        <f t="shared" ca="1" si="11"/>
        <v>162.19226804000004</v>
      </c>
    </row>
    <row r="49" spans="1:10">
      <c r="A49">
        <v>46</v>
      </c>
      <c r="B49">
        <f>IF($B$1&gt;=A49, SUM(A$4:A49), 0)</f>
        <v>1081</v>
      </c>
      <c r="C49">
        <f t="shared" si="7"/>
        <v>5</v>
      </c>
      <c r="D49">
        <f ca="1">IF($B$1&gt;=A49, SUM(INDIRECT("A"&amp;($B$1+3)):INDIRECT("A"&amp;(C49+3))), 0)</f>
        <v>1265</v>
      </c>
      <c r="E49">
        <f t="shared" ca="1" si="8"/>
        <v>184</v>
      </c>
      <c r="F49">
        <f t="shared" ca="1" si="5"/>
        <v>245</v>
      </c>
      <c r="G49">
        <f t="shared" ca="1" si="9"/>
        <v>1510</v>
      </c>
      <c r="H49" s="4">
        <f t="shared" ca="1" si="6"/>
        <v>100.66666666666667</v>
      </c>
      <c r="I49" s="4">
        <f t="shared" ca="1" si="10"/>
        <v>158.44148133333331</v>
      </c>
      <c r="J49" s="4">
        <f t="shared" ca="1" si="11"/>
        <v>157.9047870666667</v>
      </c>
    </row>
    <row r="50" spans="1:10">
      <c r="A50">
        <v>47</v>
      </c>
      <c r="B50">
        <f>IF($B$1&gt;=A50, SUM(A$4:A50), 0)</f>
        <v>1128</v>
      </c>
      <c r="C50">
        <f t="shared" si="7"/>
        <v>4</v>
      </c>
      <c r="D50">
        <f ca="1">IF($B$1&gt;=A50, SUM(INDIRECT("A"&amp;($B$1+3)):INDIRECT("A"&amp;(C50+3))), 0)</f>
        <v>1269</v>
      </c>
      <c r="E50">
        <f t="shared" ca="1" si="8"/>
        <v>141</v>
      </c>
      <c r="F50">
        <f t="shared" ca="1" si="5"/>
        <v>198</v>
      </c>
      <c r="G50">
        <f t="shared" ca="1" si="9"/>
        <v>1467</v>
      </c>
      <c r="H50" s="4">
        <f t="shared" ca="1" si="6"/>
        <v>97.8</v>
      </c>
      <c r="I50" s="4">
        <f t="shared" ca="1" si="10"/>
        <v>153.92957159999997</v>
      </c>
      <c r="J50" s="4">
        <f t="shared" ca="1" si="11"/>
        <v>153.40816068000001</v>
      </c>
    </row>
    <row r="51" spans="1:10">
      <c r="A51">
        <v>48</v>
      </c>
      <c r="B51">
        <f>IF($B$1&gt;=A51, SUM(A$4:A51), 0)</f>
        <v>1176</v>
      </c>
      <c r="C51">
        <f t="shared" si="7"/>
        <v>3</v>
      </c>
      <c r="D51">
        <f ca="1">IF($B$1&gt;=A51, SUM(INDIRECT("A"&amp;($B$1+3)):INDIRECT("A"&amp;(C51+3))), 0)</f>
        <v>1272</v>
      </c>
      <c r="E51">
        <f t="shared" ca="1" si="8"/>
        <v>96</v>
      </c>
      <c r="F51">
        <f t="shared" ca="1" si="5"/>
        <v>150</v>
      </c>
      <c r="G51">
        <f t="shared" ca="1" si="9"/>
        <v>1422</v>
      </c>
      <c r="H51" s="4">
        <f t="shared" ca="1" si="6"/>
        <v>94.800000000000011</v>
      </c>
      <c r="I51" s="4">
        <f t="shared" ca="1" si="10"/>
        <v>149.2078056</v>
      </c>
      <c r="J51" s="4">
        <f t="shared" ca="1" si="11"/>
        <v>148.70238888000006</v>
      </c>
    </row>
    <row r="52" spans="1:10">
      <c r="A52">
        <v>49</v>
      </c>
      <c r="B52">
        <f>IF($B$1&gt;=A52, SUM(A$4:A52), 0)</f>
        <v>1225</v>
      </c>
      <c r="C52">
        <f t="shared" si="7"/>
        <v>2</v>
      </c>
      <c r="D52">
        <f ca="1">IF($B$1&gt;=A52, SUM(INDIRECT("A"&amp;($B$1+3)):INDIRECT("A"&amp;(C52+3))), 0)</f>
        <v>1274</v>
      </c>
      <c r="E52">
        <f t="shared" ca="1" si="8"/>
        <v>49</v>
      </c>
      <c r="F52">
        <f t="shared" ca="1" si="5"/>
        <v>101</v>
      </c>
      <c r="G52">
        <f t="shared" ca="1" si="9"/>
        <v>1375</v>
      </c>
      <c r="H52" s="4">
        <f t="shared" ca="1" si="6"/>
        <v>91.666666666666671</v>
      </c>
      <c r="I52" s="4">
        <f t="shared" ca="1" si="10"/>
        <v>144.27618333333334</v>
      </c>
      <c r="J52" s="4">
        <f t="shared" ca="1" si="11"/>
        <v>143.7874716666667</v>
      </c>
    </row>
    <row r="53" spans="1:10">
      <c r="A53">
        <v>50</v>
      </c>
      <c r="B53">
        <f>IF($B$1&gt;=A53, SUM(A$4:A53), 0)</f>
        <v>1275</v>
      </c>
      <c r="C53">
        <f t="shared" si="7"/>
        <v>1</v>
      </c>
      <c r="D53">
        <f ca="1">IF($B$1&gt;=A53, SUM(INDIRECT("A"&amp;($B$1+3)):INDIRECT("A"&amp;(C53+3))), 0)</f>
        <v>1275</v>
      </c>
      <c r="E53">
        <f t="shared" ca="1" si="8"/>
        <v>0</v>
      </c>
      <c r="F53">
        <f t="shared" ca="1" si="5"/>
        <v>51</v>
      </c>
      <c r="G53">
        <f t="shared" ca="1" si="9"/>
        <v>1326</v>
      </c>
      <c r="H53" s="4">
        <f t="shared" ca="1" si="6"/>
        <v>88.4</v>
      </c>
      <c r="I53" s="4">
        <f t="shared" ca="1" si="10"/>
        <v>139.13470479999998</v>
      </c>
      <c r="J53" s="4">
        <f t="shared" ca="1" si="11"/>
        <v>138.66340904000003</v>
      </c>
    </row>
    <row r="54" spans="1:10">
      <c r="A54">
        <v>51</v>
      </c>
      <c r="B54">
        <f>IF($B$1&gt;=A54, SUM(A$4:A54), 0)</f>
        <v>0</v>
      </c>
      <c r="C54">
        <f t="shared" si="7"/>
        <v>0</v>
      </c>
      <c r="D54">
        <f ca="1">IF($B$1&gt;=A54, SUM(INDIRECT("A"&amp;($B$1+3)):INDIRECT("A"&amp;(C54+3))), 0)</f>
        <v>0</v>
      </c>
      <c r="E54">
        <f t="shared" ca="1" si="8"/>
        <v>0</v>
      </c>
      <c r="F54">
        <f t="shared" ca="1" si="5"/>
        <v>0</v>
      </c>
      <c r="G54">
        <f t="shared" ca="1" si="9"/>
        <v>0</v>
      </c>
      <c r="H54" s="4">
        <f t="shared" ca="1" si="6"/>
        <v>0</v>
      </c>
      <c r="I54" s="4">
        <f t="shared" ca="1" si="10"/>
        <v>0</v>
      </c>
      <c r="J54" s="4">
        <f t="shared" ca="1" si="11"/>
        <v>0</v>
      </c>
    </row>
    <row r="55" spans="1:10">
      <c r="A55">
        <v>52</v>
      </c>
      <c r="B55">
        <f>IF($B$1&gt;=A55, SUM(A$4:A55), 0)</f>
        <v>0</v>
      </c>
      <c r="C55">
        <f t="shared" si="7"/>
        <v>-1</v>
      </c>
      <c r="D55">
        <f ca="1">IF($B$1&gt;=A55, SUM(INDIRECT("A"&amp;($B$1+3)):INDIRECT("A"&amp;(C55+3))), 0)</f>
        <v>0</v>
      </c>
      <c r="E55">
        <f t="shared" ca="1" si="8"/>
        <v>0</v>
      </c>
      <c r="F55">
        <f t="shared" ca="1" si="5"/>
        <v>0</v>
      </c>
      <c r="G55">
        <f t="shared" ca="1" si="9"/>
        <v>0</v>
      </c>
      <c r="H55" s="4">
        <f t="shared" ca="1" si="6"/>
        <v>0</v>
      </c>
      <c r="I55" s="4">
        <f t="shared" ca="1" si="10"/>
        <v>0</v>
      </c>
      <c r="J55" s="4">
        <f t="shared" ca="1" si="11"/>
        <v>0</v>
      </c>
    </row>
    <row r="56" spans="1:10">
      <c r="A56">
        <v>53</v>
      </c>
      <c r="B56">
        <f>IF($B$1&gt;=A56, SUM(A$4:A56), 0)</f>
        <v>0</v>
      </c>
      <c r="C56">
        <f t="shared" si="7"/>
        <v>-2</v>
      </c>
      <c r="D56">
        <f ca="1">IF($B$1&gt;=A56, SUM(INDIRECT("A"&amp;($B$1+3)):INDIRECT("A"&amp;(C56+3))), 0)</f>
        <v>0</v>
      </c>
      <c r="E56">
        <f t="shared" ca="1" si="8"/>
        <v>0</v>
      </c>
      <c r="F56">
        <f t="shared" ca="1" si="5"/>
        <v>0</v>
      </c>
      <c r="G56">
        <f t="shared" ca="1" si="9"/>
        <v>0</v>
      </c>
      <c r="H56" s="4">
        <f t="shared" ca="1" si="6"/>
        <v>0</v>
      </c>
      <c r="I56" s="4">
        <f t="shared" ca="1" si="10"/>
        <v>0</v>
      </c>
      <c r="J56" s="4">
        <f t="shared" ca="1" si="11"/>
        <v>0</v>
      </c>
    </row>
    <row r="57" spans="1:10">
      <c r="A57">
        <v>54</v>
      </c>
      <c r="B57">
        <f>IF($B$1&gt;=A57, SUM(A$4:A57), 0)</f>
        <v>0</v>
      </c>
      <c r="C57">
        <f t="shared" si="7"/>
        <v>-3</v>
      </c>
      <c r="D57">
        <f ca="1">IF($B$1&gt;=A57, SUM(INDIRECT("A"&amp;($B$1+3)):INDIRECT("A"&amp;(C57+3))), 0)</f>
        <v>0</v>
      </c>
      <c r="E57">
        <f t="shared" ca="1" si="8"/>
        <v>0</v>
      </c>
      <c r="F57">
        <f t="shared" ca="1" si="5"/>
        <v>0</v>
      </c>
      <c r="G57">
        <f t="shared" ca="1" si="9"/>
        <v>0</v>
      </c>
      <c r="H57" s="4">
        <f t="shared" ca="1" si="6"/>
        <v>0</v>
      </c>
      <c r="I57" s="4">
        <f t="shared" ca="1" si="10"/>
        <v>0</v>
      </c>
      <c r="J57" s="4">
        <f t="shared" ca="1" si="11"/>
        <v>0</v>
      </c>
    </row>
    <row r="58" spans="1:10">
      <c r="A58">
        <v>55</v>
      </c>
      <c r="B58">
        <f>IF($B$1&gt;=A58, SUM(A$4:A58), 0)</f>
        <v>0</v>
      </c>
      <c r="C58">
        <f t="shared" si="7"/>
        <v>-4</v>
      </c>
      <c r="D58">
        <f ca="1">IF($B$1&gt;=A58, SUM(INDIRECT("A"&amp;($B$1+3)):INDIRECT("A"&amp;(C58+3))), 0)</f>
        <v>0</v>
      </c>
      <c r="E58">
        <f t="shared" ca="1" si="8"/>
        <v>0</v>
      </c>
      <c r="F58">
        <f t="shared" ca="1" si="5"/>
        <v>0</v>
      </c>
      <c r="G58">
        <f t="shared" ca="1" si="9"/>
        <v>0</v>
      </c>
      <c r="H58" s="4">
        <f t="shared" ca="1" si="6"/>
        <v>0</v>
      </c>
      <c r="I58" s="4">
        <f t="shared" ca="1" si="10"/>
        <v>0</v>
      </c>
      <c r="J58" s="4">
        <f t="shared" ca="1" si="11"/>
        <v>0</v>
      </c>
    </row>
    <row r="59" spans="1:10">
      <c r="A59">
        <v>56</v>
      </c>
      <c r="B59">
        <f>IF($B$1&gt;=A59, SUM(A$4:A59), 0)</f>
        <v>0</v>
      </c>
      <c r="C59">
        <f t="shared" si="7"/>
        <v>-5</v>
      </c>
      <c r="D59">
        <f ca="1">IF($B$1&gt;=A59, SUM(INDIRECT("A"&amp;($B$1+3)):INDIRECT("A"&amp;(C59+3))), 0)</f>
        <v>0</v>
      </c>
      <c r="E59">
        <f t="shared" ca="1" si="8"/>
        <v>0</v>
      </c>
      <c r="F59">
        <f t="shared" ca="1" si="5"/>
        <v>0</v>
      </c>
      <c r="G59">
        <f t="shared" ca="1" si="9"/>
        <v>0</v>
      </c>
      <c r="H59" s="4">
        <f t="shared" ca="1" si="6"/>
        <v>0</v>
      </c>
      <c r="I59" s="4">
        <f t="shared" ca="1" si="10"/>
        <v>0</v>
      </c>
      <c r="J59" s="4">
        <f t="shared" ca="1" si="11"/>
        <v>0</v>
      </c>
    </row>
    <row r="60" spans="1:10">
      <c r="A60">
        <v>57</v>
      </c>
      <c r="B60">
        <f>IF($B$1&gt;=A60, SUM(A$4:A60), 0)</f>
        <v>0</v>
      </c>
      <c r="C60">
        <f t="shared" si="7"/>
        <v>-6</v>
      </c>
      <c r="D60">
        <f ca="1">IF($B$1&gt;=A60, SUM(INDIRECT("A"&amp;($B$1+3)):INDIRECT("A"&amp;(C60+3))), 0)</f>
        <v>0</v>
      </c>
      <c r="E60">
        <f t="shared" ca="1" si="8"/>
        <v>0</v>
      </c>
      <c r="F60">
        <f t="shared" ca="1" si="5"/>
        <v>0</v>
      </c>
      <c r="G60">
        <f t="shared" ca="1" si="9"/>
        <v>0</v>
      </c>
      <c r="H60" s="4">
        <f t="shared" ca="1" si="6"/>
        <v>0</v>
      </c>
      <c r="I60" s="4">
        <f t="shared" ca="1" si="10"/>
        <v>0</v>
      </c>
      <c r="J60" s="4">
        <f t="shared" ca="1" si="11"/>
        <v>0</v>
      </c>
    </row>
    <row r="61" spans="1:10">
      <c r="A61">
        <v>58</v>
      </c>
      <c r="B61">
        <f>IF($B$1&gt;=A61, SUM(A$4:A61), 0)</f>
        <v>0</v>
      </c>
      <c r="C61">
        <f t="shared" si="7"/>
        <v>-7</v>
      </c>
      <c r="D61">
        <f ca="1">IF($B$1&gt;=A61, SUM(INDIRECT("A"&amp;($B$1+3)):INDIRECT("A"&amp;(C61+3))), 0)</f>
        <v>0</v>
      </c>
      <c r="E61">
        <f t="shared" ca="1" si="8"/>
        <v>0</v>
      </c>
      <c r="F61">
        <f t="shared" ca="1" si="5"/>
        <v>0</v>
      </c>
      <c r="G61">
        <f t="shared" ca="1" si="9"/>
        <v>0</v>
      </c>
      <c r="H61" s="4">
        <f t="shared" ca="1" si="6"/>
        <v>0</v>
      </c>
      <c r="I61" s="4">
        <f t="shared" ca="1" si="10"/>
        <v>0</v>
      </c>
      <c r="J61" s="4">
        <f t="shared" ca="1" si="11"/>
        <v>0</v>
      </c>
    </row>
    <row r="62" spans="1:10">
      <c r="A62">
        <v>59</v>
      </c>
      <c r="B62">
        <f>IF($B$1&gt;=A62, SUM(A$4:A62), 0)</f>
        <v>0</v>
      </c>
      <c r="C62">
        <f t="shared" si="7"/>
        <v>-8</v>
      </c>
      <c r="D62">
        <f ca="1">IF($B$1&gt;=A62, SUM(INDIRECT("A"&amp;($B$1+3)):INDIRECT("A"&amp;(C62+3))), 0)</f>
        <v>0</v>
      </c>
      <c r="E62">
        <f t="shared" ca="1" si="8"/>
        <v>0</v>
      </c>
      <c r="F62">
        <f t="shared" ca="1" si="5"/>
        <v>0</v>
      </c>
      <c r="G62">
        <f t="shared" ca="1" si="9"/>
        <v>0</v>
      </c>
      <c r="H62" s="4">
        <f t="shared" ca="1" si="6"/>
        <v>0</v>
      </c>
      <c r="I62" s="4">
        <f t="shared" ca="1" si="10"/>
        <v>0</v>
      </c>
      <c r="J62" s="4">
        <f t="shared" ca="1" si="11"/>
        <v>0</v>
      </c>
    </row>
    <row r="63" spans="1:10">
      <c r="A63">
        <v>60</v>
      </c>
      <c r="B63">
        <f>IF($B$1&gt;=A63, SUM(A$4:A63), 0)</f>
        <v>0</v>
      </c>
      <c r="C63">
        <f t="shared" si="7"/>
        <v>-9</v>
      </c>
      <c r="D63">
        <f ca="1">IF($B$1&gt;=A63, SUM(INDIRECT("A"&amp;($B$1+3)):INDIRECT("A"&amp;(C63+3))), 0)</f>
        <v>0</v>
      </c>
      <c r="E63">
        <f t="shared" ca="1" si="8"/>
        <v>0</v>
      </c>
      <c r="F63">
        <f t="shared" ca="1" si="5"/>
        <v>0</v>
      </c>
      <c r="G63">
        <f t="shared" ca="1" si="9"/>
        <v>0</v>
      </c>
      <c r="H63" s="4">
        <f t="shared" ca="1" si="6"/>
        <v>0</v>
      </c>
      <c r="I63" s="4">
        <f t="shared" ca="1" si="10"/>
        <v>0</v>
      </c>
      <c r="J63" s="4">
        <f t="shared" ca="1" si="11"/>
        <v>0</v>
      </c>
    </row>
    <row r="64" spans="1:10">
      <c r="A64">
        <v>61</v>
      </c>
      <c r="B64">
        <f>IF($B$1&gt;=A64, SUM(A$4:A64), 0)</f>
        <v>0</v>
      </c>
      <c r="C64">
        <f t="shared" si="7"/>
        <v>-10</v>
      </c>
      <c r="D64">
        <f ca="1">IF($B$1&gt;=A64, SUM(INDIRECT("A"&amp;($B$1+3)):INDIRECT("A"&amp;(C64+3))), 0)</f>
        <v>0</v>
      </c>
      <c r="E64">
        <f t="shared" ca="1" si="8"/>
        <v>0</v>
      </c>
      <c r="F64">
        <f t="shared" ca="1" si="5"/>
        <v>0</v>
      </c>
      <c r="G64">
        <f t="shared" ca="1" si="9"/>
        <v>0</v>
      </c>
      <c r="H64" s="4">
        <f t="shared" ca="1" si="6"/>
        <v>0</v>
      </c>
      <c r="I64" s="4">
        <f t="shared" ca="1" si="10"/>
        <v>0</v>
      </c>
      <c r="J64" s="4">
        <f t="shared" ca="1" si="11"/>
        <v>0</v>
      </c>
    </row>
    <row r="65" spans="1:10">
      <c r="A65">
        <v>62</v>
      </c>
      <c r="B65">
        <f>IF($B$1&gt;=A65, SUM(A$4:A65), 0)</f>
        <v>0</v>
      </c>
      <c r="C65">
        <f t="shared" si="7"/>
        <v>-11</v>
      </c>
      <c r="D65">
        <f ca="1">IF($B$1&gt;=A65, SUM(INDIRECT("A"&amp;($B$1+3)):INDIRECT("A"&amp;(C65+3))), 0)</f>
        <v>0</v>
      </c>
      <c r="E65">
        <f t="shared" ca="1" si="8"/>
        <v>0</v>
      </c>
      <c r="F65">
        <f t="shared" ca="1" si="5"/>
        <v>0</v>
      </c>
      <c r="G65">
        <f t="shared" ca="1" si="9"/>
        <v>0</v>
      </c>
      <c r="H65" s="4">
        <f t="shared" ca="1" si="6"/>
        <v>0</v>
      </c>
      <c r="I65" s="4">
        <f t="shared" ca="1" si="10"/>
        <v>0</v>
      </c>
      <c r="J65" s="4">
        <f t="shared" ca="1" si="11"/>
        <v>0</v>
      </c>
    </row>
    <row r="66" spans="1:10">
      <c r="A66">
        <v>63</v>
      </c>
      <c r="B66">
        <f>IF($B$1&gt;=A66, SUM(A$4:A66), 0)</f>
        <v>0</v>
      </c>
      <c r="C66">
        <f t="shared" si="7"/>
        <v>-12</v>
      </c>
      <c r="D66">
        <f ca="1">IF($B$1&gt;=A66, SUM(INDIRECT("A"&amp;($B$1+3)):INDIRECT("A"&amp;(C66+3))), 0)</f>
        <v>0</v>
      </c>
      <c r="E66">
        <f t="shared" ca="1" si="8"/>
        <v>0</v>
      </c>
      <c r="F66">
        <f t="shared" ca="1" si="5"/>
        <v>0</v>
      </c>
      <c r="G66">
        <f t="shared" ca="1" si="9"/>
        <v>0</v>
      </c>
      <c r="H66" s="4">
        <f t="shared" ca="1" si="6"/>
        <v>0</v>
      </c>
      <c r="I66" s="4">
        <f t="shared" ca="1" si="10"/>
        <v>0</v>
      </c>
      <c r="J66" s="4">
        <f t="shared" ca="1" si="11"/>
        <v>0</v>
      </c>
    </row>
    <row r="67" spans="1:10">
      <c r="A67">
        <v>64</v>
      </c>
      <c r="B67">
        <f>IF($B$1&gt;=A67, SUM(A$4:A67), 0)</f>
        <v>0</v>
      </c>
      <c r="C67">
        <f t="shared" si="7"/>
        <v>-13</v>
      </c>
      <c r="D67">
        <f ca="1">IF($B$1&gt;=A67, SUM(INDIRECT("A"&amp;($B$1+3)):INDIRECT("A"&amp;(C67+3))), 0)</f>
        <v>0</v>
      </c>
      <c r="E67">
        <f t="shared" ca="1" si="8"/>
        <v>0</v>
      </c>
      <c r="F67">
        <f t="shared" ca="1" si="5"/>
        <v>0</v>
      </c>
      <c r="G67">
        <f t="shared" ca="1" si="9"/>
        <v>0</v>
      </c>
      <c r="H67" s="4">
        <f t="shared" ca="1" si="6"/>
        <v>0</v>
      </c>
      <c r="I67" s="4">
        <f t="shared" ca="1" si="10"/>
        <v>0</v>
      </c>
      <c r="J67" s="4">
        <f t="shared" ca="1" si="11"/>
        <v>0</v>
      </c>
    </row>
    <row r="68" spans="1:10">
      <c r="A68">
        <v>65</v>
      </c>
      <c r="B68">
        <f>IF($B$1&gt;=A68, SUM(A$4:A68), 0)</f>
        <v>0</v>
      </c>
      <c r="C68">
        <f t="shared" ref="C68:C78" si="12">($B$1+1)-A68</f>
        <v>-14</v>
      </c>
      <c r="D68">
        <f ca="1">IF($B$1&gt;=A68, SUM(INDIRECT("A"&amp;($B$1+3)):INDIRECT("A"&amp;(C68+3))), 0)</f>
        <v>0</v>
      </c>
      <c r="E68">
        <f t="shared" ref="E68:E78" ca="1" si="13">D68-B68</f>
        <v>0</v>
      </c>
      <c r="F68">
        <f t="shared" ca="1" si="5"/>
        <v>0</v>
      </c>
      <c r="G68">
        <f t="shared" ref="G68:G78" ca="1" si="14">F68+D68</f>
        <v>0</v>
      </c>
      <c r="H68" s="4">
        <f t="shared" ca="1" si="6"/>
        <v>0</v>
      </c>
      <c r="I68" s="4">
        <f t="shared" ref="I68:I78" ca="1" si="15">H68*AvgHitsPerRound1</f>
        <v>0</v>
      </c>
      <c r="J68" s="4">
        <f t="shared" ref="J68:J78" ca="1" si="16">H68*AvgHitsPerRound2</f>
        <v>0</v>
      </c>
    </row>
    <row r="69" spans="1:10">
      <c r="A69">
        <v>66</v>
      </c>
      <c r="B69">
        <f>IF($B$1&gt;=A69, SUM(A$4:A69), 0)</f>
        <v>0</v>
      </c>
      <c r="C69">
        <f t="shared" si="12"/>
        <v>-15</v>
      </c>
      <c r="D69">
        <f ca="1">IF($B$1&gt;=A69, SUM(INDIRECT("A"&amp;($B$1+3)):INDIRECT("A"&amp;(C69+3))), 0)</f>
        <v>0</v>
      </c>
      <c r="E69">
        <f t="shared" ca="1" si="13"/>
        <v>0</v>
      </c>
      <c r="F69">
        <f t="shared" ref="F69:F78" ca="1" si="17">IF($B$1&gt;=A69, SUM(INDIRECT("A"&amp;ROW()+1&amp;":A"&amp;($B$1+4))), 0)</f>
        <v>0</v>
      </c>
      <c r="G69">
        <f t="shared" ca="1" si="14"/>
        <v>0</v>
      </c>
      <c r="H69" s="4">
        <f t="shared" ref="H69:H78" ca="1" si="18">G69/$B$1/$H$2</f>
        <v>0</v>
      </c>
      <c r="I69" s="4">
        <f t="shared" ca="1" si="15"/>
        <v>0</v>
      </c>
      <c r="J69" s="4">
        <f t="shared" ca="1" si="16"/>
        <v>0</v>
      </c>
    </row>
    <row r="70" spans="1:10">
      <c r="A70">
        <v>67</v>
      </c>
      <c r="B70">
        <f>IF($B$1&gt;=A70, SUM(A$4:A70), 0)</f>
        <v>0</v>
      </c>
      <c r="C70">
        <f t="shared" si="12"/>
        <v>-16</v>
      </c>
      <c r="D70">
        <f ca="1">IF($B$1&gt;=A70, SUM(INDIRECT("A"&amp;($B$1+3)):INDIRECT("A"&amp;(C70+3))), 0)</f>
        <v>0</v>
      </c>
      <c r="E70">
        <f t="shared" ca="1" si="13"/>
        <v>0</v>
      </c>
      <c r="F70">
        <f t="shared" ca="1" si="17"/>
        <v>0</v>
      </c>
      <c r="G70">
        <f t="shared" ca="1" si="14"/>
        <v>0</v>
      </c>
      <c r="H70" s="4">
        <f t="shared" ca="1" si="18"/>
        <v>0</v>
      </c>
      <c r="I70" s="4">
        <f t="shared" ca="1" si="15"/>
        <v>0</v>
      </c>
      <c r="J70" s="4">
        <f t="shared" ca="1" si="16"/>
        <v>0</v>
      </c>
    </row>
    <row r="71" spans="1:10">
      <c r="A71">
        <v>68</v>
      </c>
      <c r="B71">
        <f>IF($B$1&gt;=A71, SUM(A$4:A71), 0)</f>
        <v>0</v>
      </c>
      <c r="C71">
        <f t="shared" si="12"/>
        <v>-17</v>
      </c>
      <c r="D71">
        <f ca="1">IF($B$1&gt;=A71, SUM(INDIRECT("A"&amp;($B$1+3)):INDIRECT("A"&amp;(C71+3))), 0)</f>
        <v>0</v>
      </c>
      <c r="E71">
        <f t="shared" ca="1" si="13"/>
        <v>0</v>
      </c>
      <c r="F71">
        <f t="shared" ca="1" si="17"/>
        <v>0</v>
      </c>
      <c r="G71">
        <f t="shared" ca="1" si="14"/>
        <v>0</v>
      </c>
      <c r="H71" s="4">
        <f t="shared" ca="1" si="18"/>
        <v>0</v>
      </c>
      <c r="I71" s="4">
        <f t="shared" ca="1" si="15"/>
        <v>0</v>
      </c>
      <c r="J71" s="4">
        <f t="shared" ca="1" si="16"/>
        <v>0</v>
      </c>
    </row>
    <row r="72" spans="1:10">
      <c r="A72">
        <v>69</v>
      </c>
      <c r="B72">
        <f>IF($B$1&gt;=A72, SUM(A$4:A72), 0)</f>
        <v>0</v>
      </c>
      <c r="C72">
        <f t="shared" si="12"/>
        <v>-18</v>
      </c>
      <c r="D72">
        <f ca="1">IF($B$1&gt;=A72, SUM(INDIRECT("A"&amp;($B$1+3)):INDIRECT("A"&amp;(C72+3))), 0)</f>
        <v>0</v>
      </c>
      <c r="E72">
        <f t="shared" ca="1" si="13"/>
        <v>0</v>
      </c>
      <c r="F72">
        <f t="shared" ca="1" si="17"/>
        <v>0</v>
      </c>
      <c r="G72">
        <f t="shared" ca="1" si="14"/>
        <v>0</v>
      </c>
      <c r="H72" s="4">
        <f t="shared" ca="1" si="18"/>
        <v>0</v>
      </c>
      <c r="I72" s="4">
        <f t="shared" ca="1" si="15"/>
        <v>0</v>
      </c>
      <c r="J72" s="4">
        <f t="shared" ca="1" si="16"/>
        <v>0</v>
      </c>
    </row>
    <row r="73" spans="1:10">
      <c r="A73">
        <v>70</v>
      </c>
      <c r="B73">
        <f>IF($B$1&gt;=A73, SUM(A$4:A73), 0)</f>
        <v>0</v>
      </c>
      <c r="C73">
        <f t="shared" si="12"/>
        <v>-19</v>
      </c>
      <c r="D73">
        <f ca="1">IF($B$1&gt;=A73, SUM(INDIRECT("A"&amp;($B$1+3)):INDIRECT("A"&amp;(C73+3))), 0)</f>
        <v>0</v>
      </c>
      <c r="E73">
        <f t="shared" ca="1" si="13"/>
        <v>0</v>
      </c>
      <c r="F73">
        <f t="shared" ca="1" si="17"/>
        <v>0</v>
      </c>
      <c r="G73">
        <f t="shared" ca="1" si="14"/>
        <v>0</v>
      </c>
      <c r="H73" s="4">
        <f t="shared" ca="1" si="18"/>
        <v>0</v>
      </c>
      <c r="I73" s="4">
        <f t="shared" ca="1" si="15"/>
        <v>0</v>
      </c>
      <c r="J73" s="4">
        <f t="shared" ca="1" si="16"/>
        <v>0</v>
      </c>
    </row>
    <row r="74" spans="1:10">
      <c r="A74">
        <v>71</v>
      </c>
      <c r="B74">
        <f>IF($B$1&gt;=A74, SUM(A$4:A74), 0)</f>
        <v>0</v>
      </c>
      <c r="C74">
        <f t="shared" si="12"/>
        <v>-20</v>
      </c>
      <c r="D74">
        <f ca="1">IF($B$1&gt;=A74, SUM(INDIRECT("A"&amp;($B$1+3)):INDIRECT("A"&amp;(C74+3))), 0)</f>
        <v>0</v>
      </c>
      <c r="E74">
        <f t="shared" ca="1" si="13"/>
        <v>0</v>
      </c>
      <c r="F74">
        <f t="shared" ca="1" si="17"/>
        <v>0</v>
      </c>
      <c r="G74">
        <f t="shared" ca="1" si="14"/>
        <v>0</v>
      </c>
      <c r="H74" s="4">
        <f t="shared" ca="1" si="18"/>
        <v>0</v>
      </c>
      <c r="I74" s="4">
        <f t="shared" ca="1" si="15"/>
        <v>0</v>
      </c>
      <c r="J74" s="4">
        <f t="shared" ca="1" si="16"/>
        <v>0</v>
      </c>
    </row>
    <row r="75" spans="1:10">
      <c r="A75">
        <v>72</v>
      </c>
      <c r="B75">
        <f>IF($B$1&gt;=A75, SUM(A$4:A75), 0)</f>
        <v>0</v>
      </c>
      <c r="C75">
        <f t="shared" si="12"/>
        <v>-21</v>
      </c>
      <c r="D75">
        <f ca="1">IF($B$1&gt;=A75, SUM(INDIRECT("A"&amp;($B$1+3)):INDIRECT("A"&amp;(C75+3))), 0)</f>
        <v>0</v>
      </c>
      <c r="E75">
        <f t="shared" ca="1" si="13"/>
        <v>0</v>
      </c>
      <c r="F75">
        <f t="shared" ca="1" si="17"/>
        <v>0</v>
      </c>
      <c r="G75">
        <f t="shared" ca="1" si="14"/>
        <v>0</v>
      </c>
      <c r="H75" s="4">
        <f t="shared" ca="1" si="18"/>
        <v>0</v>
      </c>
      <c r="I75" s="4">
        <f t="shared" ca="1" si="15"/>
        <v>0</v>
      </c>
      <c r="J75" s="4">
        <f t="shared" ca="1" si="16"/>
        <v>0</v>
      </c>
    </row>
    <row r="76" spans="1:10">
      <c r="A76">
        <v>73</v>
      </c>
      <c r="B76">
        <f>IF($B$1&gt;=A76, SUM(A$4:A76), 0)</f>
        <v>0</v>
      </c>
      <c r="C76">
        <f t="shared" si="12"/>
        <v>-22</v>
      </c>
      <c r="D76">
        <f ca="1">IF($B$1&gt;=A76, SUM(INDIRECT("A"&amp;($B$1+3)):INDIRECT("A"&amp;(C76+3))), 0)</f>
        <v>0</v>
      </c>
      <c r="E76">
        <f t="shared" ca="1" si="13"/>
        <v>0</v>
      </c>
      <c r="F76">
        <f t="shared" ca="1" si="17"/>
        <v>0</v>
      </c>
      <c r="G76">
        <f t="shared" ca="1" si="14"/>
        <v>0</v>
      </c>
      <c r="H76" s="4">
        <f t="shared" ca="1" si="18"/>
        <v>0</v>
      </c>
      <c r="I76" s="4">
        <f t="shared" ca="1" si="15"/>
        <v>0</v>
      </c>
      <c r="J76" s="4">
        <f t="shared" ca="1" si="16"/>
        <v>0</v>
      </c>
    </row>
    <row r="77" spans="1:10">
      <c r="A77">
        <v>74</v>
      </c>
      <c r="B77">
        <f>IF($B$1&gt;=A77, SUM(A$4:A77), 0)</f>
        <v>0</v>
      </c>
      <c r="C77">
        <f t="shared" si="12"/>
        <v>-23</v>
      </c>
      <c r="D77">
        <f ca="1">IF($B$1&gt;=A77, SUM(INDIRECT("A"&amp;($B$1+3)):INDIRECT("A"&amp;(C77+3))), 0)</f>
        <v>0</v>
      </c>
      <c r="E77">
        <f t="shared" ca="1" si="13"/>
        <v>0</v>
      </c>
      <c r="F77">
        <f t="shared" ca="1" si="17"/>
        <v>0</v>
      </c>
      <c r="G77">
        <f t="shared" ca="1" si="14"/>
        <v>0</v>
      </c>
      <c r="H77" s="4">
        <f t="shared" ca="1" si="18"/>
        <v>0</v>
      </c>
      <c r="I77" s="4">
        <f t="shared" ca="1" si="15"/>
        <v>0</v>
      </c>
      <c r="J77" s="4">
        <f t="shared" ca="1" si="16"/>
        <v>0</v>
      </c>
    </row>
    <row r="78" spans="1:10">
      <c r="A78">
        <v>75</v>
      </c>
      <c r="B78">
        <f>IF($B$1&gt;=A78, SUM(A$4:A78), 0)</f>
        <v>0</v>
      </c>
      <c r="C78">
        <f t="shared" si="12"/>
        <v>-24</v>
      </c>
      <c r="D78">
        <f ca="1">IF($B$1&gt;=A78, SUM(INDIRECT("A"&amp;($B$1+3)):INDIRECT("A"&amp;(C78+3))), 0)</f>
        <v>0</v>
      </c>
      <c r="E78">
        <f t="shared" ca="1" si="13"/>
        <v>0</v>
      </c>
      <c r="F78">
        <f t="shared" ca="1" si="17"/>
        <v>0</v>
      </c>
      <c r="G78">
        <f t="shared" ca="1" si="14"/>
        <v>0</v>
      </c>
      <c r="H78" s="4">
        <f t="shared" ca="1" si="18"/>
        <v>0</v>
      </c>
      <c r="I78" s="4">
        <f t="shared" ca="1" si="15"/>
        <v>0</v>
      </c>
      <c r="J78" s="4">
        <f t="shared" ca="1" si="16"/>
        <v>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>
      <selection activeCell="N40" sqref="N40"/>
    </sheetView>
  </sheetViews>
  <sheetFormatPr defaultRowHeight="12.75"/>
  <cols>
    <col min="2" max="2" width="17.7109375" bestFit="1" customWidth="1"/>
    <col min="5" max="5" width="17.7109375" bestFit="1" customWidth="1"/>
    <col min="8" max="8" width="15.140625" bestFit="1" customWidth="1"/>
    <col min="11" max="11" width="15.140625" bestFit="1" customWidth="1"/>
    <col min="14" max="14" width="14.140625" bestFit="1" customWidth="1"/>
    <col min="17" max="17" width="14.140625" bestFit="1" customWidth="1"/>
  </cols>
  <sheetData>
    <row r="1" spans="1:20">
      <c r="A1" s="189" t="s">
        <v>889</v>
      </c>
      <c r="B1" s="189"/>
      <c r="D1" s="189" t="s">
        <v>923</v>
      </c>
      <c r="E1" s="189"/>
      <c r="G1" s="189" t="s">
        <v>898</v>
      </c>
      <c r="H1" s="189"/>
      <c r="J1" s="189" t="s">
        <v>899</v>
      </c>
      <c r="K1" s="189"/>
      <c r="M1" s="189"/>
      <c r="N1" s="189"/>
      <c r="S1" s="189" t="s">
        <v>935</v>
      </c>
      <c r="T1" s="189"/>
    </row>
    <row r="2" spans="1:20">
      <c r="A2" t="s">
        <v>8</v>
      </c>
      <c r="B2" t="s">
        <v>14</v>
      </c>
      <c r="D2" t="s">
        <v>8</v>
      </c>
      <c r="E2" t="s">
        <v>14</v>
      </c>
      <c r="G2" t="s">
        <v>8</v>
      </c>
      <c r="H2" t="s">
        <v>14</v>
      </c>
      <c r="J2" t="s">
        <v>8</v>
      </c>
      <c r="K2" t="s">
        <v>14</v>
      </c>
      <c r="M2" t="s">
        <v>8</v>
      </c>
      <c r="N2" t="s">
        <v>14</v>
      </c>
      <c r="S2" s="189" t="s">
        <v>936</v>
      </c>
      <c r="T2" s="189"/>
    </row>
    <row r="3" spans="1:20">
      <c r="A3" s="33" t="s">
        <v>615</v>
      </c>
      <c r="B3" s="33" t="s">
        <v>649</v>
      </c>
      <c r="D3" s="33" t="s">
        <v>615</v>
      </c>
      <c r="E3" s="33" t="s">
        <v>649</v>
      </c>
      <c r="G3" s="33" t="s">
        <v>167</v>
      </c>
      <c r="H3" s="33" t="s">
        <v>653</v>
      </c>
      <c r="J3" s="33" t="s">
        <v>167</v>
      </c>
      <c r="K3" s="33" t="s">
        <v>653</v>
      </c>
      <c r="M3" s="33" t="s">
        <v>615</v>
      </c>
      <c r="N3" s="33" t="s">
        <v>649</v>
      </c>
      <c r="S3" s="33" t="s">
        <v>615</v>
      </c>
      <c r="T3" s="33" t="s">
        <v>649</v>
      </c>
    </row>
    <row r="4" spans="1:20">
      <c r="A4" s="33" t="s">
        <v>137</v>
      </c>
      <c r="B4" s="30" t="s">
        <v>874</v>
      </c>
      <c r="D4" s="33" t="s">
        <v>137</v>
      </c>
      <c r="E4" s="30" t="s">
        <v>874</v>
      </c>
      <c r="G4" s="33" t="s">
        <v>137</v>
      </c>
      <c r="H4" s="30" t="s">
        <v>874</v>
      </c>
      <c r="J4" s="33" t="s">
        <v>137</v>
      </c>
      <c r="K4" s="30" t="s">
        <v>874</v>
      </c>
      <c r="M4" s="33" t="s">
        <v>137</v>
      </c>
      <c r="N4" s="30" t="s">
        <v>874</v>
      </c>
      <c r="S4" s="33" t="s">
        <v>137</v>
      </c>
      <c r="T4" s="30" t="s">
        <v>874</v>
      </c>
    </row>
    <row r="5" spans="1:20">
      <c r="A5" t="s">
        <v>15</v>
      </c>
      <c r="B5" s="30" t="s">
        <v>698</v>
      </c>
      <c r="D5" t="s">
        <v>15</v>
      </c>
      <c r="E5" s="30" t="s">
        <v>698</v>
      </c>
      <c r="G5" t="s">
        <v>15</v>
      </c>
      <c r="H5" s="30" t="s">
        <v>698</v>
      </c>
      <c r="J5" t="s">
        <v>15</v>
      </c>
      <c r="K5" s="30" t="s">
        <v>698</v>
      </c>
      <c r="M5" t="s">
        <v>15</v>
      </c>
      <c r="N5" s="30" t="s">
        <v>698</v>
      </c>
      <c r="S5" t="s">
        <v>15</v>
      </c>
      <c r="T5" s="30" t="s">
        <v>698</v>
      </c>
    </row>
    <row r="6" spans="1:20">
      <c r="A6" t="s">
        <v>16</v>
      </c>
      <c r="B6" s="30" t="s">
        <v>918</v>
      </c>
      <c r="D6" t="s">
        <v>16</v>
      </c>
      <c r="E6" s="30" t="s">
        <v>918</v>
      </c>
      <c r="G6" t="s">
        <v>16</v>
      </c>
      <c r="H6" s="30" t="s">
        <v>885</v>
      </c>
      <c r="J6" t="s">
        <v>16</v>
      </c>
      <c r="K6" s="30" t="s">
        <v>951</v>
      </c>
      <c r="M6" t="s">
        <v>16</v>
      </c>
      <c r="N6" s="30" t="s">
        <v>918</v>
      </c>
      <c r="S6" t="s">
        <v>16</v>
      </c>
      <c r="T6" s="30" t="s">
        <v>918</v>
      </c>
    </row>
    <row r="7" spans="1:20">
      <c r="A7" t="s">
        <v>17</v>
      </c>
      <c r="B7" s="30" t="s">
        <v>917</v>
      </c>
      <c r="D7" t="s">
        <v>17</v>
      </c>
      <c r="E7" s="30" t="s">
        <v>917</v>
      </c>
      <c r="G7" t="s">
        <v>17</v>
      </c>
      <c r="H7" s="30" t="s">
        <v>810</v>
      </c>
      <c r="J7" t="s">
        <v>17</v>
      </c>
      <c r="K7" s="30" t="s">
        <v>596</v>
      </c>
      <c r="M7" t="s">
        <v>17</v>
      </c>
      <c r="N7" s="30" t="s">
        <v>810</v>
      </c>
      <c r="S7" t="s">
        <v>17</v>
      </c>
      <c r="T7" s="30" t="s">
        <v>596</v>
      </c>
    </row>
    <row r="8" spans="1:20">
      <c r="A8" t="s">
        <v>71</v>
      </c>
      <c r="B8" s="30" t="s">
        <v>25</v>
      </c>
      <c r="D8" t="s">
        <v>71</v>
      </c>
      <c r="E8" s="30" t="s">
        <v>25</v>
      </c>
      <c r="G8" t="s">
        <v>71</v>
      </c>
      <c r="H8" s="30" t="s">
        <v>25</v>
      </c>
      <c r="J8" t="s">
        <v>71</v>
      </c>
      <c r="K8" s="30" t="s">
        <v>25</v>
      </c>
      <c r="M8" t="s">
        <v>71</v>
      </c>
      <c r="N8" s="30" t="s">
        <v>25</v>
      </c>
      <c r="S8" t="s">
        <v>71</v>
      </c>
      <c r="T8" s="30" t="s">
        <v>25</v>
      </c>
    </row>
    <row r="9" spans="1:20">
      <c r="A9" t="s">
        <v>71</v>
      </c>
      <c r="B9" s="30" t="s">
        <v>919</v>
      </c>
      <c r="D9" t="s">
        <v>71</v>
      </c>
      <c r="E9" s="30" t="s">
        <v>919</v>
      </c>
      <c r="G9" t="s">
        <v>71</v>
      </c>
      <c r="H9" s="30" t="s">
        <v>791</v>
      </c>
      <c r="J9" t="s">
        <v>71</v>
      </c>
      <c r="K9" s="30" t="s">
        <v>896</v>
      </c>
      <c r="M9" t="s">
        <v>71</v>
      </c>
      <c r="N9" s="30" t="s">
        <v>919</v>
      </c>
      <c r="S9" t="s">
        <v>71</v>
      </c>
      <c r="T9" s="30" t="s">
        <v>919</v>
      </c>
    </row>
    <row r="10" spans="1:20">
      <c r="A10" t="s">
        <v>18</v>
      </c>
      <c r="B10" s="30" t="s">
        <v>897</v>
      </c>
      <c r="D10" t="s">
        <v>18</v>
      </c>
      <c r="E10" s="30" t="s">
        <v>897</v>
      </c>
      <c r="G10" t="s">
        <v>18</v>
      </c>
      <c r="H10" s="30" t="s">
        <v>897</v>
      </c>
      <c r="J10" t="s">
        <v>18</v>
      </c>
      <c r="K10" s="30" t="s">
        <v>951</v>
      </c>
      <c r="M10" t="s">
        <v>18</v>
      </c>
      <c r="N10" s="30" t="s">
        <v>918</v>
      </c>
      <c r="S10" t="s">
        <v>18</v>
      </c>
      <c r="T10" s="30" t="s">
        <v>876</v>
      </c>
    </row>
    <row r="11" spans="1:20">
      <c r="A11" t="s">
        <v>19</v>
      </c>
      <c r="B11" s="30" t="s">
        <v>951</v>
      </c>
      <c r="D11" t="s">
        <v>19</v>
      </c>
      <c r="E11" s="30" t="s">
        <v>951</v>
      </c>
      <c r="G11" t="s">
        <v>19</v>
      </c>
      <c r="H11" s="30" t="s">
        <v>951</v>
      </c>
      <c r="J11" t="s">
        <v>19</v>
      </c>
      <c r="K11" s="30" t="s">
        <v>951</v>
      </c>
      <c r="M11" t="s">
        <v>19</v>
      </c>
      <c r="N11" s="30" t="s">
        <v>850</v>
      </c>
      <c r="S11" t="s">
        <v>19</v>
      </c>
      <c r="T11" s="30" t="s">
        <v>951</v>
      </c>
    </row>
    <row r="12" spans="1:20">
      <c r="A12" t="s">
        <v>72</v>
      </c>
      <c r="B12" s="30" t="s">
        <v>895</v>
      </c>
      <c r="D12" t="s">
        <v>72</v>
      </c>
      <c r="E12" s="30" t="s">
        <v>895</v>
      </c>
      <c r="G12" t="s">
        <v>72</v>
      </c>
      <c r="H12" s="30" t="s">
        <v>26</v>
      </c>
      <c r="J12" t="s">
        <v>72</v>
      </c>
      <c r="K12" s="30" t="s">
        <v>26</v>
      </c>
      <c r="M12" t="s">
        <v>72</v>
      </c>
      <c r="N12" s="30" t="s">
        <v>26</v>
      </c>
      <c r="S12" t="s">
        <v>72</v>
      </c>
      <c r="T12" s="30" t="s">
        <v>895</v>
      </c>
    </row>
    <row r="13" spans="1:20">
      <c r="A13" t="s">
        <v>72</v>
      </c>
      <c r="B13" s="30" t="s">
        <v>817</v>
      </c>
      <c r="D13" t="s">
        <v>72</v>
      </c>
      <c r="E13" s="30" t="s">
        <v>817</v>
      </c>
      <c r="G13" t="s">
        <v>72</v>
      </c>
      <c r="H13" s="30" t="s">
        <v>817</v>
      </c>
      <c r="J13" t="s">
        <v>72</v>
      </c>
      <c r="K13" s="30" t="s">
        <v>817</v>
      </c>
      <c r="M13" t="s">
        <v>72</v>
      </c>
      <c r="N13" s="30" t="s">
        <v>817</v>
      </c>
      <c r="S13" t="s">
        <v>72</v>
      </c>
      <c r="T13" s="30" t="s">
        <v>817</v>
      </c>
    </row>
    <row r="14" spans="1:20">
      <c r="A14" t="s">
        <v>20</v>
      </c>
      <c r="B14" s="30" t="s">
        <v>915</v>
      </c>
      <c r="D14" t="s">
        <v>20</v>
      </c>
      <c r="E14" s="30" t="s">
        <v>915</v>
      </c>
      <c r="G14" t="s">
        <v>20</v>
      </c>
      <c r="H14" s="30" t="s">
        <v>869</v>
      </c>
      <c r="J14" t="s">
        <v>20</v>
      </c>
      <c r="K14" s="30" t="s">
        <v>869</v>
      </c>
      <c r="M14" t="s">
        <v>20</v>
      </c>
      <c r="N14" s="30" t="s">
        <v>915</v>
      </c>
      <c r="S14" t="s">
        <v>20</v>
      </c>
      <c r="T14" s="30" t="s">
        <v>915</v>
      </c>
    </row>
    <row r="15" spans="1:20">
      <c r="A15" t="s">
        <v>21</v>
      </c>
      <c r="B15" s="30" t="s">
        <v>920</v>
      </c>
      <c r="D15" t="s">
        <v>21</v>
      </c>
      <c r="E15" s="30" t="s">
        <v>920</v>
      </c>
      <c r="G15" t="s">
        <v>21</v>
      </c>
      <c r="H15" s="30" t="s">
        <v>794</v>
      </c>
      <c r="J15" t="s">
        <v>21</v>
      </c>
      <c r="K15" s="30" t="s">
        <v>794</v>
      </c>
      <c r="M15" t="s">
        <v>21</v>
      </c>
      <c r="N15" s="30" t="s">
        <v>920</v>
      </c>
      <c r="S15" t="s">
        <v>21</v>
      </c>
      <c r="T15" s="30" t="s">
        <v>920</v>
      </c>
    </row>
    <row r="16" spans="1:20">
      <c r="A16" t="s">
        <v>22</v>
      </c>
      <c r="B16" s="30" t="s">
        <v>858</v>
      </c>
      <c r="D16" t="s">
        <v>22</v>
      </c>
      <c r="E16" s="30" t="s">
        <v>858</v>
      </c>
      <c r="G16" t="s">
        <v>22</v>
      </c>
      <c r="H16" s="30" t="s">
        <v>858</v>
      </c>
      <c r="J16" t="s">
        <v>22</v>
      </c>
      <c r="K16" s="30" t="s">
        <v>951</v>
      </c>
      <c r="M16" t="s">
        <v>22</v>
      </c>
      <c r="N16" s="30" t="s">
        <v>858</v>
      </c>
      <c r="S16" t="s">
        <v>22</v>
      </c>
      <c r="T16" s="30" t="s">
        <v>951</v>
      </c>
    </row>
    <row r="17" spans="1:20">
      <c r="A17" t="s">
        <v>23</v>
      </c>
      <c r="B17" s="30" t="s">
        <v>888</v>
      </c>
      <c r="D17" t="s">
        <v>23</v>
      </c>
      <c r="E17" s="30" t="s">
        <v>951</v>
      </c>
      <c r="G17" t="s">
        <v>23</v>
      </c>
      <c r="H17" s="30" t="s">
        <v>888</v>
      </c>
      <c r="J17" t="s">
        <v>23</v>
      </c>
      <c r="K17" s="30" t="s">
        <v>951</v>
      </c>
      <c r="M17" t="s">
        <v>23</v>
      </c>
      <c r="N17" s="30" t="s">
        <v>888</v>
      </c>
      <c r="S17" t="s">
        <v>23</v>
      </c>
      <c r="T17" s="30" t="s">
        <v>918</v>
      </c>
    </row>
    <row r="18" spans="1:20">
      <c r="A18" t="s">
        <v>891</v>
      </c>
      <c r="B18" s="7">
        <v>4783</v>
      </c>
      <c r="D18" t="s">
        <v>891</v>
      </c>
      <c r="E18" s="7">
        <v>4925</v>
      </c>
      <c r="G18" t="s">
        <v>891</v>
      </c>
      <c r="H18">
        <v>2949</v>
      </c>
      <c r="J18" t="s">
        <v>891</v>
      </c>
      <c r="K18">
        <v>3161</v>
      </c>
      <c r="M18" t="s">
        <v>891</v>
      </c>
      <c r="N18">
        <v>4554</v>
      </c>
      <c r="S18" t="s">
        <v>891</v>
      </c>
      <c r="T18">
        <v>5169</v>
      </c>
    </row>
    <row r="22" spans="1:20">
      <c r="P22" s="9"/>
      <c r="Q22" s="8"/>
    </row>
    <row r="24" spans="1:20">
      <c r="A24" s="189" t="s">
        <v>375</v>
      </c>
      <c r="B24" s="189"/>
      <c r="D24" s="189" t="s">
        <v>191</v>
      </c>
      <c r="E24" s="189"/>
      <c r="G24" s="189" t="s">
        <v>213</v>
      </c>
      <c r="H24" s="189"/>
      <c r="J24" s="189" t="s">
        <v>725</v>
      </c>
      <c r="K24" s="189"/>
      <c r="M24" s="189" t="s">
        <v>900</v>
      </c>
      <c r="N24" s="189"/>
      <c r="P24" s="189" t="s">
        <v>212</v>
      </c>
      <c r="Q24" s="189"/>
    </row>
    <row r="25" spans="1:20">
      <c r="A25" t="s">
        <v>8</v>
      </c>
      <c r="B25" t="s">
        <v>14</v>
      </c>
      <c r="D25" t="s">
        <v>8</v>
      </c>
      <c r="E25" t="s">
        <v>14</v>
      </c>
      <c r="G25" t="s">
        <v>8</v>
      </c>
      <c r="H25" t="s">
        <v>14</v>
      </c>
      <c r="J25" t="s">
        <v>8</v>
      </c>
      <c r="K25" t="s">
        <v>14</v>
      </c>
      <c r="P25" t="s">
        <v>8</v>
      </c>
      <c r="Q25" t="s">
        <v>14</v>
      </c>
    </row>
    <row r="26" spans="1:20">
      <c r="A26" t="str">
        <f>A3</f>
        <v>GreatSword</v>
      </c>
      <c r="B26" t="str">
        <f>B3</f>
        <v>Ragnarok 119</v>
      </c>
      <c r="D26" t="str">
        <f>D3</f>
        <v>GreatSword</v>
      </c>
      <c r="E26" t="str">
        <f>E3</f>
        <v>Ragnarok 119</v>
      </c>
      <c r="G26" t="str">
        <f>G3</f>
        <v>Scythe</v>
      </c>
      <c r="H26" t="str">
        <f>H3</f>
        <v>Apocalypse 119</v>
      </c>
      <c r="J26" t="str">
        <f>J3</f>
        <v>Scythe</v>
      </c>
      <c r="K26" t="str">
        <f>K3</f>
        <v>Apocalypse 119</v>
      </c>
      <c r="M26" t="str">
        <f>D4</f>
        <v>Grip</v>
      </c>
      <c r="N26" t="str">
        <f>E4</f>
        <v>Nepenthe</v>
      </c>
      <c r="P26" t="str">
        <f>S3</f>
        <v>GreatSword</v>
      </c>
      <c r="Q26" t="str">
        <f>T3</f>
        <v>Ragnarok 119</v>
      </c>
    </row>
    <row r="27" spans="1:20">
      <c r="A27" t="str">
        <f>A4</f>
        <v>Grip</v>
      </c>
      <c r="B27" s="38" t="str">
        <f>B4</f>
        <v>Nepenthe</v>
      </c>
      <c r="D27" t="str">
        <f>D4</f>
        <v>Grip</v>
      </c>
      <c r="E27" s="38" t="str">
        <f>E4</f>
        <v>Nepenthe</v>
      </c>
      <c r="G27" t="str">
        <f>G4</f>
        <v>Grip</v>
      </c>
      <c r="H27" s="38" t="str">
        <f>H4</f>
        <v>Nepenthe</v>
      </c>
      <c r="J27" t="str">
        <f>J4</f>
        <v>Grip</v>
      </c>
      <c r="K27" s="38" t="str">
        <f>K4</f>
        <v>Nepenthe</v>
      </c>
      <c r="M27" t="str">
        <f>D5</f>
        <v>Ammo</v>
      </c>
      <c r="N27" s="38" t="str">
        <f>E5</f>
        <v>Ginsen</v>
      </c>
      <c r="P27" t="str">
        <f>S4</f>
        <v>Grip</v>
      </c>
      <c r="Q27" s="38" t="str">
        <f>T4</f>
        <v>Nepenthe</v>
      </c>
    </row>
    <row r="28" spans="1:20">
      <c r="A28" t="s">
        <v>15</v>
      </c>
      <c r="B28" s="30" t="s">
        <v>852</v>
      </c>
      <c r="D28" t="s">
        <v>15</v>
      </c>
      <c r="E28" s="30" t="s">
        <v>931</v>
      </c>
      <c r="G28" t="s">
        <v>15</v>
      </c>
      <c r="H28" s="30" t="s">
        <v>698</v>
      </c>
      <c r="J28" t="s">
        <v>15</v>
      </c>
      <c r="K28" s="30" t="s">
        <v>852</v>
      </c>
      <c r="M28" t="s">
        <v>15</v>
      </c>
      <c r="N28" s="30" t="s">
        <v>852</v>
      </c>
      <c r="P28" t="s">
        <v>15</v>
      </c>
      <c r="Q28" s="30" t="s">
        <v>698</v>
      </c>
    </row>
    <row r="29" spans="1:20">
      <c r="A29" t="s">
        <v>16</v>
      </c>
      <c r="B29" s="30" t="s">
        <v>951</v>
      </c>
      <c r="D29" t="s">
        <v>16</v>
      </c>
      <c r="E29" s="30" t="s">
        <v>933</v>
      </c>
      <c r="G29" t="s">
        <v>16</v>
      </c>
      <c r="H29" s="30" t="s">
        <v>864</v>
      </c>
      <c r="J29" t="s">
        <v>16</v>
      </c>
      <c r="K29" s="30" t="s">
        <v>864</v>
      </c>
      <c r="M29" t="s">
        <v>16</v>
      </c>
      <c r="N29" s="30" t="s">
        <v>885</v>
      </c>
      <c r="P29" t="s">
        <v>16</v>
      </c>
      <c r="Q29" s="30" t="s">
        <v>864</v>
      </c>
    </row>
    <row r="30" spans="1:20">
      <c r="A30" t="s">
        <v>17</v>
      </c>
      <c r="B30" s="30" t="s">
        <v>27</v>
      </c>
      <c r="D30" t="s">
        <v>17</v>
      </c>
      <c r="E30" s="30" t="s">
        <v>27</v>
      </c>
      <c r="G30" t="s">
        <v>17</v>
      </c>
      <c r="H30" s="30" t="s">
        <v>27</v>
      </c>
      <c r="J30" t="s">
        <v>17</v>
      </c>
      <c r="K30" s="30" t="s">
        <v>27</v>
      </c>
      <c r="M30" t="s">
        <v>17</v>
      </c>
      <c r="N30" s="30" t="s">
        <v>27</v>
      </c>
      <c r="P30" t="s">
        <v>17</v>
      </c>
      <c r="Q30" s="30" t="s">
        <v>27</v>
      </c>
    </row>
    <row r="31" spans="1:20">
      <c r="A31" t="s">
        <v>71</v>
      </c>
      <c r="B31" s="30" t="s">
        <v>791</v>
      </c>
      <c r="D31" t="s">
        <v>71</v>
      </c>
      <c r="E31" s="30" t="s">
        <v>791</v>
      </c>
      <c r="G31" t="s">
        <v>71</v>
      </c>
      <c r="H31" s="30" t="s">
        <v>791</v>
      </c>
      <c r="J31" t="s">
        <v>71</v>
      </c>
      <c r="K31" s="30" t="s">
        <v>791</v>
      </c>
      <c r="M31" t="s">
        <v>71</v>
      </c>
      <c r="N31" s="30" t="s">
        <v>791</v>
      </c>
      <c r="P31" t="s">
        <v>71</v>
      </c>
      <c r="Q31" s="30" t="s">
        <v>791</v>
      </c>
    </row>
    <row r="32" spans="1:20">
      <c r="A32" t="s">
        <v>71</v>
      </c>
      <c r="B32" s="30" t="s">
        <v>211</v>
      </c>
      <c r="D32" t="s">
        <v>71</v>
      </c>
      <c r="E32" s="30" t="s">
        <v>211</v>
      </c>
      <c r="G32" t="s">
        <v>71</v>
      </c>
      <c r="H32" s="30" t="s">
        <v>781</v>
      </c>
      <c r="J32" t="s">
        <v>71</v>
      </c>
      <c r="K32" s="30" t="s">
        <v>211</v>
      </c>
      <c r="M32" t="s">
        <v>71</v>
      </c>
      <c r="N32" s="30" t="s">
        <v>211</v>
      </c>
      <c r="P32" t="s">
        <v>71</v>
      </c>
      <c r="Q32" s="30" t="s">
        <v>781</v>
      </c>
    </row>
    <row r="33" spans="1:17">
      <c r="A33" t="s">
        <v>18</v>
      </c>
      <c r="B33" s="30" t="s">
        <v>951</v>
      </c>
      <c r="D33" t="s">
        <v>18</v>
      </c>
      <c r="E33" s="30" t="s">
        <v>928</v>
      </c>
      <c r="G33" t="s">
        <v>18</v>
      </c>
      <c r="H33" s="30" t="s">
        <v>892</v>
      </c>
      <c r="J33" t="s">
        <v>18</v>
      </c>
      <c r="K33" s="30" t="s">
        <v>892</v>
      </c>
      <c r="M33" t="s">
        <v>18</v>
      </c>
      <c r="N33" s="30" t="s">
        <v>892</v>
      </c>
      <c r="P33" t="s">
        <v>18</v>
      </c>
      <c r="Q33" s="30" t="s">
        <v>892</v>
      </c>
    </row>
    <row r="34" spans="1:17">
      <c r="A34" t="s">
        <v>19</v>
      </c>
      <c r="B34" s="30" t="s">
        <v>951</v>
      </c>
      <c r="D34" t="s">
        <v>19</v>
      </c>
      <c r="E34" s="30" t="s">
        <v>865</v>
      </c>
      <c r="G34" t="s">
        <v>19</v>
      </c>
      <c r="H34" s="30" t="s">
        <v>865</v>
      </c>
      <c r="J34" t="s">
        <v>19</v>
      </c>
      <c r="K34" s="30" t="s">
        <v>873</v>
      </c>
      <c r="M34" t="s">
        <v>19</v>
      </c>
      <c r="N34" s="30" t="s">
        <v>873</v>
      </c>
      <c r="P34" t="s">
        <v>19</v>
      </c>
      <c r="Q34" s="30" t="s">
        <v>865</v>
      </c>
    </row>
    <row r="35" spans="1:17">
      <c r="A35" t="s">
        <v>72</v>
      </c>
      <c r="B35" s="30" t="s">
        <v>894</v>
      </c>
      <c r="D35" t="s">
        <v>72</v>
      </c>
      <c r="E35" s="30" t="s">
        <v>26</v>
      </c>
      <c r="G35" t="s">
        <v>72</v>
      </c>
      <c r="H35" s="30" t="s">
        <v>26</v>
      </c>
      <c r="J35" t="s">
        <v>72</v>
      </c>
      <c r="K35" s="30" t="s">
        <v>26</v>
      </c>
      <c r="M35" t="s">
        <v>72</v>
      </c>
      <c r="N35" s="30" t="s">
        <v>817</v>
      </c>
      <c r="P35" t="s">
        <v>72</v>
      </c>
      <c r="Q35" s="30" t="s">
        <v>26</v>
      </c>
    </row>
    <row r="36" spans="1:17">
      <c r="A36" t="s">
        <v>72</v>
      </c>
      <c r="B36" s="30" t="s">
        <v>895</v>
      </c>
      <c r="D36" t="s">
        <v>72</v>
      </c>
      <c r="E36" s="30" t="s">
        <v>886</v>
      </c>
      <c r="G36" t="s">
        <v>72</v>
      </c>
      <c r="H36" s="30" t="s">
        <v>886</v>
      </c>
      <c r="J36" t="s">
        <v>72</v>
      </c>
      <c r="K36" s="30" t="s">
        <v>886</v>
      </c>
      <c r="M36" t="s">
        <v>72</v>
      </c>
      <c r="N36" s="30" t="s">
        <v>895</v>
      </c>
      <c r="P36" t="s">
        <v>72</v>
      </c>
      <c r="Q36" s="30" t="s">
        <v>886</v>
      </c>
    </row>
    <row r="37" spans="1:17">
      <c r="A37" t="s">
        <v>20</v>
      </c>
      <c r="B37" s="30" t="s">
        <v>915</v>
      </c>
      <c r="D37" t="s">
        <v>20</v>
      </c>
      <c r="E37" s="30" t="s">
        <v>916</v>
      </c>
      <c r="G37" t="s">
        <v>20</v>
      </c>
      <c r="H37" s="30" t="s">
        <v>916</v>
      </c>
      <c r="J37" t="s">
        <v>20</v>
      </c>
      <c r="K37" s="30" t="s">
        <v>916</v>
      </c>
      <c r="M37" t="s">
        <v>20</v>
      </c>
      <c r="N37" s="30" t="s">
        <v>915</v>
      </c>
      <c r="P37" t="s">
        <v>20</v>
      </c>
      <c r="Q37" s="30" t="s">
        <v>916</v>
      </c>
    </row>
    <row r="38" spans="1:17">
      <c r="A38" t="s">
        <v>21</v>
      </c>
      <c r="B38" s="30" t="s">
        <v>157</v>
      </c>
      <c r="D38" t="s">
        <v>21</v>
      </c>
      <c r="E38" s="30" t="s">
        <v>157</v>
      </c>
      <c r="G38" t="s">
        <v>21</v>
      </c>
      <c r="H38" s="30" t="s">
        <v>157</v>
      </c>
      <c r="J38" t="s">
        <v>21</v>
      </c>
      <c r="K38" s="30" t="s">
        <v>157</v>
      </c>
      <c r="M38" t="s">
        <v>21</v>
      </c>
      <c r="N38" s="30" t="s">
        <v>157</v>
      </c>
      <c r="P38" t="s">
        <v>21</v>
      </c>
      <c r="Q38" s="30" t="s">
        <v>157</v>
      </c>
    </row>
    <row r="39" spans="1:17">
      <c r="A39" t="s">
        <v>22</v>
      </c>
      <c r="B39" s="30" t="s">
        <v>951</v>
      </c>
      <c r="D39" t="s">
        <v>22</v>
      </c>
      <c r="E39" s="30" t="s">
        <v>892</v>
      </c>
      <c r="G39" t="s">
        <v>22</v>
      </c>
      <c r="H39" s="30" t="s">
        <v>892</v>
      </c>
      <c r="J39" t="s">
        <v>22</v>
      </c>
      <c r="K39" s="30" t="s">
        <v>892</v>
      </c>
      <c r="M39" t="s">
        <v>22</v>
      </c>
      <c r="N39" s="30" t="s">
        <v>951</v>
      </c>
      <c r="P39" t="s">
        <v>22</v>
      </c>
      <c r="Q39" s="30" t="s">
        <v>892</v>
      </c>
    </row>
    <row r="40" spans="1:17">
      <c r="A40" t="s">
        <v>23</v>
      </c>
      <c r="B40" s="30" t="s">
        <v>951</v>
      </c>
      <c r="D40" t="s">
        <v>23</v>
      </c>
      <c r="E40" s="30" t="s">
        <v>861</v>
      </c>
      <c r="G40" t="s">
        <v>23</v>
      </c>
      <c r="H40" s="30" t="s">
        <v>888</v>
      </c>
      <c r="J40" t="s">
        <v>23</v>
      </c>
      <c r="K40" s="30" t="s">
        <v>861</v>
      </c>
      <c r="M40" t="s">
        <v>23</v>
      </c>
      <c r="N40" s="30" t="s">
        <v>951</v>
      </c>
      <c r="P40" t="s">
        <v>23</v>
      </c>
      <c r="Q40" s="30" t="s">
        <v>888</v>
      </c>
    </row>
    <row r="41" spans="1:17">
      <c r="A41" t="s">
        <v>807</v>
      </c>
      <c r="B41" s="7">
        <v>45159.48917999999</v>
      </c>
      <c r="D41" t="s">
        <v>807</v>
      </c>
      <c r="E41">
        <v>37184</v>
      </c>
      <c r="G41" t="s">
        <v>807</v>
      </c>
      <c r="H41">
        <v>13348</v>
      </c>
      <c r="J41" t="s">
        <v>807</v>
      </c>
      <c r="K41">
        <v>34412</v>
      </c>
      <c r="M41" t="s">
        <v>807</v>
      </c>
      <c r="N41">
        <v>25457</v>
      </c>
      <c r="P41" t="s">
        <v>807</v>
      </c>
      <c r="Q41">
        <v>15071</v>
      </c>
    </row>
    <row r="52" spans="1:9">
      <c r="B52" t="s">
        <v>902</v>
      </c>
      <c r="D52" t="s">
        <v>903</v>
      </c>
      <c r="F52" t="s">
        <v>906</v>
      </c>
      <c r="H52" t="s">
        <v>909</v>
      </c>
    </row>
    <row r="53" spans="1:9">
      <c r="B53" t="s">
        <v>901</v>
      </c>
      <c r="C53" t="s">
        <v>904</v>
      </c>
      <c r="D53" t="s">
        <v>905</v>
      </c>
      <c r="E53" t="s">
        <v>904</v>
      </c>
      <c r="F53" t="s">
        <v>907</v>
      </c>
      <c r="G53" t="s">
        <v>908</v>
      </c>
      <c r="H53" t="s">
        <v>910</v>
      </c>
      <c r="I53" t="s">
        <v>908</v>
      </c>
    </row>
    <row r="54" spans="1:9">
      <c r="A54" t="s">
        <v>913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 t="s">
        <v>912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</row>
    <row r="56" spans="1:9">
      <c r="A56" t="s">
        <v>911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</row>
  </sheetData>
  <mergeCells count="13">
    <mergeCell ref="S1:T1"/>
    <mergeCell ref="S2:T2"/>
    <mergeCell ref="J1:K1"/>
    <mergeCell ref="J24:K24"/>
    <mergeCell ref="M24:N24"/>
    <mergeCell ref="P24:Q24"/>
    <mergeCell ref="M1:N1"/>
    <mergeCell ref="A1:B1"/>
    <mergeCell ref="A24:B24"/>
    <mergeCell ref="D24:E24"/>
    <mergeCell ref="D1:E1"/>
    <mergeCell ref="G1:H1"/>
    <mergeCell ref="G24:H24"/>
  </mergeCells>
  <dataValidations count="19">
    <dataValidation type="list" allowBlank="1" showInputMessage="1" showErrorMessage="1" sqref="T17 N17 B17 E40 B40 Q40 H40 K17 K40 N40 H17 E17">
      <formula1>FeetList</formula1>
    </dataValidation>
    <dataValidation type="list" allowBlank="1" showInputMessage="1" showErrorMessage="1" sqref="T16 N16 B16 E39 B39 Q39 H39 K16 K39 N39 H16 E16">
      <formula1>LegsList</formula1>
    </dataValidation>
    <dataValidation type="list" allowBlank="1" showInputMessage="1" showErrorMessage="1" sqref="T15 N15 B15 E38 B38 Q38 H38 K15 K38 N38 H15 E15">
      <formula1>WaistList</formula1>
    </dataValidation>
    <dataValidation type="list" allowBlank="1" showInputMessage="1" showErrorMessage="1" sqref="T14 Q37 B14 E37 B37 K37 N14 K14 H37 N37 H14 E14">
      <formula1>BackList</formula1>
    </dataValidation>
    <dataValidation type="list" allowBlank="1" showInputMessage="1" showErrorMessage="1" sqref="T12:T13 N12:N13 B12:B13 E35:E36 B35:B36 Q35:Q36 H35:H36 K12:K13 K35:K36 N35:N36 H12:H13 E12:E13">
      <formula1>RingList</formula1>
    </dataValidation>
    <dataValidation type="list" allowBlank="1" showInputMessage="1" showErrorMessage="1" sqref="T11 N11 B11 E34 B34 Q34 H34 K11 K34 N34 H11 E11">
      <formula1>HandsList</formula1>
    </dataValidation>
    <dataValidation type="list" allowBlank="1" showInputMessage="1" showErrorMessage="1" sqref="T10 N10 B10 E33 B33 Q33 H33 K10 K33 N33 H10 E10">
      <formula1>BodyList</formula1>
    </dataValidation>
    <dataValidation type="list" allowBlank="1" showInputMessage="1" showErrorMessage="1" sqref="T8:T9 N8:N9 B8:B9 E31:E32 B31:B32 Q31:Q32 H31:H32 K8:K9 K31:K32 N31:N32 H8:H9 E8:E9">
      <formula1>EarringList</formula1>
    </dataValidation>
    <dataValidation type="list" allowBlank="1" showInputMessage="1" showErrorMessage="1" sqref="T7 N7 B7 E30 B30 Q30 H30 K7 K30 N30 H7 E7">
      <formula1>NeckList</formula1>
    </dataValidation>
    <dataValidation type="list" allowBlank="1" showInputMessage="1" showErrorMessage="1" sqref="T6 N6 B6 E29 B29 Q29 H29 K6 K29 N29 H6 E6">
      <formula1>HeadList</formula1>
    </dataValidation>
    <dataValidation type="list" allowBlank="1" showInputMessage="1" showErrorMessage="1" sqref="T5 N5 H5 E28 B28 Q28 H28 K5 K28 N28 B5 E5">
      <formula1>AmmoList</formula1>
    </dataValidation>
    <dataValidation type="list" allowBlank="1" showInputMessage="1" showErrorMessage="1" sqref="T3 N3 H3 E3">
      <formula1>INDIRECT($AA$3&amp;"List")</formula1>
    </dataValidation>
    <dataValidation type="list" allowBlank="1" showInputMessage="1" showErrorMessage="1" sqref="T4 N4 H4 K4 B4 E4">
      <formula1>INDIRECT($AA$4&amp;"List")</formula1>
    </dataValidation>
    <dataValidation type="list" allowBlank="1" showInputMessage="1" showErrorMessage="1" sqref="S3 M3 A3 G3 J3 D3">
      <formula1>MainWeapons</formula1>
    </dataValidation>
    <dataValidation type="list" allowBlank="1" showInputMessage="1" showErrorMessage="1" sqref="S4 M4 G4 D4">
      <formula1>INDIRECT("Sub"&amp;VLOOKUP($AA$3, MainWeaponsGroup, 2, 0)&amp;"Weapons")</formula1>
    </dataValidation>
    <dataValidation type="list" allowBlank="1" showInputMessage="1" showErrorMessage="1" sqref="B3">
      <formula1>INDIRECT($A$4&amp;"List")</formula1>
    </dataValidation>
    <dataValidation type="list" allowBlank="1" showInputMessage="1" showErrorMessage="1" sqref="A4">
      <formula1>INDIRECT("Sub"&amp;VLOOKUP($A$4, MainWeaponsGroup, 2, 0)&amp;"Weapons")</formula1>
    </dataValidation>
    <dataValidation type="list" allowBlank="1" showInputMessage="1" showErrorMessage="1" sqref="K3">
      <formula1>INDIRECT($A$3&amp;"List")</formula1>
    </dataValidation>
    <dataValidation type="list" allowBlank="1" showInputMessage="1" showErrorMessage="1" sqref="J4">
      <formula1>INDIRECT("Sub"&amp;VLOOKUP($A$3, MainWeaponsGroup, 2, 0)&amp;"Weapons")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149</vt:i4>
      </vt:variant>
    </vt:vector>
  </HeadingPairs>
  <TitlesOfParts>
    <vt:vector size="159" baseType="lpstr">
      <vt:lpstr>Setup</vt:lpstr>
      <vt:lpstr>Gear</vt:lpstr>
      <vt:lpstr>Data</vt:lpstr>
      <vt:lpstr>Weaponskill</vt:lpstr>
      <vt:lpstr>Melee</vt:lpstr>
      <vt:lpstr>Gear Lists</vt:lpstr>
      <vt:lpstr>Other Lists</vt:lpstr>
      <vt:lpstr>Stats</vt:lpstr>
      <vt:lpstr>Endark</vt:lpstr>
      <vt:lpstr>Sets</vt:lpstr>
      <vt:lpstr>AM2Table</vt:lpstr>
      <vt:lpstr>Ammo</vt:lpstr>
      <vt:lpstr>AmmoList</vt:lpstr>
      <vt:lpstr>AtmaHeader</vt:lpstr>
      <vt:lpstr>AtmaList</vt:lpstr>
      <vt:lpstr>Atmas</vt:lpstr>
      <vt:lpstr>AvgHitsPerHand1TP1</vt:lpstr>
      <vt:lpstr>AvgHitsPerHand1TP2</vt:lpstr>
      <vt:lpstr>AvgHitsPerHand2TP1</vt:lpstr>
      <vt:lpstr>AvgHitsPerHand2TP2</vt:lpstr>
      <vt:lpstr>AvgHitsPerRound1</vt:lpstr>
      <vt:lpstr>AvgHitsPerRound2</vt:lpstr>
      <vt:lpstr>AvgRoundsSet1</vt:lpstr>
      <vt:lpstr>AvgRoundsSet2</vt:lpstr>
      <vt:lpstr>Axe</vt:lpstr>
      <vt:lpstr>AxeList</vt:lpstr>
      <vt:lpstr>AxeWS</vt:lpstr>
      <vt:lpstr>Back</vt:lpstr>
      <vt:lpstr>BackList</vt:lpstr>
      <vt:lpstr>Body</vt:lpstr>
      <vt:lpstr>BodyList</vt:lpstr>
      <vt:lpstr>Boosts</vt:lpstr>
      <vt:lpstr>Earring</vt:lpstr>
      <vt:lpstr>EarringList</vt:lpstr>
      <vt:lpstr>EndarkTable</vt:lpstr>
      <vt:lpstr>Entropy</vt:lpstr>
      <vt:lpstr>Feet</vt:lpstr>
      <vt:lpstr>FeetList</vt:lpstr>
      <vt:lpstr>Food</vt:lpstr>
      <vt:lpstr>FoodHeader</vt:lpstr>
      <vt:lpstr>FoodList</vt:lpstr>
      <vt:lpstr>GradeRates</vt:lpstr>
      <vt:lpstr>Grades</vt:lpstr>
      <vt:lpstr>GreatAxe</vt:lpstr>
      <vt:lpstr>GreatAxeList</vt:lpstr>
      <vt:lpstr>GreatAxeWS</vt:lpstr>
      <vt:lpstr>GreatSword</vt:lpstr>
      <vt:lpstr>GreatSwordList</vt:lpstr>
      <vt:lpstr>GreatSwordWS</vt:lpstr>
      <vt:lpstr>Grip</vt:lpstr>
      <vt:lpstr>GripList</vt:lpstr>
      <vt:lpstr>Hands</vt:lpstr>
      <vt:lpstr>HandsList</vt:lpstr>
      <vt:lpstr>Hastes</vt:lpstr>
      <vt:lpstr>Head</vt:lpstr>
      <vt:lpstr>HeadList</vt:lpstr>
      <vt:lpstr>Ionis</vt:lpstr>
      <vt:lpstr>Legs</vt:lpstr>
      <vt:lpstr>LegsList</vt:lpstr>
      <vt:lpstr>MainWeapons</vt:lpstr>
      <vt:lpstr>MainWeaponsGroup</vt:lpstr>
      <vt:lpstr>MobHeader</vt:lpstr>
      <vt:lpstr>MobList</vt:lpstr>
      <vt:lpstr>Mobs</vt:lpstr>
      <vt:lpstr>Neck</vt:lpstr>
      <vt:lpstr>NeckList</vt:lpstr>
      <vt:lpstr>PlayerStats</vt:lpstr>
      <vt:lpstr>Races</vt:lpstr>
      <vt:lpstr>RateTiers</vt:lpstr>
      <vt:lpstr>Ring</vt:lpstr>
      <vt:lpstr>RingList</vt:lpstr>
      <vt:lpstr>Scythe</vt:lpstr>
      <vt:lpstr>ScytheList</vt:lpstr>
      <vt:lpstr>ScytheWS</vt:lpstr>
      <vt:lpstr>Set1AM3</vt:lpstr>
      <vt:lpstr>Set1AM32</vt:lpstr>
      <vt:lpstr>Set1AM33</vt:lpstr>
      <vt:lpstr>Set1ConserveTP</vt:lpstr>
      <vt:lpstr>Set1CRatio</vt:lpstr>
      <vt:lpstr>Set1CritDmg</vt:lpstr>
      <vt:lpstr>Set1CritMain</vt:lpstr>
      <vt:lpstr>Set1CritOff</vt:lpstr>
      <vt:lpstr>Set1DA</vt:lpstr>
      <vt:lpstr>Set1FTP</vt:lpstr>
      <vt:lpstr>Set1MainDmg</vt:lpstr>
      <vt:lpstr>Set1MeleeTP</vt:lpstr>
      <vt:lpstr>Set1MinTP</vt:lpstr>
      <vt:lpstr>Set1OffDmg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Set1WSMnd</vt:lpstr>
      <vt:lpstr>Set1WSStoreTP</vt:lpstr>
      <vt:lpstr>Set1WSStr</vt:lpstr>
      <vt:lpstr>Set1WSTP</vt:lpstr>
      <vt:lpstr>Set1WSVit</vt:lpstr>
      <vt:lpstr>Set2AM3</vt:lpstr>
      <vt:lpstr>Set2AM32</vt:lpstr>
      <vt:lpstr>Set2AM33</vt:lpstr>
      <vt:lpstr>Set2ConserveTP</vt:lpstr>
      <vt:lpstr>Set2CRatio</vt:lpstr>
      <vt:lpstr>Set2CritDmg</vt:lpstr>
      <vt:lpstr>Set2CritMain</vt:lpstr>
      <vt:lpstr>Set2CritOff</vt:lpstr>
      <vt:lpstr>Set2DA</vt:lpstr>
      <vt:lpstr>Set2FTP</vt:lpstr>
      <vt:lpstr>Set2MainDmg</vt:lpstr>
      <vt:lpstr>Set2MeleeTP</vt:lpstr>
      <vt:lpstr>Set2MinTP</vt:lpstr>
      <vt:lpstr>Set2OffDmg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Set2WSMnd</vt:lpstr>
      <vt:lpstr>Set2WSStoreTP</vt:lpstr>
      <vt:lpstr>Set2WSStr</vt:lpstr>
      <vt:lpstr>Set2WSTP</vt:lpstr>
      <vt:lpstr>Set2WSVit</vt:lpstr>
      <vt:lpstr>SetBonusLookup</vt:lpstr>
      <vt:lpstr>Skills</vt:lpstr>
      <vt:lpstr>Slots</vt:lpstr>
      <vt:lpstr>Souleater10</vt:lpstr>
      <vt:lpstr>Souleater12</vt:lpstr>
      <vt:lpstr>SouleaterOptions</vt:lpstr>
      <vt:lpstr>StatHeader</vt:lpstr>
      <vt:lpstr>Stats</vt:lpstr>
      <vt:lpstr>Sub1HWeapons</vt:lpstr>
      <vt:lpstr>Sub2HWeapons</vt:lpstr>
      <vt:lpstr>Subjobs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WeaponTypes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B Frank</cp:lastModifiedBy>
  <dcterms:created xsi:type="dcterms:W3CDTF">2010-08-09T19:31:43Z</dcterms:created>
  <dcterms:modified xsi:type="dcterms:W3CDTF">2017-10-22T03:58:29Z</dcterms:modified>
</cp:coreProperties>
</file>