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24390" windowHeight="13350" activeTab="9"/>
  </bookViews>
  <sheets>
    <sheet name="Setup" sheetId="27" r:id="rId1"/>
    <sheet name="Gear" sheetId="2" r:id="rId2"/>
    <sheet name="Spells" sheetId="45" r:id="rId3"/>
    <sheet name="Spell Gear" sheetId="44" r:id="rId4"/>
    <sheet name="Data" sheetId="26" r:id="rId5"/>
    <sheet name="Weaponskill" sheetId="41" r:id="rId6"/>
    <sheet name="Melee" sheetId="42" r:id="rId7"/>
    <sheet name="Gear Lists" sheetId="13" r:id="rId8"/>
    <sheet name="Spell Lists" sheetId="43" r:id="rId9"/>
    <sheet name="Other Lists" sheetId="14" r:id="rId10"/>
    <sheet name="Stats" sheetId="30" r:id="rId11"/>
    <sheet name="Sets" sheetId="46" r:id="rId12"/>
  </sheets>
  <definedNames>
    <definedName name="AM2Table">Data!$G$44:$I$50</definedName>
    <definedName name="Ammo">'Gear Lists'!$A$95:$AN$116</definedName>
    <definedName name="AmmoList">'Gear Lists'!$A$96:$A$116</definedName>
    <definedName name="AtmaHeader">'Other Lists'!$A$59:$U$59</definedName>
    <definedName name="AtmaList">'Other Lists'!$A$60:$U$73</definedName>
    <definedName name="Atmas">'Other Lists'!$A$60:$A$73</definedName>
    <definedName name="AvgHitsPerHand1Set1">Melee!$F$16</definedName>
    <definedName name="AvgHitsPerHand1Set2">Melee!$F$56</definedName>
    <definedName name="AvgHitsPerHand2Set1">Melee!$F$32</definedName>
    <definedName name="AvgHitsPerHand2Set2">Melee!$F$72</definedName>
    <definedName name="AvgHitsPerRound1">Melee!$E$38</definedName>
    <definedName name="AvgHitsPerRound2">Melee!$E$78</definedName>
    <definedName name="AvgRoundsSet1">Melee!$Q$12:$R$112</definedName>
    <definedName name="AvgRoundsSet2">Melee!$T$12:$U$112</definedName>
    <definedName name="Back">'Gear Lists'!$A$361:$AN$409</definedName>
    <definedName name="BackList">'Gear Lists'!$A$362:$A$409</definedName>
    <definedName name="Body">'Gear Lists'!$A$234:$AN$261</definedName>
    <definedName name="BodyList">'Gear Lists'!$A$235:$A$261</definedName>
    <definedName name="Boosts">'Other Lists'!$A$160:$A$161</definedName>
    <definedName name="Club">'Gear Lists'!$A$62:$BA$82</definedName>
    <definedName name="ClubList">'Gear Lists'!$A$63:$A$82</definedName>
    <definedName name="ClubWeaponskills">'Other Lists'!$A$50</definedName>
    <definedName name="Earring">'Gear Lists'!$A$195:$AN$231</definedName>
    <definedName name="EarringList">'Gear Lists'!$A$196:$A$231</definedName>
    <definedName name="Feet">'Gear Lists'!$A$488:$AO$514</definedName>
    <definedName name="FeetList">'Gear Lists'!$A$489:$A$514</definedName>
    <definedName name="Food">'Other Lists'!$A$1:$O$23</definedName>
    <definedName name="FoodHeader">'Other Lists'!$A$1:$O$1</definedName>
    <definedName name="FoodList">'Other Lists'!$A$2:$A$23</definedName>
    <definedName name="GradeRates">Stats!$A$36:$J$43</definedName>
    <definedName name="Grades">Stats!$A$8:$I$33</definedName>
    <definedName name="Hands">'Gear Lists'!$A$264:$AN$295</definedName>
    <definedName name="HandsList">'Gear Lists'!$A$265:$A$295</definedName>
    <definedName name="Hastes">'Other Lists'!$A$156:$A$157</definedName>
    <definedName name="Head">'Gear Lists'!$A$119:$AN$152</definedName>
    <definedName name="HeadList">'Gear Lists'!$A$120:$A$152</definedName>
    <definedName name="Ionis">'Other Lists'!$A$148:$B$152</definedName>
    <definedName name="Legs">'Gear Lists'!$A$456:$AN$485</definedName>
    <definedName name="LegsList">'Gear Lists'!$A$457:$A$485</definedName>
    <definedName name="Main1HSlots">'Other Lists'!$A$77:$A$78</definedName>
    <definedName name="MasterListColumns">'Spell Lists'!$A$2:$AE$2</definedName>
    <definedName name="MasterSpellList">'Spell Lists'!$A$2:$AE$177</definedName>
    <definedName name="MobHeader">'Other Lists'!$A$90:$J$90</definedName>
    <definedName name="MobNames">'Other Lists'!$A$91:$A$104</definedName>
    <definedName name="Mobs">'Other Lists'!$A$90:$J$104</definedName>
    <definedName name="Neck">'Gear Lists'!$A$155:$AN$192</definedName>
    <definedName name="NeckList">'Gear Lists'!$A$156:$A$192</definedName>
    <definedName name="PlayerStats">Stats!$A$2:$I$3</definedName>
    <definedName name="Races">'Other Lists'!$A$115:$A$119</definedName>
    <definedName name="Ranged">'Gear Lists'!$A$90:$AN$92</definedName>
    <definedName name="RangedList">'Gear Lists'!$A$91:$A$92</definedName>
    <definedName name="RateTiers">Stats!$A$36:$J$36</definedName>
    <definedName name="Ring">'Gear Lists'!$A$298:$AN$358</definedName>
    <definedName name="RingList">'Gear Lists'!$A$299:$A$358</definedName>
    <definedName name="Set1AM3">Weaponskill!$E$6</definedName>
    <definedName name="Set1AM32">Weaponskill!$E$7</definedName>
    <definedName name="Set1AM33">Weaponskill!$E$8</definedName>
    <definedName name="Set1ConserveTP">Data!$D$217</definedName>
    <definedName name="Set1CRatio">Data!$D$71</definedName>
    <definedName name="Set1CritDmg">Data!$D$182</definedName>
    <definedName name="Set1CritMain">Data!$D$179</definedName>
    <definedName name="Set1CritOff">Data!$D$180</definedName>
    <definedName name="Set1DA">Data!$D$172</definedName>
    <definedName name="Set1FTP">Data!$D$214</definedName>
    <definedName name="Set1MainDmg">Data!$D$109</definedName>
    <definedName name="Set1MeleeTP">Data!$B$189</definedName>
    <definedName name="Set1MinTP">Setup!$F$45</definedName>
    <definedName name="Set1OffDmg">Data!$D$169</definedName>
    <definedName name="Set1OverTP">Setup!$F$43</definedName>
    <definedName name="Set1QA">Data!$D$174</definedName>
    <definedName name="Set1Regain">Data!$D$221</definedName>
    <definedName name="Set1SaveTP">Data!$H$26</definedName>
    <definedName name="Set1TA">Data!$D$173</definedName>
    <definedName name="Set1TPBonus">Data!$D$215</definedName>
    <definedName name="Set1WSDex">Data!$D$32</definedName>
    <definedName name="Set1WSDmg">Data!$D$218</definedName>
    <definedName name="Set1WSHitRate">Data!$D$105</definedName>
    <definedName name="Set1WSInt">Data!$D$34</definedName>
    <definedName name="Set1WSMnd">Data!$D$35</definedName>
    <definedName name="Set1WSStoreTP">Data!$D$188</definedName>
    <definedName name="Set1WSStr">Data!$D$31</definedName>
    <definedName name="Set1WSTP">Data!$D$189</definedName>
    <definedName name="Set1WSVit">Data!$D$33</definedName>
    <definedName name="Set2AM3">Weaponskill!$E$539</definedName>
    <definedName name="Set2AM32">Weaponskill!$E$540</definedName>
    <definedName name="Set2AM33">Weaponskill!$E$541</definedName>
    <definedName name="Set2ConserveTP">Data!$E$217</definedName>
    <definedName name="Set2CRatio">Data!$E$71</definedName>
    <definedName name="Set2CritDmg">Data!$E$182</definedName>
    <definedName name="Set2CritMain">Data!$E$179</definedName>
    <definedName name="Set2CritOff">Data!$E$180</definedName>
    <definedName name="Set2DA">Data!$E$172</definedName>
    <definedName name="Set2FTP">Data!$E$214</definedName>
    <definedName name="Set2MainDmg">Data!$E$109</definedName>
    <definedName name="Set2MeleeTP">Data!$C$189</definedName>
    <definedName name="Set2MinTP">Setup!$G$45</definedName>
    <definedName name="Set2OffDmg">Data!$E$169</definedName>
    <definedName name="Set2OverTP">Setup!$G$43</definedName>
    <definedName name="Set2QA">Data!$E$174</definedName>
    <definedName name="Set2Regain">Data!$E$221</definedName>
    <definedName name="Set2SaveTP">Data!$I$26</definedName>
    <definedName name="Set2TA">Data!$E$173</definedName>
    <definedName name="Set2TPBonus">Data!$E$215</definedName>
    <definedName name="Set2WSDex">Data!$E$32</definedName>
    <definedName name="Set2WSDmg">Data!$E$218</definedName>
    <definedName name="Set2WSHitRate">Data!$E$105</definedName>
    <definedName name="Set2WSInt">Data!$E$34</definedName>
    <definedName name="Set2WSMnd">Data!$E$35</definedName>
    <definedName name="Set2WSStoreTP">Data!$E$188</definedName>
    <definedName name="Set2WSStr">Data!$E$31</definedName>
    <definedName name="Set2WSTP">Data!$E$189</definedName>
    <definedName name="Set2WSVit">Data!$E$33</definedName>
    <definedName name="SetBonusLookup">'Other Lists'!$C$123:$M$143</definedName>
    <definedName name="Shield">'Gear Lists'!$A$85:$BA$87</definedName>
    <definedName name="ShieldList">'Gear Lists'!$A$86:$A$87</definedName>
    <definedName name="Skills">'Other Lists'!$A$86:$C$87</definedName>
    <definedName name="Slots">Gear!$A$3:$A$22</definedName>
    <definedName name="Spell1A">'Spell Gear'!$A$2:$U$21</definedName>
    <definedName name="Spell1B">'Spell Gear'!$X$2:$AR$21</definedName>
    <definedName name="Spell2A">'Spell Gear'!$A$25:$U$44</definedName>
    <definedName name="Spell2B">'Spell Gear'!$X$25:$AR$44</definedName>
    <definedName name="SpellList">'Spell Lists'!$A$184:$A$358</definedName>
    <definedName name="SpellsSet1">Spells!$B$2:$P$24</definedName>
    <definedName name="SpellsSet2">Spells!$S$2:$AG$24</definedName>
    <definedName name="StatHeader">'Gear Lists'!$A$1:$BA$1</definedName>
    <definedName name="Stats">Stats!$A$8:$I$8</definedName>
    <definedName name="Sub1HSlots">'Other Lists'!$A$81:$A$83</definedName>
    <definedName name="Subjobs">'Other Lists'!$A$107:$A$112</definedName>
    <definedName name="Sword">'Gear Lists'!$A$4:$BA$59</definedName>
    <definedName name="SwordList">'Gear Lists'!$A$5:$A$59</definedName>
    <definedName name="SwordWeaponskills">'Other Lists'!$A$39:$A$47</definedName>
    <definedName name="Toggle">'Other Lists'!$A$54:$A$55</definedName>
    <definedName name="TPSet1">Gear!$A$2:$W$22</definedName>
    <definedName name="TPSet1Gear">Gear!$B$3:$B$18</definedName>
    <definedName name="TPSet2">Gear!$Z$2:$AV$22</definedName>
    <definedName name="TPSet2Gear">Gear!$AA$3:$AA$18</definedName>
    <definedName name="TraitValueCols">Spells!$A$31:$G$31</definedName>
    <definedName name="TraitValues">Spells!$A$31:$G$36</definedName>
    <definedName name="Waist">'Gear Lists'!$A$412:$AN$453</definedName>
    <definedName name="WaistList">'Gear Lists'!$A$413:$A$453</definedName>
    <definedName name="Weapon">'Gear Lists'!$A$4:$BA$59</definedName>
    <definedName name="WeaponList">'Gear Lists'!$A$5:$A$59</definedName>
    <definedName name="WeaponMerits">Setup!$A$15:$B$16</definedName>
    <definedName name="WeaponskillData">'Other Lists'!$A$27:$R$36</definedName>
    <definedName name="WeaponskillDataCols">'Other Lists'!$A$26:$R$26</definedName>
    <definedName name="Weaponskills">'Other Lists'!$A$27:$A$36</definedName>
    <definedName name="WSSet1">Gear!$A$26:$W$46</definedName>
    <definedName name="WSSet1Gear">Gear!$B$27:$B$42</definedName>
    <definedName name="WSSet2">Gear!$Z$26:$AV$46</definedName>
    <definedName name="WSSet2Gear">Gear!$AA$27:$AA$42</definedName>
  </definedNames>
  <calcPr calcId="125725"/>
</workbook>
</file>

<file path=xl/calcChain.xml><?xml version="1.0" encoding="utf-8"?>
<calcChain xmlns="http://schemas.openxmlformats.org/spreadsheetml/2006/main">
  <c r="B25" i="42"/>
  <c r="N128" i="13" l="1"/>
  <c r="L128"/>
  <c r="H128"/>
  <c r="U22" i="45"/>
  <c r="X22"/>
  <c r="G22"/>
  <c r="O501" i="13"/>
  <c r="G501"/>
  <c r="T268" l="1"/>
  <c r="K268"/>
  <c r="P27" i="46"/>
  <c r="Q27"/>
  <c r="P28"/>
  <c r="Q28"/>
  <c r="G136" i="13" l="1"/>
  <c r="N28" i="46"/>
  <c r="M28"/>
  <c r="N27"/>
  <c r="M27"/>
  <c r="O464" i="13"/>
  <c r="N464"/>
  <c r="L126"/>
  <c r="N126"/>
  <c r="K28" i="46"/>
  <c r="J28"/>
  <c r="K27"/>
  <c r="J27"/>
  <c r="H28"/>
  <c r="G28"/>
  <c r="H27"/>
  <c r="G27"/>
  <c r="E28"/>
  <c r="D28"/>
  <c r="E27"/>
  <c r="D27"/>
  <c r="H137" i="13"/>
  <c r="B28" i="46"/>
  <c r="A28"/>
  <c r="B27"/>
  <c r="A27"/>
  <c r="G135" i="13"/>
  <c r="G139"/>
  <c r="G138"/>
  <c r="G249"/>
  <c r="N244"/>
  <c r="G245"/>
  <c r="N277"/>
  <c r="G277"/>
  <c r="G279"/>
  <c r="H279"/>
  <c r="N281"/>
  <c r="G281"/>
  <c r="H501"/>
  <c r="G504"/>
  <c r="G469"/>
  <c r="G502"/>
  <c r="O471"/>
  <c r="G471"/>
  <c r="AE246"/>
  <c r="E36" i="26" l="1"/>
  <c r="E37"/>
  <c r="D37"/>
  <c r="AO16" i="13"/>
  <c r="AO17"/>
  <c r="N17"/>
  <c r="O470"/>
  <c r="O468"/>
  <c r="N503" l="1"/>
  <c r="N280"/>
  <c r="N463"/>
  <c r="L462"/>
  <c r="N279" l="1"/>
  <c r="C48" i="26" l="1"/>
  <c r="B48"/>
  <c r="O499" i="13"/>
  <c r="N499"/>
  <c r="H499"/>
  <c r="G499"/>
  <c r="R7" i="45"/>
  <c r="R8"/>
  <c r="R9"/>
  <c r="R10"/>
  <c r="R11"/>
  <c r="R12"/>
  <c r="R13"/>
  <c r="R14"/>
  <c r="R15"/>
  <c r="R16"/>
  <c r="R17"/>
  <c r="R18"/>
  <c r="R19"/>
  <c r="R20"/>
  <c r="R21"/>
  <c r="N127" i="13"/>
  <c r="G122"/>
  <c r="I273" l="1"/>
  <c r="G273"/>
  <c r="K145"/>
  <c r="H145"/>
  <c r="G145"/>
  <c r="H489"/>
  <c r="H510"/>
  <c r="G510"/>
  <c r="H495"/>
  <c r="G495"/>
  <c r="C36" i="26"/>
  <c r="C37"/>
  <c r="B37"/>
  <c r="B36"/>
  <c r="D36" s="1"/>
  <c r="N267" i="13"/>
  <c r="Z22" i="45"/>
  <c r="W22"/>
  <c r="N130" i="13"/>
  <c r="H130"/>
  <c r="J125" i="14"/>
  <c r="K125"/>
  <c r="H103" l="1"/>
  <c r="G103"/>
  <c r="F103"/>
  <c r="E103"/>
  <c r="D103"/>
  <c r="C206" i="26"/>
  <c r="B206"/>
  <c r="R4" i="45"/>
  <c r="R5"/>
  <c r="R6"/>
  <c r="R22"/>
  <c r="R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3"/>
  <c r="Q24" l="1"/>
  <c r="AH24"/>
  <c r="E1" i="26"/>
  <c r="E18" s="1"/>
  <c r="AO14" i="13"/>
  <c r="T497"/>
  <c r="K497"/>
  <c r="K275"/>
  <c r="T132"/>
  <c r="S132"/>
  <c r="K132"/>
  <c r="G484"/>
  <c r="H292"/>
  <c r="G292"/>
  <c r="H291"/>
  <c r="G291"/>
  <c r="H143"/>
  <c r="G143"/>
  <c r="H149"/>
  <c r="G149"/>
  <c r="H148"/>
  <c r="G148"/>
  <c r="E46" i="26" l="1"/>
  <c r="C207"/>
  <c r="C26"/>
  <c r="C46"/>
  <c r="L79" i="13" l="1"/>
  <c r="K79"/>
  <c r="AO13"/>
  <c r="AO57"/>
  <c r="G57"/>
  <c r="Y22" i="45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B204" i="26"/>
  <c r="Y24" i="45" l="1"/>
  <c r="Y25" s="1"/>
  <c r="Y26" s="1"/>
  <c r="C21" i="26" s="1"/>
  <c r="H24" i="45"/>
  <c r="H25" s="1"/>
  <c r="H26" s="1"/>
  <c r="B21" i="26" s="1"/>
  <c r="C194"/>
  <c r="B194"/>
  <c r="C193"/>
  <c r="B193"/>
  <c r="C192"/>
  <c r="B192"/>
  <c r="Y3" i="44" l="1"/>
  <c r="B3"/>
  <c r="AG22" i="45"/>
  <c r="AF22"/>
  <c r="AE22"/>
  <c r="AD22"/>
  <c r="AC22"/>
  <c r="AB22"/>
  <c r="AA22"/>
  <c r="AG21"/>
  <c r="AF21"/>
  <c r="AE21"/>
  <c r="AD21"/>
  <c r="AC21"/>
  <c r="AB21"/>
  <c r="AA21"/>
  <c r="AG20"/>
  <c r="AF20"/>
  <c r="AE20"/>
  <c r="AD20"/>
  <c r="AC20"/>
  <c r="AB20"/>
  <c r="AA20"/>
  <c r="AG19"/>
  <c r="AF19"/>
  <c r="AE19"/>
  <c r="AD19"/>
  <c r="AC19"/>
  <c r="AB19"/>
  <c r="AA19"/>
  <c r="AG18"/>
  <c r="AF18"/>
  <c r="AE18"/>
  <c r="AD18"/>
  <c r="AC18"/>
  <c r="AB18"/>
  <c r="AA18"/>
  <c r="AG17"/>
  <c r="AF17"/>
  <c r="AE17"/>
  <c r="AD17"/>
  <c r="AC17"/>
  <c r="AB17"/>
  <c r="AA17"/>
  <c r="AG16"/>
  <c r="AF16"/>
  <c r="AE16"/>
  <c r="AD16"/>
  <c r="AC16"/>
  <c r="AB16"/>
  <c r="AA16"/>
  <c r="AG15"/>
  <c r="AF15"/>
  <c r="AE15"/>
  <c r="AD15"/>
  <c r="AC15"/>
  <c r="AB15"/>
  <c r="AA15"/>
  <c r="AG14"/>
  <c r="AF14"/>
  <c r="AE14"/>
  <c r="AD14"/>
  <c r="AC14"/>
  <c r="AB14"/>
  <c r="AA14"/>
  <c r="AG13"/>
  <c r="AF13"/>
  <c r="AE13"/>
  <c r="AD13"/>
  <c r="AC13"/>
  <c r="AB13"/>
  <c r="AA13"/>
  <c r="AG12"/>
  <c r="AF12"/>
  <c r="AE12"/>
  <c r="AD12"/>
  <c r="AC12"/>
  <c r="AB12"/>
  <c r="AA12"/>
  <c r="AG11"/>
  <c r="AF11"/>
  <c r="AE11"/>
  <c r="AD11"/>
  <c r="AC11"/>
  <c r="AB11"/>
  <c r="AA11"/>
  <c r="AG10"/>
  <c r="AF10"/>
  <c r="AE10"/>
  <c r="AD10"/>
  <c r="AC10"/>
  <c r="AB10"/>
  <c r="AA10"/>
  <c r="AG9"/>
  <c r="AF9"/>
  <c r="AE9"/>
  <c r="AD9"/>
  <c r="AC9"/>
  <c r="AB9"/>
  <c r="AA9"/>
  <c r="AG8"/>
  <c r="AF8"/>
  <c r="AE8"/>
  <c r="AD8"/>
  <c r="AC8"/>
  <c r="AB8"/>
  <c r="AA8"/>
  <c r="AG7"/>
  <c r="AF7"/>
  <c r="AE7"/>
  <c r="AD7"/>
  <c r="AC7"/>
  <c r="AB7"/>
  <c r="AA7"/>
  <c r="AG6"/>
  <c r="AF6"/>
  <c r="AE6"/>
  <c r="AD6"/>
  <c r="AC6"/>
  <c r="AB6"/>
  <c r="AA6"/>
  <c r="AG5"/>
  <c r="AF5"/>
  <c r="AE5"/>
  <c r="AD5"/>
  <c r="AC5"/>
  <c r="AB5"/>
  <c r="AA5"/>
  <c r="AG4"/>
  <c r="AF4"/>
  <c r="AE4"/>
  <c r="AD4"/>
  <c r="AC4"/>
  <c r="AB4"/>
  <c r="AA4"/>
  <c r="AG3"/>
  <c r="AF3"/>
  <c r="AE3"/>
  <c r="AD3"/>
  <c r="AC3"/>
  <c r="AB3"/>
  <c r="AA3"/>
  <c r="O22"/>
  <c r="N22"/>
  <c r="M22"/>
  <c r="L22"/>
  <c r="K22"/>
  <c r="J22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O18"/>
  <c r="N18"/>
  <c r="M18"/>
  <c r="L18"/>
  <c r="K18"/>
  <c r="J18"/>
  <c r="O17"/>
  <c r="N17"/>
  <c r="M17"/>
  <c r="L17"/>
  <c r="K17"/>
  <c r="J17"/>
  <c r="O16"/>
  <c r="N16"/>
  <c r="M16"/>
  <c r="L16"/>
  <c r="K16"/>
  <c r="J16"/>
  <c r="O15"/>
  <c r="N15"/>
  <c r="M15"/>
  <c r="L15"/>
  <c r="K15"/>
  <c r="J15"/>
  <c r="O14"/>
  <c r="N14"/>
  <c r="M14"/>
  <c r="L14"/>
  <c r="K14"/>
  <c r="J14"/>
  <c r="O13"/>
  <c r="N13"/>
  <c r="M13"/>
  <c r="L13"/>
  <c r="K13"/>
  <c r="J13"/>
  <c r="O12"/>
  <c r="N12"/>
  <c r="M12"/>
  <c r="L12"/>
  <c r="K12"/>
  <c r="J12"/>
  <c r="O11"/>
  <c r="N11"/>
  <c r="M11"/>
  <c r="L11"/>
  <c r="K11"/>
  <c r="J11"/>
  <c r="O10"/>
  <c r="N10"/>
  <c r="M10"/>
  <c r="L10"/>
  <c r="K10"/>
  <c r="J10"/>
  <c r="O9"/>
  <c r="N9"/>
  <c r="M9"/>
  <c r="L9"/>
  <c r="K9"/>
  <c r="J9"/>
  <c r="O8"/>
  <c r="N8"/>
  <c r="M8"/>
  <c r="L8"/>
  <c r="K8"/>
  <c r="J8"/>
  <c r="O7"/>
  <c r="N7"/>
  <c r="M7"/>
  <c r="L7"/>
  <c r="K7"/>
  <c r="J7"/>
  <c r="O6"/>
  <c r="N6"/>
  <c r="M6"/>
  <c r="L6"/>
  <c r="K6"/>
  <c r="J6"/>
  <c r="O5"/>
  <c r="N5"/>
  <c r="M5"/>
  <c r="L5"/>
  <c r="K5"/>
  <c r="J5"/>
  <c r="O4"/>
  <c r="N4"/>
  <c r="M4"/>
  <c r="L4"/>
  <c r="K4"/>
  <c r="J4"/>
  <c r="O3"/>
  <c r="N3"/>
  <c r="M3"/>
  <c r="L3"/>
  <c r="K3"/>
  <c r="J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T25"/>
  <c r="C25"/>
  <c r="C14" i="27"/>
  <c r="V22" i="45"/>
  <c r="T22"/>
  <c r="Z21"/>
  <c r="X21"/>
  <c r="W21"/>
  <c r="V21"/>
  <c r="U21"/>
  <c r="T21"/>
  <c r="Z20"/>
  <c r="X20"/>
  <c r="W20"/>
  <c r="V20"/>
  <c r="U20"/>
  <c r="T20"/>
  <c r="Z19"/>
  <c r="X19"/>
  <c r="W19"/>
  <c r="V19"/>
  <c r="U19"/>
  <c r="T19"/>
  <c r="Z18"/>
  <c r="X18"/>
  <c r="W18"/>
  <c r="V18"/>
  <c r="U18"/>
  <c r="T18"/>
  <c r="Z17"/>
  <c r="X17"/>
  <c r="W17"/>
  <c r="V17"/>
  <c r="U17"/>
  <c r="T17"/>
  <c r="Z16"/>
  <c r="X16"/>
  <c r="W16"/>
  <c r="V16"/>
  <c r="U16"/>
  <c r="T16"/>
  <c r="Z15"/>
  <c r="X15"/>
  <c r="W15"/>
  <c r="V15"/>
  <c r="U15"/>
  <c r="T15"/>
  <c r="Z14"/>
  <c r="X14"/>
  <c r="W14"/>
  <c r="V14"/>
  <c r="U14"/>
  <c r="T14"/>
  <c r="Z13"/>
  <c r="X13"/>
  <c r="W13"/>
  <c r="V13"/>
  <c r="U13"/>
  <c r="T13"/>
  <c r="Z12"/>
  <c r="X12"/>
  <c r="W12"/>
  <c r="V12"/>
  <c r="U12"/>
  <c r="T12"/>
  <c r="Z11"/>
  <c r="X11"/>
  <c r="W11"/>
  <c r="V11"/>
  <c r="U11"/>
  <c r="T11"/>
  <c r="Z10"/>
  <c r="X10"/>
  <c r="W10"/>
  <c r="V10"/>
  <c r="U10"/>
  <c r="T10"/>
  <c r="Z9"/>
  <c r="X9"/>
  <c r="W9"/>
  <c r="V9"/>
  <c r="U9"/>
  <c r="T9"/>
  <c r="Z8"/>
  <c r="X8"/>
  <c r="W8"/>
  <c r="V8"/>
  <c r="U8"/>
  <c r="T8"/>
  <c r="Z7"/>
  <c r="X7"/>
  <c r="W7"/>
  <c r="V7"/>
  <c r="U7"/>
  <c r="T7"/>
  <c r="Z6"/>
  <c r="X6"/>
  <c r="W6"/>
  <c r="V6"/>
  <c r="U6"/>
  <c r="T6"/>
  <c r="Z5"/>
  <c r="X5"/>
  <c r="W5"/>
  <c r="V5"/>
  <c r="U5"/>
  <c r="T5"/>
  <c r="Z4"/>
  <c r="X4"/>
  <c r="W4"/>
  <c r="V4"/>
  <c r="U4"/>
  <c r="T4"/>
  <c r="Z3"/>
  <c r="X3"/>
  <c r="W3"/>
  <c r="V3"/>
  <c r="U3"/>
  <c r="T3"/>
  <c r="P22"/>
  <c r="F22"/>
  <c r="E22"/>
  <c r="D22"/>
  <c r="C22"/>
  <c r="P21"/>
  <c r="G21"/>
  <c r="F21"/>
  <c r="E21"/>
  <c r="D21"/>
  <c r="C21"/>
  <c r="P20"/>
  <c r="G20"/>
  <c r="F20"/>
  <c r="E20"/>
  <c r="D20"/>
  <c r="C20"/>
  <c r="P19"/>
  <c r="G19"/>
  <c r="F19"/>
  <c r="E19"/>
  <c r="D19"/>
  <c r="C19"/>
  <c r="P18"/>
  <c r="G18"/>
  <c r="F18"/>
  <c r="E18"/>
  <c r="D18"/>
  <c r="C18"/>
  <c r="P17"/>
  <c r="G17"/>
  <c r="F17"/>
  <c r="E17"/>
  <c r="D17"/>
  <c r="C17"/>
  <c r="P16"/>
  <c r="G16"/>
  <c r="F16"/>
  <c r="E16"/>
  <c r="D16"/>
  <c r="C16"/>
  <c r="P15"/>
  <c r="G15"/>
  <c r="F15"/>
  <c r="E15"/>
  <c r="D15"/>
  <c r="C15"/>
  <c r="P14"/>
  <c r="G14"/>
  <c r="F14"/>
  <c r="E14"/>
  <c r="D14"/>
  <c r="C14"/>
  <c r="P13"/>
  <c r="G13"/>
  <c r="F13"/>
  <c r="E13"/>
  <c r="D13"/>
  <c r="C13"/>
  <c r="P12"/>
  <c r="G12"/>
  <c r="F12"/>
  <c r="E12"/>
  <c r="D12"/>
  <c r="C12"/>
  <c r="P11"/>
  <c r="G11"/>
  <c r="F11"/>
  <c r="E11"/>
  <c r="D11"/>
  <c r="C11"/>
  <c r="P10"/>
  <c r="G10"/>
  <c r="F10"/>
  <c r="E10"/>
  <c r="D10"/>
  <c r="C10"/>
  <c r="P9"/>
  <c r="G9"/>
  <c r="F9"/>
  <c r="E9"/>
  <c r="D9"/>
  <c r="C9"/>
  <c r="P8"/>
  <c r="G8"/>
  <c r="F8"/>
  <c r="E8"/>
  <c r="D8"/>
  <c r="C8"/>
  <c r="P7"/>
  <c r="G7"/>
  <c r="F7"/>
  <c r="E7"/>
  <c r="D7"/>
  <c r="C7"/>
  <c r="P6"/>
  <c r="G6"/>
  <c r="F6"/>
  <c r="E6"/>
  <c r="D6"/>
  <c r="C6"/>
  <c r="P5"/>
  <c r="G5"/>
  <c r="F5"/>
  <c r="E5"/>
  <c r="D5"/>
  <c r="C5"/>
  <c r="P4"/>
  <c r="G4"/>
  <c r="F4"/>
  <c r="E4"/>
  <c r="D4"/>
  <c r="C4"/>
  <c r="P3"/>
  <c r="G3"/>
  <c r="F3"/>
  <c r="E3"/>
  <c r="D3"/>
  <c r="C3"/>
  <c r="F36" i="14"/>
  <c r="F35"/>
  <c r="I26" i="26"/>
  <c r="H26"/>
  <c r="E24" i="45" l="1"/>
  <c r="E25" s="1"/>
  <c r="E26" s="1"/>
  <c r="N24"/>
  <c r="H7" i="26" s="1"/>
  <c r="O24" i="45"/>
  <c r="H8" i="26" s="1"/>
  <c r="AF24" i="45"/>
  <c r="I8" i="26" s="1"/>
  <c r="L24" i="45"/>
  <c r="H5" i="26" s="1"/>
  <c r="K24" i="45"/>
  <c r="H4" i="26" s="1"/>
  <c r="J24" i="45"/>
  <c r="H3" i="26" s="1"/>
  <c r="AA24" i="45"/>
  <c r="I3" i="26" s="1"/>
  <c r="AB24" i="45"/>
  <c r="I4" i="26" s="1"/>
  <c r="AC24" i="45"/>
  <c r="I5" i="26" s="1"/>
  <c r="AD24" i="45"/>
  <c r="I6" i="26" s="1"/>
  <c r="AE24" i="45"/>
  <c r="I7" i="26" s="1"/>
  <c r="M24" i="45"/>
  <c r="H6" i="26" s="1"/>
  <c r="AG24" i="45"/>
  <c r="I9" i="26" s="1"/>
  <c r="I24" i="45"/>
  <c r="I25" s="1"/>
  <c r="I26" s="1"/>
  <c r="U24"/>
  <c r="U25" s="1"/>
  <c r="U26" s="1"/>
  <c r="W24"/>
  <c r="W25" s="1"/>
  <c r="W26" s="1"/>
  <c r="I12" i="26" s="1"/>
  <c r="Z24" i="45"/>
  <c r="Z25" s="1"/>
  <c r="Z26" s="1"/>
  <c r="C22" i="26" s="1"/>
  <c r="V24" i="45"/>
  <c r="V25" s="1"/>
  <c r="V26" s="1"/>
  <c r="C16" i="26" s="1"/>
  <c r="X24" i="45"/>
  <c r="X25" s="1"/>
  <c r="X26" s="1"/>
  <c r="I13" i="26" s="1"/>
  <c r="G24" i="45"/>
  <c r="G25" s="1"/>
  <c r="G26" s="1"/>
  <c r="F24"/>
  <c r="F25" s="1"/>
  <c r="F26" s="1"/>
  <c r="P24"/>
  <c r="H9" i="26" s="1"/>
  <c r="D24" i="45"/>
  <c r="D25" s="1"/>
  <c r="D26" s="1"/>
  <c r="A47" i="30"/>
  <c r="F47" s="1"/>
  <c r="J43"/>
  <c r="I43"/>
  <c r="J42"/>
  <c r="I42"/>
  <c r="J41"/>
  <c r="I41"/>
  <c r="J40"/>
  <c r="I40"/>
  <c r="J39"/>
  <c r="I39"/>
  <c r="J38"/>
  <c r="I38"/>
  <c r="J37"/>
  <c r="I37"/>
  <c r="B1"/>
  <c r="K126" i="14"/>
  <c r="J140"/>
  <c r="K143"/>
  <c r="J131"/>
  <c r="J128"/>
  <c r="K138"/>
  <c r="J130"/>
  <c r="J137"/>
  <c r="J132"/>
  <c r="K134"/>
  <c r="J141"/>
  <c r="J129"/>
  <c r="K130"/>
  <c r="K136"/>
  <c r="K140"/>
  <c r="K135"/>
  <c r="K139"/>
  <c r="K128"/>
  <c r="K127"/>
  <c r="J127"/>
  <c r="J133"/>
  <c r="K141"/>
  <c r="K129"/>
  <c r="J142"/>
  <c r="K124"/>
  <c r="K131"/>
  <c r="K142"/>
  <c r="K132"/>
  <c r="J126"/>
  <c r="J143"/>
  <c r="J134"/>
  <c r="J139"/>
  <c r="J138"/>
  <c r="J124"/>
  <c r="K137"/>
  <c r="K133"/>
  <c r="J135"/>
  <c r="J136"/>
  <c r="C17" i="26" l="1"/>
  <c r="B17"/>
  <c r="B76" i="30"/>
  <c r="E47"/>
  <c r="E51" s="1"/>
  <c r="D47"/>
  <c r="C47" s="1"/>
  <c r="C48" s="1"/>
  <c r="B47"/>
  <c r="B49" s="1"/>
  <c r="F51"/>
  <c r="F50"/>
  <c r="F49"/>
  <c r="I47"/>
  <c r="H47"/>
  <c r="G47"/>
  <c r="N68" i="42"/>
  <c r="N67"/>
  <c r="M67"/>
  <c r="B67"/>
  <c r="N66"/>
  <c r="M66"/>
  <c r="L66"/>
  <c r="B66"/>
  <c r="N65"/>
  <c r="M65"/>
  <c r="L65"/>
  <c r="K65"/>
  <c r="B65"/>
  <c r="N64"/>
  <c r="M64"/>
  <c r="L64"/>
  <c r="K64"/>
  <c r="J64"/>
  <c r="N63"/>
  <c r="M63"/>
  <c r="L63"/>
  <c r="K63"/>
  <c r="J63"/>
  <c r="I63"/>
  <c r="N62"/>
  <c r="M62"/>
  <c r="L62"/>
  <c r="K62"/>
  <c r="J62"/>
  <c r="I62"/>
  <c r="H62"/>
  <c r="N61"/>
  <c r="M61"/>
  <c r="L61"/>
  <c r="K61"/>
  <c r="J61"/>
  <c r="I61"/>
  <c r="H61"/>
  <c r="G61"/>
  <c r="N52"/>
  <c r="N51"/>
  <c r="M51"/>
  <c r="N50"/>
  <c r="M50"/>
  <c r="L50"/>
  <c r="N49"/>
  <c r="M49"/>
  <c r="L49"/>
  <c r="K49"/>
  <c r="N48"/>
  <c r="M48"/>
  <c r="L48"/>
  <c r="K48"/>
  <c r="J48"/>
  <c r="N47"/>
  <c r="M47"/>
  <c r="L47"/>
  <c r="K47"/>
  <c r="J47"/>
  <c r="I47"/>
  <c r="N46"/>
  <c r="M46"/>
  <c r="L46"/>
  <c r="K46"/>
  <c r="J46"/>
  <c r="I46"/>
  <c r="H46"/>
  <c r="N45"/>
  <c r="M45"/>
  <c r="L45"/>
  <c r="K45"/>
  <c r="J45"/>
  <c r="I45"/>
  <c r="H45"/>
  <c r="G45"/>
  <c r="N28"/>
  <c r="N27"/>
  <c r="M27"/>
  <c r="B27"/>
  <c r="N26"/>
  <c r="M26"/>
  <c r="L26"/>
  <c r="B26"/>
  <c r="N25"/>
  <c r="M25"/>
  <c r="L25"/>
  <c r="K25"/>
  <c r="N24"/>
  <c r="M24"/>
  <c r="L24"/>
  <c r="K24"/>
  <c r="J24"/>
  <c r="N23"/>
  <c r="M23"/>
  <c r="L23"/>
  <c r="K23"/>
  <c r="J23"/>
  <c r="I23"/>
  <c r="N22"/>
  <c r="M22"/>
  <c r="L22"/>
  <c r="K22"/>
  <c r="J22"/>
  <c r="I22"/>
  <c r="H22"/>
  <c r="N21"/>
  <c r="M21"/>
  <c r="L21"/>
  <c r="K21"/>
  <c r="J21"/>
  <c r="I21"/>
  <c r="H21"/>
  <c r="G21"/>
  <c r="N12"/>
  <c r="N11"/>
  <c r="M11"/>
  <c r="N10"/>
  <c r="M10"/>
  <c r="L10"/>
  <c r="N9"/>
  <c r="M9"/>
  <c r="L9"/>
  <c r="K9"/>
  <c r="N8"/>
  <c r="M8"/>
  <c r="L8"/>
  <c r="K8"/>
  <c r="J8"/>
  <c r="N7"/>
  <c r="M7"/>
  <c r="L7"/>
  <c r="K7"/>
  <c r="J7"/>
  <c r="I7"/>
  <c r="N6"/>
  <c r="M6"/>
  <c r="L6"/>
  <c r="K6"/>
  <c r="J6"/>
  <c r="I6"/>
  <c r="H6"/>
  <c r="N5"/>
  <c r="M5"/>
  <c r="L5"/>
  <c r="K5"/>
  <c r="J5"/>
  <c r="I5"/>
  <c r="H5"/>
  <c r="G5"/>
  <c r="B48"/>
  <c r="B17"/>
  <c r="B51"/>
  <c r="B11"/>
  <c r="B54"/>
  <c r="B21"/>
  <c r="B64"/>
  <c r="B23"/>
  <c r="B52"/>
  <c r="B19"/>
  <c r="B55"/>
  <c r="B12"/>
  <c r="B58"/>
  <c r="B13"/>
  <c r="B59"/>
  <c r="B18"/>
  <c r="B10"/>
  <c r="B57"/>
  <c r="B63"/>
  <c r="B61"/>
  <c r="B49"/>
  <c r="B62"/>
  <c r="B60"/>
  <c r="B50"/>
  <c r="B20"/>
  <c r="B53"/>
  <c r="B15"/>
  <c r="B9"/>
  <c r="B8"/>
  <c r="B14"/>
  <c r="B24"/>
  <c r="B22"/>
  <c r="D50" i="30" l="1"/>
  <c r="B51"/>
  <c r="E50"/>
  <c r="E49"/>
  <c r="D49" s="1"/>
  <c r="D51"/>
  <c r="C49"/>
  <c r="C50"/>
  <c r="B50" s="1"/>
  <c r="C51"/>
  <c r="D48"/>
  <c r="B52"/>
  <c r="B48"/>
  <c r="I48"/>
  <c r="I51"/>
  <c r="I50"/>
  <c r="H49"/>
  <c r="H51"/>
  <c r="G51" s="1"/>
  <c r="H50"/>
  <c r="G48"/>
  <c r="G50"/>
  <c r="G49"/>
  <c r="I49"/>
  <c r="K545" i="41"/>
  <c r="Q544"/>
  <c r="C53" i="30" l="1"/>
  <c r="D53"/>
  <c r="B53"/>
  <c r="F48"/>
  <c r="G53"/>
  <c r="H48"/>
  <c r="H53" s="1"/>
  <c r="I53"/>
  <c r="Q541" i="41"/>
  <c r="E541"/>
  <c r="E540"/>
  <c r="E539"/>
  <c r="E48" i="30" l="1"/>
  <c r="E53" s="1"/>
  <c r="F53"/>
  <c r="A535" i="41"/>
  <c r="B541" s="1"/>
  <c r="K535" l="1"/>
  <c r="I535"/>
  <c r="J538"/>
  <c r="B542"/>
  <c r="K538"/>
  <c r="L538"/>
  <c r="J541"/>
  <c r="E535"/>
  <c r="I536"/>
  <c r="K536" l="1"/>
  <c r="K12"/>
  <c r="Q11"/>
  <c r="Q8"/>
  <c r="E8"/>
  <c r="E7"/>
  <c r="E6"/>
  <c r="A2" l="1"/>
  <c r="B8" s="1"/>
  <c r="E219" i="26"/>
  <c r="D219"/>
  <c r="E2" i="41" l="1"/>
  <c r="K2"/>
  <c r="I3"/>
  <c r="I2"/>
  <c r="B9"/>
  <c r="K5"/>
  <c r="J8"/>
  <c r="L5"/>
  <c r="J5"/>
  <c r="M4"/>
  <c r="E177" i="26" l="1"/>
  <c r="D177"/>
  <c r="C177"/>
  <c r="B177"/>
  <c r="D124" l="1"/>
  <c r="B124"/>
  <c r="E116"/>
  <c r="D116"/>
  <c r="C116"/>
  <c r="B116"/>
  <c r="E115"/>
  <c r="D115"/>
  <c r="C115"/>
  <c r="B115"/>
  <c r="D64" l="1"/>
  <c r="B64"/>
  <c r="E56" l="1"/>
  <c r="D56"/>
  <c r="C56"/>
  <c r="B56"/>
  <c r="E55"/>
  <c r="D55"/>
  <c r="C55"/>
  <c r="B55"/>
  <c r="D49"/>
  <c r="B49"/>
  <c r="E48"/>
  <c r="D48"/>
  <c r="E47"/>
  <c r="D47"/>
  <c r="C47"/>
  <c r="B47"/>
  <c r="E45"/>
  <c r="D45"/>
  <c r="C45"/>
  <c r="B45"/>
  <c r="E44"/>
  <c r="D44"/>
  <c r="C44"/>
  <c r="B44"/>
  <c r="I43"/>
  <c r="I49" s="1"/>
  <c r="H43"/>
  <c r="H49" s="1"/>
  <c r="H46" l="1"/>
  <c r="I46"/>
  <c r="I47"/>
  <c r="H47"/>
  <c r="I44"/>
  <c r="I48"/>
  <c r="I50"/>
  <c r="H44"/>
  <c r="H48"/>
  <c r="H50"/>
  <c r="I45"/>
  <c r="H45"/>
  <c r="E42"/>
  <c r="E43" s="1"/>
  <c r="D42"/>
  <c r="D43" s="1"/>
  <c r="C42"/>
  <c r="C43" s="1"/>
  <c r="B42"/>
  <c r="B43" s="1"/>
  <c r="E41"/>
  <c r="D41"/>
  <c r="C41"/>
  <c r="B41"/>
  <c r="E40"/>
  <c r="D40"/>
  <c r="C40"/>
  <c r="B40"/>
  <c r="E30"/>
  <c r="D30"/>
  <c r="C30"/>
  <c r="B30"/>
  <c r="E29"/>
  <c r="D29"/>
  <c r="C29"/>
  <c r="B29"/>
  <c r="E25"/>
  <c r="D25"/>
  <c r="I24"/>
  <c r="H24"/>
  <c r="E24"/>
  <c r="D24"/>
  <c r="E22"/>
  <c r="D22"/>
  <c r="E21"/>
  <c r="D21"/>
  <c r="E20"/>
  <c r="D20"/>
  <c r="I19"/>
  <c r="H19"/>
  <c r="I21"/>
  <c r="I18"/>
  <c r="H18"/>
  <c r="I20"/>
  <c r="H21"/>
  <c r="H20"/>
  <c r="I25" l="1"/>
  <c r="E19" i="42"/>
  <c r="B10" i="41"/>
  <c r="D166" i="26"/>
  <c r="B166"/>
  <c r="E59" i="42"/>
  <c r="B543" i="41"/>
  <c r="C166" i="26"/>
  <c r="E166"/>
  <c r="Q10" i="41"/>
  <c r="Q543"/>
  <c r="C183" i="26"/>
  <c r="E183"/>
  <c r="D183"/>
  <c r="B183"/>
  <c r="E17"/>
  <c r="D17"/>
  <c r="I16"/>
  <c r="H16"/>
  <c r="E16"/>
  <c r="D16"/>
  <c r="H17"/>
  <c r="I17"/>
  <c r="E106" l="1"/>
  <c r="C106"/>
  <c r="B106"/>
  <c r="D106"/>
  <c r="C527" i="41"/>
  <c r="C523"/>
  <c r="C515"/>
  <c r="C513"/>
  <c r="C511"/>
  <c r="C509"/>
  <c r="C507"/>
  <c r="C472"/>
  <c r="C463"/>
  <c r="C454"/>
  <c r="C446"/>
  <c r="C382"/>
  <c r="C529"/>
  <c r="C525"/>
  <c r="C502"/>
  <c r="C488"/>
  <c r="C486"/>
  <c r="C482"/>
  <c r="C480"/>
  <c r="C465"/>
  <c r="C456"/>
  <c r="C452"/>
  <c r="C450"/>
  <c r="C448"/>
  <c r="C444"/>
  <c r="C442"/>
  <c r="C440"/>
  <c r="C438"/>
  <c r="C436"/>
  <c r="C434"/>
  <c r="C432"/>
  <c r="C430"/>
  <c r="C426"/>
  <c r="C424"/>
  <c r="C422"/>
  <c r="C416"/>
  <c r="C414"/>
  <c r="C386"/>
  <c r="C384"/>
  <c r="C380"/>
  <c r="C378"/>
  <c r="C369"/>
  <c r="C367"/>
  <c r="C365"/>
  <c r="C363"/>
  <c r="C518"/>
  <c r="C504"/>
  <c r="C500"/>
  <c r="C498"/>
  <c r="C496"/>
  <c r="C494"/>
  <c r="C492"/>
  <c r="C490"/>
  <c r="C484"/>
  <c r="C478"/>
  <c r="C476"/>
  <c r="C474"/>
  <c r="C469"/>
  <c r="C467"/>
  <c r="C460"/>
  <c r="C458"/>
  <c r="C428"/>
  <c r="C420"/>
  <c r="C418"/>
  <c r="C412"/>
  <c r="C410"/>
  <c r="C408"/>
  <c r="C406"/>
  <c r="C400"/>
  <c r="C398"/>
  <c r="C394"/>
  <c r="C392"/>
  <c r="C390"/>
  <c r="C388"/>
  <c r="C371"/>
  <c r="C524"/>
  <c r="C508"/>
  <c r="C503"/>
  <c r="C501"/>
  <c r="C487"/>
  <c r="C485"/>
  <c r="C483"/>
  <c r="C481"/>
  <c r="C479"/>
  <c r="C473"/>
  <c r="C464"/>
  <c r="C451"/>
  <c r="C449"/>
  <c r="C443"/>
  <c r="C441"/>
  <c r="C439"/>
  <c r="C435"/>
  <c r="C433"/>
  <c r="C431"/>
  <c r="C427"/>
  <c r="C425"/>
  <c r="C423"/>
  <c r="C421"/>
  <c r="C417"/>
  <c r="C415"/>
  <c r="C413"/>
  <c r="C385"/>
  <c r="C383"/>
  <c r="C379"/>
  <c r="C368"/>
  <c r="C364"/>
  <c r="C497"/>
  <c r="C493"/>
  <c r="C489"/>
  <c r="C477"/>
  <c r="C468"/>
  <c r="C459"/>
  <c r="C419"/>
  <c r="C411"/>
  <c r="C407"/>
  <c r="C399"/>
  <c r="C395"/>
  <c r="C391"/>
  <c r="C387"/>
  <c r="C370"/>
  <c r="C360"/>
  <c r="C352"/>
  <c r="C519"/>
  <c r="C499"/>
  <c r="C457"/>
  <c r="C376"/>
  <c r="C396"/>
  <c r="C506"/>
  <c r="C455"/>
  <c r="C366"/>
  <c r="C349"/>
  <c r="C521"/>
  <c r="C517"/>
  <c r="C505"/>
  <c r="C403"/>
  <c r="C374"/>
  <c r="C361"/>
  <c r="C346"/>
  <c r="C343"/>
  <c r="C495"/>
  <c r="C475"/>
  <c r="C409"/>
  <c r="C393"/>
  <c r="C389"/>
  <c r="C357"/>
  <c r="C461"/>
  <c r="C372"/>
  <c r="C351"/>
  <c r="C522"/>
  <c r="C358"/>
  <c r="C510"/>
  <c r="C447"/>
  <c r="C355"/>
  <c r="C520"/>
  <c r="C402"/>
  <c r="C373"/>
  <c r="C356"/>
  <c r="C353"/>
  <c r="C350"/>
  <c r="C347"/>
  <c r="C429"/>
  <c r="C401"/>
  <c r="C470"/>
  <c r="C354"/>
  <c r="C404"/>
  <c r="C375"/>
  <c r="C348"/>
  <c r="C526"/>
  <c r="C514"/>
  <c r="C359"/>
  <c r="C342"/>
  <c r="C528"/>
  <c r="C516"/>
  <c r="C512"/>
  <c r="C471"/>
  <c r="C462"/>
  <c r="C453"/>
  <c r="C445"/>
  <c r="C437"/>
  <c r="C381"/>
  <c r="C377"/>
  <c r="C491"/>
  <c r="C466"/>
  <c r="C405"/>
  <c r="C344"/>
  <c r="C397"/>
  <c r="C345"/>
  <c r="C362"/>
  <c r="C332"/>
  <c r="C330"/>
  <c r="C328"/>
  <c r="C324"/>
  <c r="C308"/>
  <c r="C306"/>
  <c r="C284"/>
  <c r="C280"/>
  <c r="C295"/>
  <c r="C293"/>
  <c r="C291"/>
  <c r="C289"/>
  <c r="C287"/>
  <c r="C285"/>
  <c r="C307"/>
  <c r="C281"/>
  <c r="C288"/>
  <c r="C338"/>
  <c r="C336"/>
  <c r="C334"/>
  <c r="C277"/>
  <c r="C317"/>
  <c r="C311"/>
  <c r="C303"/>
  <c r="C301"/>
  <c r="C299"/>
  <c r="C297"/>
  <c r="C279"/>
  <c r="C329"/>
  <c r="C283"/>
  <c r="C337"/>
  <c r="C341"/>
  <c r="C339"/>
  <c r="C340"/>
  <c r="C327"/>
  <c r="C325"/>
  <c r="C321"/>
  <c r="C319"/>
  <c r="C315"/>
  <c r="C313"/>
  <c r="C309"/>
  <c r="C323"/>
  <c r="C305"/>
  <c r="C290"/>
  <c r="C326"/>
  <c r="C322"/>
  <c r="C320"/>
  <c r="C318"/>
  <c r="C316"/>
  <c r="C314"/>
  <c r="C312"/>
  <c r="C310"/>
  <c r="C304"/>
  <c r="C302"/>
  <c r="C300"/>
  <c r="C298"/>
  <c r="C296"/>
  <c r="C292"/>
  <c r="C286"/>
  <c r="C278"/>
  <c r="C282"/>
  <c r="C331"/>
  <c r="C335"/>
  <c r="C333"/>
  <c r="C294"/>
  <c r="C247"/>
  <c r="C265"/>
  <c r="C261"/>
  <c r="C251"/>
  <c r="C244"/>
  <c r="C270"/>
  <c r="C256"/>
  <c r="C249"/>
  <c r="C263"/>
  <c r="C250"/>
  <c r="C276"/>
  <c r="C274"/>
  <c r="C272"/>
  <c r="C260"/>
  <c r="C254"/>
  <c r="C245"/>
  <c r="C275"/>
  <c r="C273"/>
  <c r="C271"/>
  <c r="C267"/>
  <c r="C259"/>
  <c r="C257"/>
  <c r="C255"/>
  <c r="C253"/>
  <c r="C246"/>
  <c r="C269"/>
  <c r="C268"/>
  <c r="C248"/>
  <c r="C266"/>
  <c r="C264"/>
  <c r="C262"/>
  <c r="C258"/>
  <c r="C252"/>
  <c r="C239"/>
  <c r="C237"/>
  <c r="C235"/>
  <c r="C199"/>
  <c r="C197"/>
  <c r="C193"/>
  <c r="C191"/>
  <c r="C189"/>
  <c r="C187"/>
  <c r="C185"/>
  <c r="C183"/>
  <c r="C155"/>
  <c r="C153"/>
  <c r="C151"/>
  <c r="C147"/>
  <c r="C145"/>
  <c r="C143"/>
  <c r="C93"/>
  <c r="C65"/>
  <c r="C63"/>
  <c r="C61"/>
  <c r="C59"/>
  <c r="C51"/>
  <c r="C47"/>
  <c r="C243"/>
  <c r="C232"/>
  <c r="C230"/>
  <c r="C222"/>
  <c r="C178"/>
  <c r="C176"/>
  <c r="C139"/>
  <c r="C137"/>
  <c r="C131"/>
  <c r="C127"/>
  <c r="C125"/>
  <c r="C123"/>
  <c r="C81"/>
  <c r="C241"/>
  <c r="C213"/>
  <c r="C211"/>
  <c r="C209"/>
  <c r="C207"/>
  <c r="C205"/>
  <c r="C203"/>
  <c r="C201"/>
  <c r="C195"/>
  <c r="C141"/>
  <c r="C121"/>
  <c r="C119"/>
  <c r="C117"/>
  <c r="C115"/>
  <c r="C113"/>
  <c r="C111"/>
  <c r="C105"/>
  <c r="C103"/>
  <c r="C101"/>
  <c r="C99"/>
  <c r="C97"/>
  <c r="C95"/>
  <c r="C91"/>
  <c r="C89"/>
  <c r="C87"/>
  <c r="C85"/>
  <c r="C79"/>
  <c r="C77"/>
  <c r="C75"/>
  <c r="C73"/>
  <c r="C71"/>
  <c r="C69"/>
  <c r="C67"/>
  <c r="C45"/>
  <c r="C43"/>
  <c r="C41"/>
  <c r="C174"/>
  <c r="C172"/>
  <c r="C170"/>
  <c r="C168"/>
  <c r="C166"/>
  <c r="C135"/>
  <c r="C133"/>
  <c r="C129"/>
  <c r="C109"/>
  <c r="C107"/>
  <c r="C238"/>
  <c r="C228"/>
  <c r="C226"/>
  <c r="C224"/>
  <c r="C220"/>
  <c r="C218"/>
  <c r="C216"/>
  <c r="C164"/>
  <c r="C162"/>
  <c r="C160"/>
  <c r="C158"/>
  <c r="C83"/>
  <c r="C56"/>
  <c r="C54"/>
  <c r="C50"/>
  <c r="C35"/>
  <c r="C33"/>
  <c r="C31"/>
  <c r="C240"/>
  <c r="C236"/>
  <c r="C234"/>
  <c r="C214"/>
  <c r="C198"/>
  <c r="C192"/>
  <c r="C190"/>
  <c r="C188"/>
  <c r="C186"/>
  <c r="C184"/>
  <c r="C182"/>
  <c r="C180"/>
  <c r="C156"/>
  <c r="C154"/>
  <c r="C152"/>
  <c r="C150"/>
  <c r="C148"/>
  <c r="C146"/>
  <c r="C144"/>
  <c r="C142"/>
  <c r="C242"/>
  <c r="C210"/>
  <c r="C208"/>
  <c r="C206"/>
  <c r="C204"/>
  <c r="C202"/>
  <c r="C200"/>
  <c r="C196"/>
  <c r="C194"/>
  <c r="C140"/>
  <c r="C120"/>
  <c r="C118"/>
  <c r="C114"/>
  <c r="C112"/>
  <c r="C110"/>
  <c r="C104"/>
  <c r="C102"/>
  <c r="C100"/>
  <c r="C98"/>
  <c r="C96"/>
  <c r="C94"/>
  <c r="C92"/>
  <c r="C90"/>
  <c r="C88"/>
  <c r="C86"/>
  <c r="C78"/>
  <c r="C76"/>
  <c r="C74"/>
  <c r="C72"/>
  <c r="C70"/>
  <c r="C68"/>
  <c r="C44"/>
  <c r="C42"/>
  <c r="C231"/>
  <c r="C229"/>
  <c r="C221"/>
  <c r="C212"/>
  <c r="C179"/>
  <c r="C177"/>
  <c r="C175"/>
  <c r="C173"/>
  <c r="C171"/>
  <c r="C169"/>
  <c r="C167"/>
  <c r="C165"/>
  <c r="C138"/>
  <c r="C136"/>
  <c r="C134"/>
  <c r="C130"/>
  <c r="C128"/>
  <c r="C126"/>
  <c r="C124"/>
  <c r="C122"/>
  <c r="C116"/>
  <c r="C223"/>
  <c r="C159"/>
  <c r="C132"/>
  <c r="C82"/>
  <c r="C52"/>
  <c r="C37"/>
  <c r="C219"/>
  <c r="C40"/>
  <c r="C62"/>
  <c r="C163"/>
  <c r="C64"/>
  <c r="C55"/>
  <c r="C38"/>
  <c r="C181"/>
  <c r="C149"/>
  <c r="C84"/>
  <c r="C53"/>
  <c r="C46"/>
  <c r="C225"/>
  <c r="C161"/>
  <c r="C58"/>
  <c r="C49"/>
  <c r="C36"/>
  <c r="C32"/>
  <c r="C215"/>
  <c r="C106"/>
  <c r="C60"/>
  <c r="C39"/>
  <c r="C227"/>
  <c r="C233"/>
  <c r="C217"/>
  <c r="C80"/>
  <c r="C66"/>
  <c r="C57"/>
  <c r="C34"/>
  <c r="C30"/>
  <c r="C157"/>
  <c r="C108"/>
  <c r="C20"/>
  <c r="C18"/>
  <c r="C29"/>
  <c r="C27"/>
  <c r="C23"/>
  <c r="C21"/>
  <c r="C28"/>
  <c r="C26"/>
  <c r="C24"/>
  <c r="C22"/>
  <c r="C19"/>
  <c r="C25"/>
  <c r="C1061"/>
  <c r="C1060"/>
  <c r="C1062"/>
  <c r="C1059"/>
  <c r="C1057"/>
  <c r="C1055"/>
  <c r="C1053"/>
  <c r="C1051"/>
  <c r="C1049"/>
  <c r="C1047"/>
  <c r="C1045"/>
  <c r="C1043"/>
  <c r="C1052"/>
  <c r="C1050"/>
  <c r="C1048"/>
  <c r="C1046"/>
  <c r="C1044"/>
  <c r="C1041"/>
  <c r="C1039"/>
  <c r="C1037"/>
  <c r="C1035"/>
  <c r="C1058"/>
  <c r="C1056"/>
  <c r="C1054"/>
  <c r="C1042"/>
  <c r="C1040"/>
  <c r="C1038"/>
  <c r="C1036"/>
  <c r="C1034"/>
  <c r="C1019"/>
  <c r="C1017"/>
  <c r="C1015"/>
  <c r="C1013"/>
  <c r="C962"/>
  <c r="C960"/>
  <c r="C956"/>
  <c r="C954"/>
  <c r="C952"/>
  <c r="C950"/>
  <c r="C948"/>
  <c r="C916"/>
  <c r="C914"/>
  <c r="C912"/>
  <c r="C910"/>
  <c r="C1011"/>
  <c r="C1009"/>
  <c r="C1007"/>
  <c r="C1005"/>
  <c r="C1003"/>
  <c r="C1001"/>
  <c r="C999"/>
  <c r="C997"/>
  <c r="C908"/>
  <c r="C906"/>
  <c r="C904"/>
  <c r="C902"/>
  <c r="C1032"/>
  <c r="C1030"/>
  <c r="C995"/>
  <c r="C993"/>
  <c r="C991"/>
  <c r="C989"/>
  <c r="C981"/>
  <c r="C900"/>
  <c r="C898"/>
  <c r="C896"/>
  <c r="C894"/>
  <c r="C892"/>
  <c r="C890"/>
  <c r="C888"/>
  <c r="C886"/>
  <c r="C884"/>
  <c r="C880"/>
  <c r="C878"/>
  <c r="C876"/>
  <c r="C874"/>
  <c r="C868"/>
  <c r="C1012"/>
  <c r="C1010"/>
  <c r="C1008"/>
  <c r="C1006"/>
  <c r="C1004"/>
  <c r="C1002"/>
  <c r="C1000"/>
  <c r="C998"/>
  <c r="C907"/>
  <c r="C905"/>
  <c r="C903"/>
  <c r="C901"/>
  <c r="C1026"/>
  <c r="C1022"/>
  <c r="C987"/>
  <c r="C983"/>
  <c r="C979"/>
  <c r="C975"/>
  <c r="C971"/>
  <c r="C967"/>
  <c r="C963"/>
  <c r="C943"/>
  <c r="C939"/>
  <c r="C935"/>
  <c r="C931"/>
  <c r="C927"/>
  <c r="C923"/>
  <c r="C919"/>
  <c r="C872"/>
  <c r="C869"/>
  <c r="C865"/>
  <c r="C862"/>
  <c r="C833"/>
  <c r="C831"/>
  <c r="C829"/>
  <c r="C804"/>
  <c r="C802"/>
  <c r="C800"/>
  <c r="C798"/>
  <c r="C1018"/>
  <c r="C1014"/>
  <c r="C959"/>
  <c r="C955"/>
  <c r="C951"/>
  <c r="C947"/>
  <c r="C915"/>
  <c r="C911"/>
  <c r="C879"/>
  <c r="C860"/>
  <c r="C827"/>
  <c r="C825"/>
  <c r="C796"/>
  <c r="C794"/>
  <c r="C792"/>
  <c r="C1033"/>
  <c r="C1029"/>
  <c r="C994"/>
  <c r="C990"/>
  <c r="C899"/>
  <c r="C895"/>
  <c r="C891"/>
  <c r="C887"/>
  <c r="C866"/>
  <c r="C858"/>
  <c r="C848"/>
  <c r="C846"/>
  <c r="C844"/>
  <c r="C842"/>
  <c r="C840"/>
  <c r="C838"/>
  <c r="C823"/>
  <c r="C821"/>
  <c r="C1020"/>
  <c r="C1016"/>
  <c r="C961"/>
  <c r="C953"/>
  <c r="C949"/>
  <c r="C913"/>
  <c r="C909"/>
  <c r="C875"/>
  <c r="C871"/>
  <c r="C864"/>
  <c r="C859"/>
  <c r="C828"/>
  <c r="C826"/>
  <c r="C795"/>
  <c r="C793"/>
  <c r="C1031"/>
  <c r="C1027"/>
  <c r="C984"/>
  <c r="C976"/>
  <c r="C968"/>
  <c r="C944"/>
  <c r="C936"/>
  <c r="C928"/>
  <c r="C920"/>
  <c r="C855"/>
  <c r="C851"/>
  <c r="C835"/>
  <c r="C820"/>
  <c r="C816"/>
  <c r="C812"/>
  <c r="C808"/>
  <c r="C811"/>
  <c r="C1025"/>
  <c r="C996"/>
  <c r="C845"/>
  <c r="C877"/>
  <c r="C810"/>
  <c r="C806"/>
  <c r="C1024"/>
  <c r="C982"/>
  <c r="C974"/>
  <c r="C966"/>
  <c r="C958"/>
  <c r="C942"/>
  <c r="C934"/>
  <c r="C926"/>
  <c r="C918"/>
  <c r="C873"/>
  <c r="C870"/>
  <c r="C854"/>
  <c r="C850"/>
  <c r="C819"/>
  <c r="C815"/>
  <c r="C807"/>
  <c r="C837"/>
  <c r="C940"/>
  <c r="C932"/>
  <c r="C924"/>
  <c r="C857"/>
  <c r="C853"/>
  <c r="C849"/>
  <c r="C818"/>
  <c r="C814"/>
  <c r="C1028"/>
  <c r="C1021"/>
  <c r="C985"/>
  <c r="C977"/>
  <c r="C969"/>
  <c r="C945"/>
  <c r="C937"/>
  <c r="C929"/>
  <c r="C921"/>
  <c r="C882"/>
  <c r="C867"/>
  <c r="C861"/>
  <c r="C834"/>
  <c r="C830"/>
  <c r="C803"/>
  <c r="C799"/>
  <c r="C897"/>
  <c r="C889"/>
  <c r="C841"/>
  <c r="C822"/>
  <c r="C988"/>
  <c r="C980"/>
  <c r="C972"/>
  <c r="C964"/>
  <c r="C824"/>
  <c r="C986"/>
  <c r="C978"/>
  <c r="C970"/>
  <c r="C946"/>
  <c r="C938"/>
  <c r="C930"/>
  <c r="C922"/>
  <c r="C881"/>
  <c r="C863"/>
  <c r="C856"/>
  <c r="C852"/>
  <c r="C836"/>
  <c r="C817"/>
  <c r="C813"/>
  <c r="C809"/>
  <c r="C805"/>
  <c r="C973"/>
  <c r="C965"/>
  <c r="C957"/>
  <c r="C941"/>
  <c r="C933"/>
  <c r="C925"/>
  <c r="C917"/>
  <c r="C832"/>
  <c r="C801"/>
  <c r="C797"/>
  <c r="C1023"/>
  <c r="C992"/>
  <c r="C893"/>
  <c r="C885"/>
  <c r="C883"/>
  <c r="C847"/>
  <c r="C843"/>
  <c r="C839"/>
  <c r="C785"/>
  <c r="C783"/>
  <c r="C781"/>
  <c r="C775"/>
  <c r="C765"/>
  <c r="C757"/>
  <c r="C753"/>
  <c r="C749"/>
  <c r="C747"/>
  <c r="C745"/>
  <c r="C744"/>
  <c r="C779"/>
  <c r="C777"/>
  <c r="C773"/>
  <c r="C771"/>
  <c r="C769"/>
  <c r="C767"/>
  <c r="C763"/>
  <c r="C761"/>
  <c r="C759"/>
  <c r="C755"/>
  <c r="C751"/>
  <c r="C790"/>
  <c r="C788"/>
  <c r="C786"/>
  <c r="C784"/>
  <c r="C782"/>
  <c r="C766"/>
  <c r="C748"/>
  <c r="C791"/>
  <c r="C780"/>
  <c r="C778"/>
  <c r="C776"/>
  <c r="C774"/>
  <c r="C772"/>
  <c r="C770"/>
  <c r="C768"/>
  <c r="C764"/>
  <c r="C762"/>
  <c r="C760"/>
  <c r="C758"/>
  <c r="C756"/>
  <c r="C754"/>
  <c r="C752"/>
  <c r="C750"/>
  <c r="C746"/>
  <c r="C789"/>
  <c r="C787"/>
  <c r="C713"/>
  <c r="C711"/>
  <c r="C709"/>
  <c r="C705"/>
  <c r="C703"/>
  <c r="C701"/>
  <c r="C742"/>
  <c r="C716"/>
  <c r="C710"/>
  <c r="C736"/>
  <c r="C734"/>
  <c r="C707"/>
  <c r="C699"/>
  <c r="C697"/>
  <c r="C730"/>
  <c r="C728"/>
  <c r="C726"/>
  <c r="C722"/>
  <c r="C712"/>
  <c r="C702"/>
  <c r="C737"/>
  <c r="C735"/>
  <c r="C733"/>
  <c r="C708"/>
  <c r="C700"/>
  <c r="C698"/>
  <c r="C731"/>
  <c r="C729"/>
  <c r="C727"/>
  <c r="C725"/>
  <c r="C718"/>
  <c r="C704"/>
  <c r="C743"/>
  <c r="C741"/>
  <c r="C739"/>
  <c r="C723"/>
  <c r="C721"/>
  <c r="C719"/>
  <c r="C717"/>
  <c r="C715"/>
  <c r="C738"/>
  <c r="C732"/>
  <c r="C740"/>
  <c r="C724"/>
  <c r="C720"/>
  <c r="C714"/>
  <c r="C706"/>
  <c r="C668"/>
  <c r="C691"/>
  <c r="C654"/>
  <c r="C639"/>
  <c r="C635"/>
  <c r="C633"/>
  <c r="C631"/>
  <c r="C629"/>
  <c r="C665"/>
  <c r="C663"/>
  <c r="C661"/>
  <c r="C638"/>
  <c r="C696"/>
  <c r="C687"/>
  <c r="C685"/>
  <c r="C666"/>
  <c r="C664"/>
  <c r="C662"/>
  <c r="C641"/>
  <c r="C637"/>
  <c r="C660"/>
  <c r="C652"/>
  <c r="C650"/>
  <c r="C648"/>
  <c r="C646"/>
  <c r="C642"/>
  <c r="C681"/>
  <c r="C679"/>
  <c r="C677"/>
  <c r="C675"/>
  <c r="C673"/>
  <c r="C671"/>
  <c r="C669"/>
  <c r="C644"/>
  <c r="C627"/>
  <c r="C625"/>
  <c r="C623"/>
  <c r="C621"/>
  <c r="C619"/>
  <c r="C688"/>
  <c r="C659"/>
  <c r="C680"/>
  <c r="C678"/>
  <c r="C676"/>
  <c r="C674"/>
  <c r="C672"/>
  <c r="C670"/>
  <c r="C643"/>
  <c r="C628"/>
  <c r="C626"/>
  <c r="C624"/>
  <c r="C622"/>
  <c r="C620"/>
  <c r="C618"/>
  <c r="C695"/>
  <c r="C693"/>
  <c r="C689"/>
  <c r="C683"/>
  <c r="C658"/>
  <c r="C656"/>
  <c r="C686"/>
  <c r="C667"/>
  <c r="C640"/>
  <c r="C694"/>
  <c r="C692"/>
  <c r="C690"/>
  <c r="C684"/>
  <c r="C682"/>
  <c r="C632"/>
  <c r="C655"/>
  <c r="C651"/>
  <c r="C649"/>
  <c r="C645"/>
  <c r="C634"/>
  <c r="C636"/>
  <c r="C657"/>
  <c r="C630"/>
  <c r="C647"/>
  <c r="C653"/>
  <c r="C603"/>
  <c r="C572"/>
  <c r="C570"/>
  <c r="C568"/>
  <c r="C566"/>
  <c r="C571"/>
  <c r="C569"/>
  <c r="C567"/>
  <c r="C563"/>
  <c r="C557"/>
  <c r="C596"/>
  <c r="C617"/>
  <c r="C607"/>
  <c r="C605"/>
  <c r="C594"/>
  <c r="C588"/>
  <c r="C586"/>
  <c r="C584"/>
  <c r="C582"/>
  <c r="C578"/>
  <c r="C601"/>
  <c r="C599"/>
  <c r="C597"/>
  <c r="C564"/>
  <c r="C562"/>
  <c r="C560"/>
  <c r="C558"/>
  <c r="C556"/>
  <c r="C554"/>
  <c r="C552"/>
  <c r="C565"/>
  <c r="C600"/>
  <c r="C561"/>
  <c r="C559"/>
  <c r="C553"/>
  <c r="C615"/>
  <c r="C613"/>
  <c r="C611"/>
  <c r="C602"/>
  <c r="C551"/>
  <c r="C609"/>
  <c r="C592"/>
  <c r="C590"/>
  <c r="C580"/>
  <c r="C576"/>
  <c r="C574"/>
  <c r="C616"/>
  <c r="C614"/>
  <c r="C612"/>
  <c r="C610"/>
  <c r="C608"/>
  <c r="C606"/>
  <c r="C593"/>
  <c r="C591"/>
  <c r="C589"/>
  <c r="C587"/>
  <c r="C585"/>
  <c r="C583"/>
  <c r="C581"/>
  <c r="C579"/>
  <c r="C577"/>
  <c r="C575"/>
  <c r="C573"/>
  <c r="C604"/>
  <c r="C598"/>
  <c r="C555"/>
  <c r="F13" i="26"/>
  <c r="E13"/>
  <c r="L12"/>
  <c r="L13" s="1"/>
  <c r="F12"/>
  <c r="E12"/>
  <c r="G9"/>
  <c r="F9"/>
  <c r="E9"/>
  <c r="D9"/>
  <c r="G8"/>
  <c r="F8"/>
  <c r="E8"/>
  <c r="D8"/>
  <c r="G7"/>
  <c r="F7"/>
  <c r="E7"/>
  <c r="D7"/>
  <c r="G6"/>
  <c r="F6"/>
  <c r="E6"/>
  <c r="D6"/>
  <c r="P5"/>
  <c r="O5"/>
  <c r="G5"/>
  <c r="F5"/>
  <c r="E5"/>
  <c r="D5"/>
  <c r="P4"/>
  <c r="O4"/>
  <c r="G4"/>
  <c r="F4"/>
  <c r="E4"/>
  <c r="D4"/>
  <c r="P3"/>
  <c r="O3"/>
  <c r="G3"/>
  <c r="F3"/>
  <c r="E3"/>
  <c r="D3"/>
  <c r="F1"/>
  <c r="D1"/>
  <c r="B22" s="1"/>
  <c r="B1"/>
  <c r="C19" s="1"/>
  <c r="A1"/>
  <c r="H22" l="1"/>
  <c r="C13"/>
  <c r="B13"/>
  <c r="B16"/>
  <c r="H13"/>
  <c r="H12"/>
  <c r="H25"/>
  <c r="C12"/>
  <c r="C3"/>
  <c r="C6"/>
  <c r="C5"/>
  <c r="C8"/>
  <c r="C9"/>
  <c r="B12"/>
  <c r="C4"/>
  <c r="D12"/>
  <c r="I23"/>
  <c r="H23"/>
  <c r="L19"/>
  <c r="L21"/>
  <c r="L22"/>
  <c r="L18"/>
  <c r="L20"/>
  <c r="M17"/>
  <c r="M15"/>
  <c r="L16"/>
  <c r="C23"/>
  <c r="B23"/>
  <c r="B207"/>
  <c r="B46"/>
  <c r="D46"/>
  <c r="D18"/>
  <c r="B26"/>
  <c r="B19"/>
  <c r="I22"/>
  <c r="C7"/>
  <c r="D13"/>
  <c r="L14"/>
  <c r="E813" i="41"/>
  <c r="D813" s="1"/>
  <c r="D816"/>
  <c r="D838"/>
  <c r="D989"/>
  <c r="D1046"/>
  <c r="E58"/>
  <c r="D58" s="1"/>
  <c r="E186"/>
  <c r="D186" s="1"/>
  <c r="D131"/>
  <c r="D612"/>
  <c r="D613"/>
  <c r="D634"/>
  <c r="D753"/>
  <c r="E566"/>
  <c r="D566" s="1"/>
  <c r="D774"/>
  <c r="E979"/>
  <c r="D979" s="1"/>
  <c r="D577"/>
  <c r="D593"/>
  <c r="D607"/>
  <c r="D646"/>
  <c r="D641"/>
  <c r="E697"/>
  <c r="D697" s="1"/>
  <c r="D716"/>
  <c r="D748"/>
  <c r="D930"/>
  <c r="E969"/>
  <c r="D969" s="1"/>
  <c r="E944"/>
  <c r="D944" s="1"/>
  <c r="D108"/>
  <c r="D161"/>
  <c r="E40"/>
  <c r="D40" s="1"/>
  <c r="D94"/>
  <c r="E41"/>
  <c r="D41" s="1"/>
  <c r="D950"/>
  <c r="D115"/>
  <c r="E115"/>
  <c r="D925"/>
  <c r="E1060"/>
  <c r="D1060" s="1"/>
  <c r="D64"/>
  <c r="D82"/>
  <c r="E212"/>
  <c r="D212" s="1"/>
  <c r="E140"/>
  <c r="D140" s="1"/>
  <c r="E146"/>
  <c r="D146" s="1"/>
  <c r="E220"/>
  <c r="D220" s="1"/>
  <c r="E592"/>
  <c r="D592" s="1"/>
  <c r="E695"/>
  <c r="D695" s="1"/>
  <c r="D639"/>
  <c r="D1027"/>
  <c r="E913"/>
  <c r="D913" s="1"/>
  <c r="E869"/>
  <c r="D869" s="1"/>
  <c r="E1007"/>
  <c r="D1007" s="1"/>
  <c r="E24"/>
  <c r="D24" s="1"/>
  <c r="E165"/>
  <c r="D165" s="1"/>
  <c r="E35"/>
  <c r="D35" s="1"/>
  <c r="D109"/>
  <c r="D69"/>
  <c r="D209"/>
  <c r="D553"/>
  <c r="E752"/>
  <c r="D752" s="1"/>
  <c r="D56"/>
  <c r="D554"/>
  <c r="E672"/>
  <c r="D672" s="1"/>
  <c r="D769"/>
  <c r="E204"/>
  <c r="D204" s="1"/>
  <c r="D555"/>
  <c r="D578"/>
  <c r="E673"/>
  <c r="D673" s="1"/>
  <c r="E857"/>
  <c r="D857" s="1"/>
  <c r="E1029"/>
  <c r="D1029" s="1"/>
  <c r="E998"/>
  <c r="D998" s="1"/>
  <c r="E888"/>
  <c r="D888" s="1"/>
  <c r="D1055"/>
  <c r="E101"/>
  <c r="D101" s="1"/>
  <c r="E603"/>
  <c r="D603" s="1"/>
  <c r="E966"/>
  <c r="D966" s="1"/>
  <c r="E130"/>
  <c r="D130" s="1"/>
  <c r="E688"/>
  <c r="D688" s="1"/>
  <c r="D781"/>
  <c r="D882"/>
  <c r="D868"/>
  <c r="E78"/>
  <c r="D78" s="1"/>
  <c r="D700"/>
  <c r="E827"/>
  <c r="D827" s="1"/>
  <c r="E906"/>
  <c r="D906" s="1"/>
  <c r="E315"/>
  <c r="D315" s="1"/>
  <c r="D372"/>
  <c r="E372"/>
  <c r="E343"/>
  <c r="D343" s="1"/>
  <c r="D387"/>
  <c r="E497"/>
  <c r="D497" s="1"/>
  <c r="D371"/>
  <c r="E371"/>
  <c r="D424"/>
  <c r="E482"/>
  <c r="D482" s="1"/>
  <c r="D382"/>
  <c r="E382"/>
  <c r="E523"/>
  <c r="D523" s="1"/>
  <c r="E575"/>
  <c r="D575" s="1"/>
  <c r="E659"/>
  <c r="D659" s="1"/>
  <c r="E671"/>
  <c r="D671" s="1"/>
  <c r="E832"/>
  <c r="D832" s="1"/>
  <c r="D917"/>
  <c r="E809"/>
  <c r="D809" s="1"/>
  <c r="E856"/>
  <c r="D856" s="1"/>
  <c r="D922"/>
  <c r="D986"/>
  <c r="D1028"/>
  <c r="D853"/>
  <c r="D940"/>
  <c r="D958"/>
  <c r="D1024"/>
  <c r="E812"/>
  <c r="D812" s="1"/>
  <c r="D936"/>
  <c r="E859"/>
  <c r="D859" s="1"/>
  <c r="D875"/>
  <c r="E909"/>
  <c r="D909" s="1"/>
  <c r="E825"/>
  <c r="D825" s="1"/>
  <c r="D943"/>
  <c r="E975"/>
  <c r="D975" s="1"/>
  <c r="D1012"/>
  <c r="D886"/>
  <c r="D904"/>
  <c r="D1005"/>
  <c r="E948"/>
  <c r="D948" s="1"/>
  <c r="D1044"/>
  <c r="E1053"/>
  <c r="D1053" s="1"/>
  <c r="D22"/>
  <c r="E34"/>
  <c r="D34" s="1"/>
  <c r="D149"/>
  <c r="E149"/>
  <c r="E219"/>
  <c r="D219" s="1"/>
  <c r="D159"/>
  <c r="E128"/>
  <c r="D128" s="1"/>
  <c r="E179"/>
  <c r="D179"/>
  <c r="E76"/>
  <c r="D76" s="1"/>
  <c r="E92"/>
  <c r="D92" s="1"/>
  <c r="D202"/>
  <c r="D242"/>
  <c r="E242"/>
  <c r="E144"/>
  <c r="D144" s="1"/>
  <c r="D184"/>
  <c r="D214"/>
  <c r="E33"/>
  <c r="D33" s="1"/>
  <c r="D54"/>
  <c r="E218"/>
  <c r="D218" s="1"/>
  <c r="D238"/>
  <c r="E238"/>
  <c r="D107"/>
  <c r="D174"/>
  <c r="E67"/>
  <c r="D67" s="1"/>
  <c r="E99"/>
  <c r="D99" s="1"/>
  <c r="D113"/>
  <c r="D207"/>
  <c r="E127"/>
  <c r="D127" s="1"/>
  <c r="E65"/>
  <c r="D65" s="1"/>
  <c r="D147"/>
  <c r="D239"/>
  <c r="D246"/>
  <c r="E246"/>
  <c r="E272"/>
  <c r="D272" s="1"/>
  <c r="D263"/>
  <c r="E244"/>
  <c r="D244" s="1"/>
  <c r="E282"/>
  <c r="D282" s="1"/>
  <c r="D298"/>
  <c r="D314"/>
  <c r="D313"/>
  <c r="D327"/>
  <c r="E327"/>
  <c r="D279"/>
  <c r="E279"/>
  <c r="D277"/>
  <c r="E277"/>
  <c r="E334"/>
  <c r="D334" s="1"/>
  <c r="D288"/>
  <c r="D324"/>
  <c r="D405"/>
  <c r="D462"/>
  <c r="E347"/>
  <c r="D347" s="1"/>
  <c r="D402"/>
  <c r="D520"/>
  <c r="E351"/>
  <c r="D351" s="1"/>
  <c r="D366"/>
  <c r="E366"/>
  <c r="E457"/>
  <c r="D457" s="1"/>
  <c r="E411"/>
  <c r="D411" s="1"/>
  <c r="E493"/>
  <c r="D493" s="1"/>
  <c r="E368"/>
  <c r="D368" s="1"/>
  <c r="D417"/>
  <c r="E417"/>
  <c r="E431"/>
  <c r="D431" s="1"/>
  <c r="D503"/>
  <c r="E503"/>
  <c r="D394"/>
  <c r="D410"/>
  <c r="D460"/>
  <c r="E460"/>
  <c r="D478"/>
  <c r="D504"/>
  <c r="D518"/>
  <c r="D369"/>
  <c r="E369"/>
  <c r="D422"/>
  <c r="E436"/>
  <c r="D436" s="1"/>
  <c r="D456"/>
  <c r="E456"/>
  <c r="E480"/>
  <c r="D480" s="1"/>
  <c r="E515"/>
  <c r="D515" s="1"/>
  <c r="E598"/>
  <c r="D598" s="1"/>
  <c r="E573"/>
  <c r="D573" s="1"/>
  <c r="D589"/>
  <c r="D608"/>
  <c r="E580"/>
  <c r="D580" s="1"/>
  <c r="D563"/>
  <c r="D569"/>
  <c r="D636"/>
  <c r="E651"/>
  <c r="D651" s="1"/>
  <c r="E692"/>
  <c r="D692" s="1"/>
  <c r="E689"/>
  <c r="D689" s="1"/>
  <c r="D628"/>
  <c r="D627"/>
  <c r="D669"/>
  <c r="E687"/>
  <c r="D687" s="1"/>
  <c r="D696"/>
  <c r="D663"/>
  <c r="E633"/>
  <c r="D633" s="1"/>
  <c r="D706"/>
  <c r="E738"/>
  <c r="D738" s="1"/>
  <c r="D737"/>
  <c r="D730"/>
  <c r="E703"/>
  <c r="D703" s="1"/>
  <c r="D746"/>
  <c r="E770"/>
  <c r="D770" s="1"/>
  <c r="D786"/>
  <c r="E759"/>
  <c r="D759" s="1"/>
  <c r="D763"/>
  <c r="D747"/>
  <c r="D843"/>
  <c r="E965"/>
  <c r="D965" s="1"/>
  <c r="E805"/>
  <c r="D805" s="1"/>
  <c r="D852"/>
  <c r="E978"/>
  <c r="D978" s="1"/>
  <c r="E824"/>
  <c r="D824" s="1"/>
  <c r="E980"/>
  <c r="D980" s="1"/>
  <c r="E841"/>
  <c r="D841" s="1"/>
  <c r="D830"/>
  <c r="D945"/>
  <c r="D1021"/>
  <c r="D849"/>
  <c r="D932"/>
  <c r="D819"/>
  <c r="D877"/>
  <c r="E1025"/>
  <c r="D1025" s="1"/>
  <c r="D808"/>
  <c r="D855"/>
  <c r="E928"/>
  <c r="D928" s="1"/>
  <c r="D795"/>
  <c r="D866"/>
  <c r="D959"/>
  <c r="E1018"/>
  <c r="D1018" s="1"/>
  <c r="D865"/>
  <c r="D939"/>
  <c r="D971"/>
  <c r="D907"/>
  <c r="D1010"/>
  <c r="E884"/>
  <c r="D884" s="1"/>
  <c r="E900"/>
  <c r="D900" s="1"/>
  <c r="E902"/>
  <c r="D902" s="1"/>
  <c r="E1003"/>
  <c r="D1003" s="1"/>
  <c r="E916"/>
  <c r="D916" s="1"/>
  <c r="D1042"/>
  <c r="D1051"/>
  <c r="E1062"/>
  <c r="D1062" s="1"/>
  <c r="D25"/>
  <c r="D30"/>
  <c r="E66"/>
  <c r="D66" s="1"/>
  <c r="E227"/>
  <c r="D227" s="1"/>
  <c r="D49"/>
  <c r="D55"/>
  <c r="E126"/>
  <c r="D126" s="1"/>
  <c r="E177"/>
  <c r="D177" s="1"/>
  <c r="D44"/>
  <c r="E74"/>
  <c r="D74" s="1"/>
  <c r="E90"/>
  <c r="D90" s="1"/>
  <c r="E120"/>
  <c r="D120" s="1"/>
  <c r="D200"/>
  <c r="E142"/>
  <c r="D142" s="1"/>
  <c r="E182"/>
  <c r="D182" s="1"/>
  <c r="D198"/>
  <c r="E31"/>
  <c r="D31" s="1"/>
  <c r="D164"/>
  <c r="E216"/>
  <c r="D216" s="1"/>
  <c r="D172"/>
  <c r="D97"/>
  <c r="D111"/>
  <c r="D141"/>
  <c r="D205"/>
  <c r="E205"/>
  <c r="E125"/>
  <c r="D125" s="1"/>
  <c r="D63"/>
  <c r="E145"/>
  <c r="D145" s="1"/>
  <c r="D193"/>
  <c r="E193"/>
  <c r="D237"/>
  <c r="E266"/>
  <c r="D266"/>
  <c r="D269"/>
  <c r="D267"/>
  <c r="D260"/>
  <c r="E249"/>
  <c r="D249" s="1"/>
  <c r="E270"/>
  <c r="D270" s="1"/>
  <c r="E265"/>
  <c r="D265" s="1"/>
  <c r="E296"/>
  <c r="D296" s="1"/>
  <c r="E312"/>
  <c r="D312" s="1"/>
  <c r="D309"/>
  <c r="D325"/>
  <c r="E341"/>
  <c r="D341" s="1"/>
  <c r="E329"/>
  <c r="D329" s="1"/>
  <c r="E317"/>
  <c r="D317" s="1"/>
  <c r="D285"/>
  <c r="D295"/>
  <c r="E295"/>
  <c r="D308"/>
  <c r="D344"/>
  <c r="D528"/>
  <c r="E375"/>
  <c r="D375" s="1"/>
  <c r="D354"/>
  <c r="D429"/>
  <c r="D353"/>
  <c r="E495"/>
  <c r="D495" s="1"/>
  <c r="E403"/>
  <c r="D403" s="1"/>
  <c r="D376"/>
  <c r="E376"/>
  <c r="D407"/>
  <c r="E489"/>
  <c r="D489" s="1"/>
  <c r="D364"/>
  <c r="D385"/>
  <c r="E415"/>
  <c r="D415" s="1"/>
  <c r="E451"/>
  <c r="D451" s="1"/>
  <c r="D487"/>
  <c r="E501"/>
  <c r="D501" s="1"/>
  <c r="D392"/>
  <c r="E408"/>
  <c r="D408" s="1"/>
  <c r="D458"/>
  <c r="E476"/>
  <c r="D476" s="1"/>
  <c r="E500"/>
  <c r="D500" s="1"/>
  <c r="E367"/>
  <c r="D367" s="1"/>
  <c r="D434"/>
  <c r="E452"/>
  <c r="D452" s="1"/>
  <c r="D513"/>
  <c r="E274"/>
  <c r="D274" s="1"/>
  <c r="E333"/>
  <c r="D333" s="1"/>
  <c r="E280"/>
  <c r="D280" s="1"/>
  <c r="E342"/>
  <c r="D342" s="1"/>
  <c r="E404"/>
  <c r="D404" s="1"/>
  <c r="D356"/>
  <c r="E510"/>
  <c r="D510" s="1"/>
  <c r="E433"/>
  <c r="D433" s="1"/>
  <c r="D591"/>
  <c r="E590"/>
  <c r="D590" s="1"/>
  <c r="E552"/>
  <c r="D552" s="1"/>
  <c r="D605"/>
  <c r="D571"/>
  <c r="E698"/>
  <c r="D698" s="1"/>
  <c r="D722"/>
  <c r="E750"/>
  <c r="D750" s="1"/>
  <c r="E791"/>
  <c r="D791" s="1"/>
  <c r="D988"/>
  <c r="D690"/>
  <c r="D631"/>
  <c r="D761"/>
  <c r="E839"/>
  <c r="D839" s="1"/>
  <c r="D793"/>
  <c r="D899"/>
  <c r="E804"/>
  <c r="D804" s="1"/>
  <c r="D935"/>
  <c r="E905"/>
  <c r="D905" s="1"/>
  <c r="D1008"/>
  <c r="E898"/>
  <c r="D898" s="1"/>
  <c r="D1032"/>
  <c r="E1001"/>
  <c r="D1001" s="1"/>
  <c r="E914"/>
  <c r="D914" s="1"/>
  <c r="D962"/>
  <c r="D1019"/>
  <c r="D1040"/>
  <c r="D1041"/>
  <c r="D1049"/>
  <c r="D27"/>
  <c r="D60"/>
  <c r="D38"/>
  <c r="E132"/>
  <c r="D132" s="1"/>
  <c r="D124"/>
  <c r="D175"/>
  <c r="D221"/>
  <c r="E42"/>
  <c r="D42" s="1"/>
  <c r="D72"/>
  <c r="D88"/>
  <c r="D104"/>
  <c r="E118"/>
  <c r="D118" s="1"/>
  <c r="D196"/>
  <c r="E156"/>
  <c r="D156" s="1"/>
  <c r="D180"/>
  <c r="D50"/>
  <c r="D162"/>
  <c r="E170"/>
  <c r="D170" s="1"/>
  <c r="D79"/>
  <c r="E79"/>
  <c r="D95"/>
  <c r="E203"/>
  <c r="D203" s="1"/>
  <c r="E241"/>
  <c r="D241" s="1"/>
  <c r="D123"/>
  <c r="E243"/>
  <c r="D243" s="1"/>
  <c r="E61"/>
  <c r="D61" s="1"/>
  <c r="E93"/>
  <c r="D93"/>
  <c r="E143"/>
  <c r="D143" s="1"/>
  <c r="E191"/>
  <c r="D191" s="1"/>
  <c r="D235"/>
  <c r="D264"/>
  <c r="D259"/>
  <c r="E254"/>
  <c r="D254" s="1"/>
  <c r="E256"/>
  <c r="D256" s="1"/>
  <c r="D261"/>
  <c r="E294"/>
  <c r="D294" s="1"/>
  <c r="D292"/>
  <c r="D310"/>
  <c r="D326"/>
  <c r="D290"/>
  <c r="E340"/>
  <c r="D340" s="1"/>
  <c r="D339"/>
  <c r="E311"/>
  <c r="D311" s="1"/>
  <c r="D293"/>
  <c r="D306"/>
  <c r="D397"/>
  <c r="E453"/>
  <c r="D453" s="1"/>
  <c r="D348"/>
  <c r="E401"/>
  <c r="D401" s="1"/>
  <c r="D357"/>
  <c r="D475"/>
  <c r="D505"/>
  <c r="D506"/>
  <c r="D370"/>
  <c r="E477"/>
  <c r="D477" s="1"/>
  <c r="E383"/>
  <c r="D383" s="1"/>
  <c r="E413"/>
  <c r="D413" s="1"/>
  <c r="D427"/>
  <c r="E427"/>
  <c r="E449"/>
  <c r="D449" s="1"/>
  <c r="D473"/>
  <c r="D485"/>
  <c r="D524"/>
  <c r="D390"/>
  <c r="E406"/>
  <c r="D406" s="1"/>
  <c r="D474"/>
  <c r="D498"/>
  <c r="E365"/>
  <c r="D365" s="1"/>
  <c r="D386"/>
  <c r="E386"/>
  <c r="D432"/>
  <c r="E450"/>
  <c r="D450" s="1"/>
  <c r="D446"/>
  <c r="D463"/>
  <c r="E463"/>
  <c r="D511"/>
  <c r="D585"/>
  <c r="E574"/>
  <c r="D574" s="1"/>
  <c r="D609"/>
  <c r="E602"/>
  <c r="D602" s="1"/>
  <c r="D562"/>
  <c r="D601"/>
  <c r="E588"/>
  <c r="D588" s="1"/>
  <c r="E630"/>
  <c r="D630" s="1"/>
  <c r="D649"/>
  <c r="D684"/>
  <c r="D624"/>
  <c r="D680"/>
  <c r="D623"/>
  <c r="D681"/>
  <c r="D660"/>
  <c r="D666"/>
  <c r="D629"/>
  <c r="D740"/>
  <c r="E721"/>
  <c r="D721" s="1"/>
  <c r="E704"/>
  <c r="D704" s="1"/>
  <c r="D731"/>
  <c r="D733"/>
  <c r="D702"/>
  <c r="D726"/>
  <c r="E734"/>
  <c r="D734" s="1"/>
  <c r="E787"/>
  <c r="D787" s="1"/>
  <c r="D764"/>
  <c r="E782"/>
  <c r="D782" s="1"/>
  <c r="D788"/>
  <c r="E751"/>
  <c r="D751" s="1"/>
  <c r="D779"/>
  <c r="E775"/>
  <c r="D775" s="1"/>
  <c r="E885"/>
  <c r="D885" s="1"/>
  <c r="E801"/>
  <c r="D801" s="1"/>
  <c r="E957"/>
  <c r="D957" s="1"/>
  <c r="E881"/>
  <c r="D881" s="1"/>
  <c r="E964"/>
  <c r="D964" s="1"/>
  <c r="D861"/>
  <c r="E929"/>
  <c r="D929" s="1"/>
  <c r="D814"/>
  <c r="E807"/>
  <c r="D807" s="1"/>
  <c r="D870"/>
  <c r="E942"/>
  <c r="D942" s="1"/>
  <c r="D835"/>
  <c r="E984"/>
  <c r="D984" s="1"/>
  <c r="E1031"/>
  <c r="D1031" s="1"/>
  <c r="D871"/>
  <c r="E1020"/>
  <c r="D1020" s="1"/>
  <c r="E846"/>
  <c r="D846" s="1"/>
  <c r="D895"/>
  <c r="D796"/>
  <c r="D951"/>
  <c r="E802"/>
  <c r="D802" s="1"/>
  <c r="D833"/>
  <c r="D862"/>
  <c r="E931"/>
  <c r="D931" s="1"/>
  <c r="E963"/>
  <c r="D963" s="1"/>
  <c r="D903"/>
  <c r="D1006"/>
  <c r="D880"/>
  <c r="D896"/>
  <c r="D1030"/>
  <c r="E999"/>
  <c r="D999" s="1"/>
  <c r="E912"/>
  <c r="D912" s="1"/>
  <c r="D960"/>
  <c r="E1017"/>
  <c r="D1017" s="1"/>
  <c r="D1038"/>
  <c r="D1039"/>
  <c r="D1047"/>
  <c r="E1059"/>
  <c r="D1059" s="1"/>
  <c r="D1061"/>
  <c r="D23"/>
  <c r="D20"/>
  <c r="E36"/>
  <c r="D36" s="1"/>
  <c r="D225"/>
  <c r="E62"/>
  <c r="D62" s="1"/>
  <c r="E52"/>
  <c r="D52" s="1"/>
  <c r="E122"/>
  <c r="D122" s="1"/>
  <c r="E173"/>
  <c r="D173"/>
  <c r="E70"/>
  <c r="D70" s="1"/>
  <c r="D86"/>
  <c r="E102"/>
  <c r="D102"/>
  <c r="D194"/>
  <c r="D210"/>
  <c r="D154"/>
  <c r="D160"/>
  <c r="E168"/>
  <c r="D168" s="1"/>
  <c r="D77"/>
  <c r="D91"/>
  <c r="E121"/>
  <c r="D121" s="1"/>
  <c r="D201"/>
  <c r="D81"/>
  <c r="D232"/>
  <c r="E232"/>
  <c r="D59"/>
  <c r="D189"/>
  <c r="D258"/>
  <c r="E262"/>
  <c r="D262" s="1"/>
  <c r="E248"/>
  <c r="D248" s="1"/>
  <c r="D257"/>
  <c r="D331"/>
  <c r="D286"/>
  <c r="D283"/>
  <c r="E303"/>
  <c r="D303" s="1"/>
  <c r="D307"/>
  <c r="E291"/>
  <c r="D291"/>
  <c r="E516"/>
  <c r="D516" s="1"/>
  <c r="D470"/>
  <c r="E470"/>
  <c r="E350"/>
  <c r="D350"/>
  <c r="D373"/>
  <c r="D349"/>
  <c r="D455"/>
  <c r="E455"/>
  <c r="E519"/>
  <c r="D519"/>
  <c r="E360"/>
  <c r="D360" s="1"/>
  <c r="E399"/>
  <c r="D399" s="1"/>
  <c r="D379"/>
  <c r="E425"/>
  <c r="D425" s="1"/>
  <c r="E443"/>
  <c r="D443" s="1"/>
  <c r="D388"/>
  <c r="E496"/>
  <c r="D496" s="1"/>
  <c r="D363"/>
  <c r="D384"/>
  <c r="E416"/>
  <c r="D416" s="1"/>
  <c r="D430"/>
  <c r="D448"/>
  <c r="D509"/>
  <c r="E151"/>
  <c r="D151" s="1"/>
  <c r="E278"/>
  <c r="D278" s="1"/>
  <c r="D316"/>
  <c r="E316"/>
  <c r="D305"/>
  <c r="D389"/>
  <c r="E419"/>
  <c r="D419" s="1"/>
  <c r="D412"/>
  <c r="D610"/>
  <c r="E611"/>
  <c r="D611" s="1"/>
  <c r="D694"/>
  <c r="E749"/>
  <c r="D749" s="1"/>
  <c r="D847"/>
  <c r="D606"/>
  <c r="D576"/>
  <c r="D600"/>
  <c r="E564"/>
  <c r="D564" s="1"/>
  <c r="E594"/>
  <c r="D594" s="1"/>
  <c r="D557"/>
  <c r="D567"/>
  <c r="D657"/>
  <c r="E626"/>
  <c r="D626" s="1"/>
  <c r="E625"/>
  <c r="D625" s="1"/>
  <c r="E685"/>
  <c r="D685" s="1"/>
  <c r="D668"/>
  <c r="E732"/>
  <c r="D732" s="1"/>
  <c r="E718"/>
  <c r="D718" s="1"/>
  <c r="D712"/>
  <c r="E728"/>
  <c r="D728" s="1"/>
  <c r="E736"/>
  <c r="D736" s="1"/>
  <c r="D768"/>
  <c r="D766"/>
  <c r="D790"/>
  <c r="E755"/>
  <c r="D755" s="1"/>
  <c r="E836"/>
  <c r="D836" s="1"/>
  <c r="E970"/>
  <c r="D970" s="1"/>
  <c r="D972"/>
  <c r="D937"/>
  <c r="D818"/>
  <c r="D924"/>
  <c r="D815"/>
  <c r="E996"/>
  <c r="D996" s="1"/>
  <c r="E851"/>
  <c r="D851" s="1"/>
  <c r="D848"/>
  <c r="D860"/>
  <c r="D1014"/>
  <c r="E596"/>
  <c r="D596" s="1"/>
  <c r="E622"/>
  <c r="D622" s="1"/>
  <c r="E621"/>
  <c r="D621" s="1"/>
  <c r="E679"/>
  <c r="D679" s="1"/>
  <c r="E652"/>
  <c r="D652" s="1"/>
  <c r="D664"/>
  <c r="D638"/>
  <c r="D724"/>
  <c r="D719"/>
  <c r="D743"/>
  <c r="D729"/>
  <c r="D713"/>
  <c r="D758"/>
  <c r="E762"/>
  <c r="D762" s="1"/>
  <c r="D777"/>
  <c r="D883"/>
  <c r="E797"/>
  <c r="D797" s="1"/>
  <c r="E897"/>
  <c r="D897" s="1"/>
  <c r="E803"/>
  <c r="D803" s="1"/>
  <c r="D921"/>
  <c r="E934"/>
  <c r="D934" s="1"/>
  <c r="D845"/>
  <c r="E976"/>
  <c r="D976" s="1"/>
  <c r="D844"/>
  <c r="D891"/>
  <c r="D994"/>
  <c r="D794"/>
  <c r="E947"/>
  <c r="D947" s="1"/>
  <c r="E800"/>
  <c r="D800" s="1"/>
  <c r="E927"/>
  <c r="D927" s="1"/>
  <c r="D1004"/>
  <c r="E878"/>
  <c r="D878" s="1"/>
  <c r="D894"/>
  <c r="E981"/>
  <c r="D981" s="1"/>
  <c r="D910"/>
  <c r="E1015"/>
  <c r="D1015" s="1"/>
  <c r="E1054"/>
  <c r="D1054" s="1"/>
  <c r="E1037"/>
  <c r="D1037" s="1"/>
  <c r="E21"/>
  <c r="D21" s="1"/>
  <c r="D18"/>
  <c r="E39"/>
  <c r="D39" s="1"/>
  <c r="D32"/>
  <c r="D53"/>
  <c r="D116"/>
  <c r="D138"/>
  <c r="D171"/>
  <c r="D231"/>
  <c r="D68"/>
  <c r="D208"/>
  <c r="D192"/>
  <c r="D240"/>
  <c r="E240"/>
  <c r="D83"/>
  <c r="D158"/>
  <c r="D228"/>
  <c r="D89"/>
  <c r="E51"/>
  <c r="D51" s="1"/>
  <c r="E187"/>
  <c r="D187" s="1"/>
  <c r="D252"/>
  <c r="D281"/>
  <c r="D289"/>
  <c r="D447"/>
  <c r="E447"/>
  <c r="E423"/>
  <c r="D423" s="1"/>
  <c r="E441"/>
  <c r="D441" s="1"/>
  <c r="D483"/>
  <c r="E483"/>
  <c r="E400"/>
  <c r="D400" s="1"/>
  <c r="E428"/>
  <c r="D428" s="1"/>
  <c r="D494"/>
  <c r="D380"/>
  <c r="E414"/>
  <c r="D414" s="1"/>
  <c r="D444"/>
  <c r="D488"/>
  <c r="E488"/>
  <c r="E604"/>
  <c r="D604" s="1"/>
  <c r="D581"/>
  <c r="D616"/>
  <c r="D561"/>
  <c r="D558"/>
  <c r="D597"/>
  <c r="D584"/>
  <c r="D570"/>
  <c r="D647"/>
  <c r="D640"/>
  <c r="E686"/>
  <c r="D686" s="1"/>
  <c r="E656"/>
  <c r="D656" s="1"/>
  <c r="D620"/>
  <c r="D643"/>
  <c r="D676"/>
  <c r="D619"/>
  <c r="E677"/>
  <c r="D677" s="1"/>
  <c r="E642"/>
  <c r="D642" s="1"/>
  <c r="D650"/>
  <c r="E662"/>
  <c r="D662" s="1"/>
  <c r="D654"/>
  <c r="D720"/>
  <c r="D717"/>
  <c r="E741"/>
  <c r="D741" s="1"/>
  <c r="D727"/>
  <c r="E707"/>
  <c r="D707" s="1"/>
  <c r="D742"/>
  <c r="D711"/>
  <c r="D756"/>
  <c r="D760"/>
  <c r="E778"/>
  <c r="D778" s="1"/>
  <c r="E773"/>
  <c r="D773" s="1"/>
  <c r="D744"/>
  <c r="D785"/>
  <c r="D941"/>
  <c r="E946"/>
  <c r="D946" s="1"/>
  <c r="E889"/>
  <c r="D889" s="1"/>
  <c r="E799"/>
  <c r="D799" s="1"/>
  <c r="E985"/>
  <c r="D985" s="1"/>
  <c r="D854"/>
  <c r="D926"/>
  <c r="D982"/>
  <c r="E810"/>
  <c r="D810" s="1"/>
  <c r="E811"/>
  <c r="D811" s="1"/>
  <c r="D968"/>
  <c r="D828"/>
  <c r="D953"/>
  <c r="E821"/>
  <c r="D821" s="1"/>
  <c r="D842"/>
  <c r="E887"/>
  <c r="D887" s="1"/>
  <c r="D990"/>
  <c r="D792"/>
  <c r="E879"/>
  <c r="D879" s="1"/>
  <c r="E915"/>
  <c r="D915" s="1"/>
  <c r="E798"/>
  <c r="D798" s="1"/>
  <c r="E829"/>
  <c r="D829" s="1"/>
  <c r="E872"/>
  <c r="D872" s="1"/>
  <c r="E923"/>
  <c r="D923" s="1"/>
  <c r="E987"/>
  <c r="D987" s="1"/>
  <c r="E1026"/>
  <c r="D1026" s="1"/>
  <c r="E1002"/>
  <c r="D1002" s="1"/>
  <c r="D876"/>
  <c r="D892"/>
  <c r="D993"/>
  <c r="E1011"/>
  <c r="D1011" s="1"/>
  <c r="D954"/>
  <c r="D1013"/>
  <c r="D1034"/>
  <c r="D1056"/>
  <c r="D1035"/>
  <c r="D1050"/>
  <c r="E1043"/>
  <c r="D1043" s="1"/>
  <c r="E28"/>
  <c r="D28" s="1"/>
  <c r="D29"/>
  <c r="D157"/>
  <c r="D233"/>
  <c r="E233"/>
  <c r="D46"/>
  <c r="D84"/>
  <c r="D163"/>
  <c r="E37"/>
  <c r="D37" s="1"/>
  <c r="D223"/>
  <c r="D136"/>
  <c r="D169"/>
  <c r="D229"/>
  <c r="E98"/>
  <c r="D98" s="1"/>
  <c r="D112"/>
  <c r="D206"/>
  <c r="E150"/>
  <c r="D150" s="1"/>
  <c r="D190"/>
  <c r="E236"/>
  <c r="D236" s="1"/>
  <c r="D226"/>
  <c r="D133"/>
  <c r="E45"/>
  <c r="D45" s="1"/>
  <c r="D73"/>
  <c r="D87"/>
  <c r="D103"/>
  <c r="E117"/>
  <c r="D117" s="1"/>
  <c r="E137"/>
  <c r="D137" s="1"/>
  <c r="E178"/>
  <c r="D178" s="1"/>
  <c r="D47"/>
  <c r="E155"/>
  <c r="D155" s="1"/>
  <c r="D185"/>
  <c r="E199"/>
  <c r="D199"/>
  <c r="D253"/>
  <c r="D275"/>
  <c r="D250"/>
  <c r="D304"/>
  <c r="E304"/>
  <c r="D320"/>
  <c r="D319"/>
  <c r="E299"/>
  <c r="D299" s="1"/>
  <c r="E287"/>
  <c r="D287" s="1"/>
  <c r="E332"/>
  <c r="D332"/>
  <c r="D362"/>
  <c r="E362"/>
  <c r="E345"/>
  <c r="D345" s="1"/>
  <c r="D466"/>
  <c r="D471"/>
  <c r="D359"/>
  <c r="D355"/>
  <c r="D358"/>
  <c r="D522"/>
  <c r="D461"/>
  <c r="E461"/>
  <c r="D346"/>
  <c r="D521"/>
  <c r="D352"/>
  <c r="E395"/>
  <c r="D395"/>
  <c r="D421"/>
  <c r="D439"/>
  <c r="D464"/>
  <c r="D481"/>
  <c r="E398"/>
  <c r="D398" s="1"/>
  <c r="D420"/>
  <c r="D469"/>
  <c r="E469"/>
  <c r="D492"/>
  <c r="D378"/>
  <c r="E442"/>
  <c r="D442" s="1"/>
  <c r="D465"/>
  <c r="E486"/>
  <c r="D486" s="1"/>
  <c r="E502"/>
  <c r="D502" s="1"/>
  <c r="E507"/>
  <c r="D507" s="1"/>
  <c r="D527"/>
  <c r="E271"/>
  <c r="D271" s="1"/>
  <c r="E247"/>
  <c r="D247"/>
  <c r="D300"/>
  <c r="D336"/>
  <c r="D328"/>
  <c r="D437"/>
  <c r="E437"/>
  <c r="D361"/>
  <c r="E484"/>
  <c r="D484" s="1"/>
  <c r="E438"/>
  <c r="D438" s="1"/>
  <c r="D525"/>
  <c r="D655"/>
  <c r="E693"/>
  <c r="D693" s="1"/>
  <c r="D670"/>
  <c r="E637"/>
  <c r="D637" s="1"/>
  <c r="E665"/>
  <c r="D665" s="1"/>
  <c r="D635"/>
  <c r="D705"/>
  <c r="D772"/>
  <c r="E767"/>
  <c r="D767" s="1"/>
  <c r="E765"/>
  <c r="D765" s="1"/>
  <c r="D992"/>
  <c r="E973"/>
  <c r="D973" s="1"/>
  <c r="E834"/>
  <c r="D834" s="1"/>
  <c r="D587"/>
  <c r="E565"/>
  <c r="D565" s="1"/>
  <c r="D667"/>
  <c r="D683"/>
  <c r="E661"/>
  <c r="D661" s="1"/>
  <c r="D723"/>
  <c r="D735"/>
  <c r="D701"/>
  <c r="E789"/>
  <c r="D789" s="1"/>
  <c r="E784"/>
  <c r="D784" s="1"/>
  <c r="D745"/>
  <c r="D893"/>
  <c r="D867"/>
  <c r="E873"/>
  <c r="D873" s="1"/>
  <c r="E920"/>
  <c r="D920" s="1"/>
  <c r="E955"/>
  <c r="D955" s="1"/>
  <c r="E967"/>
  <c r="D967" s="1"/>
  <c r="E583"/>
  <c r="D583" s="1"/>
  <c r="D560"/>
  <c r="D599"/>
  <c r="E586"/>
  <c r="D586" s="1"/>
  <c r="D572"/>
  <c r="D682"/>
  <c r="E658"/>
  <c r="D658" s="1"/>
  <c r="E678"/>
  <c r="D678" s="1"/>
  <c r="E780"/>
  <c r="D780" s="1"/>
  <c r="D822"/>
  <c r="D837"/>
  <c r="E961"/>
  <c r="D961" s="1"/>
  <c r="D1016"/>
  <c r="E823"/>
  <c r="D823" s="1"/>
  <c r="D858"/>
  <c r="D831"/>
  <c r="D901"/>
  <c r="D995"/>
  <c r="E997"/>
  <c r="D997" s="1"/>
  <c r="E956"/>
  <c r="D956" s="1"/>
  <c r="E1036"/>
  <c r="D1036" s="1"/>
  <c r="D1058"/>
  <c r="D1052"/>
  <c r="D1045"/>
  <c r="D57"/>
  <c r="E106"/>
  <c r="D106" s="1"/>
  <c r="E100"/>
  <c r="D100" s="1"/>
  <c r="D114"/>
  <c r="D152"/>
  <c r="E135"/>
  <c r="D135" s="1"/>
  <c r="D166"/>
  <c r="E75"/>
  <c r="D75" s="1"/>
  <c r="D105"/>
  <c r="E105"/>
  <c r="D119"/>
  <c r="D195"/>
  <c r="D213"/>
  <c r="E213"/>
  <c r="D139"/>
  <c r="E230"/>
  <c r="D230" s="1"/>
  <c r="E255"/>
  <c r="D255" s="1"/>
  <c r="D245"/>
  <c r="D322"/>
  <c r="E322"/>
  <c r="D321"/>
  <c r="D337"/>
  <c r="D301"/>
  <c r="D491"/>
  <c r="D381"/>
  <c r="D445"/>
  <c r="E512"/>
  <c r="D512" s="1"/>
  <c r="D526"/>
  <c r="D409"/>
  <c r="E374"/>
  <c r="D374" s="1"/>
  <c r="E468"/>
  <c r="D468" s="1"/>
  <c r="D579"/>
  <c r="E614"/>
  <c r="D614" s="1"/>
  <c r="D551"/>
  <c r="D615"/>
  <c r="D559"/>
  <c r="E556"/>
  <c r="D556" s="1"/>
  <c r="D582"/>
  <c r="D617"/>
  <c r="D568"/>
  <c r="D653"/>
  <c r="E645"/>
  <c r="D645" s="1"/>
  <c r="D632"/>
  <c r="D618"/>
  <c r="D674"/>
  <c r="E644"/>
  <c r="D644" s="1"/>
  <c r="D675"/>
  <c r="D648"/>
  <c r="D691"/>
  <c r="D714"/>
  <c r="D715"/>
  <c r="D739"/>
  <c r="D725"/>
  <c r="E708"/>
  <c r="D708" s="1"/>
  <c r="E699"/>
  <c r="D699" s="1"/>
  <c r="D710"/>
  <c r="D709"/>
  <c r="E754"/>
  <c r="D754" s="1"/>
  <c r="D776"/>
  <c r="D771"/>
  <c r="D757"/>
  <c r="E783"/>
  <c r="D783" s="1"/>
  <c r="D1023"/>
  <c r="D933"/>
  <c r="E817"/>
  <c r="D817" s="1"/>
  <c r="E863"/>
  <c r="D863" s="1"/>
  <c r="E938"/>
  <c r="D938" s="1"/>
  <c r="E977"/>
  <c r="D977" s="1"/>
  <c r="E850"/>
  <c r="D850" s="1"/>
  <c r="D918"/>
  <c r="E974"/>
  <c r="D974" s="1"/>
  <c r="E806"/>
  <c r="D806" s="1"/>
  <c r="E820"/>
  <c r="D820" s="1"/>
  <c r="D826"/>
  <c r="D864"/>
  <c r="E949"/>
  <c r="D949" s="1"/>
  <c r="D840"/>
  <c r="D1033"/>
  <c r="D911"/>
  <c r="D919"/>
  <c r="D983"/>
  <c r="D1022"/>
  <c r="D1000"/>
  <c r="D874"/>
  <c r="E890"/>
  <c r="D890" s="1"/>
  <c r="E991"/>
  <c r="D991" s="1"/>
  <c r="D908"/>
  <c r="D1009"/>
  <c r="D952"/>
  <c r="D1048"/>
  <c r="E1057"/>
  <c r="D1057" s="1"/>
  <c r="D19"/>
  <c r="E26"/>
  <c r="D26" s="1"/>
  <c r="E80"/>
  <c r="D80" s="1"/>
  <c r="D217"/>
  <c r="E215"/>
  <c r="D215" s="1"/>
  <c r="D181"/>
  <c r="E181"/>
  <c r="E134"/>
  <c r="D134" s="1"/>
  <c r="D167"/>
  <c r="D96"/>
  <c r="D110"/>
  <c r="D148"/>
  <c r="E188"/>
  <c r="D188" s="1"/>
  <c r="E234"/>
  <c r="D234" s="1"/>
  <c r="D224"/>
  <c r="D129"/>
  <c r="E43"/>
  <c r="D43" s="1"/>
  <c r="D71"/>
  <c r="D85"/>
  <c r="E211"/>
  <c r="D211" s="1"/>
  <c r="E176"/>
  <c r="D176" s="1"/>
  <c r="D222"/>
  <c r="E222"/>
  <c r="E153"/>
  <c r="D153" s="1"/>
  <c r="E183"/>
  <c r="D183" s="1"/>
  <c r="E197"/>
  <c r="D197" s="1"/>
  <c r="D268"/>
  <c r="E268"/>
  <c r="E273"/>
  <c r="D273" s="1"/>
  <c r="E276"/>
  <c r="D276" s="1"/>
  <c r="D251"/>
  <c r="E251"/>
  <c r="D335"/>
  <c r="E302"/>
  <c r="D302" s="1"/>
  <c r="E318"/>
  <c r="D318" s="1"/>
  <c r="D323"/>
  <c r="E297"/>
  <c r="D297" s="1"/>
  <c r="D338"/>
  <c r="E284"/>
  <c r="D284" s="1"/>
  <c r="E330"/>
  <c r="D330" s="1"/>
  <c r="D377"/>
  <c r="E377"/>
  <c r="D514"/>
  <c r="D393"/>
  <c r="D517"/>
  <c r="E396"/>
  <c r="D396" s="1"/>
  <c r="D499"/>
  <c r="D391"/>
  <c r="E459"/>
  <c r="D459" s="1"/>
  <c r="E435"/>
  <c r="D435" s="1"/>
  <c r="D479"/>
  <c r="D508"/>
  <c r="D418"/>
  <c r="E467"/>
  <c r="D467" s="1"/>
  <c r="E490"/>
  <c r="D490" s="1"/>
  <c r="E426"/>
  <c r="D426" s="1"/>
  <c r="E440"/>
  <c r="D440" s="1"/>
  <c r="E529"/>
  <c r="D529" s="1"/>
  <c r="D454"/>
  <c r="D472"/>
  <c r="M14" i="26" l="1"/>
  <c r="N14"/>
  <c r="M16"/>
  <c r="N16"/>
  <c r="C24"/>
  <c r="C20"/>
  <c r="B24"/>
  <c r="B20"/>
  <c r="W42" i="44"/>
  <c r="W41"/>
  <c r="W40"/>
  <c r="W39"/>
  <c r="W38"/>
  <c r="W37"/>
  <c r="W36"/>
  <c r="W35"/>
  <c r="W34"/>
  <c r="W33"/>
  <c r="W32"/>
  <c r="W31"/>
  <c r="W30"/>
  <c r="W29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W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Y26"/>
  <c r="X26"/>
  <c r="B26"/>
  <c r="A26"/>
  <c r="W19"/>
  <c r="W18"/>
  <c r="W17"/>
  <c r="W16"/>
  <c r="W15"/>
  <c r="W14"/>
  <c r="W13"/>
  <c r="W12"/>
  <c r="W11"/>
  <c r="W10"/>
  <c r="W9"/>
  <c r="W8"/>
  <c r="W7"/>
  <c r="W6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W5"/>
  <c r="U5"/>
  <c r="T5"/>
  <c r="S5"/>
  <c r="R5"/>
  <c r="Q5"/>
  <c r="P5"/>
  <c r="O5"/>
  <c r="N5"/>
  <c r="M5"/>
  <c r="L5"/>
  <c r="K5"/>
  <c r="J5"/>
  <c r="I5"/>
  <c r="H5"/>
  <c r="G5"/>
  <c r="F5"/>
  <c r="E5"/>
  <c r="D5"/>
  <c r="C5"/>
  <c r="Y4"/>
  <c r="Y27" s="1"/>
  <c r="X4"/>
  <c r="B4"/>
  <c r="B27" s="1"/>
  <c r="A4"/>
  <c r="Y44" i="2"/>
  <c r="AU43"/>
  <c r="AS43"/>
  <c r="AR43"/>
  <c r="AQ43"/>
  <c r="AP43"/>
  <c r="AM43"/>
  <c r="AJ43"/>
  <c r="AF43"/>
  <c r="AC43"/>
  <c r="AB43"/>
  <c r="V43"/>
  <c r="T43"/>
  <c r="S43"/>
  <c r="R43"/>
  <c r="Q43"/>
  <c r="N43"/>
  <c r="K43"/>
  <c r="G43"/>
  <c r="X27" i="44" l="1"/>
  <c r="A27"/>
  <c r="D43" i="2"/>
  <c r="C43"/>
  <c r="Y42"/>
  <c r="Y41"/>
  <c r="Y40"/>
  <c r="Y39"/>
  <c r="Y38"/>
  <c r="Y37"/>
  <c r="Y36"/>
  <c r="Y35"/>
  <c r="Y34"/>
  <c r="Y33"/>
  <c r="Y32"/>
  <c r="Y31"/>
  <c r="Y30"/>
  <c r="Y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A28"/>
  <c r="Z28"/>
  <c r="B28"/>
  <c r="A28"/>
  <c r="AA27"/>
  <c r="Z27"/>
  <c r="B27"/>
  <c r="A27"/>
  <c r="AT29"/>
  <c r="AU29"/>
  <c r="AQ29"/>
  <c r="AM29"/>
  <c r="AI29"/>
  <c r="AE29"/>
  <c r="AH29"/>
  <c r="AD29"/>
  <c r="AV29"/>
  <c r="AR29"/>
  <c r="AN29"/>
  <c r="AJ29"/>
  <c r="AF29"/>
  <c r="AB29"/>
  <c r="AL29"/>
  <c r="AS29"/>
  <c r="AO29"/>
  <c r="AK29"/>
  <c r="AG29"/>
  <c r="AC29"/>
  <c r="AP29"/>
  <c r="L125" i="14"/>
  <c r="M125"/>
  <c r="E506" i="41" l="1"/>
  <c r="E509"/>
  <c r="E524"/>
  <c r="E518"/>
  <c r="E504"/>
  <c r="E527"/>
  <c r="E511"/>
  <c r="E520"/>
  <c r="E514"/>
  <c r="E505"/>
  <c r="E513"/>
  <c r="E522"/>
  <c r="E517"/>
  <c r="E526"/>
  <c r="E528"/>
  <c r="E499"/>
  <c r="E521"/>
  <c r="E498"/>
  <c r="E508"/>
  <c r="E525"/>
  <c r="Y20" i="2"/>
  <c r="AV19"/>
  <c r="AS19"/>
  <c r="AR19"/>
  <c r="AQ19"/>
  <c r="AP19"/>
  <c r="AO19"/>
  <c r="AN19"/>
  <c r="AM19"/>
  <c r="AL19"/>
  <c r="AK19"/>
  <c r="AJ19"/>
  <c r="AI19"/>
  <c r="AH19"/>
  <c r="AG19"/>
  <c r="AF19"/>
  <c r="AE19"/>
  <c r="AD19"/>
  <c r="E1042" i="41" l="1"/>
  <c r="E1045"/>
  <c r="E1056"/>
  <c r="E1049"/>
  <c r="E1047"/>
  <c r="E1058"/>
  <c r="E1044"/>
  <c r="E1032"/>
  <c r="E1041"/>
  <c r="E1035"/>
  <c r="E1051"/>
  <c r="E1046"/>
  <c r="E1061"/>
  <c r="E1048"/>
  <c r="E1040"/>
  <c r="E1039"/>
  <c r="E1055"/>
  <c r="E1050"/>
  <c r="E1052"/>
  <c r="E1033"/>
  <c r="E1038"/>
  <c r="AC19" i="2"/>
  <c r="AB19"/>
  <c r="W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Y18"/>
  <c r="Y17"/>
  <c r="Y16"/>
  <c r="Y15"/>
  <c r="Y14"/>
  <c r="Y13"/>
  <c r="Y12"/>
  <c r="Y11"/>
  <c r="Y10"/>
  <c r="Y9"/>
  <c r="Y8"/>
  <c r="Y7"/>
  <c r="Y6"/>
  <c r="AV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Y5"/>
  <c r="W5"/>
  <c r="T5"/>
  <c r="S5"/>
  <c r="R5"/>
  <c r="Q5"/>
  <c r="P5"/>
  <c r="O5"/>
  <c r="N5"/>
  <c r="M5"/>
  <c r="L5"/>
  <c r="K5"/>
  <c r="J5"/>
  <c r="I5"/>
  <c r="H5"/>
  <c r="G5"/>
  <c r="F5"/>
  <c r="E5"/>
  <c r="D5"/>
  <c r="C5"/>
  <c r="D43" i="27"/>
  <c r="C24" i="45" l="1"/>
  <c r="T24"/>
  <c r="E919" i="41"/>
  <c r="E1019"/>
  <c r="E926"/>
  <c r="E874"/>
  <c r="E904"/>
  <c r="Y19" i="2"/>
  <c r="E930" i="41"/>
  <c r="E895"/>
  <c r="E1014"/>
  <c r="E921"/>
  <c r="E871"/>
  <c r="E886"/>
  <c r="E1012"/>
  <c r="E1030"/>
  <c r="E910"/>
  <c r="E896"/>
  <c r="E1009"/>
  <c r="E877"/>
  <c r="E883"/>
  <c r="E1010"/>
  <c r="E932"/>
  <c r="E908"/>
  <c r="E924"/>
  <c r="E1023"/>
  <c r="E901"/>
  <c r="E918"/>
  <c r="E894"/>
  <c r="E1005"/>
  <c r="E358"/>
  <c r="E475"/>
  <c r="E471"/>
  <c r="E478"/>
  <c r="E393"/>
  <c r="E388"/>
  <c r="E339"/>
  <c r="E492"/>
  <c r="E353"/>
  <c r="E397"/>
  <c r="E338"/>
  <c r="E473"/>
  <c r="E357"/>
  <c r="E491"/>
  <c r="E392"/>
  <c r="E389"/>
  <c r="E494"/>
  <c r="E349"/>
  <c r="E390"/>
  <c r="E373"/>
  <c r="E346"/>
  <c r="E344"/>
  <c r="E394"/>
  <c r="E466"/>
  <c r="E363"/>
  <c r="E384"/>
  <c r="E355"/>
  <c r="E485"/>
  <c r="E370"/>
  <c r="E354"/>
  <c r="E387"/>
  <c r="E352"/>
  <c r="E391"/>
  <c r="E479"/>
  <c r="E359"/>
  <c r="E487"/>
  <c r="E385"/>
  <c r="E348"/>
  <c r="E472"/>
  <c r="E379"/>
  <c r="E378"/>
  <c r="E361"/>
  <c r="E381"/>
  <c r="E356"/>
  <c r="E380"/>
  <c r="E481"/>
  <c r="E474"/>
  <c r="E893"/>
  <c r="E903"/>
  <c r="E917"/>
  <c r="E1008"/>
  <c r="E899"/>
  <c r="E892"/>
  <c r="E925"/>
  <c r="E891"/>
  <c r="E933"/>
  <c r="E1004"/>
  <c r="E880"/>
  <c r="E922"/>
  <c r="E1028"/>
  <c r="E876"/>
  <c r="E907"/>
  <c r="E1000"/>
  <c r="E875"/>
  <c r="E1024"/>
  <c r="E1016"/>
  <c r="E1022"/>
  <c r="E911"/>
  <c r="E1027"/>
  <c r="E1006"/>
  <c r="E1013"/>
  <c r="E1021"/>
  <c r="G26" i="27"/>
  <c r="C124" i="26" l="1"/>
  <c r="E124"/>
  <c r="C64"/>
  <c r="E64"/>
  <c r="E49"/>
  <c r="C49"/>
  <c r="E747" i="41"/>
  <c r="E700"/>
  <c r="E116"/>
  <c r="E717"/>
  <c r="E993"/>
  <c r="E983"/>
  <c r="E737"/>
  <c r="E960"/>
  <c r="E794"/>
  <c r="E868"/>
  <c r="E667"/>
  <c r="E582"/>
  <c r="E690"/>
  <c r="E847"/>
  <c r="E632"/>
  <c r="E410"/>
  <c r="E405"/>
  <c r="E258"/>
  <c r="E715"/>
  <c r="E660"/>
  <c r="E571"/>
  <c r="E786"/>
  <c r="E711"/>
  <c r="E554"/>
  <c r="E649"/>
  <c r="E742"/>
  <c r="E962"/>
  <c r="E989"/>
  <c r="E845"/>
  <c r="E664"/>
  <c r="E723"/>
  <c r="E587"/>
  <c r="E641"/>
  <c r="E636"/>
  <c r="E601"/>
  <c r="E654"/>
  <c r="E558"/>
  <c r="E579"/>
  <c r="E113"/>
  <c r="E617"/>
  <c r="E796"/>
  <c r="E758"/>
  <c r="E855"/>
  <c r="E852"/>
  <c r="E647"/>
  <c r="E702"/>
  <c r="E861"/>
  <c r="E822"/>
  <c r="E714"/>
  <c r="E766"/>
  <c r="E937"/>
  <c r="E760"/>
  <c r="E623"/>
  <c r="E864"/>
  <c r="E795"/>
  <c r="E959"/>
  <c r="E746"/>
  <c r="E578"/>
  <c r="E458"/>
  <c r="E756"/>
  <c r="E763"/>
  <c r="E694"/>
  <c r="E705"/>
  <c r="E591"/>
  <c r="E740"/>
  <c r="E826"/>
  <c r="E819"/>
  <c r="E576"/>
  <c r="E788"/>
  <c r="E563"/>
  <c r="E666"/>
  <c r="E995"/>
  <c r="E610"/>
  <c r="E935"/>
  <c r="E192"/>
  <c r="E613"/>
  <c r="E781"/>
  <c r="E808"/>
  <c r="E971"/>
  <c r="E814"/>
  <c r="E954"/>
  <c r="E968"/>
  <c r="E159"/>
  <c r="E828"/>
  <c r="E748"/>
  <c r="E551"/>
  <c r="E631"/>
  <c r="E612"/>
  <c r="E972"/>
  <c r="E730"/>
  <c r="E844"/>
  <c r="E858"/>
  <c r="E837"/>
  <c r="E772"/>
  <c r="E936"/>
  <c r="E866"/>
  <c r="E560"/>
  <c r="E669"/>
  <c r="E779"/>
  <c r="E719"/>
  <c r="E609"/>
  <c r="E646"/>
  <c r="E225"/>
  <c r="E38"/>
  <c r="E735"/>
  <c r="E643"/>
  <c r="E657"/>
  <c r="E670"/>
  <c r="E593"/>
  <c r="E862"/>
  <c r="E635"/>
  <c r="E777"/>
  <c r="E986"/>
  <c r="E835"/>
  <c r="E650"/>
  <c r="E768"/>
  <c r="E668"/>
  <c r="E709"/>
  <c r="E567"/>
  <c r="E769"/>
  <c r="E838"/>
  <c r="E854"/>
  <c r="E561"/>
  <c r="E620"/>
  <c r="E589"/>
  <c r="E681"/>
  <c r="E324"/>
  <c r="E46"/>
  <c r="E174"/>
  <c r="E701"/>
  <c r="E674"/>
  <c r="E943"/>
  <c r="E618"/>
  <c r="E639"/>
  <c r="E605"/>
  <c r="E680"/>
  <c r="E842"/>
  <c r="E581"/>
  <c r="E757"/>
  <c r="E559"/>
  <c r="E953"/>
  <c r="E785"/>
  <c r="E990"/>
  <c r="E597"/>
  <c r="E744"/>
  <c r="E569"/>
  <c r="E570"/>
  <c r="E725"/>
  <c r="E648"/>
  <c r="E638"/>
  <c r="E555"/>
  <c r="E722"/>
  <c r="E843"/>
  <c r="E710"/>
  <c r="E434"/>
  <c r="E166"/>
  <c r="E196"/>
  <c r="E319"/>
  <c r="E600"/>
  <c r="E831"/>
  <c r="E682"/>
  <c r="E776"/>
  <c r="E940"/>
  <c r="E716"/>
  <c r="E663"/>
  <c r="E676"/>
  <c r="E816"/>
  <c r="E727"/>
  <c r="E815"/>
  <c r="E731"/>
  <c r="E562"/>
  <c r="E557"/>
  <c r="E761"/>
  <c r="E615"/>
  <c r="E945"/>
  <c r="E830"/>
  <c r="E194"/>
  <c r="E85"/>
  <c r="E44"/>
  <c r="E790"/>
  <c r="E628"/>
  <c r="E616"/>
  <c r="E848"/>
  <c r="E653"/>
  <c r="E553"/>
  <c r="E739"/>
  <c r="E112"/>
  <c r="E198"/>
  <c r="E110"/>
  <c r="E305"/>
  <c r="E331"/>
  <c r="E290"/>
  <c r="E307"/>
  <c r="E210"/>
  <c r="E285"/>
  <c r="E60"/>
  <c r="E111"/>
  <c r="E103"/>
  <c r="E141"/>
  <c r="E201"/>
  <c r="E250"/>
  <c r="E207"/>
  <c r="E25"/>
  <c r="E72"/>
  <c r="E19"/>
  <c r="E96"/>
  <c r="E293"/>
  <c r="E47"/>
  <c r="E20"/>
  <c r="E136"/>
  <c r="E214"/>
  <c r="E18"/>
  <c r="E429"/>
  <c r="E160"/>
  <c r="E171"/>
  <c r="E124"/>
  <c r="E263"/>
  <c r="E57"/>
  <c r="E131"/>
  <c r="E129"/>
  <c r="E107"/>
  <c r="E59"/>
  <c r="E158"/>
  <c r="E109"/>
  <c r="E454"/>
  <c r="E448"/>
  <c r="E123"/>
  <c r="E22"/>
  <c r="E323"/>
  <c r="E599"/>
  <c r="E585"/>
  <c r="E840"/>
  <c r="E624"/>
  <c r="E726"/>
  <c r="E818"/>
  <c r="E696"/>
  <c r="E988"/>
  <c r="E870"/>
  <c r="E619"/>
  <c r="E640"/>
  <c r="E994"/>
  <c r="E853"/>
  <c r="E793"/>
  <c r="E764"/>
  <c r="E684"/>
  <c r="E713"/>
  <c r="E606"/>
  <c r="E706"/>
  <c r="E743"/>
  <c r="E568"/>
  <c r="E577"/>
  <c r="E865"/>
  <c r="E939"/>
  <c r="E629"/>
  <c r="E745"/>
  <c r="E774"/>
  <c r="E952"/>
  <c r="E771"/>
  <c r="E724"/>
  <c r="E733"/>
  <c r="E849"/>
  <c r="E712"/>
  <c r="E950"/>
  <c r="E584"/>
  <c r="E691"/>
  <c r="E634"/>
  <c r="E655"/>
  <c r="E992"/>
  <c r="E792"/>
  <c r="E951"/>
  <c r="E958"/>
  <c r="E627"/>
  <c r="E683"/>
  <c r="E608"/>
  <c r="E572"/>
  <c r="E729"/>
  <c r="E675"/>
  <c r="E753"/>
  <c r="E941"/>
  <c r="E982"/>
  <c r="E720"/>
  <c r="E867"/>
  <c r="E833"/>
  <c r="E607"/>
  <c r="E91"/>
  <c r="E53"/>
  <c r="E237"/>
  <c r="E185"/>
  <c r="E81"/>
  <c r="E164"/>
  <c r="E439"/>
  <c r="E167"/>
  <c r="E83"/>
  <c r="E420"/>
  <c r="E172"/>
  <c r="E261"/>
  <c r="E337"/>
  <c r="E27"/>
  <c r="E320"/>
  <c r="E68"/>
  <c r="E253"/>
  <c r="E224"/>
  <c r="E298"/>
  <c r="E464"/>
  <c r="E114"/>
  <c r="E64"/>
  <c r="E97"/>
  <c r="E152"/>
  <c r="E108"/>
  <c r="E252"/>
  <c r="E275"/>
  <c r="E86"/>
  <c r="E206"/>
  <c r="E154"/>
  <c r="E138"/>
  <c r="E422"/>
  <c r="E260"/>
  <c r="E71"/>
  <c r="E445"/>
  <c r="E84"/>
  <c r="E73"/>
  <c r="E309"/>
  <c r="E119"/>
  <c r="E325"/>
  <c r="E88"/>
  <c r="E267"/>
  <c r="E407"/>
  <c r="E301"/>
  <c r="E292"/>
  <c r="E289"/>
  <c r="E208"/>
  <c r="E239"/>
  <c r="E281"/>
  <c r="E30"/>
  <c r="E421"/>
  <c r="E63"/>
  <c r="E228"/>
  <c r="E418"/>
  <c r="E308"/>
  <c r="E321"/>
  <c r="E169"/>
  <c r="E229"/>
  <c r="E286"/>
  <c r="E446"/>
  <c r="E56"/>
  <c r="E444"/>
  <c r="E235"/>
  <c r="E50"/>
  <c r="E190"/>
  <c r="E288"/>
  <c r="E424"/>
  <c r="E29"/>
  <c r="E202"/>
  <c r="E462"/>
  <c r="E269"/>
  <c r="E32"/>
  <c r="E189"/>
  <c r="E217"/>
  <c r="E221"/>
  <c r="E54"/>
  <c r="E49"/>
  <c r="E259"/>
  <c r="E195"/>
  <c r="E175"/>
  <c r="E55"/>
  <c r="E264"/>
  <c r="E432"/>
  <c r="E860"/>
  <c r="E314"/>
  <c r="E162"/>
  <c r="E23"/>
  <c r="E231"/>
  <c r="E306"/>
  <c r="E200"/>
  <c r="E412"/>
  <c r="E283"/>
  <c r="E409"/>
  <c r="E148"/>
  <c r="E139"/>
  <c r="E465"/>
  <c r="E257"/>
  <c r="E77"/>
  <c r="E94"/>
  <c r="E82"/>
  <c r="E147"/>
  <c r="E226"/>
  <c r="E335"/>
  <c r="E161"/>
  <c r="E402"/>
  <c r="E104"/>
  <c r="E336"/>
  <c r="E163"/>
  <c r="E300"/>
  <c r="E328"/>
  <c r="E245"/>
  <c r="E430"/>
  <c r="E313"/>
  <c r="E326"/>
  <c r="E223"/>
  <c r="E310"/>
  <c r="E184"/>
  <c r="E157"/>
  <c r="E89"/>
  <c r="E87"/>
  <c r="E209"/>
  <c r="E180"/>
  <c r="E133"/>
  <c r="E69"/>
  <c r="E95"/>
  <c r="C21" i="27"/>
  <c r="B21"/>
  <c r="G21"/>
  <c r="C18"/>
  <c r="C17"/>
  <c r="C16"/>
  <c r="C15"/>
  <c r="C13"/>
  <c r="C12"/>
  <c r="N11"/>
  <c r="C11"/>
  <c r="N10"/>
  <c r="C10"/>
  <c r="N9"/>
  <c r="N8"/>
  <c r="N7"/>
  <c r="C7"/>
  <c r="N6"/>
  <c r="C5"/>
  <c r="C4"/>
  <c r="N3"/>
  <c r="N2"/>
  <c r="E882" i="41" l="1"/>
  <c r="N5" i="27"/>
  <c r="C211" i="26" l="1"/>
  <c r="E61" i="42" l="1"/>
  <c r="C595" i="41"/>
  <c r="D595" s="1"/>
  <c r="B211" i="26"/>
  <c r="E21" i="42"/>
  <c r="C48" i="41"/>
  <c r="C167" i="26"/>
  <c r="B167"/>
  <c r="E167"/>
  <c r="B107"/>
  <c r="D167"/>
  <c r="D107"/>
  <c r="C107"/>
  <c r="E107"/>
  <c r="E364" i="41"/>
  <c r="E1034"/>
  <c r="K3"/>
  <c r="E595" l="1"/>
  <c r="D48"/>
  <c r="E48"/>
  <c r="A57" i="30" l="1"/>
  <c r="C57" s="1"/>
  <c r="C1"/>
  <c r="A67"/>
  <c r="D67" s="1"/>
  <c r="C59" l="1"/>
  <c r="C60"/>
  <c r="C61"/>
  <c r="C58"/>
  <c r="D68"/>
  <c r="D69"/>
  <c r="D71"/>
  <c r="D70"/>
  <c r="C67"/>
  <c r="D57"/>
  <c r="D73" l="1"/>
  <c r="D58"/>
  <c r="D61"/>
  <c r="D60"/>
  <c r="D59"/>
  <c r="C69"/>
  <c r="C68"/>
  <c r="C70"/>
  <c r="C71"/>
  <c r="C63"/>
  <c r="D63" l="1"/>
  <c r="D3" s="1"/>
  <c r="B4" i="26" s="1"/>
  <c r="K4" s="1"/>
  <c r="C73" i="30"/>
  <c r="C3" s="1"/>
  <c r="B3" i="26" s="1"/>
  <c r="J4" l="1"/>
  <c r="K3"/>
  <c r="J3"/>
  <c r="B123" l="1"/>
  <c r="B63"/>
  <c r="B122"/>
  <c r="B62"/>
  <c r="B125"/>
  <c r="B65"/>
  <c r="B61"/>
  <c r="B121"/>
  <c r="C63" l="1"/>
  <c r="M537" i="41" l="1"/>
  <c r="H57" i="30" l="1"/>
  <c r="H59" s="1"/>
  <c r="H67"/>
  <c r="H71" s="1"/>
  <c r="H61" l="1"/>
  <c r="H60"/>
  <c r="H70"/>
  <c r="H58"/>
  <c r="H68"/>
  <c r="H69"/>
  <c r="L30" i="2"/>
  <c r="J38"/>
  <c r="F40"/>
  <c r="AE30" i="44"/>
  <c r="AH31"/>
  <c r="AQ37" i="2"/>
  <c r="AP12" i="44"/>
  <c r="AD3"/>
  <c r="M41"/>
  <c r="W41" i="2"/>
  <c r="AB38"/>
  <c r="AM36" i="44"/>
  <c r="AD14"/>
  <c r="AB9"/>
  <c r="Z6"/>
  <c r="AD42" i="2"/>
  <c r="M39"/>
  <c r="AO17" i="44"/>
  <c r="I7"/>
  <c r="AC38" i="2"/>
  <c r="L37" i="44"/>
  <c r="R7"/>
  <c r="O36"/>
  <c r="AD38"/>
  <c r="D28" i="2"/>
  <c r="P36" i="44"/>
  <c r="AJ27"/>
  <c r="R39"/>
  <c r="O35" i="2"/>
  <c r="AE36"/>
  <c r="N26" i="44"/>
  <c r="AR17"/>
  <c r="O16"/>
  <c r="AV37" i="2"/>
  <c r="AO39"/>
  <c r="O40" i="44"/>
  <c r="AD27" i="2"/>
  <c r="U17" i="44"/>
  <c r="O11"/>
  <c r="AI12"/>
  <c r="AH34" i="2"/>
  <c r="Q27" i="44"/>
  <c r="S30" i="2"/>
  <c r="R11"/>
  <c r="H16"/>
  <c r="P13"/>
  <c r="R17"/>
  <c r="Q4"/>
  <c r="P17"/>
  <c r="M15"/>
  <c r="P9"/>
  <c r="AR7"/>
  <c r="C35"/>
  <c r="P40"/>
  <c r="O33"/>
  <c r="AQ41"/>
  <c r="AO32" i="44"/>
  <c r="AA4"/>
  <c r="AC40" i="2"/>
  <c r="N15"/>
  <c r="Z9" i="44"/>
  <c r="V28" i="2"/>
  <c r="Q11"/>
  <c r="H14"/>
  <c r="T10" i="44"/>
  <c r="AK39"/>
  <c r="AC39" i="2"/>
  <c r="AM34" i="44"/>
  <c r="O41"/>
  <c r="AU35" i="2"/>
  <c r="AV11"/>
  <c r="AD38"/>
  <c r="AO3"/>
  <c r="AC32" i="44"/>
  <c r="AC8" i="2"/>
  <c r="AG15"/>
  <c r="L139" i="14"/>
  <c r="N9" i="44"/>
  <c r="L27"/>
  <c r="AI40" i="2"/>
  <c r="AF7" i="44"/>
  <c r="AM27" i="2"/>
  <c r="AF3"/>
  <c r="S12"/>
  <c r="AN38"/>
  <c r="O15"/>
  <c r="L124" i="14"/>
  <c r="AE12" i="2"/>
  <c r="AP13"/>
  <c r="AI38" i="44"/>
  <c r="AA16"/>
  <c r="L33"/>
  <c r="G30" i="2"/>
  <c r="U12" i="44"/>
  <c r="N29"/>
  <c r="M41" i="2"/>
  <c r="AS9"/>
  <c r="F30" i="44"/>
  <c r="AM38" i="2"/>
  <c r="O27" i="44"/>
  <c r="I27" i="2"/>
  <c r="E6" i="44"/>
  <c r="R31" i="2"/>
  <c r="AF3" i="44"/>
  <c r="N27" i="2"/>
  <c r="O38" i="44"/>
  <c r="E16"/>
  <c r="AP32"/>
  <c r="AG27" i="2"/>
  <c r="P8" i="44"/>
  <c r="AN30" i="2"/>
  <c r="AF12" i="44"/>
  <c r="P7" i="2"/>
  <c r="AK40"/>
  <c r="V40"/>
  <c r="G8" i="44"/>
  <c r="AT42" i="2"/>
  <c r="AS39"/>
  <c r="AQ14" i="44"/>
  <c r="N38" i="2"/>
  <c r="P15" i="44"/>
  <c r="AK41"/>
  <c r="AE10"/>
  <c r="K36"/>
  <c r="M37"/>
  <c r="C10"/>
  <c r="G6" i="2"/>
  <c r="H31" i="44"/>
  <c r="C9"/>
  <c r="Z12"/>
  <c r="G14"/>
  <c r="AD18"/>
  <c r="I27"/>
  <c r="S26"/>
  <c r="AO36" i="2"/>
  <c r="AF26" i="44"/>
  <c r="I40" i="2"/>
  <c r="AP37" i="44"/>
  <c r="K14" i="2"/>
  <c r="AO12"/>
  <c r="M4" i="44"/>
  <c r="D30"/>
  <c r="P11"/>
  <c r="J16"/>
  <c r="R38" i="2"/>
  <c r="AE34" i="44"/>
  <c r="Z18"/>
  <c r="AQ16"/>
  <c r="F33"/>
  <c r="AT40" i="2"/>
  <c r="AF30" i="44"/>
  <c r="G18"/>
  <c r="M14"/>
  <c r="C39" i="2"/>
  <c r="AJ10"/>
  <c r="H11" i="44"/>
  <c r="R40" i="2"/>
  <c r="K39" i="44"/>
  <c r="AB8"/>
  <c r="S32" i="2"/>
  <c r="AV17"/>
  <c r="AD11"/>
  <c r="AD12" i="44"/>
  <c r="AB7" i="2"/>
  <c r="AB13" i="44"/>
  <c r="S7"/>
  <c r="O35"/>
  <c r="AD4"/>
  <c r="H16"/>
  <c r="H14"/>
  <c r="L15"/>
  <c r="C41"/>
  <c r="AE38" i="2"/>
  <c r="S33"/>
  <c r="P41"/>
  <c r="C4"/>
  <c r="AC11"/>
  <c r="AT36"/>
  <c r="AT30"/>
  <c r="P4" i="44"/>
  <c r="AJ37" i="2"/>
  <c r="P32" i="44"/>
  <c r="AC34" i="2"/>
  <c r="G28"/>
  <c r="AJ27"/>
  <c r="AL36" i="44"/>
  <c r="F14"/>
  <c r="M28" i="2"/>
  <c r="AK36"/>
  <c r="R15"/>
  <c r="L34"/>
  <c r="E41" i="44"/>
  <c r="E34" i="2"/>
  <c r="L27"/>
  <c r="AG18" i="44"/>
  <c r="K27" i="2"/>
  <c r="AM7" i="44"/>
  <c r="AF39" i="2"/>
  <c r="I16" i="44"/>
  <c r="L34"/>
  <c r="M31"/>
  <c r="K15"/>
  <c r="AM37" i="2"/>
  <c r="G18"/>
  <c r="AO33" i="44"/>
  <c r="AB10"/>
  <c r="AD10"/>
  <c r="E36"/>
  <c r="V27" i="2"/>
  <c r="J8"/>
  <c r="AG9" i="44"/>
  <c r="W7" i="2"/>
  <c r="D36"/>
  <c r="N38" i="44"/>
  <c r="AQ37"/>
  <c r="N11"/>
  <c r="D10"/>
  <c r="E33"/>
  <c r="AE33" i="2"/>
  <c r="AR35"/>
  <c r="T36" i="44"/>
  <c r="M34" i="2"/>
  <c r="N36"/>
  <c r="Q27"/>
  <c r="AP33" i="44"/>
  <c r="AQ12"/>
  <c r="AR14"/>
  <c r="AB4" i="2"/>
  <c r="G32"/>
  <c r="AB17" i="44"/>
  <c r="N40" i="2"/>
  <c r="T15"/>
  <c r="F34" i="44"/>
  <c r="U39"/>
  <c r="AR42" i="2"/>
  <c r="AH35" i="44"/>
  <c r="AN15" i="2"/>
  <c r="M37"/>
  <c r="AS3"/>
  <c r="R17" i="44"/>
  <c r="N18"/>
  <c r="AH13" i="2"/>
  <c r="C8" i="44"/>
  <c r="R10" i="2"/>
  <c r="W16"/>
  <c r="AS8"/>
  <c r="AV16"/>
  <c r="O37" i="44"/>
  <c r="N14"/>
  <c r="K37"/>
  <c r="AD36"/>
  <c r="P42" i="2"/>
  <c r="AA8" i="44"/>
  <c r="Q37" i="2"/>
  <c r="AN31" i="44"/>
  <c r="J17" i="2"/>
  <c r="Z26" i="44"/>
  <c r="AQ17"/>
  <c r="AR38" i="2"/>
  <c r="M9" i="44"/>
  <c r="U41"/>
  <c r="AB31" i="2"/>
  <c r="L126" i="14"/>
  <c r="K40" i="44"/>
  <c r="F29"/>
  <c r="AG42" i="2"/>
  <c r="AH11" i="44"/>
  <c r="P6"/>
  <c r="AL35" i="2"/>
  <c r="H37" i="44"/>
  <c r="R37"/>
  <c r="D26"/>
  <c r="R13"/>
  <c r="AK17" i="2"/>
  <c r="AE14"/>
  <c r="AL41"/>
  <c r="AD3"/>
  <c r="AJ10" i="44"/>
  <c r="D8" i="2"/>
  <c r="E8"/>
  <c r="AE4" i="44"/>
  <c r="E28" i="2"/>
  <c r="AB32" i="44"/>
  <c r="H18" i="2"/>
  <c r="AK38" i="44"/>
  <c r="T18"/>
  <c r="R3" i="2"/>
  <c r="AH14"/>
  <c r="Q16"/>
  <c r="G9"/>
  <c r="AD34" i="44"/>
  <c r="AK16" i="2"/>
  <c r="AS33"/>
  <c r="T33"/>
  <c r="J4" i="44"/>
  <c r="AR8"/>
  <c r="F36" i="2"/>
  <c r="AN38" i="44"/>
  <c r="AR26"/>
  <c r="S6" i="2"/>
  <c r="R28"/>
  <c r="AE16"/>
  <c r="AG32"/>
  <c r="AC14"/>
  <c r="T41" i="44"/>
  <c r="M17" i="2"/>
  <c r="U37"/>
  <c r="O33" i="44"/>
  <c r="H3"/>
  <c r="J30" i="2"/>
  <c r="AN34" i="44"/>
  <c r="AL36" i="2"/>
  <c r="K34" i="44"/>
  <c r="P29"/>
  <c r="O42" i="2"/>
  <c r="R18" i="44"/>
  <c r="H17" i="2"/>
  <c r="E7"/>
  <c r="AM17"/>
  <c r="F41"/>
  <c r="E3" i="44"/>
  <c r="G31" i="2"/>
  <c r="AJ42"/>
  <c r="AO11" i="44"/>
  <c r="Q4"/>
  <c r="E13"/>
  <c r="AJ18"/>
  <c r="AT32" i="2"/>
  <c r="L36" i="44"/>
  <c r="AT38" i="2"/>
  <c r="D31" i="44"/>
  <c r="AQ38" i="2"/>
  <c r="AS41"/>
  <c r="AN17" i="44"/>
  <c r="AG17"/>
  <c r="AQ31"/>
  <c r="E35" i="2"/>
  <c r="AU39"/>
  <c r="AA12" i="44"/>
  <c r="AO36"/>
  <c r="K17"/>
  <c r="AC41" i="2"/>
  <c r="AG26" i="44"/>
  <c r="AC17"/>
  <c r="AI34" i="2"/>
  <c r="S28"/>
  <c r="AI35"/>
  <c r="M32"/>
  <c r="L141" i="14"/>
  <c r="AK4" i="44"/>
  <c r="AA13"/>
  <c r="C38" i="2"/>
  <c r="H34" i="44"/>
  <c r="AK40"/>
  <c r="AO30"/>
  <c r="I39" i="2"/>
  <c r="G11" i="44"/>
  <c r="AO34" i="2"/>
  <c r="J27" i="44"/>
  <c r="AH32"/>
  <c r="Q11"/>
  <c r="C31" i="2"/>
  <c r="AO10" i="44"/>
  <c r="F7" i="2"/>
  <c r="AN39" i="44"/>
  <c r="T36" i="2"/>
  <c r="AF29" i="44"/>
  <c r="AJ17"/>
  <c r="H32"/>
  <c r="N34" i="2"/>
  <c r="AK14" i="44"/>
  <c r="AI9"/>
  <c r="N41" i="2"/>
  <c r="AH27" i="44"/>
  <c r="AK30"/>
  <c r="AA29"/>
  <c r="AQ31" i="2"/>
  <c r="N33" i="44"/>
  <c r="AK35"/>
  <c r="L15" i="2"/>
  <c r="G41"/>
  <c r="T34"/>
  <c r="AF38" i="44"/>
  <c r="M35" i="2"/>
  <c r="D36" i="44"/>
  <c r="W33" i="2"/>
  <c r="Z11" i="44"/>
  <c r="AT37" i="2"/>
  <c r="AF42"/>
  <c r="R29" i="44"/>
  <c r="K27"/>
  <c r="AJ35"/>
  <c r="AJ15"/>
  <c r="AD39" i="2"/>
  <c r="G36"/>
  <c r="AO14" i="44"/>
  <c r="O41" i="2"/>
  <c r="AL32"/>
  <c r="F6" i="44"/>
  <c r="G29"/>
  <c r="N34"/>
  <c r="AQ32" i="2"/>
  <c r="I41" i="44"/>
  <c r="U13"/>
  <c r="K6"/>
  <c r="C38"/>
  <c r="N39"/>
  <c r="T37" i="2"/>
  <c r="F12" i="44"/>
  <c r="AI13"/>
  <c r="AK27"/>
  <c r="U42" i="2"/>
  <c r="Q12" i="44"/>
  <c r="G39" i="2"/>
  <c r="AM41"/>
  <c r="AD16" i="44"/>
  <c r="AN32" i="2"/>
  <c r="AM32" i="44"/>
  <c r="AO34"/>
  <c r="P31" i="2"/>
  <c r="AF37"/>
  <c r="J34"/>
  <c r="O6"/>
  <c r="T3"/>
  <c r="M32" i="44"/>
  <c r="AS30" i="2"/>
  <c r="M136" i="14"/>
  <c r="AD15" i="44"/>
  <c r="R6" i="2"/>
  <c r="AN14"/>
  <c r="AA26" i="44"/>
  <c r="AH14"/>
  <c r="L31" i="2"/>
  <c r="R33"/>
  <c r="AO12" i="44"/>
  <c r="AE7" i="2"/>
  <c r="O30"/>
  <c r="AI7"/>
  <c r="AJ13" i="44"/>
  <c r="J38"/>
  <c r="AM4" i="2"/>
  <c r="I14"/>
  <c r="P27"/>
  <c r="Z41" i="44"/>
  <c r="AN18"/>
  <c r="AU27" i="2"/>
  <c r="D37" i="44"/>
  <c r="D16"/>
  <c r="N10"/>
  <c r="L9"/>
  <c r="AN29"/>
  <c r="E26"/>
  <c r="J30"/>
  <c r="AI29"/>
  <c r="AM14"/>
  <c r="U40"/>
  <c r="AJ4"/>
  <c r="AV28" i="2"/>
  <c r="AV39"/>
  <c r="AH6"/>
  <c r="AP6"/>
  <c r="R27" i="44"/>
  <c r="AC26"/>
  <c r="AF15" i="2"/>
  <c r="U30" i="44"/>
  <c r="S39" i="2"/>
  <c r="AR4"/>
  <c r="J15" i="44"/>
  <c r="AE26"/>
  <c r="U27"/>
  <c r="G34"/>
  <c r="AG41" i="2"/>
  <c r="AQ39"/>
  <c r="C7" i="44"/>
  <c r="I29"/>
  <c r="C16"/>
  <c r="AC13"/>
  <c r="T9" i="2"/>
  <c r="AB27" i="44"/>
  <c r="AG35"/>
  <c r="L40" i="2"/>
  <c r="P33"/>
  <c r="AE38" i="44"/>
  <c r="AS12" i="2"/>
  <c r="T17"/>
  <c r="F15" i="44"/>
  <c r="AL37" i="2"/>
  <c r="G4" i="44"/>
  <c r="AG4"/>
  <c r="AI38" i="2"/>
  <c r="AE18" i="44"/>
  <c r="U18"/>
  <c r="T17"/>
  <c r="S10" i="2"/>
  <c r="AR14"/>
  <c r="AD31" i="44"/>
  <c r="AU40" i="2"/>
  <c r="AV13"/>
  <c r="AC32"/>
  <c r="AI9"/>
  <c r="AH36" i="44"/>
  <c r="AC16" i="2"/>
  <c r="AK11"/>
  <c r="N32"/>
  <c r="AB37"/>
  <c r="AE42"/>
  <c r="AN27"/>
  <c r="AC12"/>
  <c r="N36" i="44"/>
  <c r="G32"/>
  <c r="L137" i="14"/>
  <c r="AO7" i="2"/>
  <c r="F27"/>
  <c r="P28"/>
  <c r="H42"/>
  <c r="AQ34" i="44"/>
  <c r="AN35" i="2"/>
  <c r="AE31" i="44"/>
  <c r="U36" i="2"/>
  <c r="I6" i="44"/>
  <c r="AF33"/>
  <c r="AI30"/>
  <c r="E30" i="2"/>
  <c r="O14" i="44"/>
  <c r="O32"/>
  <c r="AC39"/>
  <c r="O38" i="2"/>
  <c r="AF33"/>
  <c r="AM10" i="44"/>
  <c r="N39" i="2"/>
  <c r="E40" i="44"/>
  <c r="AH30"/>
  <c r="T31"/>
  <c r="AH10"/>
  <c r="AE12"/>
  <c r="AL37"/>
  <c r="J31" i="2"/>
  <c r="AP32"/>
  <c r="E8" i="44"/>
  <c r="M33"/>
  <c r="AC35"/>
  <c r="AA33"/>
  <c r="AB41" i="2"/>
  <c r="L130" i="14"/>
  <c r="AB6" i="44"/>
  <c r="AO35"/>
  <c r="L38" i="2"/>
  <c r="K3"/>
  <c r="J37" i="44"/>
  <c r="J33" i="2"/>
  <c r="Z38" i="44"/>
  <c r="Z39"/>
  <c r="AI11"/>
  <c r="M129" i="14"/>
  <c r="AP33" i="2"/>
  <c r="I10" i="44"/>
  <c r="AM3"/>
  <c r="AP18" i="2"/>
  <c r="AK4"/>
  <c r="O10"/>
  <c r="L32" i="44"/>
  <c r="J13" i="2"/>
  <c r="Q3"/>
  <c r="AM14"/>
  <c r="AB32"/>
  <c r="M30"/>
  <c r="AG33"/>
  <c r="S10" i="44"/>
  <c r="AK39" i="2"/>
  <c r="AD32" i="44"/>
  <c r="N30" i="2"/>
  <c r="AT33"/>
  <c r="D35" i="44"/>
  <c r="AE39" i="2"/>
  <c r="AU30"/>
  <c r="J18"/>
  <c r="AJ6" i="44"/>
  <c r="Q39" i="2"/>
  <c r="T39" i="44"/>
  <c r="K38" i="2"/>
  <c r="E39"/>
  <c r="O28"/>
  <c r="F7" i="44"/>
  <c r="AF41"/>
  <c r="M12"/>
  <c r="E32" i="2"/>
  <c r="AV33"/>
  <c r="AN7" i="44"/>
  <c r="P14"/>
  <c r="P27"/>
  <c r="AU37" i="2"/>
  <c r="U38" i="44"/>
  <c r="AI39" i="2"/>
  <c r="T30" i="44"/>
  <c r="D41" i="2"/>
  <c r="AR33" i="44"/>
  <c r="J14"/>
  <c r="AC30"/>
  <c r="AC27"/>
  <c r="AO35" i="2"/>
  <c r="M142" i="14"/>
  <c r="AO6" i="44"/>
  <c r="J33"/>
  <c r="AB30" i="2"/>
  <c r="C6" i="44"/>
  <c r="AO39"/>
  <c r="H30" i="2"/>
  <c r="AM4" i="44"/>
  <c r="W28" i="2"/>
  <c r="AB35" i="44"/>
  <c r="L39"/>
  <c r="AD6"/>
  <c r="AJ38" i="2"/>
  <c r="AD41"/>
  <c r="L37"/>
  <c r="AN34"/>
  <c r="AH33"/>
  <c r="H38" i="44"/>
  <c r="H33" i="2"/>
  <c r="K16"/>
  <c r="AC36" i="44"/>
  <c r="AH15" i="2"/>
  <c r="AS32"/>
  <c r="K29" i="44"/>
  <c r="Q16"/>
  <c r="AI37" i="2"/>
  <c r="G10"/>
  <c r="AJ40"/>
  <c r="AO40" i="44"/>
  <c r="AQ41"/>
  <c r="M133" i="14"/>
  <c r="AE41" i="2"/>
  <c r="AR37"/>
  <c r="AG10" i="44"/>
  <c r="N30"/>
  <c r="W42" i="2"/>
  <c r="T27" i="44"/>
  <c r="AI27"/>
  <c r="AV9" i="2"/>
  <c r="AB30" i="44"/>
  <c r="AL17"/>
  <c r="H33"/>
  <c r="M139" i="14"/>
  <c r="O4" i="44"/>
  <c r="E31"/>
  <c r="AC10"/>
  <c r="AM38"/>
  <c r="AN41" i="2"/>
  <c r="R26" i="44"/>
  <c r="T31" i="2"/>
  <c r="AG34"/>
  <c r="T11" i="44"/>
  <c r="F17"/>
  <c r="J40" i="2"/>
  <c r="AN41" i="44"/>
  <c r="E34"/>
  <c r="T42" i="2"/>
  <c r="AK15" i="44"/>
  <c r="N33" i="2"/>
  <c r="AO26" i="44"/>
  <c r="AF6"/>
  <c r="AH41"/>
  <c r="AR10"/>
  <c r="AJ30" i="2"/>
  <c r="AI37" i="44"/>
  <c r="N41"/>
  <c r="AP39" i="2"/>
  <c r="AJ8" i="44"/>
  <c r="G34" i="2"/>
  <c r="AS36"/>
  <c r="AN10" i="44"/>
  <c r="D42" i="2"/>
  <c r="Q28"/>
  <c r="C37" i="44"/>
  <c r="AQ4"/>
  <c r="S27" i="2"/>
  <c r="O34" i="44"/>
  <c r="AF34" i="2"/>
  <c r="W37"/>
  <c r="AP16" i="44"/>
  <c r="R12"/>
  <c r="T35" i="2"/>
  <c r="AA3" i="44"/>
  <c r="AH8" i="2"/>
  <c r="AL18"/>
  <c r="AH16"/>
  <c r="AH3" i="44"/>
  <c r="AH26"/>
  <c r="K42" i="2"/>
  <c r="L35"/>
  <c r="K7" i="44"/>
  <c r="H13"/>
  <c r="F41"/>
  <c r="AH27" i="2"/>
  <c r="AR18" i="44"/>
  <c r="AD13"/>
  <c r="J29"/>
  <c r="E15"/>
  <c r="O30"/>
  <c r="I31"/>
  <c r="AM31"/>
  <c r="C10" i="2"/>
  <c r="D3"/>
  <c r="W31"/>
  <c r="Q41"/>
  <c r="R38" i="44"/>
  <c r="S38"/>
  <c r="G37" i="2"/>
  <c r="AR39" i="44"/>
  <c r="AC27" i="2"/>
  <c r="L127" i="14"/>
  <c r="F40" i="44"/>
  <c r="AK17"/>
  <c r="I37"/>
  <c r="L3"/>
  <c r="M126" i="14"/>
  <c r="AJ32" i="44"/>
  <c r="AI30" i="2"/>
  <c r="H6" i="44"/>
  <c r="G36"/>
  <c r="AB39" i="2"/>
  <c r="O17"/>
  <c r="U10" i="44"/>
  <c r="Q32"/>
  <c r="T26"/>
  <c r="AR31" i="2"/>
  <c r="L41" i="44"/>
  <c r="J42" i="2"/>
  <c r="AR41"/>
  <c r="T32" i="44"/>
  <c r="AS28" i="2"/>
  <c r="K35"/>
  <c r="Q30" i="44"/>
  <c r="M3" i="2"/>
  <c r="N12"/>
  <c r="Q8"/>
  <c r="E6"/>
  <c r="AQ17"/>
  <c r="S33" i="44"/>
  <c r="S30"/>
  <c r="AQ10"/>
  <c r="AM15" i="2"/>
  <c r="U40"/>
  <c r="Q13"/>
  <c r="L39"/>
  <c r="S27" i="44"/>
  <c r="AE34" i="2"/>
  <c r="N6" i="44"/>
  <c r="E27" i="2"/>
  <c r="AL35" i="44"/>
  <c r="AO7"/>
  <c r="J31"/>
  <c r="O18"/>
  <c r="S42" i="2"/>
  <c r="AP38" i="44"/>
  <c r="AL11"/>
  <c r="T4" i="2"/>
  <c r="M6" i="44"/>
  <c r="AP17" i="2"/>
  <c r="AH10"/>
  <c r="L38" i="44"/>
  <c r="P4" i="2"/>
  <c r="AR18"/>
  <c r="I8" i="44"/>
  <c r="AR4"/>
  <c r="AE6" i="2"/>
  <c r="N11"/>
  <c r="G10" i="44"/>
  <c r="M131" i="14"/>
  <c r="AK33" i="2"/>
  <c r="C18"/>
  <c r="F6"/>
  <c r="AJ6"/>
  <c r="U35"/>
  <c r="M13" i="44"/>
  <c r="O36" i="2"/>
  <c r="D39"/>
  <c r="P37" i="44"/>
  <c r="C14" i="2"/>
  <c r="AL30"/>
  <c r="AD40" i="44"/>
  <c r="AN11"/>
  <c r="U32" i="2"/>
  <c r="P10" i="44"/>
  <c r="AD41"/>
  <c r="AK8"/>
  <c r="J12"/>
  <c r="AM27"/>
  <c r="C33" i="2"/>
  <c r="N37"/>
  <c r="AH4" i="44"/>
  <c r="AM30" i="2"/>
  <c r="AO30"/>
  <c r="AM32"/>
  <c r="AI7" i="44"/>
  <c r="W40" i="2"/>
  <c r="G38"/>
  <c r="AG32" i="44"/>
  <c r="AL39" i="2"/>
  <c r="I11" i="44"/>
  <c r="AR30" i="2"/>
  <c r="AR13" i="44"/>
  <c r="O29"/>
  <c r="D39"/>
  <c r="AB34" i="2"/>
  <c r="I4" i="44"/>
  <c r="S3"/>
  <c r="AM13"/>
  <c r="Q26"/>
  <c r="AD17"/>
  <c r="O31"/>
  <c r="AJ8" i="2"/>
  <c r="AD34"/>
  <c r="AL3" i="44"/>
  <c r="AL12"/>
  <c r="AC7" i="2"/>
  <c r="R27"/>
  <c r="M135" i="14"/>
  <c r="L135"/>
  <c r="G35" i="2"/>
  <c r="M34" i="44"/>
  <c r="T37"/>
  <c r="H17"/>
  <c r="AQ35"/>
  <c r="AQ15" i="2"/>
  <c r="AH35"/>
  <c r="D6"/>
  <c r="AM26" i="44"/>
  <c r="AA15"/>
  <c r="Q7"/>
  <c r="AG37"/>
  <c r="E41" i="2"/>
  <c r="AC33" i="44"/>
  <c r="AR41"/>
  <c r="V39" i="2"/>
  <c r="AV27"/>
  <c r="L42"/>
  <c r="AF37" i="44"/>
  <c r="I30" i="2"/>
  <c r="H10" i="44"/>
  <c r="AC41"/>
  <c r="P17"/>
  <c r="N17"/>
  <c r="AP17"/>
  <c r="H18"/>
  <c r="AI36"/>
  <c r="Q29"/>
  <c r="Q9"/>
  <c r="W34" i="2"/>
  <c r="H34"/>
  <c r="D38" i="44"/>
  <c r="D6"/>
  <c r="I3"/>
  <c r="AD35"/>
  <c r="T13"/>
  <c r="P3"/>
  <c r="AE27" i="2"/>
  <c r="M130" i="14"/>
  <c r="AP31" i="2"/>
  <c r="AK33" i="44"/>
  <c r="N8"/>
  <c r="C26"/>
  <c r="D27"/>
  <c r="T30" i="2"/>
  <c r="AI32" i="44"/>
  <c r="AQ39"/>
  <c r="AP27"/>
  <c r="L136" i="14"/>
  <c r="F35" i="44"/>
  <c r="Q38" i="2"/>
  <c r="K13" i="44"/>
  <c r="AL27" i="2"/>
  <c r="P41" i="44"/>
  <c r="AC14"/>
  <c r="AC37" i="2"/>
  <c r="E40"/>
  <c r="E16"/>
  <c r="AB16"/>
  <c r="R8" i="44"/>
  <c r="D40" i="2"/>
  <c r="AF18" i="44"/>
  <c r="I32" i="2"/>
  <c r="P11"/>
  <c r="V31"/>
  <c r="E18" i="44"/>
  <c r="R33"/>
  <c r="R32" i="2"/>
  <c r="AL8" i="44"/>
  <c r="C31"/>
  <c r="AB7"/>
  <c r="AJ40"/>
  <c r="S13" i="2"/>
  <c r="C40" i="44"/>
  <c r="R12" i="2"/>
  <c r="AH34" i="44"/>
  <c r="AO33" i="2"/>
  <c r="U8" i="44"/>
  <c r="AH29"/>
  <c r="R35"/>
  <c r="AN3"/>
  <c r="AP30" i="2"/>
  <c r="E33"/>
  <c r="AI26" i="44"/>
  <c r="AC42" i="2"/>
  <c r="P34"/>
  <c r="S17" i="44"/>
  <c r="J6"/>
  <c r="T4"/>
  <c r="G40"/>
  <c r="R11"/>
  <c r="AI31" i="2"/>
  <c r="AG40"/>
  <c r="F13" i="44"/>
  <c r="AE13"/>
  <c r="AO41"/>
  <c r="S6"/>
  <c r="AV31" i="2"/>
  <c r="C33" i="44"/>
  <c r="AM40"/>
  <c r="AN6"/>
  <c r="C27"/>
  <c r="AS31" i="2"/>
  <c r="AL18" i="44"/>
  <c r="L129" i="14"/>
  <c r="AR15" i="44"/>
  <c r="AR8" i="2"/>
  <c r="AR9"/>
  <c r="AI36"/>
  <c r="AO40"/>
  <c r="U7" i="44"/>
  <c r="AE6"/>
  <c r="AR39" i="2"/>
  <c r="N12" i="44"/>
  <c r="AS17" i="2"/>
  <c r="AJ17"/>
  <c r="AI4" i="44"/>
  <c r="AG7" i="2"/>
  <c r="AO9" i="44"/>
  <c r="T35"/>
  <c r="N27"/>
  <c r="E27"/>
  <c r="U16"/>
  <c r="N4"/>
  <c r="P16"/>
  <c r="AK15" i="2"/>
  <c r="AO11"/>
  <c r="G17"/>
  <c r="F28"/>
  <c r="V32"/>
  <c r="AD8"/>
  <c r="AF32"/>
  <c r="AR28"/>
  <c r="AH32"/>
  <c r="E38" i="44"/>
  <c r="O17"/>
  <c r="AO28" i="2"/>
  <c r="O6" i="44"/>
  <c r="E14"/>
  <c r="T12"/>
  <c r="AH16"/>
  <c r="H35" i="2"/>
  <c r="S31"/>
  <c r="N7" i="44"/>
  <c r="H28" i="2"/>
  <c r="AI42"/>
  <c r="Q14" i="44"/>
  <c r="AD8"/>
  <c r="AP34"/>
  <c r="AL29"/>
  <c r="E37"/>
  <c r="AA41"/>
  <c r="AM8" i="2"/>
  <c r="AB18" i="44"/>
  <c r="AJ35" i="2"/>
  <c r="E4"/>
  <c r="AQ40" i="44"/>
  <c r="I15" i="2"/>
  <c r="F36" i="44"/>
  <c r="K9" i="2"/>
  <c r="H4"/>
  <c r="AS10"/>
  <c r="AO3" i="44"/>
  <c r="R35" i="2"/>
  <c r="AI32"/>
  <c r="J7" i="44"/>
  <c r="AB14"/>
  <c r="AK31"/>
  <c r="I38" i="2"/>
  <c r="AP12"/>
  <c r="AO27"/>
  <c r="E3"/>
  <c r="AQ40"/>
  <c r="AO32"/>
  <c r="M16"/>
  <c r="AC6"/>
  <c r="AE39" i="44"/>
  <c r="AF14" i="2"/>
  <c r="R30"/>
  <c r="P12" i="44"/>
  <c r="R13" i="2"/>
  <c r="AJ14"/>
  <c r="AE10"/>
  <c r="AO4"/>
  <c r="AK26" i="44"/>
  <c r="AQ35" i="2"/>
  <c r="AI16"/>
  <c r="AI8" i="44"/>
  <c r="AR27"/>
  <c r="H11" i="2"/>
  <c r="I11"/>
  <c r="L13"/>
  <c r="S35"/>
  <c r="AB17"/>
  <c r="O40"/>
  <c r="F26" i="44"/>
  <c r="AF32"/>
  <c r="M40" i="2"/>
  <c r="AI33" i="44"/>
  <c r="AH40" i="2"/>
  <c r="AC16" i="44"/>
  <c r="F32"/>
  <c r="AH39" i="2"/>
  <c r="M27"/>
  <c r="I12" i="44"/>
  <c r="AD15" i="2"/>
  <c r="AS35"/>
  <c r="Q18"/>
  <c r="AJ34"/>
  <c r="AJ31"/>
  <c r="AH30"/>
  <c r="AL39" i="44"/>
  <c r="P26"/>
  <c r="AL6" i="2"/>
  <c r="AL17"/>
  <c r="H27"/>
  <c r="AE27" i="44"/>
  <c r="AF14"/>
  <c r="D35" i="2"/>
  <c r="AG16" i="44"/>
  <c r="N8" i="2"/>
  <c r="AJ37" i="44"/>
  <c r="AQ28" i="2"/>
  <c r="AV40"/>
  <c r="F4"/>
  <c r="W18"/>
  <c r="O26" i="44"/>
  <c r="AN42" i="2"/>
  <c r="P37"/>
  <c r="F37"/>
  <c r="AN8"/>
  <c r="AS13"/>
  <c r="AP26" i="44"/>
  <c r="R34"/>
  <c r="AI10" i="2"/>
  <c r="AR12" i="44"/>
  <c r="E14" i="2"/>
  <c r="P9" i="44"/>
  <c r="K7" i="2"/>
  <c r="AM29" i="44"/>
  <c r="AC3"/>
  <c r="Z4"/>
  <c r="AN40"/>
  <c r="AK34" i="2"/>
  <c r="R15" i="44"/>
  <c r="AJ15" i="2"/>
  <c r="AS37"/>
  <c r="F9"/>
  <c r="AO18" i="44"/>
  <c r="AP7" i="2"/>
  <c r="AF15" i="44"/>
  <c r="M33" i="2"/>
  <c r="AL16" i="44"/>
  <c r="K32"/>
  <c r="AL31" i="2"/>
  <c r="R4" i="44"/>
  <c r="AM10" i="2"/>
  <c r="S36" i="44"/>
  <c r="AE11"/>
  <c r="AP10" i="2"/>
  <c r="AN33" i="44"/>
  <c r="M17"/>
  <c r="F17" i="2"/>
  <c r="N14"/>
  <c r="C40"/>
  <c r="AT28"/>
  <c r="AP31" i="44"/>
  <c r="AL14"/>
  <c r="T3"/>
  <c r="AG8"/>
  <c r="T33"/>
  <c r="AG29"/>
  <c r="N28" i="2"/>
  <c r="Q30"/>
  <c r="L142" i="14"/>
  <c r="AD28" i="2"/>
  <c r="AB15" i="44"/>
  <c r="S4" i="2"/>
  <c r="J32"/>
  <c r="AV42"/>
  <c r="AN9" i="44"/>
  <c r="AP40"/>
  <c r="I42" i="2"/>
  <c r="AA39" i="44"/>
  <c r="L11" i="2"/>
  <c r="AP28"/>
  <c r="D31"/>
  <c r="F3"/>
  <c r="AQ36" i="44"/>
  <c r="AQ29"/>
  <c r="AE29"/>
  <c r="K31"/>
  <c r="D7"/>
  <c r="AN37" i="2"/>
  <c r="E13"/>
  <c r="AD27" i="44"/>
  <c r="AU34" i="2"/>
  <c r="AG15" i="44"/>
  <c r="AO18" i="2"/>
  <c r="Q34"/>
  <c r="AB36" i="44"/>
  <c r="G16"/>
  <c r="F34" i="2"/>
  <c r="AL3"/>
  <c r="AO8"/>
  <c r="AQ8"/>
  <c r="G12"/>
  <c r="AG37"/>
  <c r="F18"/>
  <c r="AP35"/>
  <c r="AE37" i="44"/>
  <c r="Q10" i="2"/>
  <c r="J8" i="44"/>
  <c r="AQ27"/>
  <c r="AE32" i="2"/>
  <c r="AD36"/>
  <c r="Q6" i="44"/>
  <c r="K40" i="2"/>
  <c r="L36"/>
  <c r="AG3" i="44"/>
  <c r="AI13" i="2"/>
  <c r="H38"/>
  <c r="D7"/>
  <c r="AG38" i="44"/>
  <c r="G31"/>
  <c r="M30"/>
  <c r="AL40"/>
  <c r="AJ4" i="2"/>
  <c r="AS4"/>
  <c r="AB35"/>
  <c r="AJ38" i="44"/>
  <c r="Z13"/>
  <c r="AB11" i="2"/>
  <c r="C28"/>
  <c r="AF27"/>
  <c r="C18" i="44"/>
  <c r="J32"/>
  <c r="Z31"/>
  <c r="AQ3" i="2"/>
  <c r="M127" i="14"/>
  <c r="AI16" i="44"/>
  <c r="AQ12" i="2"/>
  <c r="E17" i="44"/>
  <c r="J11" i="2"/>
  <c r="G12" i="44"/>
  <c r="I14"/>
  <c r="AJ16"/>
  <c r="I28" i="2"/>
  <c r="AM28"/>
  <c r="D10"/>
  <c r="M9"/>
  <c r="AD31"/>
  <c r="AE17"/>
  <c r="W30"/>
  <c r="AL12"/>
  <c r="AE7" i="44"/>
  <c r="AD35" i="2"/>
  <c r="AM16" i="44"/>
  <c r="E9" i="2"/>
  <c r="AP41" i="44"/>
  <c r="E4"/>
  <c r="AE36"/>
  <c r="AO37" i="2"/>
  <c r="F30"/>
  <c r="L7"/>
  <c r="Q33"/>
  <c r="AP15"/>
  <c r="AL32" i="44"/>
  <c r="T6"/>
  <c r="S17" i="2"/>
  <c r="AO13" i="44"/>
  <c r="I17" i="2"/>
  <c r="AD7"/>
  <c r="AQ7"/>
  <c r="AQ4"/>
  <c r="G38" i="44"/>
  <c r="F18"/>
  <c r="AJ36" i="2"/>
  <c r="AK38"/>
  <c r="Z33" i="44"/>
  <c r="O12" i="2"/>
  <c r="AA32" i="44"/>
  <c r="K10" i="2"/>
  <c r="N37" i="44"/>
  <c r="AM37"/>
  <c r="AL6"/>
  <c r="S41"/>
  <c r="AJ9"/>
  <c r="D16" i="2"/>
  <c r="AR6"/>
  <c r="T40"/>
  <c r="AN18"/>
  <c r="H7" i="44"/>
  <c r="AB36" i="2"/>
  <c r="F10" i="44"/>
  <c r="R14"/>
  <c r="K41" i="2"/>
  <c r="AJ39"/>
  <c r="E9" i="44"/>
  <c r="J36"/>
  <c r="N3"/>
  <c r="I31" i="2"/>
  <c r="AK30"/>
  <c r="AC30"/>
  <c r="N31"/>
  <c r="C30" i="44"/>
  <c r="AC33" i="2"/>
  <c r="AF27" i="44"/>
  <c r="AK14" i="2"/>
  <c r="J40" i="44"/>
  <c r="AG18" i="2"/>
  <c r="K12" i="44"/>
  <c r="AK35" i="2"/>
  <c r="AG3"/>
  <c r="AF35" i="44"/>
  <c r="M26"/>
  <c r="E39"/>
  <c r="AL4"/>
  <c r="AH38"/>
  <c r="AP34" i="2"/>
  <c r="K30" i="44"/>
  <c r="E42" i="2"/>
  <c r="AN30" i="44"/>
  <c r="AN7" i="2"/>
  <c r="AC28"/>
  <c r="AB37" i="44"/>
  <c r="AO16" i="2"/>
  <c r="AQ13"/>
  <c r="AE18"/>
  <c r="AF31"/>
  <c r="W17"/>
  <c r="AH13" i="44"/>
  <c r="L41" i="2"/>
  <c r="D41" i="44"/>
  <c r="AU32" i="2"/>
  <c r="H41" i="44"/>
  <c r="F10" i="2"/>
  <c r="M10" i="44"/>
  <c r="G13"/>
  <c r="AB3"/>
  <c r="L29"/>
  <c r="AN40" i="2"/>
  <c r="P30"/>
  <c r="AP40"/>
  <c r="AB18"/>
  <c r="AQ30"/>
  <c r="AO14"/>
  <c r="C7"/>
  <c r="AF28"/>
  <c r="J39" i="44"/>
  <c r="AB9" i="2"/>
  <c r="AR11" i="44"/>
  <c r="G26"/>
  <c r="AP29"/>
  <c r="AV10" i="2"/>
  <c r="AI17" i="44"/>
  <c r="N3" i="2"/>
  <c r="R34"/>
  <c r="I35" i="44"/>
  <c r="H39" i="2"/>
  <c r="K9" i="44"/>
  <c r="H31" i="2"/>
  <c r="F35"/>
  <c r="L128" i="14"/>
  <c r="Q33" i="44"/>
  <c r="AF18" i="2"/>
  <c r="AI18"/>
  <c r="S40"/>
  <c r="H8" i="44"/>
  <c r="U37"/>
  <c r="Q39"/>
  <c r="G37"/>
  <c r="V34" i="2"/>
  <c r="AI28"/>
  <c r="AN3"/>
  <c r="K39"/>
  <c r="D12" i="44"/>
  <c r="S38" i="2"/>
  <c r="N35"/>
  <c r="P35" i="44"/>
  <c r="O27" i="2"/>
  <c r="U32" i="44"/>
  <c r="AC38"/>
  <c r="U11"/>
  <c r="P38"/>
  <c r="AN14"/>
  <c r="AO42" i="2"/>
  <c r="S7"/>
  <c r="AR37" i="44"/>
  <c r="AP10"/>
  <c r="S34"/>
  <c r="L143" i="14"/>
  <c r="AH37" i="2"/>
  <c r="AM16"/>
  <c r="P34" i="44"/>
  <c r="G7" i="2"/>
  <c r="C36" i="44"/>
  <c r="AF11"/>
  <c r="U4"/>
  <c r="R4" i="2"/>
  <c r="O4"/>
  <c r="AK37" i="44"/>
  <c r="G14" i="2"/>
  <c r="Z29" i="44"/>
  <c r="E11" i="2"/>
  <c r="AD33"/>
  <c r="AK32" i="44"/>
  <c r="AD9" i="2"/>
  <c r="AO31" i="44"/>
  <c r="Q35" i="2"/>
  <c r="W12"/>
  <c r="M15" i="44"/>
  <c r="K16"/>
  <c r="AK9"/>
  <c r="AG27"/>
  <c r="N4" i="2"/>
  <c r="W3"/>
  <c r="AQ9"/>
  <c r="AN17"/>
  <c r="AE9" i="44"/>
  <c r="AP11" i="2"/>
  <c r="G33" i="44"/>
  <c r="J41" i="2"/>
  <c r="Q36" i="44"/>
  <c r="AE33"/>
  <c r="AO6" i="2"/>
  <c r="AN15" i="44"/>
  <c r="AI18"/>
  <c r="U31"/>
  <c r="AU28" i="2"/>
  <c r="AJ30" i="44"/>
  <c r="AR35"/>
  <c r="AN32"/>
  <c r="Q18"/>
  <c r="L13"/>
  <c r="M143" i="14"/>
  <c r="AC35" i="2"/>
  <c r="AQ33"/>
  <c r="P6"/>
  <c r="AG11" i="44"/>
  <c r="AF12" i="2"/>
  <c r="AE15"/>
  <c r="K15"/>
  <c r="AH12"/>
  <c r="AF35"/>
  <c r="AR12"/>
  <c r="S8" i="44"/>
  <c r="AI3"/>
  <c r="AO15" i="2"/>
  <c r="AE16" i="44"/>
  <c r="AC12"/>
  <c r="C6" i="2"/>
  <c r="H3"/>
  <c r="AK8"/>
  <c r="AM17" i="44"/>
  <c r="G35"/>
  <c r="N6" i="2"/>
  <c r="AB14"/>
  <c r="AE13"/>
  <c r="T11"/>
  <c r="AV4"/>
  <c r="F8"/>
  <c r="AA37" i="44"/>
  <c r="C11"/>
  <c r="K8"/>
  <c r="AG39"/>
  <c r="AR40" i="2"/>
  <c r="AS6"/>
  <c r="F14"/>
  <c r="C17"/>
  <c r="P18"/>
  <c r="AJ26" i="44"/>
  <c r="D15"/>
  <c r="W14" i="2"/>
  <c r="AF39" i="44"/>
  <c r="AE9" i="2"/>
  <c r="AD9" i="44"/>
  <c r="D14" i="2"/>
  <c r="V33"/>
  <c r="L6"/>
  <c r="P3"/>
  <c r="AL10" i="44"/>
  <c r="N15"/>
  <c r="J3"/>
  <c r="AQ15"/>
  <c r="T38"/>
  <c r="Z32"/>
  <c r="L14"/>
  <c r="AR3" i="2"/>
  <c r="AN12" i="44"/>
  <c r="AM39" i="2"/>
  <c r="AR36" i="44"/>
  <c r="AQ34" i="2"/>
  <c r="AM18" i="44"/>
  <c r="S16"/>
  <c r="AO38" i="2"/>
  <c r="AC11" i="44"/>
  <c r="AI31"/>
  <c r="AL42" i="2"/>
  <c r="J35"/>
  <c r="V37"/>
  <c r="AS40"/>
  <c r="J13" i="44"/>
  <c r="H37" i="2"/>
  <c r="AG34" i="44"/>
  <c r="AE40"/>
  <c r="AL31"/>
  <c r="G4" i="2"/>
  <c r="AJ18"/>
  <c r="AF16" i="44"/>
  <c r="S18"/>
  <c r="J34"/>
  <c r="D34"/>
  <c r="S37"/>
  <c r="Z7"/>
  <c r="G30"/>
  <c r="AM9"/>
  <c r="R9" i="2"/>
  <c r="Q9"/>
  <c r="AE40"/>
  <c r="AD32"/>
  <c r="AA17" i="44"/>
  <c r="W38" i="2"/>
  <c r="Z30" i="44"/>
  <c r="AJ12"/>
  <c r="AK16"/>
  <c r="AQ27" i="2"/>
  <c r="U27"/>
  <c r="AP8"/>
  <c r="M138" i="14"/>
  <c r="O13" i="44"/>
  <c r="AK12"/>
  <c r="AB27" i="2"/>
  <c r="AA34" i="44"/>
  <c r="AH7" i="2"/>
  <c r="AM35" i="44"/>
  <c r="I26"/>
  <c r="O9"/>
  <c r="L14" i="2"/>
  <c r="T29" i="44"/>
  <c r="Q13"/>
  <c r="O31" i="2"/>
  <c r="AB15"/>
  <c r="AG28"/>
  <c r="AK28"/>
  <c r="M134" i="14"/>
  <c r="D34" i="2"/>
  <c r="AU38"/>
  <c r="AH28"/>
  <c r="AF6"/>
  <c r="AR13"/>
  <c r="AV15"/>
  <c r="AR16"/>
  <c r="AK13"/>
  <c r="L134" i="14"/>
  <c r="AJ12" i="2"/>
  <c r="J10" i="44"/>
  <c r="F39"/>
  <c r="T15"/>
  <c r="AL15"/>
  <c r="E10"/>
  <c r="Q38"/>
  <c r="H32" i="2"/>
  <c r="H27" i="44"/>
  <c r="AM11"/>
  <c r="AB13" i="2"/>
  <c r="M8"/>
  <c r="Q32"/>
  <c r="M140" i="14"/>
  <c r="L10" i="44"/>
  <c r="S37" i="2"/>
  <c r="L35" i="44"/>
  <c r="AO41" i="2"/>
  <c r="D9" i="44"/>
  <c r="L6"/>
  <c r="AV38" i="2"/>
  <c r="I9"/>
  <c r="C30"/>
  <c r="E15"/>
  <c r="AD4"/>
  <c r="M31"/>
  <c r="K41" i="44"/>
  <c r="L8" i="2"/>
  <c r="AB10"/>
  <c r="AM6" i="44"/>
  <c r="K11"/>
  <c r="AJ16" i="2"/>
  <c r="AE8" i="44"/>
  <c r="AM18" i="2"/>
  <c r="AI6"/>
  <c r="AJ11" i="44"/>
  <c r="AJ29"/>
  <c r="C8" i="2"/>
  <c r="J9"/>
  <c r="AG4"/>
  <c r="I17" i="44"/>
  <c r="L138" i="14"/>
  <c r="AL26" i="44"/>
  <c r="AD40" i="2"/>
  <c r="W27"/>
  <c r="T38"/>
  <c r="AJ39" i="44"/>
  <c r="AC34"/>
  <c r="AC8"/>
  <c r="R30"/>
  <c r="AE3" i="2"/>
  <c r="AR16" i="44"/>
  <c r="P31"/>
  <c r="R41"/>
  <c r="AG33"/>
  <c r="AR31"/>
  <c r="AC31" i="2"/>
  <c r="AD37"/>
  <c r="AK9"/>
  <c r="AH15" i="44"/>
  <c r="AH4" i="2"/>
  <c r="E7" i="44"/>
  <c r="I18"/>
  <c r="AN8"/>
  <c r="H39"/>
  <c r="P36" i="2"/>
  <c r="I35"/>
  <c r="R37"/>
  <c r="AM3"/>
  <c r="E10"/>
  <c r="AJ41" i="44"/>
  <c r="K36" i="2"/>
  <c r="AD30"/>
  <c r="G9" i="44"/>
  <c r="H12"/>
  <c r="AP18"/>
  <c r="O13" i="2"/>
  <c r="AQ3" i="44"/>
  <c r="L11"/>
  <c r="G41"/>
  <c r="G15"/>
  <c r="AT41" i="2"/>
  <c r="AR3" i="44"/>
  <c r="T32" i="2"/>
  <c r="S9"/>
  <c r="V41"/>
  <c r="AA10" i="44"/>
  <c r="S29"/>
  <c r="AN37"/>
  <c r="L33" i="2"/>
  <c r="AJ3"/>
  <c r="AL28"/>
  <c r="K34"/>
  <c r="AL30" i="44"/>
  <c r="M7" i="2"/>
  <c r="K4" i="44"/>
  <c r="AU33" i="2"/>
  <c r="T16"/>
  <c r="Q7"/>
  <c r="AB12" i="44"/>
  <c r="AM39"/>
  <c r="M29"/>
  <c r="U33"/>
  <c r="Z40"/>
  <c r="AK12" i="2"/>
  <c r="AQ10"/>
  <c r="AK7"/>
  <c r="AK18" i="44"/>
  <c r="AI12" i="2"/>
  <c r="AL34"/>
  <c r="C12"/>
  <c r="AS18"/>
  <c r="M14"/>
  <c r="R14"/>
  <c r="AO37" i="44"/>
  <c r="AO16"/>
  <c r="AF17"/>
  <c r="AP37" i="2"/>
  <c r="E29" i="44"/>
  <c r="C4"/>
  <c r="N31"/>
  <c r="S16" i="2"/>
  <c r="Q31"/>
  <c r="O12" i="44"/>
  <c r="AH38" i="2"/>
  <c r="AE4"/>
  <c r="AP4"/>
  <c r="AL13"/>
  <c r="AC31" i="44"/>
  <c r="H6" i="2"/>
  <c r="AR30" i="44"/>
  <c r="H13" i="2"/>
  <c r="R41"/>
  <c r="L17"/>
  <c r="AB41" i="44"/>
  <c r="L12"/>
  <c r="J12" i="2"/>
  <c r="AJ11"/>
  <c r="AL38"/>
  <c r="I13"/>
  <c r="M4"/>
  <c r="AH7" i="44"/>
  <c r="AJ33"/>
  <c r="AG12" i="2"/>
  <c r="AE15" i="44"/>
  <c r="AL14" i="2"/>
  <c r="AR15"/>
  <c r="R8"/>
  <c r="M42"/>
  <c r="AJ31" i="44"/>
  <c r="AH12"/>
  <c r="AI14"/>
  <c r="C34" i="2"/>
  <c r="AB31" i="44"/>
  <c r="R40"/>
  <c r="U29"/>
  <c r="L32" i="2"/>
  <c r="AD33" i="44"/>
  <c r="P10" i="2"/>
  <c r="AM15" i="44"/>
  <c r="N32"/>
  <c r="AN4"/>
  <c r="AS7" i="2"/>
  <c r="AR38" i="44"/>
  <c r="AB11"/>
  <c r="S34" i="2"/>
  <c r="AM9"/>
  <c r="AP16"/>
  <c r="AQ14"/>
  <c r="AG6" i="44"/>
  <c r="S15" i="2"/>
  <c r="AG36" i="44"/>
  <c r="E38" i="2"/>
  <c r="G15"/>
  <c r="P39"/>
  <c r="L132" i="14"/>
  <c r="M38" i="44"/>
  <c r="R32"/>
  <c r="M18" i="2"/>
  <c r="AM11"/>
  <c r="AV18"/>
  <c r="AR40" i="44"/>
  <c r="AF30" i="2"/>
  <c r="AF16"/>
  <c r="F27" i="44"/>
  <c r="AF13"/>
  <c r="AG6" i="2"/>
  <c r="AH37" i="44"/>
  <c r="M10" i="2"/>
  <c r="AC4"/>
  <c r="AR32" i="44"/>
  <c r="M13" i="2"/>
  <c r="D17"/>
  <c r="AK29" i="44"/>
  <c r="AF38" i="2"/>
  <c r="U6" i="44"/>
  <c r="AN6" i="2"/>
  <c r="K11"/>
  <c r="AQ6" i="44"/>
  <c r="AD13" i="2"/>
  <c r="M38"/>
  <c r="L4"/>
  <c r="AN13" i="44"/>
  <c r="H15"/>
  <c r="H30"/>
  <c r="AI15" i="2"/>
  <c r="AO10"/>
  <c r="AH39" i="44"/>
  <c r="N18" i="2"/>
  <c r="D18"/>
  <c r="S14"/>
  <c r="H40" i="44"/>
  <c r="H26"/>
  <c r="I13"/>
  <c r="T28" i="2"/>
  <c r="AE35" i="44"/>
  <c r="J4" i="2"/>
  <c r="D18" i="44"/>
  <c r="W6" i="2"/>
  <c r="O16"/>
  <c r="Q15"/>
  <c r="AL15"/>
  <c r="AE14" i="44"/>
  <c r="AQ32"/>
  <c r="P32" i="2"/>
  <c r="O39" i="44"/>
  <c r="AG7"/>
  <c r="AF10"/>
  <c r="AC9" i="2"/>
  <c r="AB33" i="44"/>
  <c r="AL33"/>
  <c r="L17"/>
  <c r="C13"/>
  <c r="AV3" i="2"/>
  <c r="AL9" i="44"/>
  <c r="C15"/>
  <c r="L18" i="2"/>
  <c r="I16"/>
  <c r="N35" i="44"/>
  <c r="AN13" i="2"/>
  <c r="AI10" i="44"/>
  <c r="AM12" i="2"/>
  <c r="AD7" i="44"/>
  <c r="AP9" i="2"/>
  <c r="H7"/>
  <c r="T7" i="44"/>
  <c r="H9"/>
  <c r="AQ8"/>
  <c r="AC29"/>
  <c r="D32" i="2"/>
  <c r="AN36"/>
  <c r="F38"/>
  <c r="AS34"/>
  <c r="L12"/>
  <c r="AE41" i="44"/>
  <c r="AB26"/>
  <c r="P16" i="2"/>
  <c r="AL16"/>
  <c r="M3" i="44"/>
  <c r="P18"/>
  <c r="AV30" i="2"/>
  <c r="AE30"/>
  <c r="C15"/>
  <c r="I12"/>
  <c r="AM12" i="44"/>
  <c r="G42" i="2"/>
  <c r="K18" i="44"/>
  <c r="F11"/>
  <c r="AK41" i="2"/>
  <c r="K38" i="44"/>
  <c r="AQ36" i="2"/>
  <c r="Q14"/>
  <c r="U31"/>
  <c r="AF40"/>
  <c r="M141" i="14"/>
  <c r="N40" i="44"/>
  <c r="Z16"/>
  <c r="AN35"/>
  <c r="C35"/>
  <c r="C3"/>
  <c r="AM35" i="2"/>
  <c r="Z17" i="44"/>
  <c r="AP15"/>
  <c r="R18" i="2"/>
  <c r="AI15" i="44"/>
  <c r="K17" i="2"/>
  <c r="AK34" i="44"/>
  <c r="U35"/>
  <c r="Q42" i="2"/>
  <c r="L8" i="44"/>
  <c r="R36"/>
  <c r="S41" i="2"/>
  <c r="AP27"/>
  <c r="AM36"/>
  <c r="AF17"/>
  <c r="K33"/>
  <c r="AL41" i="44"/>
  <c r="I33"/>
  <c r="AI35"/>
  <c r="AR9"/>
  <c r="H41" i="2"/>
  <c r="C27"/>
  <c r="H36"/>
  <c r="S3"/>
  <c r="AV32"/>
  <c r="N13"/>
  <c r="G27"/>
  <c r="AM6"/>
  <c r="AS42"/>
  <c r="AV7"/>
  <c r="C36"/>
  <c r="AT27"/>
  <c r="O9"/>
  <c r="AF40" i="44"/>
  <c r="AF9"/>
  <c r="L10" i="2"/>
  <c r="AE17" i="44"/>
  <c r="AQ18" i="2"/>
  <c r="AN16" i="44"/>
  <c r="AV8" i="2"/>
  <c r="AP13" i="44"/>
  <c r="J9"/>
  <c r="K10"/>
  <c r="AG38" i="2"/>
  <c r="S36"/>
  <c r="AJ7" i="44"/>
  <c r="AD6" i="2"/>
  <c r="J41" i="44"/>
  <c r="AF31"/>
  <c r="S18" i="2"/>
  <c r="AD10"/>
  <c r="AE35"/>
  <c r="I37"/>
  <c r="AD26" i="44"/>
  <c r="AC13" i="2"/>
  <c r="AB4" i="44"/>
  <c r="U34" i="2"/>
  <c r="AC17"/>
  <c r="AC3"/>
  <c r="AL8"/>
  <c r="AF13"/>
  <c r="O37"/>
  <c r="AN36" i="44"/>
  <c r="U38" i="2"/>
  <c r="AK31"/>
  <c r="U41"/>
  <c r="J39"/>
  <c r="C9"/>
  <c r="AG36"/>
  <c r="W11"/>
  <c r="AF8" i="44"/>
  <c r="J10" i="2"/>
  <c r="AI34" i="44"/>
  <c r="F13" i="2"/>
  <c r="AR17"/>
  <c r="AA35" i="44"/>
  <c r="AR33" i="2"/>
  <c r="AV34"/>
  <c r="W8"/>
  <c r="S11"/>
  <c r="G3" i="44"/>
  <c r="D8"/>
  <c r="AG31" i="2"/>
  <c r="I33"/>
  <c r="L7" i="44"/>
  <c r="AC15"/>
  <c r="L133" i="14"/>
  <c r="O7" i="2"/>
  <c r="AP4" i="44"/>
  <c r="AK6" i="2"/>
  <c r="K3" i="44"/>
  <c r="Q35"/>
  <c r="AA18"/>
  <c r="AK7"/>
  <c r="F3"/>
  <c r="W4" i="2"/>
  <c r="AG8"/>
  <c r="AT34"/>
  <c r="C29" i="44"/>
  <c r="O32" i="2"/>
  <c r="AC18"/>
  <c r="AR6" i="44"/>
  <c r="AS14" i="2"/>
  <c r="AB3"/>
  <c r="AB40" i="44"/>
  <c r="Q17"/>
  <c r="G33" i="2"/>
  <c r="AE31"/>
  <c r="C17" i="44"/>
  <c r="S4"/>
  <c r="D11"/>
  <c r="AE11" i="2"/>
  <c r="AJ34" i="44"/>
  <c r="L31"/>
  <c r="K13" i="2"/>
  <c r="H9"/>
  <c r="S14" i="44"/>
  <c r="AO8"/>
  <c r="C13" i="2"/>
  <c r="F16"/>
  <c r="AQ26" i="44"/>
  <c r="AP42" i="2"/>
  <c r="F39"/>
  <c r="Z37" i="44"/>
  <c r="V38" i="2"/>
  <c r="F8" i="44"/>
  <c r="R36" i="2"/>
  <c r="AA7" i="44"/>
  <c r="AI14" i="2"/>
  <c r="AB39" i="44"/>
  <c r="T13" i="2"/>
  <c r="E31"/>
  <c r="S39" i="44"/>
  <c r="Q17" i="2"/>
  <c r="AC9" i="44"/>
  <c r="AG13" i="2"/>
  <c r="I38" i="44"/>
  <c r="AV14" i="2"/>
  <c r="C39" i="44"/>
  <c r="O39" i="2"/>
  <c r="D13" i="44"/>
  <c r="J15" i="2"/>
  <c r="M27" i="44"/>
  <c r="G7"/>
  <c r="AI33" i="2"/>
  <c r="R16" i="44"/>
  <c r="AA14"/>
  <c r="AH36" i="2"/>
  <c r="AC40" i="44"/>
  <c r="AP39"/>
  <c r="O8"/>
  <c r="AG14" i="2"/>
  <c r="AD16"/>
  <c r="H15"/>
  <c r="J14"/>
  <c r="AH6" i="44"/>
  <c r="AI6"/>
  <c r="U28" i="2"/>
  <c r="AS15"/>
  <c r="AG17"/>
  <c r="G40"/>
  <c r="AR27"/>
  <c r="AP3"/>
  <c r="AN4"/>
  <c r="D38"/>
  <c r="U34" i="44"/>
  <c r="AG39" i="2"/>
  <c r="D17" i="44"/>
  <c r="F31"/>
  <c r="K37" i="2"/>
  <c r="AI11"/>
  <c r="D32" i="44"/>
  <c r="AH40"/>
  <c r="AI4" i="2"/>
  <c r="AK36" i="44"/>
  <c r="AD37"/>
  <c r="D30" i="2"/>
  <c r="J37"/>
  <c r="U26" i="44"/>
  <c r="M12" i="2"/>
  <c r="AC4" i="44"/>
  <c r="G6"/>
  <c r="AQ6" i="2"/>
  <c r="T27"/>
  <c r="F12"/>
  <c r="L28"/>
  <c r="N9"/>
  <c r="D33" i="44"/>
  <c r="AK11"/>
  <c r="J27" i="2"/>
  <c r="AF36"/>
  <c r="O10" i="44"/>
  <c r="O18" i="2"/>
  <c r="E36"/>
  <c r="M36" i="44"/>
  <c r="E12"/>
  <c r="AK3"/>
  <c r="D15" i="2"/>
  <c r="Z8" i="44"/>
  <c r="S31"/>
  <c r="F31" i="2"/>
  <c r="AB6"/>
  <c r="AT31"/>
  <c r="AK32"/>
  <c r="AB40"/>
  <c r="D4" i="44"/>
  <c r="I9"/>
  <c r="I34" i="2"/>
  <c r="S11" i="44"/>
  <c r="AR29"/>
  <c r="L26"/>
  <c r="AA9"/>
  <c r="T39" i="2"/>
  <c r="AG30" i="44"/>
  <c r="I39"/>
  <c r="P7"/>
  <c r="I32"/>
  <c r="AS38" i="2"/>
  <c r="D3" i="44"/>
  <c r="T8" i="2"/>
  <c r="AA40" i="44"/>
  <c r="AN26"/>
  <c r="AB38"/>
  <c r="U39" i="2"/>
  <c r="U36" i="44"/>
  <c r="T8"/>
  <c r="Q36" i="2"/>
  <c r="AQ7" i="44"/>
  <c r="M39"/>
  <c r="J18"/>
  <c r="AB12" i="2"/>
  <c r="AV12"/>
  <c r="AJ7"/>
  <c r="AJ28"/>
  <c r="AM34"/>
  <c r="AC36"/>
  <c r="V36"/>
  <c r="AP30" i="44"/>
  <c r="AO13" i="2"/>
  <c r="J28"/>
  <c r="AF8"/>
  <c r="J36"/>
  <c r="AJ9"/>
  <c r="AU36"/>
  <c r="AH18"/>
  <c r="AG14" i="44"/>
  <c r="AF4"/>
  <c r="Z3"/>
  <c r="AQ11" i="2"/>
  <c r="AL10"/>
  <c r="M132" i="14"/>
  <c r="J26" i="44"/>
  <c r="AG12"/>
  <c r="Q12" i="2"/>
  <c r="AV6"/>
  <c r="AF41"/>
  <c r="AD39" i="44"/>
  <c r="AN9" i="2"/>
  <c r="U15" i="44"/>
  <c r="K6" i="2"/>
  <c r="AN27" i="44"/>
  <c r="AV36" i="2"/>
  <c r="AO9"/>
  <c r="AQ42"/>
  <c r="AO15" i="44"/>
  <c r="AL40" i="2"/>
  <c r="R10" i="44"/>
  <c r="G8" i="2"/>
  <c r="AH41"/>
  <c r="E32" i="44"/>
  <c r="J6" i="2"/>
  <c r="H29" i="44"/>
  <c r="AG16" i="2"/>
  <c r="D11"/>
  <c r="AG40" i="44"/>
  <c r="AA31"/>
  <c r="Q10"/>
  <c r="M11" i="2"/>
  <c r="AK3"/>
  <c r="P33" i="44"/>
  <c r="P39"/>
  <c r="L40"/>
  <c r="P30"/>
  <c r="AC10" i="2"/>
  <c r="AG11"/>
  <c r="C16"/>
  <c r="AJ36" i="44"/>
  <c r="U3"/>
  <c r="I10" i="2"/>
  <c r="AA30" i="44"/>
  <c r="H40" i="2"/>
  <c r="L3"/>
  <c r="G39" i="44"/>
  <c r="AT35" i="2"/>
  <c r="R39"/>
  <c r="D4"/>
  <c r="R3" i="44"/>
  <c r="AL34"/>
  <c r="AJ13" i="2"/>
  <c r="AB29" i="44"/>
  <c r="S8" i="2"/>
  <c r="R16"/>
  <c r="AL11"/>
  <c r="W9"/>
  <c r="AS16"/>
  <c r="AP8" i="44"/>
  <c r="AB34"/>
  <c r="U33" i="2"/>
  <c r="R7"/>
  <c r="J16"/>
  <c r="K35" i="44"/>
  <c r="M124" i="14"/>
  <c r="AI40" i="44"/>
  <c r="AE28" i="2"/>
  <c r="AF11"/>
  <c r="AP3" i="44"/>
  <c r="AH8"/>
  <c r="I41" i="2"/>
  <c r="Z14" i="44"/>
  <c r="AM40" i="2"/>
  <c r="Z36" i="44"/>
  <c r="V42" i="2"/>
  <c r="AP14" i="44"/>
  <c r="P12" i="2"/>
  <c r="H35" i="44"/>
  <c r="M8"/>
  <c r="H8" i="2"/>
  <c r="AH17" i="44"/>
  <c r="AA27"/>
  <c r="AO31" i="2"/>
  <c r="AQ33" i="44"/>
  <c r="AL7" i="2"/>
  <c r="AO4" i="44"/>
  <c r="AN31" i="2"/>
  <c r="M18" i="44"/>
  <c r="G27"/>
  <c r="O3"/>
  <c r="L131" i="14"/>
  <c r="K33" i="44"/>
  <c r="N42" i="2"/>
  <c r="AQ38" i="44"/>
  <c r="Q41"/>
  <c r="AP36"/>
  <c r="AR36" i="2"/>
  <c r="P40" i="44"/>
  <c r="S13"/>
  <c r="P15" i="2"/>
  <c r="AH9" i="44"/>
  <c r="Q40" i="2"/>
  <c r="AK27"/>
  <c r="O14"/>
  <c r="S12" i="44"/>
  <c r="F33" i="2"/>
  <c r="J7"/>
  <c r="M128" i="14"/>
  <c r="Z35" i="44"/>
  <c r="U14"/>
  <c r="M137" i="14"/>
  <c r="V30" i="2"/>
  <c r="AC7" i="44"/>
  <c r="AE8" i="2"/>
  <c r="AV35"/>
  <c r="M7" i="44"/>
  <c r="Q40"/>
  <c r="C37" i="2"/>
  <c r="I6"/>
  <c r="P35"/>
  <c r="E11" i="44"/>
  <c r="AJ3"/>
  <c r="U9"/>
  <c r="AD11"/>
  <c r="AI41"/>
  <c r="F37"/>
  <c r="K32" i="2"/>
  <c r="D37"/>
  <c r="H12"/>
  <c r="L140" i="14"/>
  <c r="W10" i="2"/>
  <c r="AG35"/>
  <c r="O7" i="44"/>
  <c r="AE37" i="2"/>
  <c r="AH31"/>
  <c r="H10"/>
  <c r="AD14"/>
  <c r="S9" i="44"/>
  <c r="AU41" i="2"/>
  <c r="I36" i="44"/>
  <c r="F38"/>
  <c r="Q15"/>
  <c r="AP9"/>
  <c r="AI3" i="2"/>
  <c r="T9" i="44"/>
  <c r="AN10" i="2"/>
  <c r="N17"/>
  <c r="AF34" i="44"/>
  <c r="E30"/>
  <c r="AB28" i="2"/>
  <c r="AD17"/>
  <c r="N7"/>
  <c r="AG31" i="44"/>
  <c r="E17" i="2"/>
  <c r="AN11"/>
  <c r="R9" i="44"/>
  <c r="AI41" i="2"/>
  <c r="I40" i="44"/>
  <c r="T10" i="2"/>
  <c r="W13"/>
  <c r="AM8" i="44"/>
  <c r="AN28" i="2"/>
  <c r="P38"/>
  <c r="Z34" i="44"/>
  <c r="L18"/>
  <c r="M11"/>
  <c r="AH17" i="2"/>
  <c r="K28"/>
  <c r="AH11"/>
  <c r="G16"/>
  <c r="M16" i="44"/>
  <c r="E35"/>
  <c r="AM33"/>
  <c r="AJ41" i="2"/>
  <c r="AQ11" i="44"/>
  <c r="J17"/>
  <c r="I36" i="2"/>
  <c r="D9"/>
  <c r="AI39" i="44"/>
  <c r="O11" i="2"/>
  <c r="N16"/>
  <c r="AJ33"/>
  <c r="AB8"/>
  <c r="AD12"/>
  <c r="T41"/>
  <c r="T18"/>
  <c r="T6"/>
  <c r="AK42"/>
  <c r="F15"/>
  <c r="AH42"/>
  <c r="N16" i="44"/>
  <c r="AL9" i="2"/>
  <c r="AE3" i="44"/>
  <c r="O15"/>
  <c r="N13"/>
  <c r="AG41"/>
  <c r="C12"/>
  <c r="AP41" i="2"/>
  <c r="AQ30" i="44"/>
  <c r="AK10"/>
  <c r="AN39" i="2"/>
  <c r="AG30"/>
  <c r="J11" i="44"/>
  <c r="AP6"/>
  <c r="AP38" i="2"/>
  <c r="M40" i="44"/>
  <c r="AL4" i="2"/>
  <c r="T12"/>
  <c r="AK13" i="44"/>
  <c r="AR32" i="2"/>
  <c r="L9"/>
  <c r="F9" i="44"/>
  <c r="AO38"/>
  <c r="AC6"/>
  <c r="AO27"/>
  <c r="AP36" i="2"/>
  <c r="AR7" i="44"/>
  <c r="S40"/>
  <c r="K31" i="2"/>
  <c r="M35" i="44"/>
  <c r="AQ18"/>
  <c r="L30"/>
  <c r="F42" i="2"/>
  <c r="L16"/>
  <c r="AM42"/>
  <c r="AF36" i="44"/>
  <c r="C14"/>
  <c r="AF9" i="2"/>
  <c r="AT39"/>
  <c r="AR11"/>
  <c r="J35" i="44"/>
  <c r="W36" i="2"/>
  <c r="AR10"/>
  <c r="C3"/>
  <c r="D14" i="44"/>
  <c r="Q34"/>
  <c r="AC15" i="2"/>
  <c r="V35"/>
  <c r="S32" i="44"/>
  <c r="AH9" i="2"/>
  <c r="AB42"/>
  <c r="AL38" i="44"/>
  <c r="AH18"/>
  <c r="F11" i="2"/>
  <c r="AI17"/>
  <c r="F16" i="44"/>
  <c r="AV41" i="2"/>
  <c r="O8"/>
  <c r="H4" i="44"/>
  <c r="K14"/>
  <c r="K4" i="2"/>
  <c r="G11"/>
  <c r="G13"/>
  <c r="C34" i="44"/>
  <c r="L4"/>
  <c r="U30" i="2"/>
  <c r="W39"/>
  <c r="W35"/>
  <c r="R6" i="44"/>
  <c r="Q37"/>
  <c r="AP7"/>
  <c r="AC37"/>
  <c r="AP14" i="2"/>
  <c r="G3"/>
  <c r="AN12"/>
  <c r="AK10"/>
  <c r="AG9"/>
  <c r="AM33"/>
  <c r="W32"/>
  <c r="AQ13" i="44"/>
  <c r="D27" i="2"/>
  <c r="Q3" i="44"/>
  <c r="D40"/>
  <c r="AM30"/>
  <c r="I18" i="2"/>
  <c r="AG10"/>
  <c r="AL13" i="44"/>
  <c r="Q8"/>
  <c r="Z27"/>
  <c r="AQ16" i="2"/>
  <c r="C41"/>
  <c r="AI8"/>
  <c r="AB33"/>
  <c r="L16" i="44"/>
  <c r="AK37" i="2"/>
  <c r="AD30" i="44"/>
  <c r="K8" i="2"/>
  <c r="AA6" i="44"/>
  <c r="Z10"/>
  <c r="AQ9"/>
  <c r="I3" i="2"/>
  <c r="I34" i="44"/>
  <c r="P14" i="2"/>
  <c r="AH3"/>
  <c r="H36" i="44"/>
  <c r="F32" i="2"/>
  <c r="AN33"/>
  <c r="AJ32"/>
  <c r="Q31" i="44"/>
  <c r="AO29"/>
  <c r="D29"/>
  <c r="T40"/>
  <c r="S15"/>
  <c r="R31"/>
  <c r="R42" i="2"/>
  <c r="AC18" i="44"/>
  <c r="F4"/>
  <c r="I7" i="2"/>
  <c r="AH33" i="44"/>
  <c r="AP11"/>
  <c r="T14"/>
  <c r="P13"/>
  <c r="T7" i="2"/>
  <c r="AG13" i="44"/>
  <c r="AS27" i="2"/>
  <c r="J3"/>
  <c r="AK18"/>
  <c r="E37"/>
  <c r="O34"/>
  <c r="AA11" i="44"/>
  <c r="AA38"/>
  <c r="AU42" i="2"/>
  <c r="Z15" i="44"/>
  <c r="T34"/>
  <c r="T14" i="2"/>
  <c r="AD29" i="44"/>
  <c r="W15" i="2"/>
  <c r="AI27"/>
  <c r="AP35" i="44"/>
  <c r="AL7"/>
  <c r="AS11" i="2"/>
  <c r="K26" i="44"/>
  <c r="N10" i="2"/>
  <c r="M36"/>
  <c r="AM13"/>
  <c r="K12"/>
  <c r="P8"/>
  <c r="AF10"/>
  <c r="D12"/>
  <c r="K30"/>
  <c r="AR34" i="44"/>
  <c r="E18" i="2"/>
  <c r="AJ14" i="44"/>
  <c r="AL27"/>
  <c r="O3" i="2"/>
  <c r="AF7"/>
  <c r="AN16"/>
  <c r="I8"/>
  <c r="I4"/>
  <c r="D33"/>
  <c r="AR34"/>
  <c r="I30" i="44"/>
  <c r="C42" i="2"/>
  <c r="S35" i="44"/>
  <c r="AM41"/>
  <c r="AO17" i="2"/>
  <c r="G17" i="44"/>
  <c r="AM31" i="2"/>
  <c r="AE32" i="44"/>
  <c r="E12" i="2"/>
  <c r="K18"/>
  <c r="AB16" i="44"/>
  <c r="D13" i="2"/>
  <c r="C32" i="44"/>
  <c r="C11" i="2"/>
  <c r="Q6"/>
  <c r="AL33"/>
  <c r="AD18"/>
  <c r="I15" i="44"/>
  <c r="AK6"/>
  <c r="AA36"/>
  <c r="AF4" i="2"/>
  <c r="M6"/>
  <c r="AU31"/>
  <c r="T16" i="44"/>
  <c r="C32" i="2"/>
  <c r="AM7"/>
  <c r="K44" i="44" l="1"/>
  <c r="AS46" i="2"/>
  <c r="AH22"/>
  <c r="AG22" s="1"/>
  <c r="Q21" i="44"/>
  <c r="D46" i="2"/>
  <c r="G22"/>
  <c r="C22"/>
  <c r="AE21" i="44"/>
  <c r="AJ21"/>
  <c r="AN43" i="2"/>
  <c r="AN46" s="1"/>
  <c r="O21" i="44"/>
  <c r="AP21"/>
  <c r="AO43" i="2"/>
  <c r="AO46" s="1"/>
  <c r="R21" i="44"/>
  <c r="L22" i="2"/>
  <c r="U21" i="44"/>
  <c r="AK22" i="2"/>
  <c r="J44" i="44"/>
  <c r="AH43" i="2"/>
  <c r="AH46" s="1"/>
  <c r="Z21" i="44"/>
  <c r="AN44"/>
  <c r="D21"/>
  <c r="L44"/>
  <c r="AK21"/>
  <c r="T46" i="2"/>
  <c r="U44" i="44"/>
  <c r="AP22" i="2"/>
  <c r="AR46"/>
  <c r="AQ44" i="44"/>
  <c r="AB22" i="2"/>
  <c r="F21" i="44"/>
  <c r="K21"/>
  <c r="M43" i="2"/>
  <c r="M46" s="1"/>
  <c r="G21" i="44"/>
  <c r="AC22" i="2"/>
  <c r="AD44" i="44"/>
  <c r="G46" i="2"/>
  <c r="S22"/>
  <c r="C46"/>
  <c r="AP46"/>
  <c r="C21" i="44"/>
  <c r="AG43" i="2"/>
  <c r="AG46" s="1"/>
  <c r="M21" i="44"/>
  <c r="AB44"/>
  <c r="AV22" i="2"/>
  <c r="H44" i="44"/>
  <c r="I43" i="2"/>
  <c r="I46" s="1"/>
  <c r="AJ22"/>
  <c r="AI22" s="1"/>
  <c r="AR21" i="44"/>
  <c r="AQ21"/>
  <c r="AM22" i="2"/>
  <c r="AE22"/>
  <c r="AL44" i="44"/>
  <c r="E43" i="2"/>
  <c r="E46" s="1"/>
  <c r="I44" i="44"/>
  <c r="AB46" i="2"/>
  <c r="AD43"/>
  <c r="AD46" s="1"/>
  <c r="AQ46"/>
  <c r="AR22"/>
  <c r="J21" i="44"/>
  <c r="P22" i="2"/>
  <c r="O22" s="1"/>
  <c r="AJ44" i="44"/>
  <c r="AI21"/>
  <c r="W22" i="2"/>
  <c r="O43"/>
  <c r="O46" s="1"/>
  <c r="N22"/>
  <c r="G44" i="44"/>
  <c r="AB21"/>
  <c r="M44"/>
  <c r="N21"/>
  <c r="AK43" i="2"/>
  <c r="AK46" s="1"/>
  <c r="AQ22"/>
  <c r="AF46"/>
  <c r="AG21" i="44"/>
  <c r="AL22" i="2"/>
  <c r="F22"/>
  <c r="U43"/>
  <c r="U46" s="1"/>
  <c r="T21" i="44"/>
  <c r="AC21"/>
  <c r="AP44"/>
  <c r="O44"/>
  <c r="P44"/>
  <c r="F44"/>
  <c r="AK44"/>
  <c r="E22" i="2"/>
  <c r="AO21" i="44"/>
  <c r="J43" i="2"/>
  <c r="J46" s="1"/>
  <c r="AI44" i="44"/>
  <c r="AN21"/>
  <c r="C44"/>
  <c r="P21"/>
  <c r="I21"/>
  <c r="AM44"/>
  <c r="R46" i="2"/>
  <c r="AL21" i="44"/>
  <c r="Q44"/>
  <c r="S21"/>
  <c r="M22" i="2"/>
  <c r="T44" i="44"/>
  <c r="AV43" i="2"/>
  <c r="AV46" s="1"/>
  <c r="L21" i="44"/>
  <c r="L43" i="2"/>
  <c r="L46" s="1"/>
  <c r="AC46"/>
  <c r="D22"/>
  <c r="AH44" i="44"/>
  <c r="AH21"/>
  <c r="AA21"/>
  <c r="S46" i="2"/>
  <c r="AO44" i="44"/>
  <c r="R44"/>
  <c r="AE43" i="2"/>
  <c r="AE46" s="1"/>
  <c r="AL43"/>
  <c r="AL46" s="1"/>
  <c r="AT43"/>
  <c r="AT46" s="1"/>
  <c r="Q22"/>
  <c r="AM21" i="44"/>
  <c r="AI43" i="2"/>
  <c r="AI46" s="1"/>
  <c r="K22"/>
  <c r="J22" s="1"/>
  <c r="I22" s="1"/>
  <c r="H22" s="1"/>
  <c r="AE44" i="44"/>
  <c r="AC44"/>
  <c r="E44"/>
  <c r="AU46" i="2"/>
  <c r="AA44" i="44"/>
  <c r="T22" i="2"/>
  <c r="H43"/>
  <c r="H46" s="1"/>
  <c r="AG44" i="44"/>
  <c r="E21"/>
  <c r="H21"/>
  <c r="AR44"/>
  <c r="R22" i="2"/>
  <c r="AD22"/>
  <c r="D44" i="44"/>
  <c r="W43" i="2"/>
  <c r="W46" s="1"/>
  <c r="Z44" i="44"/>
  <c r="AS22" i="2"/>
  <c r="Q46"/>
  <c r="V46"/>
  <c r="K46"/>
  <c r="AJ46"/>
  <c r="AF44" i="44"/>
  <c r="S44"/>
  <c r="N46" i="2"/>
  <c r="AF21" i="44"/>
  <c r="P43" i="2"/>
  <c r="P46" s="1"/>
  <c r="AF22"/>
  <c r="AM46"/>
  <c r="F43"/>
  <c r="F46" s="1"/>
  <c r="AO22"/>
  <c r="AN22" s="1"/>
  <c r="N44" i="44"/>
  <c r="AD21"/>
  <c r="D63" i="26"/>
  <c r="D62"/>
  <c r="D65"/>
  <c r="H63" i="30"/>
  <c r="H73"/>
  <c r="D61" i="26"/>
  <c r="E52"/>
  <c r="E112"/>
  <c r="E215"/>
  <c r="E181"/>
  <c r="C32"/>
  <c r="B188"/>
  <c r="C208"/>
  <c r="B32"/>
  <c r="E188"/>
  <c r="D215"/>
  <c r="E173"/>
  <c r="D188"/>
  <c r="D214"/>
  <c r="B52"/>
  <c r="B112"/>
  <c r="D52"/>
  <c r="D112"/>
  <c r="B172"/>
  <c r="C181"/>
  <c r="C174"/>
  <c r="E172"/>
  <c r="C173"/>
  <c r="E32"/>
  <c r="D220"/>
  <c r="D181"/>
  <c r="C184"/>
  <c r="C112"/>
  <c r="C52"/>
  <c r="E218"/>
  <c r="E184"/>
  <c r="D31"/>
  <c r="E217"/>
  <c r="B174"/>
  <c r="D217"/>
  <c r="B173"/>
  <c r="D172"/>
  <c r="B181"/>
  <c r="C31"/>
  <c r="E220"/>
  <c r="D32"/>
  <c r="C172"/>
  <c r="D218"/>
  <c r="D173"/>
  <c r="C188"/>
  <c r="E31"/>
  <c r="B184"/>
  <c r="D184"/>
  <c r="D216"/>
  <c r="B31"/>
  <c r="E216"/>
  <c r="E214"/>
  <c r="B208"/>
  <c r="D174"/>
  <c r="E174"/>
  <c r="Y43" i="2" l="1"/>
  <c r="AI21"/>
  <c r="E538" i="41"/>
  <c r="F1041" s="1"/>
  <c r="E5"/>
  <c r="F508" s="1"/>
  <c r="B209" i="26"/>
  <c r="K539" i="41"/>
  <c r="J539"/>
  <c r="L539"/>
  <c r="B38" i="26"/>
  <c r="B39" s="1"/>
  <c r="B108" s="1"/>
  <c r="B109" s="1"/>
  <c r="D185"/>
  <c r="D186" s="1"/>
  <c r="D187" s="1"/>
  <c r="D189" s="1"/>
  <c r="B4" i="41" s="1"/>
  <c r="B185" i="26"/>
  <c r="B186" s="1"/>
  <c r="B187" s="1"/>
  <c r="B189" s="1"/>
  <c r="B3" i="41" s="1"/>
  <c r="E4"/>
  <c r="F71" s="1"/>
  <c r="Q12"/>
  <c r="B44" i="42"/>
  <c r="B182" i="26"/>
  <c r="E3" i="41"/>
  <c r="F416" s="1"/>
  <c r="B5" i="42"/>
  <c r="Q9" i="41"/>
  <c r="B6" i="42"/>
  <c r="Q542" i="41"/>
  <c r="D38" i="26"/>
  <c r="D39" s="1"/>
  <c r="D108" s="1"/>
  <c r="D109" s="1"/>
  <c r="J10" i="41" s="1"/>
  <c r="E185" i="26"/>
  <c r="E186" s="1"/>
  <c r="E187" s="1"/>
  <c r="E189" s="1"/>
  <c r="B537" i="41" s="1"/>
  <c r="Q545"/>
  <c r="C54" i="26"/>
  <c r="C53"/>
  <c r="C114"/>
  <c r="C113"/>
  <c r="C185"/>
  <c r="C186" s="1"/>
  <c r="C187" s="1"/>
  <c r="C189" s="1"/>
  <c r="B536" i="41" s="1"/>
  <c r="D182" i="26"/>
  <c r="B45" i="42"/>
  <c r="E536" i="41"/>
  <c r="B46" i="42"/>
  <c r="C182" i="26"/>
  <c r="B4" i="42"/>
  <c r="D113" i="26"/>
  <c r="D114"/>
  <c r="D54"/>
  <c r="D53"/>
  <c r="B114"/>
  <c r="B113"/>
  <c r="B54"/>
  <c r="B53"/>
  <c r="K6" i="41"/>
  <c r="L6"/>
  <c r="J6"/>
  <c r="B5"/>
  <c r="B6" s="1"/>
  <c r="E537"/>
  <c r="B538"/>
  <c r="B539" s="1"/>
  <c r="L938" s="1"/>
  <c r="B175" i="26"/>
  <c r="B176" s="1"/>
  <c r="C209"/>
  <c r="E182"/>
  <c r="M544" i="41" s="1"/>
  <c r="E113" i="26"/>
  <c r="E114"/>
  <c r="E53"/>
  <c r="E54"/>
  <c r="F506" i="41"/>
  <c r="F509"/>
  <c r="F185"/>
  <c r="F501"/>
  <c r="F510"/>
  <c r="F134"/>
  <c r="F97"/>
  <c r="F513"/>
  <c r="F450"/>
  <c r="F24"/>
  <c r="F356"/>
  <c r="F139"/>
  <c r="L1010"/>
  <c r="F284"/>
  <c r="F463"/>
  <c r="F398"/>
  <c r="F412"/>
  <c r="F244"/>
  <c r="L918"/>
  <c r="L834"/>
  <c r="L676"/>
  <c r="L649"/>
  <c r="L752"/>
  <c r="L726"/>
  <c r="L961"/>
  <c r="L890"/>
  <c r="L672"/>
  <c r="L964"/>
  <c r="L671"/>
  <c r="L720"/>
  <c r="L762"/>
  <c r="L982"/>
  <c r="L875"/>
  <c r="L561"/>
  <c r="L962"/>
  <c r="L869"/>
  <c r="L1001"/>
  <c r="L594"/>
  <c r="L901"/>
  <c r="L773"/>
  <c r="L922"/>
  <c r="L778"/>
  <c r="L564"/>
  <c r="L861"/>
  <c r="L635"/>
  <c r="L617"/>
  <c r="L603"/>
  <c r="L785"/>
  <c r="L605"/>
  <c r="L599"/>
  <c r="L1057"/>
  <c r="L896"/>
  <c r="L839"/>
  <c r="L767"/>
  <c r="L1004"/>
  <c r="L1016"/>
  <c r="L707"/>
  <c r="L1038"/>
  <c r="L774"/>
  <c r="L987"/>
  <c r="L666"/>
  <c r="L1059"/>
  <c r="L560"/>
  <c r="L818"/>
  <c r="L715"/>
  <c r="L975"/>
  <c r="L1007"/>
  <c r="L556"/>
  <c r="L629"/>
  <c r="L959"/>
  <c r="L845"/>
  <c r="L832"/>
  <c r="L670"/>
  <c r="L972"/>
  <c r="L772"/>
  <c r="L652"/>
  <c r="L1003"/>
  <c r="L790"/>
  <c r="L996"/>
  <c r="L1034"/>
  <c r="L930"/>
  <c r="L867"/>
  <c r="L723"/>
  <c r="L1012"/>
  <c r="L1014"/>
  <c r="L1032"/>
  <c r="L998"/>
  <c r="L657"/>
  <c r="L851"/>
  <c r="L948"/>
  <c r="L639"/>
  <c r="L933"/>
  <c r="L609"/>
  <c r="L559"/>
  <c r="L557"/>
  <c r="L1056"/>
  <c r="L850"/>
  <c r="L924"/>
  <c r="L739"/>
  <c r="L1058"/>
  <c r="L912"/>
  <c r="L932"/>
  <c r="L770"/>
  <c r="L601"/>
  <c r="L814"/>
  <c r="L760"/>
  <c r="L625"/>
  <c r="L1018"/>
  <c r="L710"/>
  <c r="L750"/>
  <c r="L981"/>
  <c r="L897"/>
  <c r="L947"/>
  <c r="L730"/>
  <c r="L854"/>
  <c r="L865"/>
  <c r="F485"/>
  <c r="L789"/>
  <c r="L864"/>
  <c r="L958"/>
  <c r="L600"/>
  <c r="L679"/>
  <c r="L873"/>
  <c r="L1011"/>
  <c r="L615"/>
  <c r="L665"/>
  <c r="L858"/>
  <c r="L745"/>
  <c r="L824"/>
  <c r="L910"/>
  <c r="L798"/>
  <c r="L1005"/>
  <c r="L951"/>
  <c r="L647"/>
  <c r="L1033"/>
  <c r="L940"/>
  <c r="L979"/>
  <c r="L742"/>
  <c r="L713"/>
  <c r="L728"/>
  <c r="L768"/>
  <c r="L967"/>
  <c r="L1055"/>
  <c r="L908"/>
  <c r="L644"/>
  <c r="L880"/>
  <c r="L691"/>
  <c r="L907"/>
  <c r="L613"/>
  <c r="L1013"/>
  <c r="L931"/>
  <c r="L643"/>
  <c r="L988"/>
  <c r="L868"/>
  <c r="F512"/>
  <c r="L674"/>
  <c r="L725"/>
  <c r="L955"/>
  <c r="L624"/>
  <c r="L740"/>
  <c r="L914"/>
  <c r="L804"/>
  <c r="L1048"/>
  <c r="L686"/>
  <c r="L746"/>
  <c r="L575"/>
  <c r="L782"/>
  <c r="L684"/>
  <c r="L816"/>
  <c r="L935"/>
  <c r="L1030"/>
  <c r="L640"/>
  <c r="L673"/>
  <c r="L870"/>
  <c r="L846"/>
  <c r="L983"/>
  <c r="L621"/>
  <c r="L689"/>
  <c r="L899"/>
  <c r="L711"/>
  <c r="L936"/>
  <c r="L622"/>
  <c r="L576"/>
  <c r="L993"/>
  <c r="L852"/>
  <c r="L836"/>
  <c r="L984"/>
  <c r="L769"/>
  <c r="L805"/>
  <c r="L747"/>
  <c r="F478"/>
  <c r="L997"/>
  <c r="L942"/>
  <c r="L1029"/>
  <c r="L925"/>
  <c r="L966"/>
  <c r="L714"/>
  <c r="L1031"/>
  <c r="L607"/>
  <c r="L587"/>
  <c r="L701"/>
  <c r="L976"/>
  <c r="L566"/>
  <c r="L741"/>
  <c r="L637"/>
  <c r="L1054"/>
  <c r="L803"/>
  <c r="L952"/>
  <c r="L945"/>
  <c r="L974"/>
  <c r="L781"/>
  <c r="L949"/>
  <c r="L578"/>
  <c r="L623"/>
  <c r="L802"/>
  <c r="L582"/>
  <c r="L695"/>
  <c r="L766"/>
  <c r="L597"/>
  <c r="L894"/>
  <c r="L995"/>
  <c r="L1002"/>
  <c r="L986"/>
  <c r="L991"/>
  <c r="L787"/>
  <c r="L876"/>
  <c r="L927"/>
  <c r="L943"/>
  <c r="L801"/>
  <c r="L1009"/>
  <c r="L1047"/>
  <c r="L727"/>
  <c r="L813"/>
  <c r="L900"/>
  <c r="L898"/>
  <c r="L596"/>
  <c r="F249"/>
  <c r="L614"/>
  <c r="L737"/>
  <c r="L606"/>
  <c r="L744"/>
  <c r="L562"/>
  <c r="F156"/>
  <c r="L857"/>
  <c r="L1022"/>
  <c r="L664"/>
  <c r="L862"/>
  <c r="L877"/>
  <c r="L806"/>
  <c r="L589"/>
  <c r="L703"/>
  <c r="L879"/>
  <c r="L696"/>
  <c r="F40"/>
  <c r="F328"/>
  <c r="L1017"/>
  <c r="L718"/>
  <c r="L697"/>
  <c r="L843"/>
  <c r="L989"/>
  <c r="L791"/>
  <c r="L817"/>
  <c r="L915"/>
  <c r="L788"/>
  <c r="L636"/>
  <c r="L1040"/>
  <c r="L992"/>
  <c r="L821"/>
  <c r="L755"/>
  <c r="L712"/>
  <c r="L754"/>
  <c r="L904"/>
  <c r="L780"/>
  <c r="L1061"/>
  <c r="L732"/>
  <c r="L553"/>
  <c r="L950"/>
  <c r="L887"/>
  <c r="L810"/>
  <c r="L849"/>
  <c r="L698"/>
  <c r="L978"/>
  <c r="L675"/>
  <c r="L650"/>
  <c r="L552"/>
  <c r="L822"/>
  <c r="L604"/>
  <c r="L1026"/>
  <c r="L794"/>
  <c r="L1060"/>
  <c r="L628"/>
  <c r="L1046"/>
  <c r="L968"/>
  <c r="L759"/>
  <c r="L1041"/>
  <c r="F500"/>
  <c r="F105"/>
  <c r="F152"/>
  <c r="F481"/>
  <c r="F127"/>
  <c r="L838"/>
  <c r="L763"/>
  <c r="L1015"/>
  <c r="L729"/>
  <c r="L733"/>
  <c r="L792"/>
  <c r="L1044"/>
  <c r="L591"/>
  <c r="L662"/>
  <c r="L573"/>
  <c r="L856"/>
  <c r="L874"/>
  <c r="L658"/>
  <c r="L891"/>
  <c r="L971"/>
  <c r="L618"/>
  <c r="L829"/>
  <c r="L709"/>
  <c r="L895"/>
  <c r="L771"/>
  <c r="L820"/>
  <c r="L627"/>
  <c r="L994"/>
  <c r="L708"/>
  <c r="L656"/>
  <c r="L667"/>
  <c r="L1008"/>
  <c r="L809"/>
  <c r="L844"/>
  <c r="L716"/>
  <c r="L840"/>
  <c r="L884"/>
  <c r="L944"/>
  <c r="L841"/>
  <c r="L906"/>
  <c r="L903"/>
  <c r="F507"/>
  <c r="F53"/>
  <c r="F387"/>
  <c r="F233"/>
  <c r="L965"/>
  <c r="L831"/>
  <c r="L970"/>
  <c r="L783"/>
  <c r="L581"/>
  <c r="L717"/>
  <c r="L799"/>
  <c r="L551"/>
  <c r="F376"/>
  <c r="F211"/>
  <c r="F267"/>
  <c r="F135"/>
  <c r="F222"/>
  <c r="F472"/>
  <c r="L811"/>
  <c r="L626"/>
  <c r="L1051"/>
  <c r="L885"/>
  <c r="L848"/>
  <c r="L602"/>
  <c r="L954"/>
  <c r="F445"/>
  <c r="F25"/>
  <c r="F159"/>
  <c r="F26"/>
  <c r="F255"/>
  <c r="F523"/>
  <c r="L872"/>
  <c r="L1039"/>
  <c r="L736"/>
  <c r="L937"/>
  <c r="L579"/>
  <c r="L842"/>
  <c r="L1000"/>
  <c r="F64"/>
  <c r="F166"/>
  <c r="F344"/>
  <c r="F147"/>
  <c r="F103"/>
  <c r="F144"/>
  <c r="F36"/>
  <c r="F174"/>
  <c r="F60"/>
  <c r="F117"/>
  <c r="F291"/>
  <c r="F27"/>
  <c r="F471"/>
  <c r="L1035"/>
  <c r="L1024"/>
  <c r="L610"/>
  <c r="L738"/>
  <c r="L570"/>
  <c r="L917"/>
  <c r="L721"/>
  <c r="F170"/>
  <c r="F38"/>
  <c r="F349"/>
  <c r="F209"/>
  <c r="F169"/>
  <c r="F529"/>
  <c r="F102"/>
  <c r="F260"/>
  <c r="F423"/>
  <c r="F479"/>
  <c r="F245"/>
  <c r="F168"/>
  <c r="F59"/>
  <c r="F271"/>
  <c r="F322"/>
  <c r="F430"/>
  <c r="F31"/>
  <c r="L590"/>
  <c r="F186"/>
  <c r="F467"/>
  <c r="L1023"/>
  <c r="F50"/>
  <c r="F296"/>
  <c r="F337"/>
  <c r="F252"/>
  <c r="F250"/>
  <c r="F354"/>
  <c r="F162"/>
  <c r="F286"/>
  <c r="F475"/>
  <c r="F470"/>
  <c r="F114"/>
  <c r="F497"/>
  <c r="F33"/>
  <c r="F132"/>
  <c r="F306"/>
  <c r="F377"/>
  <c r="F78"/>
  <c r="F176"/>
  <c r="F455"/>
  <c r="F201"/>
  <c r="F136"/>
  <c r="F465"/>
  <c r="F301"/>
  <c r="F264"/>
  <c r="F177"/>
  <c r="F22"/>
  <c r="F130"/>
  <c r="F259"/>
  <c r="F251"/>
  <c r="F424"/>
  <c r="F419"/>
  <c r="F247"/>
  <c r="F364"/>
  <c r="F426"/>
  <c r="F385"/>
  <c r="F118"/>
  <c r="F101"/>
  <c r="F403"/>
  <c r="F324"/>
  <c r="F202"/>
  <c r="F165"/>
  <c r="F157"/>
  <c r="F115"/>
  <c r="F371"/>
  <c r="F428"/>
  <c r="F456"/>
  <c r="F63"/>
  <c r="F73"/>
  <c r="F325"/>
  <c r="F373"/>
  <c r="F305"/>
  <c r="F312"/>
  <c r="F308"/>
  <c r="L1025"/>
  <c r="F330"/>
  <c r="F389"/>
  <c r="F142"/>
  <c r="L833"/>
  <c r="F395"/>
  <c r="F217"/>
  <c r="F442"/>
  <c r="F460"/>
  <c r="F66"/>
  <c r="F220"/>
  <c r="F161"/>
  <c r="F487"/>
  <c r="L166"/>
  <c r="F68"/>
  <c r="F362"/>
  <c r="F206"/>
  <c r="F146"/>
  <c r="F253"/>
  <c r="L592"/>
  <c r="F404"/>
  <c r="F229"/>
  <c r="F495"/>
  <c r="F488"/>
  <c r="F483"/>
  <c r="F167"/>
  <c r="F257"/>
  <c r="F405"/>
  <c r="F454"/>
  <c r="F83"/>
  <c r="F81"/>
  <c r="F160"/>
  <c r="F107"/>
  <c r="F210"/>
  <c r="F300"/>
  <c r="F314"/>
  <c r="F261"/>
  <c r="F200"/>
  <c r="L659"/>
  <c r="F179"/>
  <c r="F378"/>
  <c r="F427"/>
  <c r="F240"/>
  <c r="F432"/>
  <c r="F181"/>
  <c r="F381"/>
  <c r="F30"/>
  <c r="F285"/>
  <c r="F310"/>
  <c r="F227"/>
  <c r="F129"/>
  <c r="F369"/>
  <c r="F283"/>
  <c r="F429"/>
  <c r="F190"/>
  <c r="L631"/>
  <c r="F43"/>
  <c r="L376"/>
  <c r="F148"/>
  <c r="F334"/>
  <c r="F339"/>
  <c r="F194"/>
  <c r="F359"/>
  <c r="F393"/>
  <c r="F106"/>
  <c r="F171"/>
  <c r="F270"/>
  <c r="F333"/>
  <c r="F180"/>
  <c r="F379"/>
  <c r="F248"/>
  <c r="F413"/>
  <c r="F193"/>
  <c r="F75"/>
  <c r="F203"/>
  <c r="F242"/>
  <c r="F288"/>
  <c r="F32"/>
  <c r="F400"/>
  <c r="F225"/>
  <c r="F238"/>
  <c r="F461"/>
  <c r="F304"/>
  <c r="F42"/>
  <c r="F382"/>
  <c r="L569"/>
  <c r="F121"/>
  <c r="F57"/>
  <c r="F262"/>
  <c r="L148"/>
  <c r="F214"/>
  <c r="F116"/>
  <c r="F410"/>
  <c r="F49"/>
  <c r="F347"/>
  <c r="F391"/>
  <c r="F87"/>
  <c r="F104"/>
  <c r="F357"/>
  <c r="F212"/>
  <c r="F361"/>
  <c r="F113"/>
  <c r="F85"/>
  <c r="F109"/>
  <c r="F433"/>
  <c r="F173"/>
  <c r="F21"/>
  <c r="F119"/>
  <c r="F175"/>
  <c r="L137"/>
  <c r="L795"/>
  <c r="F418"/>
  <c r="F140"/>
  <c r="F358"/>
  <c r="F439"/>
  <c r="F326"/>
  <c r="F77"/>
  <c r="F256"/>
  <c r="F224"/>
  <c r="L923"/>
  <c r="F287"/>
  <c r="F29"/>
  <c r="F318"/>
  <c r="F54"/>
  <c r="F464"/>
  <c r="F317"/>
  <c r="F80"/>
  <c r="F61"/>
  <c r="F294"/>
  <c r="F480"/>
  <c r="F345"/>
  <c r="F401"/>
  <c r="F370"/>
  <c r="F457"/>
  <c r="F346"/>
  <c r="F86"/>
  <c r="F368"/>
  <c r="F93"/>
  <c r="F34"/>
  <c r="F44"/>
  <c r="F28"/>
  <c r="F37"/>
  <c r="F438"/>
  <c r="F458"/>
  <c r="F366"/>
  <c r="F386"/>
  <c r="F494"/>
  <c r="F411"/>
  <c r="F451"/>
  <c r="F91"/>
  <c r="F45"/>
  <c r="F182"/>
  <c r="F269"/>
  <c r="F491"/>
  <c r="F133"/>
  <c r="F100"/>
  <c r="F72"/>
  <c r="F231"/>
  <c r="F236"/>
  <c r="F234"/>
  <c r="F277"/>
  <c r="F235"/>
  <c r="F425"/>
  <c r="F65"/>
  <c r="F335"/>
  <c r="F69"/>
  <c r="F41"/>
  <c r="L162"/>
  <c r="L305"/>
  <c r="F421"/>
  <c r="F313"/>
  <c r="F153"/>
  <c r="F219"/>
  <c r="F76"/>
  <c r="F414"/>
  <c r="F126"/>
  <c r="F408"/>
  <c r="F228"/>
  <c r="F351"/>
  <c r="F163"/>
  <c r="F446"/>
  <c r="F380"/>
  <c r="F272"/>
  <c r="F141"/>
  <c r="F289"/>
  <c r="F309"/>
  <c r="F204"/>
  <c r="F226"/>
  <c r="F55"/>
  <c r="F19"/>
  <c r="F239"/>
  <c r="F192"/>
  <c r="F297"/>
  <c r="L216"/>
  <c r="L133"/>
  <c r="F216"/>
  <c r="F82"/>
  <c r="F323"/>
  <c r="F449"/>
  <c r="F327"/>
  <c r="F279"/>
  <c r="F338"/>
  <c r="F70"/>
  <c r="F367"/>
  <c r="L203"/>
  <c r="F266"/>
  <c r="F374"/>
  <c r="F390"/>
  <c r="L911"/>
  <c r="F223"/>
  <c r="F23"/>
  <c r="F474"/>
  <c r="F18"/>
  <c r="F58"/>
  <c r="F440"/>
  <c r="F96"/>
  <c r="F164"/>
  <c r="F281"/>
  <c r="F468"/>
  <c r="L336"/>
  <c r="F99"/>
  <c r="F47"/>
  <c r="L683"/>
  <c r="F52"/>
  <c r="F258"/>
  <c r="F112"/>
  <c r="F360"/>
  <c r="F469"/>
  <c r="L382"/>
  <c r="F122"/>
  <c r="F420"/>
  <c r="F299"/>
  <c r="F407"/>
  <c r="F241"/>
  <c r="F184"/>
  <c r="L66"/>
  <c r="L408"/>
  <c r="L23"/>
  <c r="L91"/>
  <c r="F111"/>
  <c r="F276"/>
  <c r="F295"/>
  <c r="F128"/>
  <c r="F348"/>
  <c r="F110"/>
  <c r="F447"/>
  <c r="L361"/>
  <c r="L252"/>
  <c r="L487"/>
  <c r="L501"/>
  <c r="F321"/>
  <c r="F392"/>
  <c r="F56"/>
  <c r="F320"/>
  <c r="L595"/>
  <c r="L764"/>
  <c r="F62"/>
  <c r="L108"/>
  <c r="F230"/>
  <c r="F399"/>
  <c r="L563"/>
  <c r="L705"/>
  <c r="L830"/>
  <c r="L71"/>
  <c r="L999"/>
  <c r="L1053"/>
  <c r="L619"/>
  <c r="F459"/>
  <c r="L669"/>
  <c r="L620"/>
  <c r="L928"/>
  <c r="L567"/>
  <c r="L756"/>
  <c r="L584"/>
  <c r="L1036"/>
  <c r="L593"/>
  <c r="F188"/>
  <c r="F88"/>
  <c r="L20"/>
  <c r="L301"/>
  <c r="L427"/>
  <c r="L837"/>
  <c r="L941"/>
  <c r="L777"/>
  <c r="L687"/>
  <c r="L1028"/>
  <c r="L847"/>
  <c r="L888"/>
  <c r="F98"/>
  <c r="F384"/>
  <c r="L249"/>
  <c r="L221"/>
  <c r="L127"/>
  <c r="F343"/>
  <c r="F195"/>
  <c r="F441"/>
  <c r="F406"/>
  <c r="L121"/>
  <c r="L344"/>
  <c r="L502"/>
  <c r="L138"/>
  <c r="L38"/>
  <c r="L259"/>
  <c r="F396"/>
  <c r="F149"/>
  <c r="F246"/>
  <c r="L125"/>
  <c r="L405"/>
  <c r="L152"/>
  <c r="L77"/>
  <c r="L445"/>
  <c r="F189"/>
  <c r="L808"/>
  <c r="L154"/>
  <c r="L447"/>
  <c r="L1027"/>
  <c r="L748"/>
  <c r="L193"/>
  <c r="F92"/>
  <c r="F444"/>
  <c r="L93"/>
  <c r="L340"/>
  <c r="L457"/>
  <c r="L298"/>
  <c r="L235"/>
  <c r="L306"/>
  <c r="L105"/>
  <c r="L100"/>
  <c r="L159"/>
  <c r="F437"/>
  <c r="L413"/>
  <c r="F89"/>
  <c r="L521"/>
  <c r="L455"/>
  <c r="L415"/>
  <c r="L392"/>
  <c r="L32"/>
  <c r="L435"/>
  <c r="L201"/>
  <c r="L395"/>
  <c r="L158"/>
  <c r="L511"/>
  <c r="L325"/>
  <c r="L210"/>
  <c r="L886"/>
  <c r="L960"/>
  <c r="L365"/>
  <c r="L374"/>
  <c r="L213"/>
  <c r="L274"/>
  <c r="L232"/>
  <c r="L632"/>
  <c r="L512"/>
  <c r="F199"/>
  <c r="F436"/>
  <c r="F388"/>
  <c r="F20"/>
  <c r="F489"/>
  <c r="L878"/>
  <c r="L1006"/>
  <c r="F265"/>
  <c r="F221"/>
  <c r="L702"/>
  <c r="L690"/>
  <c r="L825"/>
  <c r="L835"/>
  <c r="L800"/>
  <c r="L980"/>
  <c r="L1062"/>
  <c r="L757"/>
  <c r="L735"/>
  <c r="L655"/>
  <c r="L753"/>
  <c r="L685"/>
  <c r="L608"/>
  <c r="L1052"/>
  <c r="L722"/>
  <c r="L1020"/>
  <c r="L776"/>
  <c r="L977"/>
  <c r="L554"/>
  <c r="L688"/>
  <c r="L807"/>
  <c r="F462"/>
  <c r="F79"/>
  <c r="F232"/>
  <c r="F237"/>
  <c r="F307"/>
  <c r="F415"/>
  <c r="F316"/>
  <c r="F280"/>
  <c r="F443"/>
  <c r="F108"/>
  <c r="F422"/>
  <c r="F205"/>
  <c r="F355"/>
  <c r="F213"/>
  <c r="F336"/>
  <c r="F350"/>
  <c r="F329"/>
  <c r="F191"/>
  <c r="F342"/>
  <c r="F476"/>
  <c r="F331"/>
  <c r="F482"/>
  <c r="L651"/>
  <c r="L668"/>
  <c r="L580"/>
  <c r="F207"/>
  <c r="L751"/>
  <c r="L734"/>
  <c r="L775"/>
  <c r="L939"/>
  <c r="F754"/>
  <c r="L693"/>
  <c r="L680"/>
  <c r="L645"/>
  <c r="L963"/>
  <c r="L558"/>
  <c r="L638"/>
  <c r="L761"/>
  <c r="L892"/>
  <c r="L654"/>
  <c r="L765"/>
  <c r="L823"/>
  <c r="L634"/>
  <c r="L724"/>
  <c r="L704"/>
  <c r="L555"/>
  <c r="L630"/>
  <c r="L784"/>
  <c r="L678"/>
  <c r="L1045"/>
  <c r="L779"/>
  <c r="L946"/>
  <c r="L663"/>
  <c r="F394"/>
  <c r="F490"/>
  <c r="F268"/>
  <c r="F95"/>
  <c r="F187"/>
  <c r="F183"/>
  <c r="F208"/>
  <c r="F298"/>
  <c r="F90"/>
  <c r="F375"/>
  <c r="F178"/>
  <c r="F150"/>
  <c r="F138"/>
  <c r="F332"/>
  <c r="F292"/>
  <c r="F274"/>
  <c r="F473"/>
  <c r="F496"/>
  <c r="F363"/>
  <c r="F155"/>
  <c r="F218"/>
  <c r="F383"/>
  <c r="F273"/>
  <c r="L953"/>
  <c r="L677"/>
  <c r="L681"/>
  <c r="F372"/>
  <c r="L758"/>
  <c r="L641"/>
  <c r="F453"/>
  <c r="F477"/>
  <c r="F340"/>
  <c r="F402"/>
  <c r="F466"/>
  <c r="F448"/>
  <c r="L913"/>
  <c r="F353"/>
  <c r="L660"/>
  <c r="F39"/>
  <c r="L882"/>
  <c r="L905"/>
  <c r="L565"/>
  <c r="L853"/>
  <c r="L731"/>
  <c r="L973"/>
  <c r="L1021"/>
  <c r="L929"/>
  <c r="L881"/>
  <c r="L1019"/>
  <c r="L819"/>
  <c r="L598"/>
  <c r="L969"/>
  <c r="L797"/>
  <c r="L796"/>
  <c r="L706"/>
  <c r="L661"/>
  <c r="L571"/>
  <c r="L889"/>
  <c r="L893"/>
  <c r="F172"/>
  <c r="F84"/>
  <c r="F67"/>
  <c r="F137"/>
  <c r="F290"/>
  <c r="F197"/>
  <c r="F302"/>
  <c r="F397"/>
  <c r="F151"/>
  <c r="F275"/>
  <c r="F51"/>
  <c r="F123"/>
  <c r="F434"/>
  <c r="F435"/>
  <c r="F493"/>
  <c r="F365"/>
  <c r="F94"/>
  <c r="F120"/>
  <c r="F492"/>
  <c r="F254"/>
  <c r="F243"/>
  <c r="F311"/>
  <c r="L866"/>
  <c r="L855"/>
  <c r="L828"/>
  <c r="L826"/>
  <c r="L700"/>
  <c r="L682"/>
  <c r="L568"/>
  <c r="L304"/>
  <c r="L231"/>
  <c r="L404"/>
  <c r="L470"/>
  <c r="L331"/>
  <c r="L368"/>
  <c r="L498"/>
  <c r="L370"/>
  <c r="L262"/>
  <c r="L379"/>
  <c r="L198"/>
  <c r="L191"/>
  <c r="L496"/>
  <c r="L42"/>
  <c r="L129"/>
  <c r="L275"/>
  <c r="L79"/>
  <c r="L153"/>
  <c r="L194"/>
  <c r="L49"/>
  <c r="L453"/>
  <c r="L184"/>
  <c r="L471"/>
  <c r="L181"/>
  <c r="L485"/>
  <c r="L472"/>
  <c r="L491"/>
  <c r="L250"/>
  <c r="L464"/>
  <c r="L328"/>
  <c r="L246"/>
  <c r="F916"/>
  <c r="F637"/>
  <c r="F973"/>
  <c r="F838"/>
  <c r="F765"/>
  <c r="L225"/>
  <c r="L387"/>
  <c r="L429"/>
  <c r="L504"/>
  <c r="L524"/>
  <c r="L414"/>
  <c r="L174"/>
  <c r="L494"/>
  <c r="L363"/>
  <c r="L448"/>
  <c r="F1022"/>
  <c r="L493"/>
  <c r="L321"/>
  <c r="L61"/>
  <c r="L419"/>
  <c r="L94"/>
  <c r="L279"/>
  <c r="L334"/>
  <c r="F736"/>
  <c r="L356"/>
  <c r="L206"/>
  <c r="L389"/>
  <c r="L386"/>
  <c r="L205"/>
  <c r="L106"/>
  <c r="F887"/>
  <c r="F774"/>
  <c r="F662"/>
  <c r="F646"/>
  <c r="F919"/>
  <c r="F757"/>
  <c r="F940"/>
  <c r="F712"/>
  <c r="F876"/>
  <c r="F805"/>
  <c r="F946"/>
  <c r="F726"/>
  <c r="F636"/>
  <c r="F644"/>
  <c r="F921"/>
  <c r="F813"/>
  <c r="F572"/>
  <c r="F612"/>
  <c r="F705"/>
  <c r="F801"/>
  <c r="F863"/>
  <c r="L118"/>
  <c r="L223"/>
  <c r="L353"/>
  <c r="L136"/>
  <c r="L173"/>
  <c r="L315"/>
  <c r="L508"/>
  <c r="L398"/>
  <c r="L86"/>
  <c r="L296"/>
  <c r="L367"/>
  <c r="L75"/>
  <c r="L528"/>
  <c r="L85"/>
  <c r="L265"/>
  <c r="L307"/>
  <c r="L175"/>
  <c r="L234"/>
  <c r="L397"/>
  <c r="L197"/>
  <c r="L155"/>
  <c r="L43"/>
  <c r="L476"/>
  <c r="L107"/>
  <c r="L346"/>
  <c r="L499"/>
  <c r="L276"/>
  <c r="L237"/>
  <c r="L309"/>
  <c r="L312"/>
  <c r="L62"/>
  <c r="L360"/>
  <c r="L255"/>
  <c r="L111"/>
  <c r="L189"/>
  <c r="L96"/>
  <c r="L300"/>
  <c r="L390"/>
  <c r="L190"/>
  <c r="L481"/>
  <c r="L393"/>
  <c r="L72"/>
  <c r="L381"/>
  <c r="L139"/>
  <c r="L244"/>
  <c r="L248"/>
  <c r="L420"/>
  <c r="L529"/>
  <c r="L228"/>
  <c r="L401"/>
  <c r="L242"/>
  <c r="L69"/>
  <c r="L53"/>
  <c r="L489"/>
  <c r="L143"/>
  <c r="L227"/>
  <c r="L183"/>
  <c r="L426"/>
  <c r="L270"/>
  <c r="L33"/>
  <c r="L525"/>
  <c r="L89"/>
  <c r="L124"/>
  <c r="L217"/>
  <c r="L245"/>
  <c r="L172"/>
  <c r="L383"/>
  <c r="L351"/>
  <c r="L520"/>
  <c r="L141"/>
  <c r="L238"/>
  <c r="L452"/>
  <c r="L36"/>
  <c r="L287"/>
  <c r="L207"/>
  <c r="L519"/>
  <c r="L273"/>
  <c r="L473"/>
  <c r="L506"/>
  <c r="L436"/>
  <c r="L477"/>
  <c r="L339"/>
  <c r="L188"/>
  <c r="L482"/>
  <c r="L343"/>
  <c r="L327"/>
  <c r="L295"/>
  <c r="L313"/>
  <c r="L258"/>
  <c r="L409"/>
  <c r="L316"/>
  <c r="L424"/>
  <c r="L186"/>
  <c r="L377"/>
  <c r="L243"/>
  <c r="L230"/>
  <c r="L450"/>
  <c r="L523"/>
  <c r="L402"/>
  <c r="E52" i="42"/>
  <c r="F559" i="41"/>
  <c r="L256"/>
  <c r="F868"/>
  <c r="F570"/>
  <c r="F615"/>
  <c r="F827"/>
  <c r="F697"/>
  <c r="F878"/>
  <c r="F642"/>
  <c r="F869"/>
  <c r="F760"/>
  <c r="F768"/>
  <c r="F762"/>
  <c r="F840"/>
  <c r="F600"/>
  <c r="F998"/>
  <c r="F652"/>
  <c r="F651"/>
  <c r="F888"/>
  <c r="F584"/>
  <c r="F792"/>
  <c r="F828"/>
  <c r="F953"/>
  <c r="F773"/>
  <c r="F674"/>
  <c r="F980"/>
  <c r="F614"/>
  <c r="F970"/>
  <c r="F821"/>
  <c r="F699"/>
  <c r="L145"/>
  <c r="L73"/>
  <c r="L516"/>
  <c r="L342"/>
  <c r="L247"/>
  <c r="L150"/>
  <c r="L123"/>
  <c r="L515"/>
  <c r="L407"/>
  <c r="L394"/>
  <c r="L51"/>
  <c r="L161"/>
  <c r="L253"/>
  <c r="L396"/>
  <c r="F790"/>
  <c r="F693"/>
  <c r="F857"/>
  <c r="F755"/>
  <c r="F992"/>
  <c r="F630"/>
  <c r="F677"/>
  <c r="F787"/>
  <c r="F739"/>
  <c r="E53" i="42"/>
  <c r="F590" i="41"/>
  <c r="F952"/>
  <c r="F670"/>
  <c r="F675"/>
  <c r="F851"/>
  <c r="F687"/>
  <c r="F782"/>
  <c r="F881"/>
  <c r="F585"/>
  <c r="F798"/>
  <c r="F777"/>
  <c r="F734"/>
  <c r="F809"/>
  <c r="F743"/>
  <c r="F732"/>
  <c r="F692"/>
  <c r="F955"/>
  <c r="F972"/>
  <c r="F694"/>
  <c r="F666"/>
  <c r="F605"/>
  <c r="F803"/>
  <c r="F595"/>
  <c r="F722"/>
  <c r="F893"/>
  <c r="F575"/>
  <c r="F924"/>
  <c r="F601"/>
  <c r="F610"/>
  <c r="F583"/>
  <c r="F910"/>
  <c r="F886"/>
  <c r="F591"/>
  <c r="F850"/>
  <c r="E68" i="42"/>
  <c r="F565" i="41"/>
  <c r="F558"/>
  <c r="F794"/>
  <c r="F618"/>
  <c r="F672"/>
  <c r="F696"/>
  <c r="F830"/>
  <c r="F556"/>
  <c r="F990"/>
  <c r="F839"/>
  <c r="F891"/>
  <c r="F707"/>
  <c r="F800"/>
  <c r="L500"/>
  <c r="L180"/>
  <c r="L416"/>
  <c r="L24"/>
  <c r="L486"/>
  <c r="L288"/>
  <c r="L165"/>
  <c r="L282"/>
  <c r="L329"/>
  <c r="L292"/>
  <c r="L322"/>
  <c r="L177"/>
  <c r="L438"/>
  <c r="L147"/>
  <c r="L442"/>
  <c r="L114"/>
  <c r="L318"/>
  <c r="L52"/>
  <c r="L461"/>
  <c r="L345"/>
  <c r="L220"/>
  <c r="L310"/>
  <c r="L112"/>
  <c r="L425"/>
  <c r="L375"/>
  <c r="L391"/>
  <c r="L236"/>
  <c r="L200"/>
  <c r="L286"/>
  <c r="L58"/>
  <c r="L82"/>
  <c r="L214"/>
  <c r="L411"/>
  <c r="L131"/>
  <c r="L293"/>
  <c r="L357"/>
  <c r="L358"/>
  <c r="L257"/>
  <c r="L57"/>
  <c r="L254"/>
  <c r="L266"/>
  <c r="L359"/>
  <c r="L308"/>
  <c r="L454"/>
  <c r="L115"/>
  <c r="L102"/>
  <c r="L326"/>
  <c r="L317"/>
  <c r="L341"/>
  <c r="L434"/>
  <c r="L59"/>
  <c r="L294"/>
  <c r="L83"/>
  <c r="L179"/>
  <c r="L211"/>
  <c r="L478"/>
  <c r="L195"/>
  <c r="L362"/>
  <c r="L468"/>
  <c r="L297"/>
  <c r="L469"/>
  <c r="L458"/>
  <c r="L98"/>
  <c r="L101"/>
  <c r="L87"/>
  <c r="L157"/>
  <c r="L492"/>
  <c r="L513"/>
  <c r="L199"/>
  <c r="L352"/>
  <c r="L19"/>
  <c r="L277"/>
  <c r="L149"/>
  <c r="L84"/>
  <c r="L372"/>
  <c r="L212"/>
  <c r="L185"/>
  <c r="L54"/>
  <c r="L117"/>
  <c r="L103"/>
  <c r="L366"/>
  <c r="L364"/>
  <c r="L330"/>
  <c r="L347"/>
  <c r="L338"/>
  <c r="L441"/>
  <c r="L510"/>
  <c r="L432"/>
  <c r="L495"/>
  <c r="L483"/>
  <c r="L134"/>
  <c r="L526"/>
  <c r="L261"/>
  <c r="L182"/>
  <c r="L505"/>
  <c r="L463"/>
  <c r="L116"/>
  <c r="L348"/>
  <c r="L109"/>
  <c r="L119"/>
  <c r="L421"/>
  <c r="L60"/>
  <c r="L302"/>
  <c r="L440"/>
  <c r="L527"/>
  <c r="L34"/>
  <c r="L240"/>
  <c r="L518"/>
  <c r="L56"/>
  <c r="L170"/>
  <c r="L314"/>
  <c r="L239"/>
  <c r="L514"/>
  <c r="L451"/>
  <c r="L192"/>
  <c r="L337"/>
  <c r="L475"/>
  <c r="L269"/>
  <c r="L311"/>
  <c r="L406"/>
  <c r="L28"/>
  <c r="L403"/>
  <c r="L417"/>
  <c r="L18"/>
  <c r="L25"/>
  <c r="L410"/>
  <c r="L449"/>
  <c r="L431"/>
  <c r="L284"/>
  <c r="L474"/>
  <c r="L355"/>
  <c r="L26"/>
  <c r="L31"/>
  <c r="L271"/>
  <c r="L324"/>
  <c r="L354"/>
  <c r="L283"/>
  <c r="L178"/>
  <c r="L466"/>
  <c r="L289"/>
  <c r="L229"/>
  <c r="L281"/>
  <c r="L267"/>
  <c r="L260"/>
  <c r="L122"/>
  <c r="L222"/>
  <c r="L467"/>
  <c r="L444"/>
  <c r="L399"/>
  <c r="L460"/>
  <c r="L45"/>
  <c r="L22"/>
  <c r="L503"/>
  <c r="L422"/>
  <c r="L380"/>
  <c r="L385"/>
  <c r="L140"/>
  <c r="L48"/>
  <c r="L251"/>
  <c r="L132"/>
  <c r="L384"/>
  <c r="L290"/>
  <c r="L50"/>
  <c r="L479"/>
  <c r="L176"/>
  <c r="L219"/>
  <c r="L21"/>
  <c r="L156"/>
  <c r="L480"/>
  <c r="L46"/>
  <c r="L320"/>
  <c r="L76"/>
  <c r="L233"/>
  <c r="L65"/>
  <c r="L215"/>
  <c r="L68"/>
  <c r="L135"/>
  <c r="L171"/>
  <c r="L369"/>
  <c r="L332"/>
  <c r="L204"/>
  <c r="L264"/>
  <c r="L412"/>
  <c r="L29"/>
  <c r="L208"/>
  <c r="L459"/>
  <c r="L443"/>
  <c r="L522"/>
  <c r="L27"/>
  <c r="L400"/>
  <c r="L209"/>
  <c r="L378"/>
  <c r="L144"/>
  <c r="L497"/>
  <c r="L323"/>
  <c r="L113"/>
  <c r="L78"/>
  <c r="L373"/>
  <c r="L39"/>
  <c r="L99"/>
  <c r="L333"/>
  <c r="L164"/>
  <c r="L446"/>
  <c r="L151"/>
  <c r="L456"/>
  <c r="L80"/>
  <c r="L517"/>
  <c r="E50" i="42"/>
  <c r="F892" i="41"/>
  <c r="L319"/>
  <c r="L126"/>
  <c r="C210" i="26"/>
  <c r="C212" s="1"/>
  <c r="E221" s="1"/>
  <c r="J548" i="41" s="1"/>
  <c r="F877"/>
  <c r="F608"/>
  <c r="F824"/>
  <c r="E48" i="42"/>
  <c r="F602" i="41"/>
  <c r="E46" i="42"/>
  <c r="F860" i="41"/>
  <c r="F706"/>
  <c r="F846"/>
  <c r="F896"/>
  <c r="F989"/>
  <c r="F859"/>
  <c r="F906"/>
  <c r="F745"/>
  <c r="F695"/>
  <c r="F920"/>
  <c r="F897"/>
  <c r="F907"/>
  <c r="F740"/>
  <c r="F639"/>
  <c r="F799"/>
  <c r="F826"/>
  <c r="F587"/>
  <c r="F819"/>
  <c r="F854"/>
  <c r="F766"/>
  <c r="F975"/>
  <c r="F604"/>
  <c r="F927"/>
  <c r="E49" i="42"/>
  <c r="F939" i="41"/>
  <c r="E62" i="42"/>
  <c r="F627" i="41"/>
  <c r="F769"/>
  <c r="F653"/>
  <c r="F964"/>
  <c r="F929"/>
  <c r="F718"/>
  <c r="F900"/>
  <c r="F816"/>
  <c r="F763"/>
  <c r="F663"/>
  <c r="F756"/>
  <c r="F979"/>
  <c r="F947"/>
  <c r="F648"/>
  <c r="F848"/>
  <c r="F586"/>
  <c r="F822"/>
  <c r="F969"/>
  <c r="F776"/>
  <c r="F702"/>
  <c r="F638"/>
  <c r="F710"/>
  <c r="F553"/>
  <c r="F598"/>
  <c r="F656"/>
  <c r="F748"/>
  <c r="F620"/>
  <c r="F555"/>
  <c r="F834"/>
  <c r="F864"/>
  <c r="F596"/>
  <c r="F883"/>
  <c r="F671"/>
  <c r="F613"/>
  <c r="F557"/>
  <c r="F640"/>
  <c r="F818"/>
  <c r="F569"/>
  <c r="F925"/>
  <c r="F660"/>
  <c r="F817"/>
  <c r="F658"/>
  <c r="F560"/>
  <c r="F786"/>
  <c r="F855"/>
  <c r="F879"/>
  <c r="F898"/>
  <c r="F577"/>
  <c r="F914"/>
  <c r="F775"/>
  <c r="F836"/>
  <c r="F890"/>
  <c r="F808"/>
  <c r="F758"/>
  <c r="F811"/>
  <c r="F880"/>
  <c r="F984"/>
  <c r="F624"/>
  <c r="F655"/>
  <c r="F778"/>
  <c r="F796"/>
  <c r="F647"/>
  <c r="F933"/>
  <c r="F874"/>
  <c r="E66" i="42"/>
  <c r="F865" i="41"/>
  <c r="F870"/>
  <c r="F752"/>
  <c r="F616"/>
  <c r="F625"/>
  <c r="F951"/>
  <c r="F918"/>
  <c r="F912"/>
  <c r="F603"/>
  <c r="F673"/>
  <c r="F684"/>
  <c r="F909"/>
  <c r="F711"/>
  <c r="F950"/>
  <c r="F831"/>
  <c r="F715"/>
  <c r="F987"/>
  <c r="E47" i="42"/>
  <c r="F862" i="41"/>
  <c r="F847"/>
  <c r="F597"/>
  <c r="F679"/>
  <c r="F954"/>
  <c r="F853"/>
  <c r="F631"/>
  <c r="F911"/>
  <c r="F867"/>
  <c r="F717"/>
  <c r="F738"/>
  <c r="F858"/>
  <c r="F997"/>
  <c r="F669"/>
  <c r="F668"/>
  <c r="F843"/>
  <c r="F913"/>
  <c r="F725"/>
  <c r="F807"/>
  <c r="F744"/>
  <c r="F884"/>
  <c r="F899"/>
  <c r="F983"/>
  <c r="F751"/>
  <c r="F589"/>
  <c r="F996"/>
  <c r="F931"/>
  <c r="F574"/>
  <c r="F594"/>
  <c r="F962"/>
  <c r="E63" i="42"/>
  <c r="F963" i="41"/>
  <c r="F974"/>
  <c r="F579"/>
  <c r="F731"/>
  <c r="F823"/>
  <c r="F937"/>
  <c r="F915"/>
  <c r="F633"/>
  <c r="F928"/>
  <c r="F737"/>
  <c r="F576"/>
  <c r="F634"/>
  <c r="F599"/>
  <c r="F621"/>
  <c r="F686"/>
  <c r="F904"/>
  <c r="F930"/>
  <c r="F902"/>
  <c r="F872"/>
  <c r="F724"/>
  <c r="F723"/>
  <c r="F882"/>
  <c r="F856"/>
  <c r="F806"/>
  <c r="F873"/>
  <c r="F772"/>
  <c r="F554"/>
  <c r="F703"/>
  <c r="E65" i="42"/>
  <c r="F742" i="41"/>
  <c r="E51" i="42"/>
  <c r="F567" i="41"/>
  <c r="F582"/>
  <c r="F903"/>
  <c r="F908"/>
  <c r="F895"/>
  <c r="F844"/>
  <c r="F691"/>
  <c r="F764"/>
  <c r="F617"/>
  <c r="F709"/>
  <c r="F552"/>
  <c r="F932"/>
  <c r="F564"/>
  <c r="F988"/>
  <c r="F641"/>
  <c r="F842"/>
  <c r="F942"/>
  <c r="F982"/>
  <c r="F676"/>
  <c r="F993"/>
  <c r="F986"/>
  <c r="F649"/>
  <c r="F976"/>
  <c r="F729"/>
  <c r="E69" i="42"/>
  <c r="F943" i="41"/>
  <c r="F580"/>
  <c r="F922"/>
  <c r="F967"/>
  <c r="F866"/>
  <c r="F781"/>
  <c r="F779"/>
  <c r="F849"/>
  <c r="F841"/>
  <c r="F578"/>
  <c r="F667"/>
  <c r="F793"/>
  <c r="F607"/>
  <c r="F643"/>
  <c r="F991"/>
  <c r="F958"/>
  <c r="F573"/>
  <c r="F626"/>
  <c r="E64" i="42"/>
  <c r="F749" i="41"/>
  <c r="F698"/>
  <c r="F949"/>
  <c r="F588"/>
  <c r="F685"/>
  <c r="F825"/>
  <c r="F683"/>
  <c r="F978"/>
  <c r="F845"/>
  <c r="F680"/>
  <c r="F981"/>
  <c r="F592"/>
  <c r="F852"/>
  <c r="F961"/>
  <c r="F971"/>
  <c r="F767"/>
  <c r="F957"/>
  <c r="F678"/>
  <c r="F704"/>
  <c r="F771"/>
  <c r="F917"/>
  <c r="F563"/>
  <c r="F905"/>
  <c r="F701"/>
  <c r="F727"/>
  <c r="F628"/>
  <c r="F562"/>
  <c r="F812"/>
  <c r="F789"/>
  <c r="F720"/>
  <c r="F611"/>
  <c r="F815"/>
  <c r="F753"/>
  <c r="F875"/>
  <c r="F948"/>
  <c r="F833"/>
  <c r="F657"/>
  <c r="F994"/>
  <c r="F977"/>
  <c r="F894"/>
  <c r="F770"/>
  <c r="F551"/>
  <c r="F837"/>
  <c r="F941"/>
  <c r="F750"/>
  <c r="F606"/>
  <c r="F926"/>
  <c r="F609"/>
  <c r="F785"/>
  <c r="F708"/>
  <c r="F566"/>
  <c r="F901"/>
  <c r="F741"/>
  <c r="F561"/>
  <c r="F820"/>
  <c r="F635"/>
  <c r="F747"/>
  <c r="F885"/>
  <c r="F568"/>
  <c r="F700"/>
  <c r="F746"/>
  <c r="F956"/>
  <c r="F714"/>
  <c r="F780"/>
  <c r="F959"/>
  <c r="F688"/>
  <c r="F791"/>
  <c r="F665"/>
  <c r="F730"/>
  <c r="F832"/>
  <c r="F797"/>
  <c r="F728"/>
  <c r="F802"/>
  <c r="F829"/>
  <c r="F632"/>
  <c r="F581"/>
  <c r="F945"/>
  <c r="F923"/>
  <c r="F934"/>
  <c r="F936"/>
  <c r="F619"/>
  <c r="F968"/>
  <c r="F938"/>
  <c r="F623"/>
  <c r="F654"/>
  <c r="F629"/>
  <c r="F935"/>
  <c r="F995"/>
  <c r="F593"/>
  <c r="F721"/>
  <c r="F664"/>
  <c r="F689"/>
  <c r="F944"/>
  <c r="F645"/>
  <c r="F795"/>
  <c r="F719"/>
  <c r="F960"/>
  <c r="F784"/>
  <c r="F681"/>
  <c r="F735"/>
  <c r="F985"/>
  <c r="F810"/>
  <c r="F650"/>
  <c r="F804"/>
  <c r="F682"/>
  <c r="F889"/>
  <c r="F871"/>
  <c r="F965"/>
  <c r="E67" i="42"/>
  <c r="F761" i="41"/>
  <c r="F835"/>
  <c r="F659"/>
  <c r="F713"/>
  <c r="F716"/>
  <c r="F622"/>
  <c r="F966"/>
  <c r="F733"/>
  <c r="F571"/>
  <c r="F788"/>
  <c r="F690"/>
  <c r="F814"/>
  <c r="F661"/>
  <c r="F861"/>
  <c r="F759"/>
  <c r="F783"/>
  <c r="M543"/>
  <c r="L55"/>
  <c r="L67"/>
  <c r="L81"/>
  <c r="L507"/>
  <c r="L433"/>
  <c r="L226"/>
  <c r="L224"/>
  <c r="F999"/>
  <c r="L418"/>
  <c r="L187"/>
  <c r="L299"/>
  <c r="L278"/>
  <c r="L35"/>
  <c r="L350"/>
  <c r="L465"/>
  <c r="F1062"/>
  <c r="L110"/>
  <c r="L95"/>
  <c r="L130"/>
  <c r="L169"/>
  <c r="L241"/>
  <c r="L490"/>
  <c r="L349"/>
  <c r="L428"/>
  <c r="L462"/>
  <c r="L92"/>
  <c r="L430"/>
  <c r="L70"/>
  <c r="L303"/>
  <c r="L97"/>
  <c r="L104"/>
  <c r="L47"/>
  <c r="L280"/>
  <c r="L160"/>
  <c r="L128"/>
  <c r="F1046"/>
  <c r="F1004"/>
  <c r="L37"/>
  <c r="L335"/>
  <c r="L268"/>
  <c r="L44"/>
  <c r="L371"/>
  <c r="L484"/>
  <c r="F1035"/>
  <c r="F1061"/>
  <c r="F1001"/>
  <c r="L263"/>
  <c r="L388"/>
  <c r="F1015"/>
  <c r="L509"/>
  <c r="L142"/>
  <c r="L41"/>
  <c r="L196"/>
  <c r="L88"/>
  <c r="L146"/>
  <c r="L285"/>
  <c r="L63"/>
  <c r="L488"/>
  <c r="L291"/>
  <c r="L90"/>
  <c r="F1039"/>
  <c r="L40"/>
  <c r="L218"/>
  <c r="L163"/>
  <c r="L167"/>
  <c r="L423"/>
  <c r="L64"/>
  <c r="L74"/>
  <c r="L437"/>
  <c r="L30"/>
  <c r="L168"/>
  <c r="L439"/>
  <c r="L120"/>
  <c r="L272"/>
  <c r="L202"/>
  <c r="F1002"/>
  <c r="F1026"/>
  <c r="F1058"/>
  <c r="F1005"/>
  <c r="F1016"/>
  <c r="F1059"/>
  <c r="F1037"/>
  <c r="F1038"/>
  <c r="F1054"/>
  <c r="F1045"/>
  <c r="F1040"/>
  <c r="F1018"/>
  <c r="F1009"/>
  <c r="F1000"/>
  <c r="F1024"/>
  <c r="F1036"/>
  <c r="F1014"/>
  <c r="F1017"/>
  <c r="F1030"/>
  <c r="F1011"/>
  <c r="F1044"/>
  <c r="F1025"/>
  <c r="F1013"/>
  <c r="F1007"/>
  <c r="F1027"/>
  <c r="F1032"/>
  <c r="F1028"/>
  <c r="F1043"/>
  <c r="F1021"/>
  <c r="F1012"/>
  <c r="F1050"/>
  <c r="F1047"/>
  <c r="F1042"/>
  <c r="F1023"/>
  <c r="F1056"/>
  <c r="F1019"/>
  <c r="F1033"/>
  <c r="F1003"/>
  <c r="F1055"/>
  <c r="F1034"/>
  <c r="F1052"/>
  <c r="F1029"/>
  <c r="F1048"/>
  <c r="F1057"/>
  <c r="F1051"/>
  <c r="F1008"/>
  <c r="F1010"/>
  <c r="F1020"/>
  <c r="F1049"/>
  <c r="F1060"/>
  <c r="F1053"/>
  <c r="F1006"/>
  <c r="F1031"/>
  <c r="H3" i="30"/>
  <c r="B8" i="26" s="1"/>
  <c r="C118"/>
  <c r="D57"/>
  <c r="B57"/>
  <c r="E57"/>
  <c r="C57"/>
  <c r="D58"/>
  <c r="B58"/>
  <c r="B178"/>
  <c r="E118"/>
  <c r="C58"/>
  <c r="D118"/>
  <c r="B117"/>
  <c r="E117"/>
  <c r="C117"/>
  <c r="D117"/>
  <c r="B118"/>
  <c r="E58"/>
  <c r="L642" i="41" l="1"/>
  <c r="L1050"/>
  <c r="L577"/>
  <c r="L985"/>
  <c r="L611"/>
  <c r="L871"/>
  <c r="L812"/>
  <c r="L694"/>
  <c r="L1043"/>
  <c r="L860"/>
  <c r="L572"/>
  <c r="L699"/>
  <c r="L990"/>
  <c r="F417"/>
  <c r="F452"/>
  <c r="F215"/>
  <c r="F196"/>
  <c r="F198"/>
  <c r="F35"/>
  <c r="F352"/>
  <c r="F486"/>
  <c r="F505"/>
  <c r="F528"/>
  <c r="F524"/>
  <c r="L926"/>
  <c r="L916"/>
  <c r="L633"/>
  <c r="L719"/>
  <c r="L1042"/>
  <c r="L749"/>
  <c r="L574"/>
  <c r="L786"/>
  <c r="L934"/>
  <c r="L588"/>
  <c r="L692"/>
  <c r="L957"/>
  <c r="F143"/>
  <c r="F303"/>
  <c r="F315"/>
  <c r="F124"/>
  <c r="F145"/>
  <c r="F154"/>
  <c r="F504"/>
  <c r="F522"/>
  <c r="F521"/>
  <c r="F514"/>
  <c r="L859"/>
  <c r="L956"/>
  <c r="L902"/>
  <c r="L586"/>
  <c r="L612"/>
  <c r="L1049"/>
  <c r="L1037"/>
  <c r="L921"/>
  <c r="L920"/>
  <c r="L815"/>
  <c r="L827"/>
  <c r="L585"/>
  <c r="L793"/>
  <c r="F46"/>
  <c r="F319"/>
  <c r="F409"/>
  <c r="F131"/>
  <c r="F293"/>
  <c r="F158"/>
  <c r="F516"/>
  <c r="F484"/>
  <c r="F503"/>
  <c r="F526"/>
  <c r="L743"/>
  <c r="L919"/>
  <c r="F74"/>
  <c r="L646"/>
  <c r="L648"/>
  <c r="M648" s="1"/>
  <c r="N648" s="1"/>
  <c r="L863"/>
  <c r="L883"/>
  <c r="L909"/>
  <c r="L616"/>
  <c r="F341"/>
  <c r="F431"/>
  <c r="F125"/>
  <c r="F263"/>
  <c r="F498"/>
  <c r="F499"/>
  <c r="F520"/>
  <c r="F278"/>
  <c r="F518"/>
  <c r="L653"/>
  <c r="F282"/>
  <c r="L583"/>
  <c r="M583" s="1"/>
  <c r="N583" s="1"/>
  <c r="F48"/>
  <c r="F515"/>
  <c r="F527"/>
  <c r="F525"/>
  <c r="F517"/>
  <c r="F519"/>
  <c r="F502"/>
  <c r="F511"/>
  <c r="E9" i="42"/>
  <c r="E11"/>
  <c r="E23"/>
  <c r="E24"/>
  <c r="E10"/>
  <c r="E13"/>
  <c r="E7"/>
  <c r="B210" i="26"/>
  <c r="B212" s="1"/>
  <c r="D221" s="1"/>
  <c r="M280" i="41" s="1"/>
  <c r="N280" s="1"/>
  <c r="E22" i="42"/>
  <c r="E8"/>
  <c r="D168" i="26"/>
  <c r="D169" s="1"/>
  <c r="J13" i="41" s="1"/>
  <c r="E29" i="42"/>
  <c r="E27"/>
  <c r="E28"/>
  <c r="E25"/>
  <c r="E12"/>
  <c r="B168" i="26"/>
  <c r="B169" s="1"/>
  <c r="E6" i="42"/>
  <c r="E26"/>
  <c r="B120" i="26"/>
  <c r="B130" s="1"/>
  <c r="B164" s="1"/>
  <c r="B165" s="1"/>
  <c r="B16" i="42" s="1"/>
  <c r="B126" i="26"/>
  <c r="B119"/>
  <c r="B180"/>
  <c r="B179"/>
  <c r="B60"/>
  <c r="B70" s="1"/>
  <c r="B104" s="1"/>
  <c r="B105" s="1"/>
  <c r="B3" i="42" s="1"/>
  <c r="D60" i="26"/>
  <c r="D70" s="1"/>
  <c r="D104" s="1"/>
  <c r="D105" s="1"/>
  <c r="J47" i="2" s="1"/>
  <c r="B66" i="26"/>
  <c r="B59"/>
  <c r="D66"/>
  <c r="D59"/>
  <c r="D68"/>
  <c r="M11" i="41"/>
  <c r="M10"/>
  <c r="M1028"/>
  <c r="N1028" s="1"/>
  <c r="M892"/>
  <c r="N892" s="1"/>
  <c r="M810"/>
  <c r="N810" s="1"/>
  <c r="M1031"/>
  <c r="N1031" s="1"/>
  <c r="M1048"/>
  <c r="N1048" s="1"/>
  <c r="M974"/>
  <c r="N974" s="1"/>
  <c r="M890"/>
  <c r="N890" s="1"/>
  <c r="M782"/>
  <c r="N782" s="1"/>
  <c r="M1023"/>
  <c r="N1023" s="1"/>
  <c r="M959"/>
  <c r="N959" s="1"/>
  <c r="M828"/>
  <c r="N828" s="1"/>
  <c r="M977"/>
  <c r="N977" s="1"/>
  <c r="M632"/>
  <c r="N632" s="1"/>
  <c r="M777"/>
  <c r="N777" s="1"/>
  <c r="M1024"/>
  <c r="N1024" s="1"/>
  <c r="M844"/>
  <c r="N844" s="1"/>
  <c r="M662"/>
  <c r="N662" s="1"/>
  <c r="M791"/>
  <c r="N791" s="1"/>
  <c r="M695"/>
  <c r="N695" s="1"/>
  <c r="M1001"/>
  <c r="N1001" s="1"/>
  <c r="M574"/>
  <c r="N574" s="1"/>
  <c r="M1038"/>
  <c r="N1038" s="1"/>
  <c r="M621"/>
  <c r="N621" s="1"/>
  <c r="M715"/>
  <c r="N715" s="1"/>
  <c r="M1040"/>
  <c r="N1040" s="1"/>
  <c r="M768"/>
  <c r="N768" s="1"/>
  <c r="M875"/>
  <c r="N875" s="1"/>
  <c r="M802"/>
  <c r="N802" s="1"/>
  <c r="M868"/>
  <c r="N868" s="1"/>
  <c r="M1049"/>
  <c r="N1049" s="1"/>
  <c r="M568"/>
  <c r="N568" s="1"/>
  <c r="M762"/>
  <c r="N762" s="1"/>
  <c r="M581"/>
  <c r="N581" s="1"/>
  <c r="M597"/>
  <c r="N597" s="1"/>
  <c r="M924"/>
  <c r="N924" s="1"/>
  <c r="M1002"/>
  <c r="N1002" s="1"/>
  <c r="M954"/>
  <c r="N954" s="1"/>
  <c r="M622"/>
  <c r="N622" s="1"/>
  <c r="M984"/>
  <c r="N984" s="1"/>
  <c r="M975"/>
  <c r="N975" s="1"/>
  <c r="M838"/>
  <c r="N838" s="1"/>
  <c r="M710"/>
  <c r="N710" s="1"/>
  <c r="M880"/>
  <c r="N880" s="1"/>
  <c r="M617"/>
  <c r="N617" s="1"/>
  <c r="M652"/>
  <c r="N652" s="1"/>
  <c r="M911"/>
  <c r="N911" s="1"/>
  <c r="M882"/>
  <c r="N882" s="1"/>
  <c r="M948"/>
  <c r="N948" s="1"/>
  <c r="M1051"/>
  <c r="N1051" s="1"/>
  <c r="M994"/>
  <c r="N994" s="1"/>
  <c r="M834"/>
  <c r="N834" s="1"/>
  <c r="M803"/>
  <c r="N803" s="1"/>
  <c r="M774"/>
  <c r="N774" s="1"/>
  <c r="M881"/>
  <c r="N881" s="1"/>
  <c r="M848"/>
  <c r="N848" s="1"/>
  <c r="M814"/>
  <c r="N814" s="1"/>
  <c r="M793"/>
  <c r="N793" s="1"/>
  <c r="M609"/>
  <c r="N609" s="1"/>
  <c r="M840"/>
  <c r="N840" s="1"/>
  <c r="M616"/>
  <c r="N616" s="1"/>
  <c r="M566"/>
  <c r="N566" s="1"/>
  <c r="M723"/>
  <c r="N723" s="1"/>
  <c r="M1047"/>
  <c r="N1047" s="1"/>
  <c r="M562"/>
  <c r="N562" s="1"/>
  <c r="M599"/>
  <c r="N599" s="1"/>
  <c r="M829"/>
  <c r="N829" s="1"/>
  <c r="M836"/>
  <c r="N836" s="1"/>
  <c r="M955"/>
  <c r="N955" s="1"/>
  <c r="M942"/>
  <c r="N942" s="1"/>
  <c r="M733"/>
  <c r="N733" s="1"/>
  <c r="M981"/>
  <c r="N981" s="1"/>
  <c r="M647"/>
  <c r="N647" s="1"/>
  <c r="M718"/>
  <c r="N718" s="1"/>
  <c r="M593"/>
  <c r="N593" s="1"/>
  <c r="M953"/>
  <c r="N953" s="1"/>
  <c r="M811"/>
  <c r="N811" s="1"/>
  <c r="M1053"/>
  <c r="N1053" s="1"/>
  <c r="M683"/>
  <c r="N683" s="1"/>
  <c r="M944"/>
  <c r="N944" s="1"/>
  <c r="M778"/>
  <c r="N778" s="1"/>
  <c r="M596"/>
  <c r="N596" s="1"/>
  <c r="M551"/>
  <c r="N551" s="1"/>
  <c r="M835"/>
  <c r="N835" s="1"/>
  <c r="M806"/>
  <c r="N806" s="1"/>
  <c r="M754"/>
  <c r="N754" s="1"/>
  <c r="M671"/>
  <c r="N671" s="1"/>
  <c r="M921"/>
  <c r="N921" s="1"/>
  <c r="M843"/>
  <c r="N843" s="1"/>
  <c r="M1042"/>
  <c r="N1042" s="1"/>
  <c r="M208"/>
  <c r="N208" s="1"/>
  <c r="M700"/>
  <c r="N700" s="1"/>
  <c r="M866"/>
  <c r="N866" s="1"/>
  <c r="M889"/>
  <c r="N889" s="1"/>
  <c r="M796"/>
  <c r="N796" s="1"/>
  <c r="M819"/>
  <c r="N819" s="1"/>
  <c r="M1021"/>
  <c r="N1021" s="1"/>
  <c r="M565"/>
  <c r="N565" s="1"/>
  <c r="M660"/>
  <c r="N660" s="1"/>
  <c r="M681"/>
  <c r="N681" s="1"/>
  <c r="M779"/>
  <c r="N779" s="1"/>
  <c r="M630"/>
  <c r="N630" s="1"/>
  <c r="M634"/>
  <c r="N634" s="1"/>
  <c r="M963"/>
  <c r="N963" s="1"/>
  <c r="M751"/>
  <c r="N751" s="1"/>
  <c r="M651"/>
  <c r="N651" s="1"/>
  <c r="M688"/>
  <c r="N688" s="1"/>
  <c r="M1020"/>
  <c r="N1020" s="1"/>
  <c r="M685"/>
  <c r="N685" s="1"/>
  <c r="M757"/>
  <c r="N757" s="1"/>
  <c r="M960"/>
  <c r="N960" s="1"/>
  <c r="M837"/>
  <c r="N837" s="1"/>
  <c r="M584"/>
  <c r="N584" s="1"/>
  <c r="M620"/>
  <c r="N620" s="1"/>
  <c r="M705"/>
  <c r="N705" s="1"/>
  <c r="M795"/>
  <c r="N795" s="1"/>
  <c r="M659"/>
  <c r="N659" s="1"/>
  <c r="M738"/>
  <c r="N738" s="1"/>
  <c r="M937"/>
  <c r="N937" s="1"/>
  <c r="M799"/>
  <c r="N799" s="1"/>
  <c r="M970"/>
  <c r="N970" s="1"/>
  <c r="M906"/>
  <c r="N906" s="1"/>
  <c r="M1008"/>
  <c r="N1008" s="1"/>
  <c r="M895"/>
  <c r="N895" s="1"/>
  <c r="M971"/>
  <c r="N971" s="1"/>
  <c r="M856"/>
  <c r="N856" s="1"/>
  <c r="M1044"/>
  <c r="N1044" s="1"/>
  <c r="M1015"/>
  <c r="N1015" s="1"/>
  <c r="M1041"/>
  <c r="N1041" s="1"/>
  <c r="M628"/>
  <c r="N628" s="1"/>
  <c r="M604"/>
  <c r="N604" s="1"/>
  <c r="M675"/>
  <c r="N675" s="1"/>
  <c r="M732"/>
  <c r="N732" s="1"/>
  <c r="M992"/>
  <c r="N992" s="1"/>
  <c r="M915"/>
  <c r="N915" s="1"/>
  <c r="M703"/>
  <c r="N703" s="1"/>
  <c r="M862"/>
  <c r="N862" s="1"/>
  <c r="M737"/>
  <c r="N737" s="1"/>
  <c r="M898"/>
  <c r="N898" s="1"/>
  <c r="M927"/>
  <c r="N927" s="1"/>
  <c r="M986"/>
  <c r="N986" s="1"/>
  <c r="M781"/>
  <c r="N781" s="1"/>
  <c r="M607"/>
  <c r="N607" s="1"/>
  <c r="M925"/>
  <c r="N925" s="1"/>
  <c r="M576"/>
  <c r="N576" s="1"/>
  <c r="M899"/>
  <c r="N899" s="1"/>
  <c r="M846"/>
  <c r="N846" s="1"/>
  <c r="M1030"/>
  <c r="N1030" s="1"/>
  <c r="M624"/>
  <c r="N624" s="1"/>
  <c r="M931"/>
  <c r="N931" s="1"/>
  <c r="M691"/>
  <c r="N691" s="1"/>
  <c r="M1055"/>
  <c r="N1055" s="1"/>
  <c r="M713"/>
  <c r="N713" s="1"/>
  <c r="M1033"/>
  <c r="N1033" s="1"/>
  <c r="M798"/>
  <c r="N798" s="1"/>
  <c r="M858"/>
  <c r="N858" s="1"/>
  <c r="M873"/>
  <c r="N873" s="1"/>
  <c r="M864"/>
  <c r="N864" s="1"/>
  <c r="M854"/>
  <c r="N854" s="1"/>
  <c r="M625"/>
  <c r="N625" s="1"/>
  <c r="M770"/>
  <c r="N770" s="1"/>
  <c r="M739"/>
  <c r="N739" s="1"/>
  <c r="M557"/>
  <c r="N557" s="1"/>
  <c r="M639"/>
  <c r="N639" s="1"/>
  <c r="M998"/>
  <c r="N998" s="1"/>
  <c r="M996"/>
  <c r="N996" s="1"/>
  <c r="M772"/>
  <c r="N772" s="1"/>
  <c r="M845"/>
  <c r="N845" s="1"/>
  <c r="M1007"/>
  <c r="N1007" s="1"/>
  <c r="M560"/>
  <c r="N560" s="1"/>
  <c r="M1004"/>
  <c r="N1004" s="1"/>
  <c r="M1057"/>
  <c r="N1057" s="1"/>
  <c r="M603"/>
  <c r="N603" s="1"/>
  <c r="M564"/>
  <c r="N564" s="1"/>
  <c r="M901"/>
  <c r="N901" s="1"/>
  <c r="M962"/>
  <c r="N962" s="1"/>
  <c r="M720"/>
  <c r="N720" s="1"/>
  <c r="M964"/>
  <c r="N964" s="1"/>
  <c r="M672"/>
  <c r="N672" s="1"/>
  <c r="M961"/>
  <c r="N961" s="1"/>
  <c r="M726"/>
  <c r="N726" s="1"/>
  <c r="M752"/>
  <c r="N752" s="1"/>
  <c r="M649"/>
  <c r="N649" s="1"/>
  <c r="M646"/>
  <c r="N646" s="1"/>
  <c r="M863"/>
  <c r="N863" s="1"/>
  <c r="M883"/>
  <c r="N883" s="1"/>
  <c r="M909"/>
  <c r="N909" s="1"/>
  <c r="M938"/>
  <c r="N938" s="1"/>
  <c r="M940"/>
  <c r="N940" s="1"/>
  <c r="M865"/>
  <c r="N865" s="1"/>
  <c r="M689"/>
  <c r="N689" s="1"/>
  <c r="M746"/>
  <c r="N746" s="1"/>
  <c r="M673"/>
  <c r="N673" s="1"/>
  <c r="M594"/>
  <c r="N594" s="1"/>
  <c r="M1029"/>
  <c r="N1029" s="1"/>
  <c r="M824"/>
  <c r="N824" s="1"/>
  <c r="M573"/>
  <c r="N573" s="1"/>
  <c r="M792"/>
  <c r="N792" s="1"/>
  <c r="M763"/>
  <c r="N763" s="1"/>
  <c r="M935"/>
  <c r="N935" s="1"/>
  <c r="M850"/>
  <c r="N850" s="1"/>
  <c r="M1056"/>
  <c r="N1056" s="1"/>
  <c r="M817"/>
  <c r="N817" s="1"/>
  <c r="M1013"/>
  <c r="N1013" s="1"/>
  <c r="M967"/>
  <c r="N967" s="1"/>
  <c r="M979"/>
  <c r="N979" s="1"/>
  <c r="M588"/>
  <c r="N588" s="1"/>
  <c r="M809"/>
  <c r="N809" s="1"/>
  <c r="M1052"/>
  <c r="N1052" s="1"/>
  <c r="M842"/>
  <c r="N842" s="1"/>
  <c r="M559"/>
  <c r="N559" s="1"/>
  <c r="M580"/>
  <c r="N580" s="1"/>
  <c r="M1006"/>
  <c r="N1006" s="1"/>
  <c r="M965"/>
  <c r="N965" s="1"/>
  <c r="M787"/>
  <c r="N787" s="1"/>
  <c r="M919"/>
  <c r="N919" s="1"/>
  <c r="M679"/>
  <c r="N679" s="1"/>
  <c r="M1016"/>
  <c r="N1016" s="1"/>
  <c r="M920"/>
  <c r="N920" s="1"/>
  <c r="M765"/>
  <c r="N765" s="1"/>
  <c r="M870"/>
  <c r="N870" s="1"/>
  <c r="M614"/>
  <c r="N614" s="1"/>
  <c r="M656"/>
  <c r="N656" s="1"/>
  <c r="M709"/>
  <c r="N709" s="1"/>
  <c r="M658"/>
  <c r="N658" s="1"/>
  <c r="M666"/>
  <c r="N666" s="1"/>
  <c r="M719"/>
  <c r="N719" s="1"/>
  <c r="M956"/>
  <c r="N956" s="1"/>
  <c r="M766"/>
  <c r="N766" s="1"/>
  <c r="M913"/>
  <c r="N913" s="1"/>
  <c r="M980"/>
  <c r="N980" s="1"/>
  <c r="M638"/>
  <c r="N638" s="1"/>
  <c r="M605"/>
  <c r="N605" s="1"/>
  <c r="M833"/>
  <c r="N833" s="1"/>
  <c r="M655"/>
  <c r="N655" s="1"/>
  <c r="M1025"/>
  <c r="N1025" s="1"/>
  <c r="M664"/>
  <c r="N664" s="1"/>
  <c r="M569"/>
  <c r="N569" s="1"/>
  <c r="M968"/>
  <c r="N968" s="1"/>
  <c r="M552"/>
  <c r="N552" s="1"/>
  <c r="M780"/>
  <c r="N780" s="1"/>
  <c r="M760"/>
  <c r="N760" s="1"/>
  <c r="M912"/>
  <c r="N912" s="1"/>
  <c r="M916"/>
  <c r="N916" s="1"/>
  <c r="M786"/>
  <c r="N786" s="1"/>
  <c r="M827"/>
  <c r="N827" s="1"/>
  <c r="M561"/>
  <c r="N561" s="1"/>
  <c r="M698"/>
  <c r="N698" s="1"/>
  <c r="M775"/>
  <c r="N775" s="1"/>
  <c r="M859"/>
  <c r="N859" s="1"/>
  <c r="M629"/>
  <c r="N629" s="1"/>
  <c r="M957"/>
  <c r="N957" s="1"/>
  <c r="M1000"/>
  <c r="N1000" s="1"/>
  <c r="M633"/>
  <c r="N633" s="1"/>
  <c r="M945"/>
  <c r="N945" s="1"/>
  <c r="M575"/>
  <c r="N575" s="1"/>
  <c r="M914"/>
  <c r="N914" s="1"/>
  <c r="M741"/>
  <c r="N741" s="1"/>
  <c r="M701"/>
  <c r="N701" s="1"/>
  <c r="M586"/>
  <c r="N586" s="1"/>
  <c r="M767"/>
  <c r="N767" s="1"/>
  <c r="M730"/>
  <c r="N730" s="1"/>
  <c r="M867"/>
  <c r="N867" s="1"/>
  <c r="M750"/>
  <c r="N750" s="1"/>
  <c r="M755"/>
  <c r="N755" s="1"/>
  <c r="M951"/>
  <c r="N951" s="1"/>
  <c r="M742"/>
  <c r="N742" s="1"/>
  <c r="M995"/>
  <c r="N995" s="1"/>
  <c r="M815"/>
  <c r="N815" s="1"/>
  <c r="M680"/>
  <c r="N680" s="1"/>
  <c r="M661"/>
  <c r="N661" s="1"/>
  <c r="M707"/>
  <c r="N707" s="1"/>
  <c r="M1010"/>
  <c r="N1010" s="1"/>
  <c r="M758"/>
  <c r="N758" s="1"/>
  <c r="M797"/>
  <c r="N797" s="1"/>
  <c r="M885"/>
  <c r="N885" s="1"/>
  <c r="M744"/>
  <c r="N744" s="1"/>
  <c r="M813"/>
  <c r="N813" s="1"/>
  <c r="M676"/>
  <c r="N676" s="1"/>
  <c r="M1062"/>
  <c r="N1062" s="1"/>
  <c r="M704"/>
  <c r="N704" s="1"/>
  <c r="M1022"/>
  <c r="N1022" s="1"/>
  <c r="M917"/>
  <c r="N917" s="1"/>
  <c r="M841"/>
  <c r="N841" s="1"/>
  <c r="M891"/>
  <c r="N891" s="1"/>
  <c r="M839"/>
  <c r="N839" s="1"/>
  <c r="M922"/>
  <c r="N922" s="1"/>
  <c r="M801"/>
  <c r="N801" s="1"/>
  <c r="M696"/>
  <c r="N696" s="1"/>
  <c r="M615"/>
  <c r="N615" s="1"/>
  <c r="M973"/>
  <c r="N973" s="1"/>
  <c r="M567"/>
  <c r="N567" s="1"/>
  <c r="M600"/>
  <c r="N600" s="1"/>
  <c r="M1037"/>
  <c r="N1037" s="1"/>
  <c r="M743"/>
  <c r="N743" s="1"/>
  <c r="M1019"/>
  <c r="N1019" s="1"/>
  <c r="M747"/>
  <c r="N747" s="1"/>
  <c r="M602"/>
  <c r="N602" s="1"/>
  <c r="M877"/>
  <c r="N877" s="1"/>
  <c r="M794"/>
  <c r="N794" s="1"/>
  <c r="M932"/>
  <c r="N932" s="1"/>
  <c r="M670"/>
  <c r="N670" s="1"/>
  <c r="M578"/>
  <c r="N578" s="1"/>
  <c r="M888"/>
  <c r="N888" s="1"/>
  <c r="M851"/>
  <c r="N851" s="1"/>
  <c r="M1014"/>
  <c r="N1014" s="1"/>
  <c r="M663"/>
  <c r="N663" s="1"/>
  <c r="M612"/>
  <c r="N612" s="1"/>
  <c r="M1054"/>
  <c r="N1054" s="1"/>
  <c r="M637"/>
  <c r="N637" s="1"/>
  <c r="M852"/>
  <c r="N852" s="1"/>
  <c r="M936"/>
  <c r="N936" s="1"/>
  <c r="M804"/>
  <c r="N804" s="1"/>
  <c r="M725"/>
  <c r="N725" s="1"/>
  <c r="M988"/>
  <c r="N988" s="1"/>
  <c r="M976"/>
  <c r="N976" s="1"/>
  <c r="M714"/>
  <c r="N714" s="1"/>
  <c r="M910"/>
  <c r="N910" s="1"/>
  <c r="M874"/>
  <c r="N874" s="1"/>
  <c r="M591"/>
  <c r="N591" s="1"/>
  <c r="M729"/>
  <c r="N729" s="1"/>
  <c r="M816"/>
  <c r="N816" s="1"/>
  <c r="M947"/>
  <c r="N947" s="1"/>
  <c r="M930"/>
  <c r="N930" s="1"/>
  <c r="M712"/>
  <c r="N712" s="1"/>
  <c r="M636"/>
  <c r="N636" s="1"/>
  <c r="M613"/>
  <c r="N613" s="1"/>
  <c r="M644"/>
  <c r="N644" s="1"/>
  <c r="M572"/>
  <c r="N572" s="1"/>
  <c r="M697"/>
  <c r="N697" s="1"/>
  <c r="M969"/>
  <c r="N969" s="1"/>
  <c r="M748"/>
  <c r="N748" s="1"/>
  <c r="M1039"/>
  <c r="N1039" s="1"/>
  <c r="M876"/>
  <c r="N876" s="1"/>
  <c r="M805"/>
  <c r="N805" s="1"/>
  <c r="M1009"/>
  <c r="N1009" s="1"/>
  <c r="M789"/>
  <c r="N789" s="1"/>
  <c r="M926"/>
  <c r="N926" s="1"/>
  <c r="M934"/>
  <c r="N934" s="1"/>
  <c r="M678"/>
  <c r="N678" s="1"/>
  <c r="M589"/>
  <c r="N589" s="1"/>
  <c r="M721"/>
  <c r="N721" s="1"/>
  <c r="M716"/>
  <c r="N716" s="1"/>
  <c r="M820"/>
  <c r="N820" s="1"/>
  <c r="M1059"/>
  <c r="N1059" s="1"/>
  <c r="M749"/>
  <c r="N749" s="1"/>
  <c r="M665"/>
  <c r="N665" s="1"/>
  <c r="M1027"/>
  <c r="N1027" s="1"/>
  <c r="M731"/>
  <c r="N731" s="1"/>
  <c r="M1003"/>
  <c r="N1003" s="1"/>
  <c r="M1032"/>
  <c r="N1032" s="1"/>
  <c r="M635"/>
  <c r="N635" s="1"/>
  <c r="M690"/>
  <c r="N690" s="1"/>
  <c r="M831"/>
  <c r="N831" s="1"/>
  <c r="M900"/>
  <c r="N900" s="1"/>
  <c r="M759"/>
  <c r="N759" s="1"/>
  <c r="M950"/>
  <c r="N950" s="1"/>
  <c r="M601"/>
  <c r="N601" s="1"/>
  <c r="M972"/>
  <c r="N972" s="1"/>
  <c r="M902"/>
  <c r="N902" s="1"/>
  <c r="M699"/>
  <c r="N699" s="1"/>
  <c r="M790"/>
  <c r="N790" s="1"/>
  <c r="M807"/>
  <c r="N807" s="1"/>
  <c r="M1060"/>
  <c r="N1060" s="1"/>
  <c r="M764"/>
  <c r="N764" s="1"/>
  <c r="M446"/>
  <c r="N446" s="1"/>
  <c r="M33"/>
  <c r="N33" s="1"/>
  <c r="M706"/>
  <c r="N706" s="1"/>
  <c r="M558"/>
  <c r="N558" s="1"/>
  <c r="M608"/>
  <c r="N608" s="1"/>
  <c r="M878"/>
  <c r="N878" s="1"/>
  <c r="M941"/>
  <c r="N941" s="1"/>
  <c r="M1036"/>
  <c r="N1036" s="1"/>
  <c r="M631"/>
  <c r="N631" s="1"/>
  <c r="M903"/>
  <c r="N903" s="1"/>
  <c r="M849"/>
  <c r="N849" s="1"/>
  <c r="M821"/>
  <c r="N821" s="1"/>
  <c r="M788"/>
  <c r="N788" s="1"/>
  <c r="M989"/>
  <c r="N989" s="1"/>
  <c r="M879"/>
  <c r="N879" s="1"/>
  <c r="M857"/>
  <c r="N857" s="1"/>
  <c r="M943"/>
  <c r="N943" s="1"/>
  <c r="M582"/>
  <c r="N582" s="1"/>
  <c r="M949"/>
  <c r="N949" s="1"/>
  <c r="M952"/>
  <c r="N952" s="1"/>
  <c r="M587"/>
  <c r="N587" s="1"/>
  <c r="M966"/>
  <c r="N966" s="1"/>
  <c r="M997"/>
  <c r="N997" s="1"/>
  <c r="M769"/>
  <c r="N769" s="1"/>
  <c r="M993"/>
  <c r="N993" s="1"/>
  <c r="M711"/>
  <c r="N711" s="1"/>
  <c r="M983"/>
  <c r="N983" s="1"/>
  <c r="M640"/>
  <c r="N640" s="1"/>
  <c r="M684"/>
  <c r="N684" s="1"/>
  <c r="M686"/>
  <c r="N686" s="1"/>
  <c r="M740"/>
  <c r="N740" s="1"/>
  <c r="M643"/>
  <c r="N643" s="1"/>
  <c r="M907"/>
  <c r="N907" s="1"/>
  <c r="M908"/>
  <c r="N908" s="1"/>
  <c r="M728"/>
  <c r="N728" s="1"/>
  <c r="M1005"/>
  <c r="N1005" s="1"/>
  <c r="M745"/>
  <c r="N745" s="1"/>
  <c r="M1011"/>
  <c r="N1011" s="1"/>
  <c r="M897"/>
  <c r="N897" s="1"/>
  <c r="M1018"/>
  <c r="N1018" s="1"/>
  <c r="M933"/>
  <c r="N933" s="1"/>
  <c r="M657"/>
  <c r="N657" s="1"/>
  <c r="M1012"/>
  <c r="N1012" s="1"/>
  <c r="M1034"/>
  <c r="N1034" s="1"/>
  <c r="M556"/>
  <c r="N556" s="1"/>
  <c r="M818"/>
  <c r="N818" s="1"/>
  <c r="M987"/>
  <c r="N987" s="1"/>
  <c r="M896"/>
  <c r="N896" s="1"/>
  <c r="M861"/>
  <c r="N861" s="1"/>
  <c r="M869"/>
  <c r="N869" s="1"/>
  <c r="M982"/>
  <c r="N982" s="1"/>
  <c r="M642"/>
  <c r="N642" s="1"/>
  <c r="M812"/>
  <c r="N812" s="1"/>
  <c r="M694"/>
  <c r="N694" s="1"/>
  <c r="M1043"/>
  <c r="N1043" s="1"/>
  <c r="M860"/>
  <c r="N860" s="1"/>
  <c r="M692"/>
  <c r="N692" s="1"/>
  <c r="M918"/>
  <c r="N918" s="1"/>
  <c r="M653"/>
  <c r="N653" s="1"/>
  <c r="J78"/>
  <c r="K78" s="1"/>
  <c r="M498"/>
  <c r="N498" s="1"/>
  <c r="M682"/>
  <c r="N682" s="1"/>
  <c r="M855"/>
  <c r="N855" s="1"/>
  <c r="M893"/>
  <c r="N893" s="1"/>
  <c r="M598"/>
  <c r="N598" s="1"/>
  <c r="M929"/>
  <c r="N929" s="1"/>
  <c r="M853"/>
  <c r="N853" s="1"/>
  <c r="M946"/>
  <c r="N946" s="1"/>
  <c r="M784"/>
  <c r="N784" s="1"/>
  <c r="M724"/>
  <c r="N724" s="1"/>
  <c r="M654"/>
  <c r="N654" s="1"/>
  <c r="M693"/>
  <c r="N693" s="1"/>
  <c r="M734"/>
  <c r="N734" s="1"/>
  <c r="M668"/>
  <c r="N668" s="1"/>
  <c r="M776"/>
  <c r="N776" s="1"/>
  <c r="M735"/>
  <c r="N735" s="1"/>
  <c r="M800"/>
  <c r="N800" s="1"/>
  <c r="M702"/>
  <c r="N702" s="1"/>
  <c r="M847"/>
  <c r="N847" s="1"/>
  <c r="M928"/>
  <c r="N928" s="1"/>
  <c r="M619"/>
  <c r="N619" s="1"/>
  <c r="M830"/>
  <c r="N830" s="1"/>
  <c r="M595"/>
  <c r="N595" s="1"/>
  <c r="M923"/>
  <c r="N923" s="1"/>
  <c r="M592"/>
  <c r="N592" s="1"/>
  <c r="M590"/>
  <c r="N590" s="1"/>
  <c r="M570"/>
  <c r="N570" s="1"/>
  <c r="M1035"/>
  <c r="N1035" s="1"/>
  <c r="M579"/>
  <c r="N579" s="1"/>
  <c r="M872"/>
  <c r="N872" s="1"/>
  <c r="M626"/>
  <c r="N626" s="1"/>
  <c r="M783"/>
  <c r="N783" s="1"/>
  <c r="M884"/>
  <c r="N884" s="1"/>
  <c r="M708"/>
  <c r="N708" s="1"/>
  <c r="M771"/>
  <c r="N771" s="1"/>
  <c r="M618"/>
  <c r="N618" s="1"/>
  <c r="M1046"/>
  <c r="N1046" s="1"/>
  <c r="M1026"/>
  <c r="N1026" s="1"/>
  <c r="M650"/>
  <c r="N650" s="1"/>
  <c r="M553"/>
  <c r="N553" s="1"/>
  <c r="M904"/>
  <c r="N904" s="1"/>
  <c r="M1017"/>
  <c r="N1017" s="1"/>
  <c r="M606"/>
  <c r="N606" s="1"/>
  <c r="M727"/>
  <c r="N727" s="1"/>
  <c r="M991"/>
  <c r="N991" s="1"/>
  <c r="M894"/>
  <c r="N894" s="1"/>
  <c r="M674"/>
  <c r="N674" s="1"/>
  <c r="M958"/>
  <c r="N958" s="1"/>
  <c r="M1058"/>
  <c r="N1058" s="1"/>
  <c r="M832"/>
  <c r="N832" s="1"/>
  <c r="M785"/>
  <c r="N785" s="1"/>
  <c r="M773"/>
  <c r="N773" s="1"/>
  <c r="M1050"/>
  <c r="N1050" s="1"/>
  <c r="M577"/>
  <c r="N577" s="1"/>
  <c r="M985"/>
  <c r="N985" s="1"/>
  <c r="M611"/>
  <c r="N611" s="1"/>
  <c r="M871"/>
  <c r="N871" s="1"/>
  <c r="M585"/>
  <c r="N585" s="1"/>
  <c r="M990"/>
  <c r="N990" s="1"/>
  <c r="J448"/>
  <c r="K448" s="1"/>
  <c r="J173"/>
  <c r="J299"/>
  <c r="K299" s="1"/>
  <c r="J54"/>
  <c r="K54" s="1"/>
  <c r="J219"/>
  <c r="K219" s="1"/>
  <c r="J44"/>
  <c r="K44" s="1"/>
  <c r="J413"/>
  <c r="K413" s="1"/>
  <c r="J236"/>
  <c r="K236" s="1"/>
  <c r="J400"/>
  <c r="K400" s="1"/>
  <c r="J485"/>
  <c r="K485" s="1"/>
  <c r="J342"/>
  <c r="K342" s="1"/>
  <c r="J352"/>
  <c r="K352" s="1"/>
  <c r="J235"/>
  <c r="K235" s="1"/>
  <c r="J239"/>
  <c r="K239" s="1"/>
  <c r="J326"/>
  <c r="K326" s="1"/>
  <c r="J435"/>
  <c r="K435" s="1"/>
  <c r="J343"/>
  <c r="K343" s="1"/>
  <c r="J519"/>
  <c r="K519" s="1"/>
  <c r="J151"/>
  <c r="K151" s="1"/>
  <c r="J99"/>
  <c r="K99" s="1"/>
  <c r="J96"/>
  <c r="K96" s="1"/>
  <c r="M641"/>
  <c r="N641" s="1"/>
  <c r="M1045"/>
  <c r="N1045" s="1"/>
  <c r="M555"/>
  <c r="N555" s="1"/>
  <c r="M823"/>
  <c r="N823" s="1"/>
  <c r="M761"/>
  <c r="N761" s="1"/>
  <c r="M645"/>
  <c r="N645" s="1"/>
  <c r="M939"/>
  <c r="N939" s="1"/>
  <c r="M554"/>
  <c r="N554" s="1"/>
  <c r="M886"/>
  <c r="N886" s="1"/>
  <c r="M808"/>
  <c r="N808" s="1"/>
  <c r="M756"/>
  <c r="N756" s="1"/>
  <c r="M669"/>
  <c r="N669" s="1"/>
  <c r="M563"/>
  <c r="N563" s="1"/>
  <c r="M610"/>
  <c r="N610" s="1"/>
  <c r="M736"/>
  <c r="N736" s="1"/>
  <c r="M717"/>
  <c r="N717" s="1"/>
  <c r="M667"/>
  <c r="N667" s="1"/>
  <c r="M627"/>
  <c r="N627" s="1"/>
  <c r="M822"/>
  <c r="N822" s="1"/>
  <c r="M978"/>
  <c r="N978" s="1"/>
  <c r="M887"/>
  <c r="N887" s="1"/>
  <c r="M1061"/>
  <c r="N1061" s="1"/>
  <c r="M623"/>
  <c r="N623" s="1"/>
  <c r="M826"/>
  <c r="N826" s="1"/>
  <c r="M571"/>
  <c r="N571" s="1"/>
  <c r="M905"/>
  <c r="N905" s="1"/>
  <c r="M677"/>
  <c r="N677" s="1"/>
  <c r="M722"/>
  <c r="N722" s="1"/>
  <c r="M753"/>
  <c r="N753" s="1"/>
  <c r="M825"/>
  <c r="N825" s="1"/>
  <c r="M687"/>
  <c r="N687" s="1"/>
  <c r="M999"/>
  <c r="N999" s="1"/>
  <c r="K173"/>
  <c r="J179"/>
  <c r="K179" s="1"/>
  <c r="J516"/>
  <c r="K516" s="1"/>
  <c r="J380"/>
  <c r="K380" s="1"/>
  <c r="J271"/>
  <c r="K271" s="1"/>
  <c r="J150"/>
  <c r="K150" s="1"/>
  <c r="J409"/>
  <c r="K409" s="1"/>
  <c r="J443"/>
  <c r="K443" s="1"/>
  <c r="J120"/>
  <c r="K120" s="1"/>
  <c r="J232"/>
  <c r="K232" s="1"/>
  <c r="J18"/>
  <c r="K18" s="1"/>
  <c r="J341"/>
  <c r="K341" s="1"/>
  <c r="J336"/>
  <c r="K336" s="1"/>
  <c r="J127"/>
  <c r="K127" s="1"/>
  <c r="J174"/>
  <c r="K174" s="1"/>
  <c r="J329"/>
  <c r="K329" s="1"/>
  <c r="J365"/>
  <c r="K365" s="1"/>
  <c r="J153"/>
  <c r="K153" s="1"/>
  <c r="J220"/>
  <c r="K220" s="1"/>
  <c r="J389"/>
  <c r="K389" s="1"/>
  <c r="J226"/>
  <c r="K226" s="1"/>
  <c r="J399"/>
  <c r="K399" s="1"/>
  <c r="J442"/>
  <c r="K442" s="1"/>
  <c r="J210"/>
  <c r="K210" s="1"/>
  <c r="J187"/>
  <c r="K187" s="1"/>
  <c r="J280"/>
  <c r="K280" s="1"/>
  <c r="J386"/>
  <c r="K386" s="1"/>
  <c r="J355"/>
  <c r="K355" s="1"/>
  <c r="J426"/>
  <c r="K426" s="1"/>
  <c r="J133"/>
  <c r="K133" s="1"/>
  <c r="J59"/>
  <c r="K59" s="1"/>
  <c r="J469"/>
  <c r="K469" s="1"/>
  <c r="J166"/>
  <c r="K166" s="1"/>
  <c r="J212"/>
  <c r="K212" s="1"/>
  <c r="J322"/>
  <c r="K322" s="1"/>
  <c r="J416"/>
  <c r="K416" s="1"/>
  <c r="J237"/>
  <c r="K237" s="1"/>
  <c r="J28"/>
  <c r="K28" s="1"/>
  <c r="J515"/>
  <c r="K515" s="1"/>
  <c r="J423"/>
  <c r="K423" s="1"/>
  <c r="J401"/>
  <c r="K401" s="1"/>
  <c r="J277"/>
  <c r="K277" s="1"/>
  <c r="J79"/>
  <c r="K79" s="1"/>
  <c r="J378"/>
  <c r="K378" s="1"/>
  <c r="J487"/>
  <c r="K487" s="1"/>
  <c r="J252"/>
  <c r="K252" s="1"/>
  <c r="J377"/>
  <c r="K377" s="1"/>
  <c r="J116"/>
  <c r="K116" s="1"/>
  <c r="J216"/>
  <c r="K216" s="1"/>
  <c r="J490"/>
  <c r="K490" s="1"/>
  <c r="J225"/>
  <c r="K225" s="1"/>
  <c r="J147"/>
  <c r="K147" s="1"/>
  <c r="J88"/>
  <c r="K88" s="1"/>
  <c r="J43"/>
  <c r="K43" s="1"/>
  <c r="J162"/>
  <c r="K162" s="1"/>
  <c r="J141"/>
  <c r="K141" s="1"/>
  <c r="J217"/>
  <c r="K217" s="1"/>
  <c r="J74"/>
  <c r="K74" s="1"/>
  <c r="J200"/>
  <c r="K200" s="1"/>
  <c r="J290"/>
  <c r="K290" s="1"/>
  <c r="J197"/>
  <c r="K197" s="1"/>
  <c r="J482"/>
  <c r="K482" s="1"/>
  <c r="J49"/>
  <c r="K49" s="1"/>
  <c r="J446"/>
  <c r="K446" s="1"/>
  <c r="J122"/>
  <c r="K122" s="1"/>
  <c r="J205"/>
  <c r="K205" s="1"/>
  <c r="J323"/>
  <c r="K323" s="1"/>
  <c r="J114"/>
  <c r="K114" s="1"/>
  <c r="J40"/>
  <c r="K40" s="1"/>
  <c r="J221"/>
  <c r="K221" s="1"/>
  <c r="J62"/>
  <c r="K62" s="1"/>
  <c r="J126"/>
  <c r="K126" s="1"/>
  <c r="J130"/>
  <c r="K130" s="1"/>
  <c r="J193"/>
  <c r="K193" s="1"/>
  <c r="J259"/>
  <c r="K259" s="1"/>
  <c r="J356"/>
  <c r="K356" s="1"/>
  <c r="J84"/>
  <c r="K84" s="1"/>
  <c r="J420"/>
  <c r="K420" s="1"/>
  <c r="J368"/>
  <c r="K368" s="1"/>
  <c r="J508"/>
  <c r="K508" s="1"/>
  <c r="J306"/>
  <c r="K306" s="1"/>
  <c r="J460"/>
  <c r="K460" s="1"/>
  <c r="J489"/>
  <c r="K489" s="1"/>
  <c r="J513"/>
  <c r="K513" s="1"/>
  <c r="J346"/>
  <c r="K346" s="1"/>
  <c r="M102"/>
  <c r="N102" s="1"/>
  <c r="M185"/>
  <c r="N185" s="1"/>
  <c r="M401"/>
  <c r="N401" s="1"/>
  <c r="M490"/>
  <c r="N490" s="1"/>
  <c r="M108"/>
  <c r="N108" s="1"/>
  <c r="M37"/>
  <c r="N37" s="1"/>
  <c r="M425"/>
  <c r="N425" s="1"/>
  <c r="M94"/>
  <c r="N94" s="1"/>
  <c r="M457"/>
  <c r="N457" s="1"/>
  <c r="M117"/>
  <c r="N117" s="1"/>
  <c r="M492"/>
  <c r="N492" s="1"/>
  <c r="M422"/>
  <c r="N422" s="1"/>
  <c r="M150"/>
  <c r="N150" s="1"/>
  <c r="M205"/>
  <c r="N205" s="1"/>
  <c r="J65"/>
  <c r="K65" s="1"/>
  <c r="J375"/>
  <c r="K375" s="1"/>
  <c r="J525"/>
  <c r="K525" s="1"/>
  <c r="J325"/>
  <c r="K325" s="1"/>
  <c r="J415"/>
  <c r="K415" s="1"/>
  <c r="J327"/>
  <c r="K327" s="1"/>
  <c r="J206"/>
  <c r="K206" s="1"/>
  <c r="J253"/>
  <c r="K253" s="1"/>
  <c r="J382"/>
  <c r="K382" s="1"/>
  <c r="J229"/>
  <c r="K229" s="1"/>
  <c r="J298"/>
  <c r="K298" s="1"/>
  <c r="M25"/>
  <c r="N25" s="1"/>
  <c r="J201"/>
  <c r="K201" s="1"/>
  <c r="J424"/>
  <c r="K424" s="1"/>
  <c r="M222"/>
  <c r="N222" s="1"/>
  <c r="M122"/>
  <c r="N122" s="1"/>
  <c r="M286"/>
  <c r="N286" s="1"/>
  <c r="M312"/>
  <c r="N312" s="1"/>
  <c r="J331"/>
  <c r="K331" s="1"/>
  <c r="M54"/>
  <c r="N54" s="1"/>
  <c r="M174"/>
  <c r="N174" s="1"/>
  <c r="M252"/>
  <c r="N252" s="1"/>
  <c r="M244"/>
  <c r="N244" s="1"/>
  <c r="M472"/>
  <c r="N472" s="1"/>
  <c r="M336"/>
  <c r="N336" s="1"/>
  <c r="M300"/>
  <c r="N300" s="1"/>
  <c r="M470"/>
  <c r="N470" s="1"/>
  <c r="M166"/>
  <c r="N166" s="1"/>
  <c r="J428"/>
  <c r="K428" s="1"/>
  <c r="J493"/>
  <c r="K493" s="1"/>
  <c r="J108"/>
  <c r="K108" s="1"/>
  <c r="J22"/>
  <c r="K22" s="1"/>
  <c r="J509"/>
  <c r="K509" s="1"/>
  <c r="M384"/>
  <c r="N384" s="1"/>
  <c r="J526"/>
  <c r="K526" s="1"/>
  <c r="J204"/>
  <c r="K204" s="1"/>
  <c r="M192"/>
  <c r="N192" s="1"/>
  <c r="M214"/>
  <c r="N214" s="1"/>
  <c r="M438"/>
  <c r="N438" s="1"/>
  <c r="M72"/>
  <c r="N72" s="1"/>
  <c r="M198"/>
  <c r="N198" s="1"/>
  <c r="M261"/>
  <c r="N261" s="1"/>
  <c r="M409"/>
  <c r="N409" s="1"/>
  <c r="M141"/>
  <c r="N141" s="1"/>
  <c r="M71"/>
  <c r="N71" s="1"/>
  <c r="M145"/>
  <c r="N145" s="1"/>
  <c r="M225"/>
  <c r="N225" s="1"/>
  <c r="M502"/>
  <c r="N502" s="1"/>
  <c r="M228"/>
  <c r="N228" s="1"/>
  <c r="M414"/>
  <c r="N414" s="1"/>
  <c r="M125"/>
  <c r="N125" s="1"/>
  <c r="M439"/>
  <c r="N439" s="1"/>
  <c r="M74"/>
  <c r="N74" s="1"/>
  <c r="M163"/>
  <c r="N163" s="1"/>
  <c r="M90"/>
  <c r="N90" s="1"/>
  <c r="M285"/>
  <c r="N285" s="1"/>
  <c r="M41"/>
  <c r="N41" s="1"/>
  <c r="M388"/>
  <c r="N388" s="1"/>
  <c r="M268"/>
  <c r="N268" s="1"/>
  <c r="M67"/>
  <c r="N67" s="1"/>
  <c r="M56"/>
  <c r="N56" s="1"/>
  <c r="M349"/>
  <c r="N349" s="1"/>
  <c r="M468"/>
  <c r="N468" s="1"/>
  <c r="M60"/>
  <c r="N60" s="1"/>
  <c r="M523"/>
  <c r="N523" s="1"/>
  <c r="M296"/>
  <c r="N296" s="1"/>
  <c r="M156"/>
  <c r="N156" s="1"/>
  <c r="M52"/>
  <c r="N52" s="1"/>
  <c r="M45"/>
  <c r="N45" s="1"/>
  <c r="M379"/>
  <c r="N379" s="1"/>
  <c r="M461"/>
  <c r="N461" s="1"/>
  <c r="M504"/>
  <c r="N504" s="1"/>
  <c r="M374"/>
  <c r="N374" s="1"/>
  <c r="M292"/>
  <c r="N292" s="1"/>
  <c r="M471"/>
  <c r="N471" s="1"/>
  <c r="M249"/>
  <c r="N249" s="1"/>
  <c r="M456"/>
  <c r="N456" s="1"/>
  <c r="M333"/>
  <c r="N333" s="1"/>
  <c r="M78"/>
  <c r="N78" s="1"/>
  <c r="M144"/>
  <c r="N144" s="1"/>
  <c r="M204"/>
  <c r="N204" s="1"/>
  <c r="M480"/>
  <c r="N480" s="1"/>
  <c r="M399"/>
  <c r="N399" s="1"/>
  <c r="M283"/>
  <c r="N283" s="1"/>
  <c r="M527"/>
  <c r="N527" s="1"/>
  <c r="M421"/>
  <c r="N421" s="1"/>
  <c r="M338"/>
  <c r="N338" s="1"/>
  <c r="M149"/>
  <c r="N149" s="1"/>
  <c r="M187"/>
  <c r="N187" s="1"/>
  <c r="M233"/>
  <c r="N233" s="1"/>
  <c r="M503"/>
  <c r="N503" s="1"/>
  <c r="M119"/>
  <c r="N119" s="1"/>
  <c r="M199"/>
  <c r="N199" s="1"/>
  <c r="M240"/>
  <c r="N240" s="1"/>
  <c r="M120"/>
  <c r="N120" s="1"/>
  <c r="M104"/>
  <c r="N104" s="1"/>
  <c r="M354"/>
  <c r="N354" s="1"/>
  <c r="M495"/>
  <c r="N495" s="1"/>
  <c r="M115"/>
  <c r="N115" s="1"/>
  <c r="M87"/>
  <c r="N87" s="1"/>
  <c r="M329"/>
  <c r="N329" s="1"/>
  <c r="M330"/>
  <c r="N330" s="1"/>
  <c r="M326"/>
  <c r="N326" s="1"/>
  <c r="M131"/>
  <c r="N131" s="1"/>
  <c r="M477"/>
  <c r="N477" s="1"/>
  <c r="M313"/>
  <c r="N313" s="1"/>
  <c r="M273"/>
  <c r="N273" s="1"/>
  <c r="M489"/>
  <c r="N489" s="1"/>
  <c r="M528"/>
  <c r="N528" s="1"/>
  <c r="M398"/>
  <c r="N398" s="1"/>
  <c r="M191"/>
  <c r="N191" s="1"/>
  <c r="M88"/>
  <c r="N88" s="1"/>
  <c r="M430"/>
  <c r="N430" s="1"/>
  <c r="M21"/>
  <c r="N21" s="1"/>
  <c r="M510"/>
  <c r="N510" s="1"/>
  <c r="M407"/>
  <c r="N407" s="1"/>
  <c r="M36"/>
  <c r="N36" s="1"/>
  <c r="M258"/>
  <c r="N258" s="1"/>
  <c r="M132"/>
  <c r="N132" s="1"/>
  <c r="M437"/>
  <c r="N437" s="1"/>
  <c r="M101"/>
  <c r="N101" s="1"/>
  <c r="M237"/>
  <c r="N237" s="1"/>
  <c r="M368"/>
  <c r="N368" s="1"/>
  <c r="M105"/>
  <c r="N105" s="1"/>
  <c r="M415"/>
  <c r="N415" s="1"/>
  <c r="M20"/>
  <c r="N20" s="1"/>
  <c r="M216"/>
  <c r="N216" s="1"/>
  <c r="M394"/>
  <c r="N394" s="1"/>
  <c r="M516"/>
  <c r="N516" s="1"/>
  <c r="M360"/>
  <c r="N360" s="1"/>
  <c r="M381"/>
  <c r="N381" s="1"/>
  <c r="M106"/>
  <c r="N106" s="1"/>
  <c r="M389"/>
  <c r="N389" s="1"/>
  <c r="M194"/>
  <c r="N194" s="1"/>
  <c r="M213"/>
  <c r="N213" s="1"/>
  <c r="M427"/>
  <c r="N427" s="1"/>
  <c r="M138"/>
  <c r="N138" s="1"/>
  <c r="M121"/>
  <c r="N121" s="1"/>
  <c r="M137"/>
  <c r="N137" s="1"/>
  <c r="M450"/>
  <c r="N450" s="1"/>
  <c r="M339"/>
  <c r="N339" s="1"/>
  <c r="M390"/>
  <c r="N390" s="1"/>
  <c r="M309"/>
  <c r="N309" s="1"/>
  <c r="M279"/>
  <c r="N279" s="1"/>
  <c r="M429"/>
  <c r="N429" s="1"/>
  <c r="M250"/>
  <c r="N250" s="1"/>
  <c r="M404"/>
  <c r="N404" s="1"/>
  <c r="M154"/>
  <c r="N154" s="1"/>
  <c r="M93"/>
  <c r="N93" s="1"/>
  <c r="M408"/>
  <c r="N408" s="1"/>
  <c r="M272"/>
  <c r="N272" s="1"/>
  <c r="M30"/>
  <c r="N30" s="1"/>
  <c r="M423"/>
  <c r="N423" s="1"/>
  <c r="M40"/>
  <c r="N40" s="1"/>
  <c r="M371"/>
  <c r="N371" s="1"/>
  <c r="M128"/>
  <c r="N128" s="1"/>
  <c r="M130"/>
  <c r="N130" s="1"/>
  <c r="M224"/>
  <c r="N224" s="1"/>
  <c r="M299"/>
  <c r="N299" s="1"/>
  <c r="M229"/>
  <c r="N229" s="1"/>
  <c r="M28"/>
  <c r="N28" s="1"/>
  <c r="M239"/>
  <c r="N239" s="1"/>
  <c r="M266"/>
  <c r="N266" s="1"/>
  <c r="M92"/>
  <c r="N92" s="1"/>
  <c r="M412"/>
  <c r="N412" s="1"/>
  <c r="M98"/>
  <c r="N98" s="1"/>
  <c r="M358"/>
  <c r="N358" s="1"/>
  <c r="M59"/>
  <c r="N59" s="1"/>
  <c r="M82"/>
  <c r="N82" s="1"/>
  <c r="M34"/>
  <c r="N34" s="1"/>
  <c r="M236"/>
  <c r="N236" s="1"/>
  <c r="M293"/>
  <c r="N293" s="1"/>
  <c r="M396"/>
  <c r="N396" s="1"/>
  <c r="M51"/>
  <c r="N51" s="1"/>
  <c r="M520"/>
  <c r="N520" s="1"/>
  <c r="M183"/>
  <c r="N183" s="1"/>
  <c r="M111"/>
  <c r="N111" s="1"/>
  <c r="M86"/>
  <c r="N86" s="1"/>
  <c r="M232"/>
  <c r="N232" s="1"/>
  <c r="M447"/>
  <c r="N447" s="1"/>
  <c r="M63"/>
  <c r="N63" s="1"/>
  <c r="M267"/>
  <c r="N267" s="1"/>
  <c r="M134"/>
  <c r="N134" s="1"/>
  <c r="M318"/>
  <c r="N318" s="1"/>
  <c r="M112"/>
  <c r="N112" s="1"/>
  <c r="M186"/>
  <c r="N186" s="1"/>
  <c r="M488"/>
  <c r="N488" s="1"/>
  <c r="M81"/>
  <c r="N81" s="1"/>
  <c r="M69"/>
  <c r="N69" s="1"/>
  <c r="M328"/>
  <c r="N328" s="1"/>
  <c r="M370"/>
  <c r="N370" s="1"/>
  <c r="M298"/>
  <c r="N298" s="1"/>
  <c r="M148"/>
  <c r="N148" s="1"/>
  <c r="M361"/>
  <c r="N361" s="1"/>
  <c r="M442"/>
  <c r="N442" s="1"/>
  <c r="M247"/>
  <c r="N247" s="1"/>
  <c r="M529"/>
  <c r="N529" s="1"/>
  <c r="M139"/>
  <c r="N139" s="1"/>
  <c r="M223"/>
  <c r="N223" s="1"/>
  <c r="M386"/>
  <c r="N386" s="1"/>
  <c r="M49"/>
  <c r="N49" s="1"/>
  <c r="M181"/>
  <c r="N181" s="1"/>
  <c r="M365"/>
  <c r="N365" s="1"/>
  <c r="M91"/>
  <c r="N91" s="1"/>
  <c r="M344"/>
  <c r="N344" s="1"/>
  <c r="M133"/>
  <c r="N133" s="1"/>
  <c r="M308"/>
  <c r="N308" s="1"/>
  <c r="M343"/>
  <c r="N343" s="1"/>
  <c r="M393"/>
  <c r="N393" s="1"/>
  <c r="M234"/>
  <c r="N234" s="1"/>
  <c r="M315"/>
  <c r="N315" s="1"/>
  <c r="M448"/>
  <c r="N448" s="1"/>
  <c r="M524"/>
  <c r="N524" s="1"/>
  <c r="M325"/>
  <c r="N325" s="1"/>
  <c r="M193"/>
  <c r="N193" s="1"/>
  <c r="M340"/>
  <c r="N340" s="1"/>
  <c r="M23"/>
  <c r="N23" s="1"/>
  <c r="M70"/>
  <c r="N70" s="1"/>
  <c r="M202"/>
  <c r="N202" s="1"/>
  <c r="M168"/>
  <c r="N168" s="1"/>
  <c r="M64"/>
  <c r="N64" s="1"/>
  <c r="M218"/>
  <c r="N218" s="1"/>
  <c r="M291"/>
  <c r="N291" s="1"/>
  <c r="M146"/>
  <c r="N146" s="1"/>
  <c r="M142"/>
  <c r="N142" s="1"/>
  <c r="M263"/>
  <c r="N263" s="1"/>
  <c r="M484"/>
  <c r="N484" s="1"/>
  <c r="M335"/>
  <c r="N335" s="1"/>
  <c r="M47"/>
  <c r="N47" s="1"/>
  <c r="M428"/>
  <c r="N428" s="1"/>
  <c r="M169"/>
  <c r="N169" s="1"/>
  <c r="M278"/>
  <c r="N278" s="1"/>
  <c r="M507"/>
  <c r="N507" s="1"/>
  <c r="M479"/>
  <c r="N479" s="1"/>
  <c r="M26"/>
  <c r="N26" s="1"/>
  <c r="M441"/>
  <c r="N441" s="1"/>
  <c r="M483"/>
  <c r="N483" s="1"/>
  <c r="M116"/>
  <c r="N116" s="1"/>
  <c r="M509"/>
  <c r="N509" s="1"/>
  <c r="M97"/>
  <c r="N97" s="1"/>
  <c r="M324"/>
  <c r="N324" s="1"/>
  <c r="M352"/>
  <c r="N352" s="1"/>
  <c r="M359"/>
  <c r="N359" s="1"/>
  <c r="M341"/>
  <c r="N341" s="1"/>
  <c r="M58"/>
  <c r="N58" s="1"/>
  <c r="M440"/>
  <c r="N440" s="1"/>
  <c r="M366"/>
  <c r="N366" s="1"/>
  <c r="M254"/>
  <c r="N254" s="1"/>
  <c r="M411"/>
  <c r="N411" s="1"/>
  <c r="M377"/>
  <c r="N377" s="1"/>
  <c r="M327"/>
  <c r="N327" s="1"/>
  <c r="M188"/>
  <c r="N188" s="1"/>
  <c r="M53"/>
  <c r="N53" s="1"/>
  <c r="M75"/>
  <c r="N75" s="1"/>
  <c r="M493"/>
  <c r="N493" s="1"/>
  <c r="M274"/>
  <c r="N274" s="1"/>
  <c r="M196"/>
  <c r="N196" s="1"/>
  <c r="M226"/>
  <c r="N226" s="1"/>
  <c r="M260"/>
  <c r="N260" s="1"/>
  <c r="M467"/>
  <c r="N467" s="1"/>
  <c r="M19"/>
  <c r="N19" s="1"/>
  <c r="M402"/>
  <c r="N402" s="1"/>
  <c r="M465"/>
  <c r="N465" s="1"/>
  <c r="M253"/>
  <c r="N253" s="1"/>
  <c r="M494"/>
  <c r="N494" s="1"/>
  <c r="M512"/>
  <c r="N512" s="1"/>
  <c r="M306"/>
  <c r="N306" s="1"/>
  <c r="M455"/>
  <c r="N455" s="1"/>
  <c r="M487"/>
  <c r="N487" s="1"/>
  <c r="M434"/>
  <c r="N434" s="1"/>
  <c r="M123"/>
  <c r="N123" s="1"/>
  <c r="M73"/>
  <c r="N73" s="1"/>
  <c r="M248"/>
  <c r="N248" s="1"/>
  <c r="M499"/>
  <c r="N499" s="1"/>
  <c r="M42"/>
  <c r="N42" s="1"/>
  <c r="M356"/>
  <c r="N356" s="1"/>
  <c r="M491"/>
  <c r="N491" s="1"/>
  <c r="M395"/>
  <c r="N395" s="1"/>
  <c r="M445"/>
  <c r="N445" s="1"/>
  <c r="M305"/>
  <c r="N305" s="1"/>
  <c r="M376"/>
  <c r="N376" s="1"/>
  <c r="M362"/>
  <c r="N362" s="1"/>
  <c r="M436"/>
  <c r="N436" s="1"/>
  <c r="M255"/>
  <c r="N255" s="1"/>
  <c r="M481"/>
  <c r="N481" s="1"/>
  <c r="M175"/>
  <c r="N175" s="1"/>
  <c r="M173"/>
  <c r="N173" s="1"/>
  <c r="M387"/>
  <c r="N387" s="1"/>
  <c r="M413"/>
  <c r="N413" s="1"/>
  <c r="M231"/>
  <c r="N231" s="1"/>
  <c r="M38"/>
  <c r="N38" s="1"/>
  <c r="M405"/>
  <c r="N405" s="1"/>
  <c r="M66"/>
  <c r="N66" s="1"/>
  <c r="M167"/>
  <c r="N167" s="1"/>
  <c r="M44"/>
  <c r="N44" s="1"/>
  <c r="M160"/>
  <c r="N160" s="1"/>
  <c r="M95"/>
  <c r="N95" s="1"/>
  <c r="M350"/>
  <c r="N350" s="1"/>
  <c r="M76"/>
  <c r="N76" s="1"/>
  <c r="M22"/>
  <c r="N22" s="1"/>
  <c r="M444"/>
  <c r="N444" s="1"/>
  <c r="M289"/>
  <c r="N289" s="1"/>
  <c r="M431"/>
  <c r="N431" s="1"/>
  <c r="M18"/>
  <c r="N18" s="1"/>
  <c r="M406"/>
  <c r="N406" s="1"/>
  <c r="M337"/>
  <c r="N337" s="1"/>
  <c r="M518"/>
  <c r="N518" s="1"/>
  <c r="M526"/>
  <c r="N526" s="1"/>
  <c r="M432"/>
  <c r="N432" s="1"/>
  <c r="M347"/>
  <c r="N347" s="1"/>
  <c r="M103"/>
  <c r="N103" s="1"/>
  <c r="M212"/>
  <c r="N212" s="1"/>
  <c r="M277"/>
  <c r="N277" s="1"/>
  <c r="M513"/>
  <c r="N513" s="1"/>
  <c r="M297"/>
  <c r="N297" s="1"/>
  <c r="M317"/>
  <c r="N317" s="1"/>
  <c r="M454"/>
  <c r="N454" s="1"/>
  <c r="M357"/>
  <c r="N357" s="1"/>
  <c r="M200"/>
  <c r="N200" s="1"/>
  <c r="M345"/>
  <c r="N345" s="1"/>
  <c r="M114"/>
  <c r="N114" s="1"/>
  <c r="M161"/>
  <c r="N161" s="1"/>
  <c r="M515"/>
  <c r="N515" s="1"/>
  <c r="M342"/>
  <c r="N342" s="1"/>
  <c r="M256"/>
  <c r="N256" s="1"/>
  <c r="M243"/>
  <c r="N243" s="1"/>
  <c r="M316"/>
  <c r="N316" s="1"/>
  <c r="M295"/>
  <c r="N295" s="1"/>
  <c r="M506"/>
  <c r="N506" s="1"/>
  <c r="M207"/>
  <c r="N207" s="1"/>
  <c r="M238"/>
  <c r="N238" s="1"/>
  <c r="M383"/>
  <c r="N383" s="1"/>
  <c r="M270"/>
  <c r="N270" s="1"/>
  <c r="M143"/>
  <c r="N143" s="1"/>
  <c r="M242"/>
  <c r="N242" s="1"/>
  <c r="M420"/>
  <c r="N420" s="1"/>
  <c r="M189"/>
  <c r="N189" s="1"/>
  <c r="M276"/>
  <c r="N276" s="1"/>
  <c r="M397"/>
  <c r="N397" s="1"/>
  <c r="M265"/>
  <c r="N265" s="1"/>
  <c r="M367"/>
  <c r="N367" s="1"/>
  <c r="M508"/>
  <c r="N508" s="1"/>
  <c r="M353"/>
  <c r="N353" s="1"/>
  <c r="M206"/>
  <c r="N206" s="1"/>
  <c r="M321"/>
  <c r="N321" s="1"/>
  <c r="M363"/>
  <c r="N363" s="1"/>
  <c r="M464"/>
  <c r="N464" s="1"/>
  <c r="M485"/>
  <c r="N485" s="1"/>
  <c r="M453"/>
  <c r="N453" s="1"/>
  <c r="M262"/>
  <c r="N262" s="1"/>
  <c r="M331"/>
  <c r="N331" s="1"/>
  <c r="M304"/>
  <c r="N304" s="1"/>
  <c r="M259"/>
  <c r="N259" s="1"/>
  <c r="J284"/>
  <c r="K284" s="1"/>
  <c r="M319"/>
  <c r="N319" s="1"/>
  <c r="M517"/>
  <c r="N517" s="1"/>
  <c r="M39"/>
  <c r="N39" s="1"/>
  <c r="M323"/>
  <c r="N323" s="1"/>
  <c r="M369"/>
  <c r="N369" s="1"/>
  <c r="M215"/>
  <c r="N215" s="1"/>
  <c r="M466"/>
  <c r="N466" s="1"/>
  <c r="M449"/>
  <c r="N449" s="1"/>
  <c r="M417"/>
  <c r="N417" s="1"/>
  <c r="L29" i="42"/>
  <c r="H25"/>
  <c r="F28"/>
  <c r="J24" i="2"/>
  <c r="M118" i="41"/>
  <c r="N118" s="1"/>
  <c r="M80"/>
  <c r="N80" s="1"/>
  <c r="M164"/>
  <c r="N164" s="1"/>
  <c r="M497"/>
  <c r="N497" s="1"/>
  <c r="M400"/>
  <c r="N400" s="1"/>
  <c r="M264"/>
  <c r="N264" s="1"/>
  <c r="M65"/>
  <c r="N65" s="1"/>
  <c r="M46"/>
  <c r="N46" s="1"/>
  <c r="M290"/>
  <c r="N290" s="1"/>
  <c r="M460"/>
  <c r="N460" s="1"/>
  <c r="M281"/>
  <c r="N281" s="1"/>
  <c r="M271"/>
  <c r="N271" s="1"/>
  <c r="M410"/>
  <c r="N410" s="1"/>
  <c r="M403"/>
  <c r="N403" s="1"/>
  <c r="M170"/>
  <c r="N170" s="1"/>
  <c r="M521"/>
  <c r="N521" s="1"/>
  <c r="M227"/>
  <c r="N227" s="1"/>
  <c r="E54" i="42"/>
  <c r="M126" i="41"/>
  <c r="N126" s="1"/>
  <c r="I10" i="42"/>
  <c r="F10"/>
  <c r="E70"/>
  <c r="M151" i="41"/>
  <c r="N151" s="1"/>
  <c r="M113"/>
  <c r="N113" s="1"/>
  <c r="M378"/>
  <c r="N378" s="1"/>
  <c r="M29"/>
  <c r="N29" s="1"/>
  <c r="M332"/>
  <c r="N332" s="1"/>
  <c r="G8" i="42"/>
  <c r="J12"/>
  <c r="K11"/>
  <c r="I11"/>
  <c r="F5"/>
  <c r="J11"/>
  <c r="K13"/>
  <c r="F12"/>
  <c r="M392" i="41"/>
  <c r="N392" s="1"/>
  <c r="M275"/>
  <c r="N275" s="1"/>
  <c r="M203"/>
  <c r="N203" s="1"/>
  <c r="M511"/>
  <c r="N511" s="1"/>
  <c r="M301"/>
  <c r="N301" s="1"/>
  <c r="M109"/>
  <c r="N109" s="1"/>
  <c r="M147"/>
  <c r="N147" s="1"/>
  <c r="M79"/>
  <c r="N79" s="1"/>
  <c r="M100"/>
  <c r="N100" s="1"/>
  <c r="M32"/>
  <c r="N32" s="1"/>
  <c r="M152"/>
  <c r="N152" s="1"/>
  <c r="M382"/>
  <c r="N382" s="1"/>
  <c r="M320"/>
  <c r="N320" s="1"/>
  <c r="M282"/>
  <c r="N282" s="1"/>
  <c r="M153"/>
  <c r="N153" s="1"/>
  <c r="M158"/>
  <c r="N158" s="1"/>
  <c r="M435"/>
  <c r="N435" s="1"/>
  <c r="M127"/>
  <c r="N127" s="1"/>
  <c r="M501"/>
  <c r="N501" s="1"/>
  <c r="M443"/>
  <c r="N443" s="1"/>
  <c r="J15"/>
  <c r="M157"/>
  <c r="N157" s="1"/>
  <c r="M99"/>
  <c r="N99" s="1"/>
  <c r="M159"/>
  <c r="N159" s="1"/>
  <c r="M294"/>
  <c r="N294" s="1"/>
  <c r="M482"/>
  <c r="N482" s="1"/>
  <c r="M451"/>
  <c r="N451" s="1"/>
  <c r="M458"/>
  <c r="N458" s="1"/>
  <c r="M24"/>
  <c r="N24" s="1"/>
  <c r="M310"/>
  <c r="N310" s="1"/>
  <c r="M476"/>
  <c r="N476" s="1"/>
  <c r="M165"/>
  <c r="N165" s="1"/>
  <c r="M474"/>
  <c r="N474" s="1"/>
  <c r="M217"/>
  <c r="N217" s="1"/>
  <c r="M385"/>
  <c r="N385" s="1"/>
  <c r="M210"/>
  <c r="N210" s="1"/>
  <c r="M416"/>
  <c r="N416" s="1"/>
  <c r="M311"/>
  <c r="N311" s="1"/>
  <c r="M469"/>
  <c r="N469" s="1"/>
  <c r="M475"/>
  <c r="N475" s="1"/>
  <c r="M209"/>
  <c r="N209" s="1"/>
  <c r="M171"/>
  <c r="N171" s="1"/>
  <c r="M346"/>
  <c r="N346" s="1"/>
  <c r="M179"/>
  <c r="N179" s="1"/>
  <c r="M195"/>
  <c r="N195" s="1"/>
  <c r="M180"/>
  <c r="N180" s="1"/>
  <c r="M176"/>
  <c r="N176" s="1"/>
  <c r="M459"/>
  <c r="N459" s="1"/>
  <c r="M245"/>
  <c r="N245" s="1"/>
  <c r="M348"/>
  <c r="N348" s="1"/>
  <c r="M426"/>
  <c r="N426" s="1"/>
  <c r="M522"/>
  <c r="N522" s="1"/>
  <c r="M50"/>
  <c r="N50" s="1"/>
  <c r="M478"/>
  <c r="N478" s="1"/>
  <c r="M334"/>
  <c r="N334" s="1"/>
  <c r="M246"/>
  <c r="N246" s="1"/>
  <c r="M514"/>
  <c r="N514" s="1"/>
  <c r="M424"/>
  <c r="N424" s="1"/>
  <c r="M172"/>
  <c r="N172" s="1"/>
  <c r="M519"/>
  <c r="N519" s="1"/>
  <c r="M220"/>
  <c r="N220" s="1"/>
  <c r="M269"/>
  <c r="N269" s="1"/>
  <c r="M31"/>
  <c r="N31" s="1"/>
  <c r="M197"/>
  <c r="N197" s="1"/>
  <c r="M419"/>
  <c r="N419" s="1"/>
  <c r="M140"/>
  <c r="N140" s="1"/>
  <c r="M287"/>
  <c r="N287" s="1"/>
  <c r="M96"/>
  <c r="N96" s="1"/>
  <c r="M57"/>
  <c r="N57" s="1"/>
  <c r="M391"/>
  <c r="N391" s="1"/>
  <c r="M500"/>
  <c r="N500" s="1"/>
  <c r="M62"/>
  <c r="N62" s="1"/>
  <c r="M177"/>
  <c r="N177" s="1"/>
  <c r="M219"/>
  <c r="N219" s="1"/>
  <c r="M251"/>
  <c r="N251" s="1"/>
  <c r="M85"/>
  <c r="N85" s="1"/>
  <c r="M373"/>
  <c r="N373" s="1"/>
  <c r="M452"/>
  <c r="N452" s="1"/>
  <c r="M182"/>
  <c r="N182" s="1"/>
  <c r="M307"/>
  <c r="N307" s="1"/>
  <c r="M284"/>
  <c r="N284" s="1"/>
  <c r="M372"/>
  <c r="N372" s="1"/>
  <c r="M178"/>
  <c r="N178" s="1"/>
  <c r="M184"/>
  <c r="N184" s="1"/>
  <c r="M505"/>
  <c r="N505" s="1"/>
  <c r="M135"/>
  <c r="N135" s="1"/>
  <c r="M107"/>
  <c r="N107" s="1"/>
  <c r="M257"/>
  <c r="N257" s="1"/>
  <c r="M525"/>
  <c r="N525" s="1"/>
  <c r="M473"/>
  <c r="N473" s="1"/>
  <c r="M84"/>
  <c r="N84" s="1"/>
  <c r="M83"/>
  <c r="N83" s="1"/>
  <c r="M230"/>
  <c r="N230" s="1"/>
  <c r="M463"/>
  <c r="N463" s="1"/>
  <c r="M190"/>
  <c r="N190" s="1"/>
  <c r="M496"/>
  <c r="N496" s="1"/>
  <c r="M288"/>
  <c r="N288" s="1"/>
  <c r="M136"/>
  <c r="N136" s="1"/>
  <c r="M314"/>
  <c r="N314" s="1"/>
  <c r="M61"/>
  <c r="N61" s="1"/>
  <c r="M351"/>
  <c r="N351" s="1"/>
  <c r="M322"/>
  <c r="N322" s="1"/>
  <c r="M124"/>
  <c r="N124" s="1"/>
  <c r="M375"/>
  <c r="N375" s="1"/>
  <c r="M380"/>
  <c r="N380" s="1"/>
  <c r="M68"/>
  <c r="N68" s="1"/>
  <c r="M355"/>
  <c r="N355" s="1"/>
  <c r="M211"/>
  <c r="N211" s="1"/>
  <c r="M27"/>
  <c r="N27" s="1"/>
  <c r="M364"/>
  <c r="N364" s="1"/>
  <c r="M155"/>
  <c r="N155" s="1"/>
  <c r="M486"/>
  <c r="N486" s="1"/>
  <c r="M43"/>
  <c r="N43" s="1"/>
  <c r="M89"/>
  <c r="N89" s="1"/>
  <c r="M48"/>
  <c r="N48" s="1"/>
  <c r="M129"/>
  <c r="N129" s="1"/>
  <c r="M201"/>
  <c r="N201" s="1"/>
  <c r="M77"/>
  <c r="N77" s="1"/>
  <c r="M221"/>
  <c r="N221" s="1"/>
  <c r="M162"/>
  <c r="N162" s="1"/>
  <c r="M302"/>
  <c r="N302" s="1"/>
  <c r="J363"/>
  <c r="K363" s="1"/>
  <c r="J208"/>
  <c r="K208" s="1"/>
  <c r="J500"/>
  <c r="K500" s="1"/>
  <c r="J510"/>
  <c r="K510" s="1"/>
  <c r="J345"/>
  <c r="K345" s="1"/>
  <c r="J158"/>
  <c r="K158" s="1"/>
  <c r="J421"/>
  <c r="K421" s="1"/>
  <c r="J274"/>
  <c r="K274" s="1"/>
  <c r="J264"/>
  <c r="K264" s="1"/>
  <c r="J357"/>
  <c r="K357" s="1"/>
  <c r="J163"/>
  <c r="K163" s="1"/>
  <c r="J136"/>
  <c r="K136" s="1"/>
  <c r="J171"/>
  <c r="K171" s="1"/>
  <c r="J111"/>
  <c r="K111" s="1"/>
  <c r="J283"/>
  <c r="K283" s="1"/>
  <c r="J440"/>
  <c r="K440" s="1"/>
  <c r="J335"/>
  <c r="K335" s="1"/>
  <c r="J491"/>
  <c r="K491" s="1"/>
  <c r="J470"/>
  <c r="K470" s="1"/>
  <c r="J168"/>
  <c r="K168" s="1"/>
  <c r="J351"/>
  <c r="K351" s="1"/>
  <c r="J396"/>
  <c r="K396" s="1"/>
  <c r="J410"/>
  <c r="K410" s="1"/>
  <c r="J152"/>
  <c r="K152" s="1"/>
  <c r="J292"/>
  <c r="K292" s="1"/>
  <c r="J529"/>
  <c r="K529" s="1"/>
  <c r="J178"/>
  <c r="K178" s="1"/>
  <c r="J328"/>
  <c r="K328" s="1"/>
  <c r="J105"/>
  <c r="K105" s="1"/>
  <c r="J311"/>
  <c r="K311" s="1"/>
  <c r="J149"/>
  <c r="K149" s="1"/>
  <c r="J403"/>
  <c r="K403" s="1"/>
  <c r="J73"/>
  <c r="K73" s="1"/>
  <c r="J406"/>
  <c r="K406" s="1"/>
  <c r="J255"/>
  <c r="K255" s="1"/>
  <c r="J244"/>
  <c r="K244" s="1"/>
  <c r="J439"/>
  <c r="K439" s="1"/>
  <c r="J479"/>
  <c r="K479" s="1"/>
  <c r="J86"/>
  <c r="K86" s="1"/>
  <c r="J524"/>
  <c r="K524" s="1"/>
  <c r="J330"/>
  <c r="K330" s="1"/>
  <c r="J411"/>
  <c r="K411" s="1"/>
  <c r="J392"/>
  <c r="K392" s="1"/>
  <c r="J83"/>
  <c r="K83" s="1"/>
  <c r="J294"/>
  <c r="K294" s="1"/>
  <c r="J180"/>
  <c r="K180" s="1"/>
  <c r="J265"/>
  <c r="K265" s="1"/>
  <c r="J312"/>
  <c r="K312" s="1"/>
  <c r="J395"/>
  <c r="K395" s="1"/>
  <c r="J256"/>
  <c r="K256" s="1"/>
  <c r="J444"/>
  <c r="K444" s="1"/>
  <c r="J137"/>
  <c r="K137" s="1"/>
  <c r="J215"/>
  <c r="K215" s="1"/>
  <c r="J125"/>
  <c r="K125" s="1"/>
  <c r="J486"/>
  <c r="K486" s="1"/>
  <c r="J228"/>
  <c r="K228" s="1"/>
  <c r="J441"/>
  <c r="K441" s="1"/>
  <c r="J123"/>
  <c r="K123" s="1"/>
  <c r="J334"/>
  <c r="K334" s="1"/>
  <c r="J454"/>
  <c r="K454" s="1"/>
  <c r="J523"/>
  <c r="K523" s="1"/>
  <c r="J463"/>
  <c r="K463" s="1"/>
  <c r="J288"/>
  <c r="K288" s="1"/>
  <c r="J422"/>
  <c r="K422" s="1"/>
  <c r="J115"/>
  <c r="K115" s="1"/>
  <c r="J134"/>
  <c r="K134" s="1"/>
  <c r="J445"/>
  <c r="K445" s="1"/>
  <c r="J48"/>
  <c r="K48" s="1"/>
  <c r="J194"/>
  <c r="K194" s="1"/>
  <c r="J297"/>
  <c r="K297" s="1"/>
  <c r="J427"/>
  <c r="K427" s="1"/>
  <c r="J434"/>
  <c r="K434" s="1"/>
  <c r="J418"/>
  <c r="K418" s="1"/>
  <c r="J450"/>
  <c r="K450" s="1"/>
  <c r="J476"/>
  <c r="K476" s="1"/>
  <c r="J404"/>
  <c r="K404" s="1"/>
  <c r="J82"/>
  <c r="K82" s="1"/>
  <c r="J58"/>
  <c r="K58" s="1"/>
  <c r="J321"/>
  <c r="K321" s="1"/>
  <c r="J417"/>
  <c r="K417" s="1"/>
  <c r="J53"/>
  <c r="K53" s="1"/>
  <c r="J457"/>
  <c r="K457" s="1"/>
  <c r="J383"/>
  <c r="K383" s="1"/>
  <c r="J370"/>
  <c r="K370" s="1"/>
  <c r="J64"/>
  <c r="K64" s="1"/>
  <c r="J107"/>
  <c r="K107" s="1"/>
  <c r="J94"/>
  <c r="K94" s="1"/>
  <c r="J222"/>
  <c r="K222" s="1"/>
  <c r="J499"/>
  <c r="K499" s="1"/>
  <c r="J488"/>
  <c r="K488" s="1"/>
  <c r="J477"/>
  <c r="K477" s="1"/>
  <c r="J121"/>
  <c r="K121" s="1"/>
  <c r="J159"/>
  <c r="K159" s="1"/>
  <c r="J209"/>
  <c r="K209" s="1"/>
  <c r="J98"/>
  <c r="K98" s="1"/>
  <c r="J165"/>
  <c r="K165" s="1"/>
  <c r="J430"/>
  <c r="K430" s="1"/>
  <c r="J42"/>
  <c r="K42" s="1"/>
  <c r="J190"/>
  <c r="K190" s="1"/>
  <c r="J87"/>
  <c r="K87" s="1"/>
  <c r="J140"/>
  <c r="K140" s="1"/>
  <c r="J85"/>
  <c r="K85" s="1"/>
  <c r="J305"/>
  <c r="K305" s="1"/>
  <c r="J35"/>
  <c r="K35" s="1"/>
  <c r="J317"/>
  <c r="K317" s="1"/>
  <c r="J451"/>
  <c r="K451" s="1"/>
  <c r="J69"/>
  <c r="K69" s="1"/>
  <c r="J183"/>
  <c r="K183" s="1"/>
  <c r="J92"/>
  <c r="K92" s="1"/>
  <c r="J407"/>
  <c r="K407" s="1"/>
  <c r="J20"/>
  <c r="K20" s="1"/>
  <c r="J145"/>
  <c r="K145" s="1"/>
  <c r="J361"/>
  <c r="K361" s="1"/>
  <c r="J307"/>
  <c r="K307" s="1"/>
  <c r="J100"/>
  <c r="K100" s="1"/>
  <c r="J472"/>
  <c r="K472" s="1"/>
  <c r="J56"/>
  <c r="K56" s="1"/>
  <c r="J385"/>
  <c r="K385" s="1"/>
  <c r="J384"/>
  <c r="K384" s="1"/>
  <c r="J278"/>
  <c r="K278" s="1"/>
  <c r="J132"/>
  <c r="K132" s="1"/>
  <c r="J27"/>
  <c r="K27" s="1"/>
  <c r="J267"/>
  <c r="K267" s="1"/>
  <c r="J266"/>
  <c r="K266" s="1"/>
  <c r="J517"/>
  <c r="K517" s="1"/>
  <c r="J480"/>
  <c r="K480" s="1"/>
  <c r="J397"/>
  <c r="K397" s="1"/>
  <c r="J50"/>
  <c r="K50" s="1"/>
  <c r="J394"/>
  <c r="K394" s="1"/>
  <c r="J348"/>
  <c r="K348" s="1"/>
  <c r="J468"/>
  <c r="K468" s="1"/>
  <c r="J68"/>
  <c r="K68" s="1"/>
  <c r="J471"/>
  <c r="K471" s="1"/>
  <c r="J455"/>
  <c r="K455" s="1"/>
  <c r="J270"/>
  <c r="K270" s="1"/>
  <c r="J350"/>
  <c r="K350" s="1"/>
  <c r="J287"/>
  <c r="K287" s="1"/>
  <c r="J269"/>
  <c r="K269" s="1"/>
  <c r="J495"/>
  <c r="K495" s="1"/>
  <c r="J161"/>
  <c r="K161" s="1"/>
  <c r="J25"/>
  <c r="K25" s="1"/>
  <c r="J353"/>
  <c r="K353" s="1"/>
  <c r="J76"/>
  <c r="K76" s="1"/>
  <c r="J498"/>
  <c r="K498" s="1"/>
  <c r="J431"/>
  <c r="K431" s="1"/>
  <c r="J456"/>
  <c r="K456" s="1"/>
  <c r="J186"/>
  <c r="K186" s="1"/>
  <c r="J31"/>
  <c r="K31" s="1"/>
  <c r="J371"/>
  <c r="K371" s="1"/>
  <c r="J148"/>
  <c r="K148" s="1"/>
  <c r="J38"/>
  <c r="K38" s="1"/>
  <c r="J314"/>
  <c r="K314" s="1"/>
  <c r="J300"/>
  <c r="K300" s="1"/>
  <c r="J281"/>
  <c r="K281" s="1"/>
  <c r="J304"/>
  <c r="K304" s="1"/>
  <c r="J324"/>
  <c r="K324" s="1"/>
  <c r="J218"/>
  <c r="K218" s="1"/>
  <c r="J393"/>
  <c r="K393" s="1"/>
  <c r="J251"/>
  <c r="K251" s="1"/>
  <c r="J349"/>
  <c r="K349" s="1"/>
  <c r="J103"/>
  <c r="K103" s="1"/>
  <c r="J110"/>
  <c r="K110" s="1"/>
  <c r="J45"/>
  <c r="K45" s="1"/>
  <c r="J258"/>
  <c r="K258" s="1"/>
  <c r="J483"/>
  <c r="K483" s="1"/>
  <c r="J275"/>
  <c r="K275" s="1"/>
  <c r="J192"/>
  <c r="K192" s="1"/>
  <c r="J93"/>
  <c r="K93" s="1"/>
  <c r="J438"/>
  <c r="K438" s="1"/>
  <c r="J37"/>
  <c r="K37" s="1"/>
  <c r="J19"/>
  <c r="K19" s="1"/>
  <c r="J337"/>
  <c r="K337" s="1"/>
  <c r="J119"/>
  <c r="K119" s="1"/>
  <c r="J313"/>
  <c r="K313" s="1"/>
  <c r="J467"/>
  <c r="K467" s="1"/>
  <c r="J29"/>
  <c r="K29" s="1"/>
  <c r="J211"/>
  <c r="K211" s="1"/>
  <c r="J67"/>
  <c r="K67" s="1"/>
  <c r="J230"/>
  <c r="K230" s="1"/>
  <c r="J112"/>
  <c r="K112" s="1"/>
  <c r="J272"/>
  <c r="K272" s="1"/>
  <c r="J30"/>
  <c r="K30" s="1"/>
  <c r="J505"/>
  <c r="K505" s="1"/>
  <c r="J466"/>
  <c r="K466" s="1"/>
  <c r="J506"/>
  <c r="K506" s="1"/>
  <c r="J318"/>
  <c r="K318" s="1"/>
  <c r="J295"/>
  <c r="K295" s="1"/>
  <c r="J181"/>
  <c r="K181" s="1"/>
  <c r="J61"/>
  <c r="K61" s="1"/>
  <c r="J497"/>
  <c r="K497" s="1"/>
  <c r="J185"/>
  <c r="K185" s="1"/>
  <c r="J412"/>
  <c r="K412" s="1"/>
  <c r="J262"/>
  <c r="K262" s="1"/>
  <c r="J333"/>
  <c r="K333" s="1"/>
  <c r="J47"/>
  <c r="K47" s="1"/>
  <c r="J177"/>
  <c r="K177" s="1"/>
  <c r="J144"/>
  <c r="K144" s="1"/>
  <c r="J303"/>
  <c r="K303" s="1"/>
  <c r="J189"/>
  <c r="K189" s="1"/>
  <c r="J373"/>
  <c r="K373" s="1"/>
  <c r="J358"/>
  <c r="K358" s="1"/>
  <c r="J175"/>
  <c r="K175" s="1"/>
  <c r="J21"/>
  <c r="K21" s="1"/>
  <c r="J453"/>
  <c r="K453" s="1"/>
  <c r="J32"/>
  <c r="K32" s="1"/>
  <c r="J522"/>
  <c r="K522" s="1"/>
  <c r="J504"/>
  <c r="K504" s="1"/>
  <c r="J301"/>
  <c r="K301" s="1"/>
  <c r="J347"/>
  <c r="K347" s="1"/>
  <c r="J202"/>
  <c r="K202" s="1"/>
  <c r="J261"/>
  <c r="K261" s="1"/>
  <c r="J520"/>
  <c r="K520" s="1"/>
  <c r="J234"/>
  <c r="K234" s="1"/>
  <c r="J131"/>
  <c r="K131" s="1"/>
  <c r="J143"/>
  <c r="K143" s="1"/>
  <c r="J398"/>
  <c r="K398" s="1"/>
  <c r="J242"/>
  <c r="K242" s="1"/>
  <c r="J285"/>
  <c r="K285" s="1"/>
  <c r="J502"/>
  <c r="K502" s="1"/>
  <c r="J425"/>
  <c r="K425" s="1"/>
  <c r="J484"/>
  <c r="K484" s="1"/>
  <c r="J494"/>
  <c r="K494" s="1"/>
  <c r="J405"/>
  <c r="K405" s="1"/>
  <c r="J481"/>
  <c r="K481" s="1"/>
  <c r="J213"/>
  <c r="K213" s="1"/>
  <c r="J250"/>
  <c r="K250" s="1"/>
  <c r="J128"/>
  <c r="K128" s="1"/>
  <c r="J238"/>
  <c r="K238" s="1"/>
  <c r="J117"/>
  <c r="K117" s="1"/>
  <c r="J320"/>
  <c r="K320" s="1"/>
  <c r="J51"/>
  <c r="K51" s="1"/>
  <c r="J518"/>
  <c r="K518" s="1"/>
  <c r="J315"/>
  <c r="K315" s="1"/>
  <c r="J302"/>
  <c r="K302" s="1"/>
  <c r="J339"/>
  <c r="K339" s="1"/>
  <c r="J461"/>
  <c r="K461" s="1"/>
  <c r="J207"/>
  <c r="K207" s="1"/>
  <c r="J390"/>
  <c r="K390" s="1"/>
  <c r="J139"/>
  <c r="K139" s="1"/>
  <c r="J379"/>
  <c r="K379" s="1"/>
  <c r="J360"/>
  <c r="K360" s="1"/>
  <c r="J34"/>
  <c r="K34" s="1"/>
  <c r="J52"/>
  <c r="K52" s="1"/>
  <c r="J501"/>
  <c r="K501" s="1"/>
  <c r="J408"/>
  <c r="K408" s="1"/>
  <c r="J199"/>
  <c r="K199" s="1"/>
  <c r="J512"/>
  <c r="K512" s="1"/>
  <c r="J233"/>
  <c r="K233" s="1"/>
  <c r="J263"/>
  <c r="K263" s="1"/>
  <c r="J170"/>
  <c r="K170" s="1"/>
  <c r="J118"/>
  <c r="K118" s="1"/>
  <c r="J198"/>
  <c r="K198" s="1"/>
  <c r="J433"/>
  <c r="K433" s="1"/>
  <c r="J191"/>
  <c r="K191" s="1"/>
  <c r="J60"/>
  <c r="K60" s="1"/>
  <c r="I26" i="42"/>
  <c r="J340" i="41"/>
  <c r="K340" s="1"/>
  <c r="J372"/>
  <c r="K372" s="1"/>
  <c r="J241"/>
  <c r="K241" s="1"/>
  <c r="J24"/>
  <c r="K24" s="1"/>
  <c r="J374"/>
  <c r="K374" s="1"/>
  <c r="J91"/>
  <c r="K91" s="1"/>
  <c r="J511"/>
  <c r="K511" s="1"/>
  <c r="J57"/>
  <c r="K57" s="1"/>
  <c r="J474"/>
  <c r="K474" s="1"/>
  <c r="J260"/>
  <c r="K260" s="1"/>
  <c r="J268"/>
  <c r="K268" s="1"/>
  <c r="J172"/>
  <c r="K172" s="1"/>
  <c r="J286"/>
  <c r="K286" s="1"/>
  <c r="J195"/>
  <c r="K195" s="1"/>
  <c r="J106"/>
  <c r="K106" s="1"/>
  <c r="J55"/>
  <c r="K55" s="1"/>
  <c r="J77"/>
  <c r="K77" s="1"/>
  <c r="J46"/>
  <c r="K46" s="1"/>
  <c r="J528"/>
  <c r="K528" s="1"/>
  <c r="J245"/>
  <c r="K245" s="1"/>
  <c r="J459"/>
  <c r="K459" s="1"/>
  <c r="J104"/>
  <c r="K104" s="1"/>
  <c r="J138"/>
  <c r="K138" s="1"/>
  <c r="J492"/>
  <c r="K492" s="1"/>
  <c r="J503"/>
  <c r="K503" s="1"/>
  <c r="J496"/>
  <c r="K496" s="1"/>
  <c r="J354"/>
  <c r="K354" s="1"/>
  <c r="J507"/>
  <c r="K507" s="1"/>
  <c r="J289"/>
  <c r="K289" s="1"/>
  <c r="J402"/>
  <c r="K402" s="1"/>
  <c r="J135"/>
  <c r="K135" s="1"/>
  <c r="J142"/>
  <c r="K142" s="1"/>
  <c r="J223"/>
  <c r="K223" s="1"/>
  <c r="J23"/>
  <c r="K23" s="1"/>
  <c r="J514"/>
  <c r="K514" s="1"/>
  <c r="J101"/>
  <c r="K101" s="1"/>
  <c r="J391"/>
  <c r="K391" s="1"/>
  <c r="J81"/>
  <c r="K81" s="1"/>
  <c r="J146"/>
  <c r="K146" s="1"/>
  <c r="J521"/>
  <c r="K521" s="1"/>
  <c r="J70"/>
  <c r="K70" s="1"/>
  <c r="J164"/>
  <c r="K164" s="1"/>
  <c r="J276"/>
  <c r="K276" s="1"/>
  <c r="J97"/>
  <c r="K97" s="1"/>
  <c r="J458"/>
  <c r="K458" s="1"/>
  <c r="J437"/>
  <c r="K437" s="1"/>
  <c r="J182"/>
  <c r="K182" s="1"/>
  <c r="J366"/>
  <c r="K366" s="1"/>
  <c r="J309"/>
  <c r="K309" s="1"/>
  <c r="J66"/>
  <c r="K66" s="1"/>
  <c r="J376"/>
  <c r="K376" s="1"/>
  <c r="J227"/>
  <c r="K227" s="1"/>
  <c r="J257"/>
  <c r="K257" s="1"/>
  <c r="J224"/>
  <c r="K224" s="1"/>
  <c r="J90"/>
  <c r="K90" s="1"/>
  <c r="J33"/>
  <c r="K33" s="1"/>
  <c r="J296"/>
  <c r="K296" s="1"/>
  <c r="J436"/>
  <c r="K436" s="1"/>
  <c r="J176"/>
  <c r="K176" s="1"/>
  <c r="J364"/>
  <c r="K364" s="1"/>
  <c r="J381"/>
  <c r="K381" s="1"/>
  <c r="J344"/>
  <c r="K344" s="1"/>
  <c r="J240"/>
  <c r="K240" s="1"/>
  <c r="J72"/>
  <c r="K72" s="1"/>
  <c r="J155"/>
  <c r="K155" s="1"/>
  <c r="J89"/>
  <c r="K89" s="1"/>
  <c r="J310"/>
  <c r="K310" s="1"/>
  <c r="J388"/>
  <c r="K388" s="1"/>
  <c r="J362"/>
  <c r="K362" s="1"/>
  <c r="J414"/>
  <c r="K414" s="1"/>
  <c r="J124"/>
  <c r="K124" s="1"/>
  <c r="J332"/>
  <c r="K332" s="1"/>
  <c r="J429"/>
  <c r="K429" s="1"/>
  <c r="J432"/>
  <c r="K432" s="1"/>
  <c r="J169"/>
  <c r="K169" s="1"/>
  <c r="J184"/>
  <c r="K184" s="1"/>
  <c r="J419"/>
  <c r="K419" s="1"/>
  <c r="J167"/>
  <c r="K167" s="1"/>
  <c r="J80"/>
  <c r="K80" s="1"/>
  <c r="J63"/>
  <c r="K63" s="1"/>
  <c r="J95"/>
  <c r="K95" s="1"/>
  <c r="J367"/>
  <c r="K367" s="1"/>
  <c r="J316"/>
  <c r="K316" s="1"/>
  <c r="J231"/>
  <c r="K231" s="1"/>
  <c r="J113"/>
  <c r="K113" s="1"/>
  <c r="J36"/>
  <c r="K36" s="1"/>
  <c r="J308"/>
  <c r="K308" s="1"/>
  <c r="J129"/>
  <c r="K129" s="1"/>
  <c r="J273"/>
  <c r="K273" s="1"/>
  <c r="J160"/>
  <c r="K160" s="1"/>
  <c r="J102"/>
  <c r="K102" s="1"/>
  <c r="J246"/>
  <c r="K246" s="1"/>
  <c r="J154"/>
  <c r="K154" s="1"/>
  <c r="J75"/>
  <c r="K75" s="1"/>
  <c r="J109"/>
  <c r="K109" s="1"/>
  <c r="J249"/>
  <c r="K249" s="1"/>
  <c r="J291"/>
  <c r="K291" s="1"/>
  <c r="J248"/>
  <c r="K248" s="1"/>
  <c r="J243"/>
  <c r="K243" s="1"/>
  <c r="J282"/>
  <c r="K282" s="1"/>
  <c r="J473"/>
  <c r="K473" s="1"/>
  <c r="J462"/>
  <c r="K462" s="1"/>
  <c r="J452"/>
  <c r="K452" s="1"/>
  <c r="J359"/>
  <c r="K359" s="1"/>
  <c r="J449"/>
  <c r="K449" s="1"/>
  <c r="J247"/>
  <c r="K247" s="1"/>
  <c r="J196"/>
  <c r="K196" s="1"/>
  <c r="J71"/>
  <c r="K71" s="1"/>
  <c r="J293"/>
  <c r="K293" s="1"/>
  <c r="J319"/>
  <c r="K319" s="1"/>
  <c r="J41"/>
  <c r="K41" s="1"/>
  <c r="J188"/>
  <c r="K188" s="1"/>
  <c r="J39"/>
  <c r="K39" s="1"/>
  <c r="J527"/>
  <c r="K527" s="1"/>
  <c r="J338"/>
  <c r="K338" s="1"/>
  <c r="J475"/>
  <c r="K475" s="1"/>
  <c r="J387"/>
  <c r="K387" s="1"/>
  <c r="J464"/>
  <c r="K464" s="1"/>
  <c r="J478"/>
  <c r="K478" s="1"/>
  <c r="J369"/>
  <c r="K369" s="1"/>
  <c r="J156"/>
  <c r="K156" s="1"/>
  <c r="J203"/>
  <c r="K203" s="1"/>
  <c r="J26"/>
  <c r="K26" s="1"/>
  <c r="J447"/>
  <c r="K447" s="1"/>
  <c r="J214"/>
  <c r="K214" s="1"/>
  <c r="J279"/>
  <c r="K279" s="1"/>
  <c r="J465"/>
  <c r="K465" s="1"/>
  <c r="J157"/>
  <c r="K157" s="1"/>
  <c r="J254"/>
  <c r="K254" s="1"/>
  <c r="F11" i="42"/>
  <c r="N29"/>
  <c r="N31" s="1"/>
  <c r="G24"/>
  <c r="J25"/>
  <c r="M28"/>
  <c r="H29"/>
  <c r="J27"/>
  <c r="K28"/>
  <c r="F26"/>
  <c r="G22"/>
  <c r="J29"/>
  <c r="G28"/>
  <c r="L28"/>
  <c r="H26"/>
  <c r="F25"/>
  <c r="I25"/>
  <c r="K26"/>
  <c r="G23"/>
  <c r="F29"/>
  <c r="I28"/>
  <c r="L27"/>
  <c r="F24"/>
  <c r="G26"/>
  <c r="G29"/>
  <c r="I24"/>
  <c r="F23"/>
  <c r="K29"/>
  <c r="G25"/>
  <c r="H28"/>
  <c r="J26"/>
  <c r="F21"/>
  <c r="M29"/>
  <c r="J28"/>
  <c r="I29"/>
  <c r="H24"/>
  <c r="H23"/>
  <c r="D123" i="26"/>
  <c r="D122"/>
  <c r="D125"/>
  <c r="D126"/>
  <c r="K8"/>
  <c r="J8"/>
  <c r="D119"/>
  <c r="D121"/>
  <c r="B127"/>
  <c r="D67"/>
  <c r="D127"/>
  <c r="B67"/>
  <c r="E35"/>
  <c r="D35"/>
  <c r="M235" i="41" l="1"/>
  <c r="N235" s="1"/>
  <c r="M31" i="42"/>
  <c r="L12"/>
  <c r="G27"/>
  <c r="G31" s="1"/>
  <c r="E30"/>
  <c r="E14"/>
  <c r="H27"/>
  <c r="H31" s="1"/>
  <c r="F22"/>
  <c r="I13"/>
  <c r="G13"/>
  <c r="F6"/>
  <c r="F9"/>
  <c r="H11"/>
  <c r="J23" i="2"/>
  <c r="H7" i="42"/>
  <c r="H8"/>
  <c r="N13"/>
  <c r="N15" s="1"/>
  <c r="F7"/>
  <c r="J13"/>
  <c r="H9"/>
  <c r="K27"/>
  <c r="K31" s="1"/>
  <c r="G12"/>
  <c r="H13"/>
  <c r="M13"/>
  <c r="I12"/>
  <c r="G7"/>
  <c r="H10"/>
  <c r="L11"/>
  <c r="G6"/>
  <c r="H12"/>
  <c r="K10"/>
  <c r="I8"/>
  <c r="K12"/>
  <c r="F27"/>
  <c r="I27"/>
  <c r="I9"/>
  <c r="J10"/>
  <c r="M12"/>
  <c r="G11"/>
  <c r="F13"/>
  <c r="G9"/>
  <c r="J9"/>
  <c r="L13"/>
  <c r="G10"/>
  <c r="F8"/>
  <c r="M433" i="41"/>
  <c r="N433" s="1"/>
  <c r="M418"/>
  <c r="N418" s="1"/>
  <c r="M462"/>
  <c r="N462" s="1"/>
  <c r="M35"/>
  <c r="N35" s="1"/>
  <c r="M303"/>
  <c r="N303" s="1"/>
  <c r="M241"/>
  <c r="N241" s="1"/>
  <c r="M55"/>
  <c r="N55" s="1"/>
  <c r="M110"/>
  <c r="N110" s="1"/>
  <c r="B69" i="26"/>
  <c r="D69"/>
  <c r="B129"/>
  <c r="J31" i="42"/>
  <c r="L31"/>
  <c r="I31"/>
  <c r="D128" i="26"/>
  <c r="D129" s="1"/>
  <c r="D131" s="1"/>
  <c r="J11" i="41"/>
  <c r="J536"/>
  <c r="J3"/>
  <c r="M15" i="42" l="1"/>
  <c r="L15"/>
  <c r="F31"/>
  <c r="F32" s="1"/>
  <c r="B198" i="26" s="1"/>
  <c r="F15" i="42"/>
  <c r="J15"/>
  <c r="K15"/>
  <c r="G15"/>
  <c r="I15"/>
  <c r="H15"/>
  <c r="B131" i="26"/>
  <c r="B149" s="1"/>
  <c r="B71"/>
  <c r="B73" s="1"/>
  <c r="B74" s="1"/>
  <c r="D149"/>
  <c r="D133"/>
  <c r="E37" i="42" l="1"/>
  <c r="K37"/>
  <c r="F37"/>
  <c r="H37"/>
  <c r="G37"/>
  <c r="M37"/>
  <c r="J37"/>
  <c r="F16"/>
  <c r="B197" i="26" s="1"/>
  <c r="L37" i="42"/>
  <c r="I37"/>
  <c r="B133" i="26"/>
  <c r="B139" s="1"/>
  <c r="B150"/>
  <c r="B154"/>
  <c r="B162"/>
  <c r="B151"/>
  <c r="B155"/>
  <c r="B86"/>
  <c r="B75"/>
  <c r="B77" s="1"/>
  <c r="B79"/>
  <c r="B78"/>
  <c r="B89"/>
  <c r="C60"/>
  <c r="C70" s="1"/>
  <c r="C104" s="1"/>
  <c r="D154"/>
  <c r="D162"/>
  <c r="D150"/>
  <c r="D155"/>
  <c r="D151"/>
  <c r="D135"/>
  <c r="D138"/>
  <c r="D134"/>
  <c r="D146"/>
  <c r="D139"/>
  <c r="C38"/>
  <c r="E38" i="42" l="1"/>
  <c r="R13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B134" i="26"/>
  <c r="B138"/>
  <c r="B141" s="1"/>
  <c r="B153"/>
  <c r="B135"/>
  <c r="B146"/>
  <c r="B157"/>
  <c r="B156"/>
  <c r="B152"/>
  <c r="B160" s="1"/>
  <c r="B81"/>
  <c r="B80"/>
  <c r="B102"/>
  <c r="B95"/>
  <c r="B91"/>
  <c r="B90"/>
  <c r="B94"/>
  <c r="B76"/>
  <c r="B84" s="1"/>
  <c r="D141"/>
  <c r="D157"/>
  <c r="C62"/>
  <c r="C65"/>
  <c r="C105"/>
  <c r="C61"/>
  <c r="C66"/>
  <c r="C39"/>
  <c r="C108" s="1"/>
  <c r="C109" s="1"/>
  <c r="D156"/>
  <c r="D152"/>
  <c r="D160" s="1"/>
  <c r="D153"/>
  <c r="D137"/>
  <c r="D136"/>
  <c r="D144" s="1"/>
  <c r="D140"/>
  <c r="C59"/>
  <c r="C67"/>
  <c r="B137" l="1"/>
  <c r="B140"/>
  <c r="B136"/>
  <c r="B144" s="1"/>
  <c r="B159"/>
  <c r="B158"/>
  <c r="B92"/>
  <c r="B100" s="1"/>
  <c r="B93"/>
  <c r="B97"/>
  <c r="B96"/>
  <c r="B43" i="42"/>
  <c r="F52" s="1"/>
  <c r="AI23" i="2"/>
  <c r="C69" i="26"/>
  <c r="C71" s="1"/>
  <c r="D159"/>
  <c r="D158"/>
  <c r="C175"/>
  <c r="C176" s="1"/>
  <c r="C178"/>
  <c r="B161" l="1"/>
  <c r="B163" s="1"/>
  <c r="B98"/>
  <c r="B99"/>
  <c r="C73"/>
  <c r="L51" i="42"/>
  <c r="I51"/>
  <c r="H53"/>
  <c r="G51"/>
  <c r="G53"/>
  <c r="F47"/>
  <c r="H47"/>
  <c r="M53"/>
  <c r="H50"/>
  <c r="J51"/>
  <c r="J50"/>
  <c r="N53"/>
  <c r="N55" s="1"/>
  <c r="H51"/>
  <c r="F48"/>
  <c r="G52"/>
  <c r="K50"/>
  <c r="I52"/>
  <c r="K52"/>
  <c r="G46"/>
  <c r="M52"/>
  <c r="I48"/>
  <c r="L52"/>
  <c r="J52"/>
  <c r="G48"/>
  <c r="F45"/>
  <c r="F51"/>
  <c r="G50"/>
  <c r="I49"/>
  <c r="H52"/>
  <c r="L53"/>
  <c r="K51"/>
  <c r="F49"/>
  <c r="F50"/>
  <c r="J49"/>
  <c r="H49"/>
  <c r="J53"/>
  <c r="F46"/>
  <c r="I53"/>
  <c r="K53"/>
  <c r="I50"/>
  <c r="F53"/>
  <c r="G47"/>
  <c r="G49"/>
  <c r="H48"/>
  <c r="D161" i="26"/>
  <c r="C179"/>
  <c r="B101" l="1"/>
  <c r="B103" s="1"/>
  <c r="D163"/>
  <c r="M15" i="41" s="1"/>
  <c r="M55" i="42"/>
  <c r="C89" i="26"/>
  <c r="C95" s="1"/>
  <c r="C78"/>
  <c r="C86"/>
  <c r="C75"/>
  <c r="C79"/>
  <c r="C74"/>
  <c r="L55" i="42"/>
  <c r="J55"/>
  <c r="F55"/>
  <c r="H55"/>
  <c r="I55"/>
  <c r="K55"/>
  <c r="G55"/>
  <c r="C120" i="26"/>
  <c r="C130" s="1"/>
  <c r="C164" s="1"/>
  <c r="C165" s="1"/>
  <c r="C168"/>
  <c r="C169" s="1"/>
  <c r="C81" l="1"/>
  <c r="C123"/>
  <c r="B56" i="42"/>
  <c r="I66" s="1"/>
  <c r="C94" i="26"/>
  <c r="C97" s="1"/>
  <c r="C77"/>
  <c r="C90"/>
  <c r="C91"/>
  <c r="C102"/>
  <c r="C80"/>
  <c r="C76"/>
  <c r="C84" s="1"/>
  <c r="F56" i="42"/>
  <c r="C197" i="26" s="1"/>
  <c r="C122"/>
  <c r="C125"/>
  <c r="C121"/>
  <c r="C126"/>
  <c r="C119"/>
  <c r="C127"/>
  <c r="M68" i="42" l="1"/>
  <c r="K69"/>
  <c r="G64"/>
  <c r="H67"/>
  <c r="F63"/>
  <c r="G65"/>
  <c r="I67"/>
  <c r="F69"/>
  <c r="L68"/>
  <c r="L69"/>
  <c r="F66"/>
  <c r="F68"/>
  <c r="F67"/>
  <c r="I68"/>
  <c r="M69"/>
  <c r="F65"/>
  <c r="F61"/>
  <c r="G66"/>
  <c r="H63"/>
  <c r="N69"/>
  <c r="N71" s="1"/>
  <c r="J65"/>
  <c r="H68"/>
  <c r="J69"/>
  <c r="K68"/>
  <c r="F64"/>
  <c r="G68"/>
  <c r="I65"/>
  <c r="F62"/>
  <c r="J68"/>
  <c r="I69"/>
  <c r="J67"/>
  <c r="K67"/>
  <c r="L67"/>
  <c r="K66"/>
  <c r="H69"/>
  <c r="H66"/>
  <c r="G62"/>
  <c r="G63"/>
  <c r="G67"/>
  <c r="J66"/>
  <c r="H64"/>
  <c r="G69"/>
  <c r="I64"/>
  <c r="H65"/>
  <c r="C96" i="26"/>
  <c r="C93"/>
  <c r="C99" s="1"/>
  <c r="C92"/>
  <c r="C100" s="1"/>
  <c r="C129"/>
  <c r="C131" s="1"/>
  <c r="C180"/>
  <c r="M71" i="42" l="1"/>
  <c r="L71"/>
  <c r="F71"/>
  <c r="E77" s="1"/>
  <c r="K71"/>
  <c r="I71"/>
  <c r="J71"/>
  <c r="G71"/>
  <c r="H71"/>
  <c r="C98" i="26"/>
  <c r="C101" s="1"/>
  <c r="C103" s="1"/>
  <c r="C133"/>
  <c r="C149"/>
  <c r="F77" i="42" l="1"/>
  <c r="H77"/>
  <c r="I77"/>
  <c r="J77"/>
  <c r="M77"/>
  <c r="K77"/>
  <c r="G77"/>
  <c r="F72"/>
  <c r="C198" i="26" s="1"/>
  <c r="L77" i="42"/>
  <c r="E60" i="26"/>
  <c r="E70" s="1"/>
  <c r="E104" s="1"/>
  <c r="C162"/>
  <c r="C150"/>
  <c r="C151"/>
  <c r="C155"/>
  <c r="C154"/>
  <c r="C135"/>
  <c r="C139"/>
  <c r="C134"/>
  <c r="C146"/>
  <c r="C138"/>
  <c r="E38"/>
  <c r="C141" l="1"/>
  <c r="U13" i="42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C157" i="26"/>
  <c r="E105"/>
  <c r="C136"/>
  <c r="C144" s="1"/>
  <c r="C137"/>
  <c r="C156"/>
  <c r="C140"/>
  <c r="C152"/>
  <c r="C160" s="1"/>
  <c r="C153"/>
  <c r="E39"/>
  <c r="E108" s="1"/>
  <c r="E109" s="1"/>
  <c r="J543" i="41" s="1"/>
  <c r="E78" i="42"/>
  <c r="E175" i="26"/>
  <c r="E176" s="1"/>
  <c r="E178"/>
  <c r="J601" i="41" l="1"/>
  <c r="K601" s="1"/>
  <c r="AI47" i="2"/>
  <c r="J737" i="41"/>
  <c r="K737" s="1"/>
  <c r="J597"/>
  <c r="K597" s="1"/>
  <c r="J941"/>
  <c r="K941" s="1"/>
  <c r="J567"/>
  <c r="K567" s="1"/>
  <c r="J873"/>
  <c r="K873" s="1"/>
  <c r="J732"/>
  <c r="K732" s="1"/>
  <c r="J1015"/>
  <c r="K1015" s="1"/>
  <c r="J968"/>
  <c r="K968" s="1"/>
  <c r="J723"/>
  <c r="K723" s="1"/>
  <c r="J863"/>
  <c r="K863" s="1"/>
  <c r="J814"/>
  <c r="K814" s="1"/>
  <c r="J803"/>
  <c r="K803" s="1"/>
  <c r="J915"/>
  <c r="K915" s="1"/>
  <c r="J671"/>
  <c r="K671" s="1"/>
  <c r="J860"/>
  <c r="K860" s="1"/>
  <c r="J988"/>
  <c r="K988" s="1"/>
  <c r="J632"/>
  <c r="K632" s="1"/>
  <c r="J997"/>
  <c r="K997" s="1"/>
  <c r="J716"/>
  <c r="K716" s="1"/>
  <c r="J872"/>
  <c r="K872" s="1"/>
  <c r="J1017"/>
  <c r="K1017" s="1"/>
  <c r="J777"/>
  <c r="K777" s="1"/>
  <c r="J859"/>
  <c r="K859" s="1"/>
  <c r="J906"/>
  <c r="K906" s="1"/>
  <c r="J984"/>
  <c r="K984" s="1"/>
  <c r="J852"/>
  <c r="K852" s="1"/>
  <c r="J689"/>
  <c r="K689" s="1"/>
  <c r="J555"/>
  <c r="K555" s="1"/>
  <c r="J776"/>
  <c r="K776" s="1"/>
  <c r="J586"/>
  <c r="K586" s="1"/>
  <c r="J660"/>
  <c r="K660" s="1"/>
  <c r="J622"/>
  <c r="K622" s="1"/>
  <c r="J804"/>
  <c r="K804" s="1"/>
  <c r="J706"/>
  <c r="K706" s="1"/>
  <c r="J552"/>
  <c r="K552" s="1"/>
  <c r="J659"/>
  <c r="K659" s="1"/>
  <c r="J631"/>
  <c r="K631" s="1"/>
  <c r="J770"/>
  <c r="K770" s="1"/>
  <c r="J1032"/>
  <c r="K1032" s="1"/>
  <c r="J954"/>
  <c r="K954" s="1"/>
  <c r="J971"/>
  <c r="K971" s="1"/>
  <c r="J990"/>
  <c r="K990" s="1"/>
  <c r="J913"/>
  <c r="K913" s="1"/>
  <c r="J857"/>
  <c r="K857" s="1"/>
  <c r="J646"/>
  <c r="K646" s="1"/>
  <c r="J903"/>
  <c r="K903" s="1"/>
  <c r="J767"/>
  <c r="K767" s="1"/>
  <c r="J973"/>
  <c r="K973" s="1"/>
  <c r="J787"/>
  <c r="K787" s="1"/>
  <c r="J821"/>
  <c r="K821" s="1"/>
  <c r="J809"/>
  <c r="K809" s="1"/>
  <c r="J1044"/>
  <c r="K1044" s="1"/>
  <c r="J735"/>
  <c r="K735" s="1"/>
  <c r="J904"/>
  <c r="K904" s="1"/>
  <c r="J942"/>
  <c r="K942" s="1"/>
  <c r="J791"/>
  <c r="K791" s="1"/>
  <c r="J834"/>
  <c r="K834" s="1"/>
  <c r="J760"/>
  <c r="K760" s="1"/>
  <c r="J643"/>
  <c r="K643" s="1"/>
  <c r="J685"/>
  <c r="K685" s="1"/>
  <c r="J657"/>
  <c r="K657" s="1"/>
  <c r="J778"/>
  <c r="K778" s="1"/>
  <c r="J829"/>
  <c r="K829" s="1"/>
  <c r="J796"/>
  <c r="K796" s="1"/>
  <c r="J712"/>
  <c r="K712" s="1"/>
  <c r="J823"/>
  <c r="K823" s="1"/>
  <c r="J995"/>
  <c r="K995" s="1"/>
  <c r="J553"/>
  <c r="K553" s="1"/>
  <c r="J960"/>
  <c r="K960" s="1"/>
  <c r="J582"/>
  <c r="K582" s="1"/>
  <c r="J811"/>
  <c r="K811" s="1"/>
  <c r="J644"/>
  <c r="K644" s="1"/>
  <c r="J585"/>
  <c r="K585" s="1"/>
  <c r="J854"/>
  <c r="K854" s="1"/>
  <c r="J925"/>
  <c r="K925" s="1"/>
  <c r="J695"/>
  <c r="K695" s="1"/>
  <c r="J826"/>
  <c r="K826" s="1"/>
  <c r="J728"/>
  <c r="K728" s="1"/>
  <c r="J757"/>
  <c r="K757" s="1"/>
  <c r="J1027"/>
  <c r="K1027" s="1"/>
  <c r="J769"/>
  <c r="K769" s="1"/>
  <c r="J720"/>
  <c r="K720" s="1"/>
  <c r="J1054"/>
  <c r="K1054" s="1"/>
  <c r="J579"/>
  <c r="K579" s="1"/>
  <c r="J949"/>
  <c r="K949" s="1"/>
  <c r="J832"/>
  <c r="K832" s="1"/>
  <c r="J934"/>
  <c r="K934" s="1"/>
  <c r="J807"/>
  <c r="K807" s="1"/>
  <c r="J802"/>
  <c r="K802" s="1"/>
  <c r="J613"/>
  <c r="K613" s="1"/>
  <c r="J784"/>
  <c r="K784" s="1"/>
  <c r="J763"/>
  <c r="K763" s="1"/>
  <c r="J1062"/>
  <c r="K1062" s="1"/>
  <c r="J698"/>
  <c r="K698" s="1"/>
  <c r="J656"/>
  <c r="K656" s="1"/>
  <c r="J571"/>
  <c r="K571" s="1"/>
  <c r="J674"/>
  <c r="K674" s="1"/>
  <c r="J701"/>
  <c r="K701" s="1"/>
  <c r="J989"/>
  <c r="K989" s="1"/>
  <c r="J937"/>
  <c r="K937" s="1"/>
  <c r="J562"/>
  <c r="K562" s="1"/>
  <c r="J629"/>
  <c r="K629" s="1"/>
  <c r="J840"/>
  <c r="K840" s="1"/>
  <c r="J667"/>
  <c r="K667" s="1"/>
  <c r="J650"/>
  <c r="K650" s="1"/>
  <c r="J559"/>
  <c r="K559" s="1"/>
  <c r="J993"/>
  <c r="K993" s="1"/>
  <c r="J610"/>
  <c r="K610" s="1"/>
  <c r="J742"/>
  <c r="K742" s="1"/>
  <c r="J753"/>
  <c r="K753" s="1"/>
  <c r="J932"/>
  <c r="K932" s="1"/>
  <c r="J1034"/>
  <c r="K1034" s="1"/>
  <c r="J875"/>
  <c r="K875" s="1"/>
  <c r="J628"/>
  <c r="K628" s="1"/>
  <c r="J651"/>
  <c r="K651" s="1"/>
  <c r="J1046"/>
  <c r="K1046" s="1"/>
  <c r="J570"/>
  <c r="K570" s="1"/>
  <c r="J730"/>
  <c r="K730" s="1"/>
  <c r="J806"/>
  <c r="K806" s="1"/>
  <c r="J931"/>
  <c r="K931" s="1"/>
  <c r="J828"/>
  <c r="K828" s="1"/>
  <c r="J565"/>
  <c r="K565" s="1"/>
  <c r="J945"/>
  <c r="K945" s="1"/>
  <c r="J813"/>
  <c r="K813" s="1"/>
  <c r="J557"/>
  <c r="K557" s="1"/>
  <c r="J992"/>
  <c r="K992" s="1"/>
  <c r="J592"/>
  <c r="K592" s="1"/>
  <c r="J1057"/>
  <c r="K1057" s="1"/>
  <c r="J1060"/>
  <c r="K1060" s="1"/>
  <c r="J1061"/>
  <c r="K1061" s="1"/>
  <c r="J654"/>
  <c r="K654" s="1"/>
  <c r="J779"/>
  <c r="K779" s="1"/>
  <c r="J607"/>
  <c r="K607" s="1"/>
  <c r="J780"/>
  <c r="K780" s="1"/>
  <c r="J604"/>
  <c r="K604" s="1"/>
  <c r="J588"/>
  <c r="K588" s="1"/>
  <c r="J797"/>
  <c r="K797" s="1"/>
  <c r="J1000"/>
  <c r="K1000" s="1"/>
  <c r="J1033"/>
  <c r="K1033" s="1"/>
  <c r="J851"/>
  <c r="K851" s="1"/>
  <c r="J681"/>
  <c r="K681" s="1"/>
  <c r="J1045"/>
  <c r="K1045" s="1"/>
  <c r="J741"/>
  <c r="K741" s="1"/>
  <c r="J996"/>
  <c r="K996" s="1"/>
  <c r="J661"/>
  <c r="K661" s="1"/>
  <c r="J808"/>
  <c r="K808" s="1"/>
  <c r="J936"/>
  <c r="K936" s="1"/>
  <c r="J635"/>
  <c r="K635" s="1"/>
  <c r="J782"/>
  <c r="K782" s="1"/>
  <c r="J910"/>
  <c r="K910" s="1"/>
  <c r="J1038"/>
  <c r="K1038" s="1"/>
  <c r="J634"/>
  <c r="K634" s="1"/>
  <c r="J805"/>
  <c r="K805" s="1"/>
  <c r="J855"/>
  <c r="K855" s="1"/>
  <c r="J959"/>
  <c r="K959" s="1"/>
  <c r="J833"/>
  <c r="K833" s="1"/>
  <c r="J764"/>
  <c r="K764" s="1"/>
  <c r="J731"/>
  <c r="K731" s="1"/>
  <c r="J612"/>
  <c r="K612" s="1"/>
  <c r="J726"/>
  <c r="K726" s="1"/>
  <c r="J981"/>
  <c r="K981" s="1"/>
  <c r="J645"/>
  <c r="K645" s="1"/>
  <c r="J619"/>
  <c r="K619" s="1"/>
  <c r="J1022"/>
  <c r="K1022" s="1"/>
  <c r="J887"/>
  <c r="K887" s="1"/>
  <c r="J944"/>
  <c r="K944" s="1"/>
  <c r="J1014"/>
  <c r="K1014" s="1"/>
  <c r="J710"/>
  <c r="K710" s="1"/>
  <c r="J923"/>
  <c r="K923" s="1"/>
  <c r="J1019"/>
  <c r="K1019" s="1"/>
  <c r="J1047"/>
  <c r="K1047" s="1"/>
  <c r="J817"/>
  <c r="K817" s="1"/>
  <c r="J708"/>
  <c r="K708" s="1"/>
  <c r="J625"/>
  <c r="K625" s="1"/>
  <c r="J772"/>
  <c r="K772" s="1"/>
  <c r="J900"/>
  <c r="K900" s="1"/>
  <c r="J599"/>
  <c r="K599" s="1"/>
  <c r="J747"/>
  <c r="K747" s="1"/>
  <c r="J874"/>
  <c r="K874" s="1"/>
  <c r="J1002"/>
  <c r="K1002" s="1"/>
  <c r="J616"/>
  <c r="K616" s="1"/>
  <c r="J688"/>
  <c r="K688" s="1"/>
  <c r="J927"/>
  <c r="K927" s="1"/>
  <c r="J575"/>
  <c r="K575" s="1"/>
  <c r="J979"/>
  <c r="K979" s="1"/>
  <c r="J714"/>
  <c r="K714" s="1"/>
  <c r="J655"/>
  <c r="K655" s="1"/>
  <c r="J1058"/>
  <c r="K1058" s="1"/>
  <c r="J815"/>
  <c r="K815" s="1"/>
  <c r="J901"/>
  <c r="K901" s="1"/>
  <c r="J583"/>
  <c r="K583" s="1"/>
  <c r="J1004"/>
  <c r="K1004" s="1"/>
  <c r="J958"/>
  <c r="K958" s="1"/>
  <c r="J677"/>
  <c r="K677" s="1"/>
  <c r="J848"/>
  <c r="K848" s="1"/>
  <c r="J950"/>
  <c r="K950" s="1"/>
  <c r="J977"/>
  <c r="K977" s="1"/>
  <c r="J1035"/>
  <c r="K1035" s="1"/>
  <c r="J867"/>
  <c r="K867" s="1"/>
  <c r="J702"/>
  <c r="K702" s="1"/>
  <c r="J673"/>
  <c r="K673" s="1"/>
  <c r="J761"/>
  <c r="K761" s="1"/>
  <c r="J980"/>
  <c r="K980" s="1"/>
  <c r="J653"/>
  <c r="K653" s="1"/>
  <c r="J800"/>
  <c r="K800" s="1"/>
  <c r="J928"/>
  <c r="K928" s="1"/>
  <c r="J627"/>
  <c r="K627" s="1"/>
  <c r="J774"/>
  <c r="K774" s="1"/>
  <c r="J902"/>
  <c r="K902" s="1"/>
  <c r="J1030"/>
  <c r="K1030" s="1"/>
  <c r="J630"/>
  <c r="K630" s="1"/>
  <c r="J837"/>
  <c r="K837" s="1"/>
  <c r="J871"/>
  <c r="K871" s="1"/>
  <c r="J765"/>
  <c r="K765" s="1"/>
  <c r="J897"/>
  <c r="K897" s="1"/>
  <c r="J711"/>
  <c r="K711" s="1"/>
  <c r="J738"/>
  <c r="K738" s="1"/>
  <c r="J596"/>
  <c r="K596" s="1"/>
  <c r="J751"/>
  <c r="K751" s="1"/>
  <c r="J734"/>
  <c r="K734" s="1"/>
  <c r="J748"/>
  <c r="K748" s="1"/>
  <c r="J920"/>
  <c r="K920" s="1"/>
  <c r="J894"/>
  <c r="K894" s="1"/>
  <c r="J885"/>
  <c r="K885" s="1"/>
  <c r="J637"/>
  <c r="K637" s="1"/>
  <c r="J758"/>
  <c r="K758" s="1"/>
  <c r="J670"/>
  <c r="K670" s="1"/>
  <c r="J736"/>
  <c r="K736" s="1"/>
  <c r="J827"/>
  <c r="K827" s="1"/>
  <c r="J569"/>
  <c r="K569" s="1"/>
  <c r="J1011"/>
  <c r="K1011" s="1"/>
  <c r="J693"/>
  <c r="K693" s="1"/>
  <c r="J1012"/>
  <c r="K1012" s="1"/>
  <c r="J690"/>
  <c r="K690" s="1"/>
  <c r="J820"/>
  <c r="K820" s="1"/>
  <c r="J948"/>
  <c r="K948" s="1"/>
  <c r="J647"/>
  <c r="K647" s="1"/>
  <c r="J794"/>
  <c r="K794" s="1"/>
  <c r="J922"/>
  <c r="K922" s="1"/>
  <c r="J1050"/>
  <c r="K1050" s="1"/>
  <c r="J640"/>
  <c r="K640" s="1"/>
  <c r="J733"/>
  <c r="K733" s="1"/>
  <c r="J831"/>
  <c r="K831" s="1"/>
  <c r="J853"/>
  <c r="K853" s="1"/>
  <c r="J771"/>
  <c r="K771" s="1"/>
  <c r="J933"/>
  <c r="K933" s="1"/>
  <c r="J921"/>
  <c r="K921" s="1"/>
  <c r="J551"/>
  <c r="K551" s="1"/>
  <c r="J880"/>
  <c r="K880" s="1"/>
  <c r="J590"/>
  <c r="K590" s="1"/>
  <c r="J869"/>
  <c r="K869" s="1"/>
  <c r="J844"/>
  <c r="K844" s="1"/>
  <c r="J985"/>
  <c r="K985" s="1"/>
  <c r="J563"/>
  <c r="K563" s="1"/>
  <c r="J818"/>
  <c r="K818" s="1"/>
  <c r="J1042"/>
  <c r="K1042" s="1"/>
  <c r="J1043"/>
  <c r="K1043" s="1"/>
  <c r="J724"/>
  <c r="K724" s="1"/>
  <c r="J754"/>
  <c r="K754" s="1"/>
  <c r="J978"/>
  <c r="K978" s="1"/>
  <c r="J603"/>
  <c r="K603" s="1"/>
  <c r="J750"/>
  <c r="K750" s="1"/>
  <c r="J878"/>
  <c r="K878" s="1"/>
  <c r="J1006"/>
  <c r="K1006" s="1"/>
  <c r="J618"/>
  <c r="K618" s="1"/>
  <c r="J1059"/>
  <c r="K1059" s="1"/>
  <c r="J919"/>
  <c r="K919" s="1"/>
  <c r="J580"/>
  <c r="K580" s="1"/>
  <c r="J696"/>
  <c r="K696" s="1"/>
  <c r="J649"/>
  <c r="K649" s="1"/>
  <c r="J623"/>
  <c r="K623" s="1"/>
  <c r="J1026"/>
  <c r="K1026" s="1"/>
  <c r="J879"/>
  <c r="K879" s="1"/>
  <c r="J1031"/>
  <c r="K1031" s="1"/>
  <c r="J1020"/>
  <c r="K1020" s="1"/>
  <c r="J952"/>
  <c r="K952" s="1"/>
  <c r="J926"/>
  <c r="K926" s="1"/>
  <c r="J1023"/>
  <c r="K1023" s="1"/>
  <c r="J816"/>
  <c r="K816" s="1"/>
  <c r="J918"/>
  <c r="K918" s="1"/>
  <c r="J839"/>
  <c r="K839" s="1"/>
  <c r="J717"/>
  <c r="K717" s="1"/>
  <c r="J705"/>
  <c r="K705" s="1"/>
  <c r="J845"/>
  <c r="K845" s="1"/>
  <c r="J881"/>
  <c r="K881" s="1"/>
  <c r="J561"/>
  <c r="K561" s="1"/>
  <c r="J593"/>
  <c r="K593" s="1"/>
  <c r="J727"/>
  <c r="K727" s="1"/>
  <c r="J868"/>
  <c r="K868" s="1"/>
  <c r="J1036"/>
  <c r="K1036" s="1"/>
  <c r="J683"/>
  <c r="K683" s="1"/>
  <c r="J842"/>
  <c r="K842" s="1"/>
  <c r="J970"/>
  <c r="K970" s="1"/>
  <c r="J600"/>
  <c r="K600" s="1"/>
  <c r="J664"/>
  <c r="K664" s="1"/>
  <c r="J1039"/>
  <c r="K1039" s="1"/>
  <c r="J729"/>
  <c r="K729" s="1"/>
  <c r="J893"/>
  <c r="K893" s="1"/>
  <c r="J587"/>
  <c r="K587" s="1"/>
  <c r="J1016"/>
  <c r="K1016" s="1"/>
  <c r="J962"/>
  <c r="K962" s="1"/>
  <c r="J578"/>
  <c r="K578" s="1"/>
  <c r="J1053"/>
  <c r="K1053" s="1"/>
  <c r="J558"/>
  <c r="K558" s="1"/>
  <c r="J888"/>
  <c r="K888" s="1"/>
  <c r="J862"/>
  <c r="K862" s="1"/>
  <c r="J686"/>
  <c r="K686" s="1"/>
  <c r="J687"/>
  <c r="K687" s="1"/>
  <c r="J822"/>
  <c r="K822" s="1"/>
  <c r="J917"/>
  <c r="K917" s="1"/>
  <c r="J1037"/>
  <c r="K1037" s="1"/>
  <c r="J939"/>
  <c r="K939" s="1"/>
  <c r="J1021"/>
  <c r="K1021" s="1"/>
  <c r="J991"/>
  <c r="K991" s="1"/>
  <c r="J825"/>
  <c r="K825" s="1"/>
  <c r="J700"/>
  <c r="K700" s="1"/>
  <c r="J621"/>
  <c r="K621" s="1"/>
  <c r="J768"/>
  <c r="K768" s="1"/>
  <c r="J896"/>
  <c r="K896" s="1"/>
  <c r="J595"/>
  <c r="K595" s="1"/>
  <c r="J739"/>
  <c r="K739" s="1"/>
  <c r="J870"/>
  <c r="K870" s="1"/>
  <c r="J998"/>
  <c r="K998" s="1"/>
  <c r="J614"/>
  <c r="K614" s="1"/>
  <c r="J704"/>
  <c r="K704" s="1"/>
  <c r="J935"/>
  <c r="K935" s="1"/>
  <c r="J1005"/>
  <c r="K1005" s="1"/>
  <c r="J1055"/>
  <c r="K1055" s="1"/>
  <c r="J617"/>
  <c r="K617" s="1"/>
  <c r="J591"/>
  <c r="K591" s="1"/>
  <c r="J994"/>
  <c r="K994" s="1"/>
  <c r="J943"/>
  <c r="K943" s="1"/>
  <c r="J819"/>
  <c r="K819" s="1"/>
  <c r="J573"/>
  <c r="K573" s="1"/>
  <c r="J824"/>
  <c r="K824" s="1"/>
  <c r="J798"/>
  <c r="K798" s="1"/>
  <c r="J642"/>
  <c r="K642" s="1"/>
  <c r="J564"/>
  <c r="K564" s="1"/>
  <c r="J611"/>
  <c r="K611" s="1"/>
  <c r="J606"/>
  <c r="K606" s="1"/>
  <c r="J694"/>
  <c r="K694" s="1"/>
  <c r="J891"/>
  <c r="K891" s="1"/>
  <c r="J955"/>
  <c r="K955" s="1"/>
  <c r="J744"/>
  <c r="K744" s="1"/>
  <c r="J785"/>
  <c r="K785" s="1"/>
  <c r="J740"/>
  <c r="K740" s="1"/>
  <c r="J641"/>
  <c r="K641" s="1"/>
  <c r="J788"/>
  <c r="K788" s="1"/>
  <c r="J916"/>
  <c r="K916" s="1"/>
  <c r="J615"/>
  <c r="K615" s="1"/>
  <c r="J762"/>
  <c r="K762" s="1"/>
  <c r="J890"/>
  <c r="K890" s="1"/>
  <c r="J1018"/>
  <c r="K1018" s="1"/>
  <c r="J624"/>
  <c r="K624" s="1"/>
  <c r="J909"/>
  <c r="K909" s="1"/>
  <c r="J895"/>
  <c r="K895" s="1"/>
  <c r="J969"/>
  <c r="K969" s="1"/>
  <c r="J835"/>
  <c r="K835" s="1"/>
  <c r="J572"/>
  <c r="K572" s="1"/>
  <c r="J1013"/>
  <c r="K1013" s="1"/>
  <c r="J709"/>
  <c r="K709" s="1"/>
  <c r="J752"/>
  <c r="K752" s="1"/>
  <c r="J886"/>
  <c r="K886" s="1"/>
  <c r="J775"/>
  <c r="K775" s="1"/>
  <c r="J1052"/>
  <c r="K1052" s="1"/>
  <c r="J783"/>
  <c r="K783" s="1"/>
  <c r="J680"/>
  <c r="K680" s="1"/>
  <c r="J556"/>
  <c r="K556" s="1"/>
  <c r="J665"/>
  <c r="K665" s="1"/>
  <c r="J1010"/>
  <c r="K1010" s="1"/>
  <c r="J636"/>
  <c r="K636" s="1"/>
  <c r="J850"/>
  <c r="K850" s="1"/>
  <c r="J697"/>
  <c r="K697" s="1"/>
  <c r="J1048"/>
  <c r="K1048" s="1"/>
  <c r="J691"/>
  <c r="K691" s="1"/>
  <c r="J846"/>
  <c r="K846" s="1"/>
  <c r="J974"/>
  <c r="K974" s="1"/>
  <c r="J602"/>
  <c r="K602" s="1"/>
  <c r="J666"/>
  <c r="K666" s="1"/>
  <c r="J1009"/>
  <c r="K1009" s="1"/>
  <c r="J713"/>
  <c r="K713" s="1"/>
  <c r="J999"/>
  <c r="K999" s="1"/>
  <c r="J1028"/>
  <c r="K1028" s="1"/>
  <c r="J956"/>
  <c r="K956" s="1"/>
  <c r="J930"/>
  <c r="K930" s="1"/>
  <c r="J961"/>
  <c r="K961" s="1"/>
  <c r="J755"/>
  <c r="K755" s="1"/>
  <c r="J684"/>
  <c r="K684" s="1"/>
  <c r="J856"/>
  <c r="K856" s="1"/>
  <c r="J830"/>
  <c r="K830" s="1"/>
  <c r="J658"/>
  <c r="K658" s="1"/>
  <c r="J669"/>
  <c r="K669" s="1"/>
  <c r="J790"/>
  <c r="K790" s="1"/>
  <c r="J773"/>
  <c r="K773" s="1"/>
  <c r="J963"/>
  <c r="K963" s="1"/>
  <c r="J795"/>
  <c r="K795" s="1"/>
  <c r="J1029"/>
  <c r="K1029" s="1"/>
  <c r="J947"/>
  <c r="K947" s="1"/>
  <c r="J554"/>
  <c r="K554" s="1"/>
  <c r="J1040"/>
  <c r="K1040" s="1"/>
  <c r="J746"/>
  <c r="K746" s="1"/>
  <c r="J836"/>
  <c r="K836" s="1"/>
  <c r="J964"/>
  <c r="K964" s="1"/>
  <c r="J663"/>
  <c r="K663" s="1"/>
  <c r="J810"/>
  <c r="K810" s="1"/>
  <c r="J938"/>
  <c r="K938" s="1"/>
  <c r="J584"/>
  <c r="K584" s="1"/>
  <c r="J648"/>
  <c r="K648" s="1"/>
  <c r="J1049"/>
  <c r="K1049" s="1"/>
  <c r="J799"/>
  <c r="K799" s="1"/>
  <c r="J1051"/>
  <c r="K1051" s="1"/>
  <c r="J692"/>
  <c r="K692" s="1"/>
  <c r="J892"/>
  <c r="K892" s="1"/>
  <c r="J866"/>
  <c r="K866" s="1"/>
  <c r="J967"/>
  <c r="K967" s="1"/>
  <c r="J883"/>
  <c r="K883" s="1"/>
  <c r="J841"/>
  <c r="K841" s="1"/>
  <c r="J792"/>
  <c r="K792" s="1"/>
  <c r="J766"/>
  <c r="K766" s="1"/>
  <c r="J626"/>
  <c r="K626" s="1"/>
  <c r="J1008"/>
  <c r="K1008" s="1"/>
  <c r="J682"/>
  <c r="K682" s="1"/>
  <c r="J638"/>
  <c r="K638" s="1"/>
  <c r="J1001"/>
  <c r="K1001" s="1"/>
  <c r="J749"/>
  <c r="K749" s="1"/>
  <c r="J721"/>
  <c r="K721" s="1"/>
  <c r="J861"/>
  <c r="K861" s="1"/>
  <c r="J889"/>
  <c r="K889" s="1"/>
  <c r="J560"/>
  <c r="K560" s="1"/>
  <c r="J589"/>
  <c r="K589" s="1"/>
  <c r="J719"/>
  <c r="K719" s="1"/>
  <c r="J864"/>
  <c r="K864" s="1"/>
  <c r="J1024"/>
  <c r="K1024" s="1"/>
  <c r="J675"/>
  <c r="K675" s="1"/>
  <c r="J838"/>
  <c r="K838" s="1"/>
  <c r="J966"/>
  <c r="K966" s="1"/>
  <c r="J598"/>
  <c r="K598" s="1"/>
  <c r="J662"/>
  <c r="K662" s="1"/>
  <c r="J1041"/>
  <c r="K1041" s="1"/>
  <c r="J745"/>
  <c r="K745" s="1"/>
  <c r="J718"/>
  <c r="K718" s="1"/>
  <c r="J972"/>
  <c r="K972" s="1"/>
  <c r="J924"/>
  <c r="K924" s="1"/>
  <c r="J898"/>
  <c r="K898" s="1"/>
  <c r="J877"/>
  <c r="K877" s="1"/>
  <c r="J789"/>
  <c r="K789" s="1"/>
  <c r="J905"/>
  <c r="K905" s="1"/>
  <c r="J703"/>
  <c r="K703" s="1"/>
  <c r="J722"/>
  <c r="K722" s="1"/>
  <c r="J594"/>
  <c r="K594" s="1"/>
  <c r="J759"/>
  <c r="K759" s="1"/>
  <c r="J912"/>
  <c r="K912" s="1"/>
  <c r="J982"/>
  <c r="K982" s="1"/>
  <c r="J1003"/>
  <c r="K1003" s="1"/>
  <c r="J1025"/>
  <c r="K1025" s="1"/>
  <c r="J566"/>
  <c r="K566" s="1"/>
  <c r="J576"/>
  <c r="K576" s="1"/>
  <c r="J849"/>
  <c r="K849" s="1"/>
  <c r="J676"/>
  <c r="K676" s="1"/>
  <c r="J609"/>
  <c r="K609" s="1"/>
  <c r="J756"/>
  <c r="K756" s="1"/>
  <c r="J884"/>
  <c r="K884" s="1"/>
  <c r="J581"/>
  <c r="K581" s="1"/>
  <c r="J715"/>
  <c r="K715" s="1"/>
  <c r="J858"/>
  <c r="K858" s="1"/>
  <c r="J986"/>
  <c r="K986" s="1"/>
  <c r="J608"/>
  <c r="K608" s="1"/>
  <c r="J678"/>
  <c r="K678" s="1"/>
  <c r="J975"/>
  <c r="K975" s="1"/>
  <c r="J574"/>
  <c r="K574" s="1"/>
  <c r="J899"/>
  <c r="K899" s="1"/>
  <c r="J957"/>
  <c r="K957" s="1"/>
  <c r="J951"/>
  <c r="K951" s="1"/>
  <c r="J793"/>
  <c r="K793" s="1"/>
  <c r="J605"/>
  <c r="K605" s="1"/>
  <c r="J707"/>
  <c r="K707" s="1"/>
  <c r="J953"/>
  <c r="K953" s="1"/>
  <c r="J929"/>
  <c r="K929" s="1"/>
  <c r="J946"/>
  <c r="K946" s="1"/>
  <c r="J911"/>
  <c r="K911" s="1"/>
  <c r="J965"/>
  <c r="K965" s="1"/>
  <c r="J725"/>
  <c r="K725" s="1"/>
  <c r="J908"/>
  <c r="K908" s="1"/>
  <c r="J914"/>
  <c r="K914" s="1"/>
  <c r="J743"/>
  <c r="K743" s="1"/>
  <c r="J865"/>
  <c r="K865" s="1"/>
  <c r="J652"/>
  <c r="K652" s="1"/>
  <c r="J882"/>
  <c r="K882" s="1"/>
  <c r="J1056"/>
  <c r="K1056" s="1"/>
  <c r="J679"/>
  <c r="K679" s="1"/>
  <c r="J983"/>
  <c r="K983" s="1"/>
  <c r="J940"/>
  <c r="K940" s="1"/>
  <c r="J987"/>
  <c r="K987" s="1"/>
  <c r="J672"/>
  <c r="K672" s="1"/>
  <c r="J812"/>
  <c r="K812" s="1"/>
  <c r="J847"/>
  <c r="K847" s="1"/>
  <c r="J620"/>
  <c r="K620" s="1"/>
  <c r="J1007"/>
  <c r="K1007" s="1"/>
  <c r="J699"/>
  <c r="K699" s="1"/>
  <c r="J668"/>
  <c r="K668" s="1"/>
  <c r="J568"/>
  <c r="K568" s="1"/>
  <c r="J976"/>
  <c r="K976" s="1"/>
  <c r="J577"/>
  <c r="K577" s="1"/>
  <c r="J786"/>
  <c r="K786" s="1"/>
  <c r="J801"/>
  <c r="K801" s="1"/>
  <c r="J843"/>
  <c r="K843" s="1"/>
  <c r="J639"/>
  <c r="K639" s="1"/>
  <c r="J907"/>
  <c r="K907" s="1"/>
  <c r="J781"/>
  <c r="K781" s="1"/>
  <c r="J633"/>
  <c r="K633" s="1"/>
  <c r="J876"/>
  <c r="K876" s="1"/>
  <c r="U28" i="42"/>
  <c r="C159" i="26"/>
  <c r="C158"/>
  <c r="E179"/>
  <c r="E63" l="1"/>
  <c r="E62"/>
  <c r="E65"/>
  <c r="E61"/>
  <c r="E66"/>
  <c r="U29" i="42"/>
  <c r="C161" i="26"/>
  <c r="C163" s="1"/>
  <c r="E59"/>
  <c r="E67"/>
  <c r="U30" i="42" l="1"/>
  <c r="E68" i="26"/>
  <c r="E69" s="1"/>
  <c r="E168"/>
  <c r="E169" s="1"/>
  <c r="J546" i="41" s="1"/>
  <c r="E180" i="26"/>
  <c r="E123" l="1"/>
  <c r="E122"/>
  <c r="E125"/>
  <c r="E121"/>
  <c r="E126"/>
  <c r="U31" i="42"/>
  <c r="E119" i="26"/>
  <c r="E127"/>
  <c r="E128" l="1"/>
  <c r="E129" s="1"/>
  <c r="E131" s="1"/>
  <c r="J544" i="41"/>
  <c r="R31" i="42"/>
  <c r="U32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O612" i="41" s="1"/>
  <c r="K1064"/>
  <c r="N77" i="42"/>
  <c r="N37"/>
  <c r="D143" i="26"/>
  <c r="C83"/>
  <c r="C143"/>
  <c r="C142"/>
  <c r="O71" i="42"/>
  <c r="O15"/>
  <c r="C82" i="26"/>
  <c r="D142"/>
  <c r="O31" i="42"/>
  <c r="B143" i="26"/>
  <c r="B142"/>
  <c r="O55" i="42"/>
  <c r="K531" i="41"/>
  <c r="C202" i="26"/>
  <c r="C204" s="1"/>
  <c r="B202"/>
  <c r="C203"/>
  <c r="B7" i="41"/>
  <c r="B540"/>
  <c r="G57" i="30"/>
  <c r="G58" s="1"/>
  <c r="G67"/>
  <c r="G70" s="1"/>
  <c r="C145" i="26" l="1"/>
  <c r="C147" s="1"/>
  <c r="C85"/>
  <c r="C87" s="1"/>
  <c r="D145"/>
  <c r="D147" s="1"/>
  <c r="B145"/>
  <c r="B147" s="1"/>
  <c r="G61" i="30"/>
  <c r="G60"/>
  <c r="G71"/>
  <c r="G59"/>
  <c r="G68"/>
  <c r="G69"/>
  <c r="P933" i="41"/>
  <c r="P774"/>
  <c r="P837"/>
  <c r="O741"/>
  <c r="O902"/>
  <c r="O933"/>
  <c r="O900"/>
  <c r="O965"/>
  <c r="P1029"/>
  <c r="P710"/>
  <c r="O1062"/>
  <c r="O934"/>
  <c r="P645"/>
  <c r="O996"/>
  <c r="O740"/>
  <c r="O964"/>
  <c r="O1029"/>
  <c r="O710"/>
  <c r="P741"/>
  <c r="P869"/>
  <c r="O1030"/>
  <c r="O580"/>
  <c r="O708"/>
  <c r="P613"/>
  <c r="O868"/>
  <c r="O644"/>
  <c r="O645"/>
  <c r="P966"/>
  <c r="O966"/>
  <c r="P614"/>
  <c r="O1060"/>
  <c r="P581"/>
  <c r="P1030"/>
  <c r="O901"/>
  <c r="P838"/>
  <c r="O677"/>
  <c r="O806"/>
  <c r="P806"/>
  <c r="O836"/>
  <c r="O870"/>
  <c r="O838"/>
  <c r="P934"/>
  <c r="P678"/>
  <c r="O614"/>
  <c r="O678"/>
  <c r="O805"/>
  <c r="P965"/>
  <c r="O581"/>
  <c r="P902"/>
  <c r="P870"/>
  <c r="P773"/>
  <c r="O774"/>
  <c r="O997"/>
  <c r="P1062"/>
  <c r="Q810"/>
  <c r="Q681"/>
  <c r="Q745"/>
  <c r="Q650"/>
  <c r="Q778"/>
  <c r="Q811"/>
  <c r="Q649"/>
  <c r="Q843"/>
  <c r="Q937"/>
  <c r="Q583"/>
  <c r="Q871"/>
  <c r="Q936"/>
  <c r="Q711"/>
  <c r="Q743"/>
  <c r="Q809"/>
  <c r="Q842"/>
  <c r="Q807"/>
  <c r="Q555"/>
  <c r="Q651"/>
  <c r="Q938"/>
  <c r="Q777"/>
  <c r="Q968"/>
  <c r="Q1000"/>
  <c r="Q840"/>
  <c r="Q587"/>
  <c r="Q999"/>
  <c r="Q713"/>
  <c r="Q553"/>
  <c r="Q618"/>
  <c r="Q712"/>
  <c r="Q903"/>
  <c r="Q648"/>
  <c r="Q971"/>
  <c r="Q875"/>
  <c r="Q1003"/>
  <c r="Q615"/>
  <c r="Q585"/>
  <c r="Q586"/>
  <c r="Q616"/>
  <c r="Q907"/>
  <c r="Q967"/>
  <c r="Q905"/>
  <c r="Q808"/>
  <c r="Q969"/>
  <c r="Q873"/>
  <c r="Q841"/>
  <c r="Q715"/>
  <c r="Q554"/>
  <c r="Q682"/>
  <c r="Q744"/>
  <c r="Q679"/>
  <c r="Q1033"/>
  <c r="Q776"/>
  <c r="Q970"/>
  <c r="Q939"/>
  <c r="Q1032"/>
  <c r="Q935"/>
  <c r="Q904"/>
  <c r="Q1035"/>
  <c r="Q839"/>
  <c r="Q1001"/>
  <c r="Q714"/>
  <c r="Q619"/>
  <c r="Q746"/>
  <c r="Q647"/>
  <c r="Q551"/>
  <c r="Q906"/>
  <c r="Q683"/>
  <c r="Q747"/>
  <c r="Q874"/>
  <c r="Q775"/>
  <c r="Q680"/>
  <c r="Q1034"/>
  <c r="Q552"/>
  <c r="Q872"/>
  <c r="Q584"/>
  <c r="Q1031"/>
  <c r="Q779"/>
  <c r="Q1002"/>
  <c r="Q617"/>
  <c r="Q626"/>
  <c r="Q750"/>
  <c r="Q762"/>
  <c r="Q763"/>
  <c r="Q1007"/>
  <c r="Q817"/>
  <c r="Q655"/>
  <c r="Q913"/>
  <c r="Q721"/>
  <c r="Q792"/>
  <c r="Q695"/>
  <c r="Q883"/>
  <c r="Q953"/>
  <c r="Q730"/>
  <c r="Q719"/>
  <c r="Q858"/>
  <c r="Q570"/>
  <c r="Q921"/>
  <c r="Q827"/>
  <c r="Q748"/>
  <c r="Q761"/>
  <c r="Q908"/>
  <c r="Q947"/>
  <c r="Q972"/>
  <c r="Q691"/>
  <c r="Q627"/>
  <c r="Q686"/>
  <c r="Q749"/>
  <c r="Q1019"/>
  <c r="Q717"/>
  <c r="Q826"/>
  <c r="Q754"/>
  <c r="Q812"/>
  <c r="Q1042"/>
  <c r="Q556"/>
  <c r="Q603"/>
  <c r="Q985"/>
  <c r="Q755"/>
  <c r="Q759"/>
  <c r="Q595"/>
  <c r="Q685"/>
  <c r="Q986"/>
  <c r="Q845"/>
  <c r="Q857"/>
  <c r="Q793"/>
  <c r="Q729"/>
  <c r="Q689"/>
  <c r="Q974"/>
  <c r="Q944"/>
  <c r="Q855"/>
  <c r="Q794"/>
  <c r="Q876"/>
  <c r="Q1005"/>
  <c r="Q590"/>
  <c r="Q620"/>
  <c r="Q720"/>
  <c r="Q942"/>
  <c r="Q1047"/>
  <c r="Q602"/>
  <c r="Q591"/>
  <c r="Q1050"/>
  <c r="Q1010"/>
  <c r="Q978"/>
  <c r="Q975"/>
  <c r="Q690"/>
  <c r="Q785"/>
  <c r="Q622"/>
  <c r="Q728"/>
  <c r="Q624"/>
  <c r="Q688"/>
  <c r="Q633"/>
  <c r="Q1015"/>
  <c r="Q760"/>
  <c r="Q599"/>
  <c r="Q1049"/>
  <c r="Q814"/>
  <c r="Q882"/>
  <c r="Q727"/>
  <c r="Q848"/>
  <c r="Q634"/>
  <c r="Q1041"/>
  <c r="Q847"/>
  <c r="Q594"/>
  <c r="Q563"/>
  <c r="Q601"/>
  <c r="Q786"/>
  <c r="Q952"/>
  <c r="Q722"/>
  <c r="Q849"/>
  <c r="Q1036"/>
  <c r="Q589"/>
  <c r="Q1051"/>
  <c r="Q910"/>
  <c r="Q663"/>
  <c r="Q987"/>
  <c r="Q696"/>
  <c r="Q1016"/>
  <c r="Q943"/>
  <c r="Q1004"/>
  <c r="Q846"/>
  <c r="Q941"/>
  <c r="Q851"/>
  <c r="Q791"/>
  <c r="Q569"/>
  <c r="Q881"/>
  <c r="Q973"/>
  <c r="Q559"/>
  <c r="Q560"/>
  <c r="Q816"/>
  <c r="Q920"/>
  <c r="Q951"/>
  <c r="Q723"/>
  <c r="Q850"/>
  <c r="Q782"/>
  <c r="Q890"/>
  <c r="Q731"/>
  <c r="Q632"/>
  <c r="Q592"/>
  <c r="Q1039"/>
  <c r="Q859"/>
  <c r="Q784"/>
  <c r="Q684"/>
  <c r="Q815"/>
  <c r="Q562"/>
  <c r="Q665"/>
  <c r="Q889"/>
  <c r="Q940"/>
  <c r="Q914"/>
  <c r="Q1037"/>
  <c r="Q919"/>
  <c r="Q976"/>
  <c r="Q571"/>
  <c r="Q891"/>
  <c r="Q752"/>
  <c r="Q977"/>
  <c r="Q955"/>
  <c r="Q716"/>
  <c r="Q818"/>
  <c r="Q567"/>
  <c r="Q915"/>
  <c r="Q888"/>
  <c r="Q653"/>
  <c r="Q1043"/>
  <c r="Q856"/>
  <c r="Q621"/>
  <c r="Q984"/>
  <c r="Q667"/>
  <c r="Q844"/>
  <c r="Q718"/>
  <c r="Q1018"/>
  <c r="Q983"/>
  <c r="Q877"/>
  <c r="Q880"/>
  <c r="Q751"/>
  <c r="Q699"/>
  <c r="Q1048"/>
  <c r="Q657"/>
  <c r="Q1038"/>
  <c r="Q878"/>
  <c r="Q659"/>
  <c r="Q1040"/>
  <c r="Q666"/>
  <c r="Q979"/>
  <c r="Q557"/>
  <c r="Q593"/>
  <c r="Q1006"/>
  <c r="Q823"/>
  <c r="Q558"/>
  <c r="Q656"/>
  <c r="Q568"/>
  <c r="Q635"/>
  <c r="Q819"/>
  <c r="Q623"/>
  <c r="Q781"/>
  <c r="Q912"/>
  <c r="Q664"/>
  <c r="Q909"/>
  <c r="Q1011"/>
  <c r="Q652"/>
  <c r="Q787"/>
  <c r="Q1017"/>
  <c r="Q954"/>
  <c r="Q600"/>
  <c r="Q561"/>
  <c r="Q780"/>
  <c r="Q753"/>
  <c r="Q631"/>
  <c r="Q813"/>
  <c r="Q879"/>
  <c r="Q1009"/>
  <c r="Q945"/>
  <c r="Q1008"/>
  <c r="Q658"/>
  <c r="Q887"/>
  <c r="Q588"/>
  <c r="Q783"/>
  <c r="Q795"/>
  <c r="Q922"/>
  <c r="Q824"/>
  <c r="Q825"/>
  <c r="Q698"/>
  <c r="Q697"/>
  <c r="Q923"/>
  <c r="Q687"/>
  <c r="Q946"/>
  <c r="Q654"/>
  <c r="Q625"/>
  <c r="Q911"/>
  <c r="Q963"/>
  <c r="O1002"/>
  <c r="P748"/>
  <c r="Q918"/>
  <c r="Q962"/>
  <c r="Q607"/>
  <c r="O810"/>
  <c r="Q790"/>
  <c r="Q829"/>
  <c r="Q768"/>
  <c r="Q576"/>
  <c r="P1004"/>
  <c r="O650"/>
  <c r="P843"/>
  <c r="Q1024"/>
  <c r="P716"/>
  <c r="O1033"/>
  <c r="Q700"/>
  <c r="Q897"/>
  <c r="O554"/>
  <c r="P743"/>
  <c r="P968"/>
  <c r="Q706"/>
  <c r="P809"/>
  <c r="Q609"/>
  <c r="O586"/>
  <c r="O777"/>
  <c r="O615"/>
  <c r="O936"/>
  <c r="O651"/>
  <c r="Q928"/>
  <c r="Q994"/>
  <c r="P871"/>
  <c r="Q1053"/>
  <c r="P584"/>
  <c r="Q864"/>
  <c r="Q949"/>
  <c r="Q610"/>
  <c r="Q924"/>
  <c r="Q767"/>
  <c r="Q835"/>
  <c r="Q854"/>
  <c r="Q801"/>
  <c r="O715"/>
  <c r="O938"/>
  <c r="Q991"/>
  <c r="P684"/>
  <c r="Q884"/>
  <c r="O555"/>
  <c r="Q993"/>
  <c r="P650"/>
  <c r="P583"/>
  <c r="Q1058"/>
  <c r="P969"/>
  <c r="P679"/>
  <c r="Q766"/>
  <c r="O683"/>
  <c r="O903"/>
  <c r="O935"/>
  <c r="Q572"/>
  <c r="O843"/>
  <c r="Q704"/>
  <c r="Q828"/>
  <c r="Q865"/>
  <c r="Q990"/>
  <c r="Q981"/>
  <c r="P810"/>
  <c r="O971"/>
  <c r="Q861"/>
  <c r="Q694"/>
  <c r="P714"/>
  <c r="P1001"/>
  <c r="P967"/>
  <c r="R967" s="1"/>
  <c r="P619"/>
  <c r="Q638"/>
  <c r="P649"/>
  <c r="Q565"/>
  <c r="P844"/>
  <c r="P556"/>
  <c r="P551"/>
  <c r="O619"/>
  <c r="P554"/>
  <c r="Q1013"/>
  <c r="Q707"/>
  <c r="Q960"/>
  <c r="Q830"/>
  <c r="Q737"/>
  <c r="O875"/>
  <c r="Q736"/>
  <c r="Q596"/>
  <c r="Q853"/>
  <c r="P776"/>
  <c r="P711"/>
  <c r="P745"/>
  <c r="O775"/>
  <c r="P712"/>
  <c r="O967"/>
  <c r="O1034"/>
  <c r="Q798"/>
  <c r="Q672"/>
  <c r="P1036"/>
  <c r="O552"/>
  <c r="P616"/>
  <c r="R616" s="1"/>
  <c r="P1034"/>
  <c r="Q641"/>
  <c r="P744"/>
  <c r="R744" s="1"/>
  <c r="P971"/>
  <c r="O744"/>
  <c r="Q959"/>
  <c r="Q822"/>
  <c r="Q867"/>
  <c r="O743"/>
  <c r="Q734"/>
  <c r="P648"/>
  <c r="Q564"/>
  <c r="O776"/>
  <c r="Q573"/>
  <c r="Q771"/>
  <c r="P940"/>
  <c r="O680"/>
  <c r="P682"/>
  <c r="R682" s="1"/>
  <c r="O649"/>
  <c r="Q578"/>
  <c r="O1000"/>
  <c r="Q799"/>
  <c r="O778"/>
  <c r="Q732"/>
  <c r="Q705"/>
  <c r="Q886"/>
  <c r="O1003"/>
  <c r="Q661"/>
  <c r="O779"/>
  <c r="Q566"/>
  <c r="P780"/>
  <c r="O713"/>
  <c r="Q662"/>
  <c r="Q1020"/>
  <c r="P807"/>
  <c r="Q989"/>
  <c r="Q575"/>
  <c r="O1035"/>
  <c r="P972"/>
  <c r="O873"/>
  <c r="P937"/>
  <c r="Q669"/>
  <c r="O648"/>
  <c r="O905"/>
  <c r="O712"/>
  <c r="P908"/>
  <c r="O551"/>
  <c r="O999"/>
  <c r="Q642"/>
  <c r="P939"/>
  <c r="Q758"/>
  <c r="P618"/>
  <c r="P808"/>
  <c r="Q930"/>
  <c r="Q660"/>
  <c r="Q637"/>
  <c r="Q703"/>
  <c r="O969"/>
  <c r="Q692"/>
  <c r="Q893"/>
  <c r="O553"/>
  <c r="O807"/>
  <c r="P839"/>
  <c r="P907"/>
  <c r="Q738"/>
  <c r="Q899"/>
  <c r="P1000"/>
  <c r="Q1023"/>
  <c r="Q950"/>
  <c r="P875"/>
  <c r="P586"/>
  <c r="O871"/>
  <c r="Q668"/>
  <c r="Q757"/>
  <c r="Q579"/>
  <c r="P555"/>
  <c r="O1032"/>
  <c r="P652"/>
  <c r="O970"/>
  <c r="Q896"/>
  <c r="Q630"/>
  <c r="P779"/>
  <c r="Q574"/>
  <c r="Q925"/>
  <c r="O1001"/>
  <c r="Q701"/>
  <c r="O937"/>
  <c r="O679"/>
  <c r="P935"/>
  <c r="Q1012"/>
  <c r="Q770"/>
  <c r="Q636"/>
  <c r="Q1044"/>
  <c r="Q852"/>
  <c r="P778"/>
  <c r="P841"/>
  <c r="P936"/>
  <c r="Q643"/>
  <c r="P811"/>
  <c r="Q916"/>
  <c r="Q957"/>
  <c r="Q803"/>
  <c r="O714"/>
  <c r="P775"/>
  <c r="P1035"/>
  <c r="O682"/>
  <c r="Q611"/>
  <c r="Q1052"/>
  <c r="O842"/>
  <c r="Q1054"/>
  <c r="Q733"/>
  <c r="O904"/>
  <c r="P588"/>
  <c r="Q995"/>
  <c r="Q674"/>
  <c r="Q885"/>
  <c r="P1031"/>
  <c r="O874"/>
  <c r="O618"/>
  <c r="Q1021"/>
  <c r="Q898"/>
  <c r="P680"/>
  <c r="P1003"/>
  <c r="Q735"/>
  <c r="Q862"/>
  <c r="O1031"/>
  <c r="Q866"/>
  <c r="O840"/>
  <c r="Q956"/>
  <c r="Q598"/>
  <c r="P938"/>
  <c r="Q1022"/>
  <c r="Q675"/>
  <c r="P587"/>
  <c r="Q1055"/>
  <c r="Q832"/>
  <c r="P747"/>
  <c r="Q980"/>
  <c r="O939"/>
  <c r="P842"/>
  <c r="P906"/>
  <c r="Q1027"/>
  <c r="Q917"/>
  <c r="O906"/>
  <c r="P553"/>
  <c r="Q769"/>
  <c r="O811"/>
  <c r="P651"/>
  <c r="R651" s="1"/>
  <c r="Q1014"/>
  <c r="Q702"/>
  <c r="O968"/>
  <c r="Q802"/>
  <c r="P620"/>
  <c r="Q764"/>
  <c r="Q992"/>
  <c r="Q931"/>
  <c r="Q894"/>
  <c r="Q833"/>
  <c r="O745"/>
  <c r="P552"/>
  <c r="Q629"/>
  <c r="Q831"/>
  <c r="P617"/>
  <c r="P872"/>
  <c r="R872" s="1"/>
  <c r="P1032"/>
  <c r="O809"/>
  <c r="P873"/>
  <c r="Q639"/>
  <c r="O617"/>
  <c r="Q926"/>
  <c r="P840"/>
  <c r="Q739"/>
  <c r="Q948"/>
  <c r="Q1026"/>
  <c r="O872"/>
  <c r="Q1057"/>
  <c r="P585"/>
  <c r="P903"/>
  <c r="P746"/>
  <c r="O839"/>
  <c r="Q1056"/>
  <c r="O746"/>
  <c r="Q756"/>
  <c r="P970"/>
  <c r="O587"/>
  <c r="O711"/>
  <c r="P713"/>
  <c r="O808"/>
  <c r="Q982"/>
  <c r="Q1025"/>
  <c r="P1002"/>
  <c r="Q789"/>
  <c r="Q640"/>
  <c r="O907"/>
  <c r="Q671"/>
  <c r="P777"/>
  <c r="Q605"/>
  <c r="O584"/>
  <c r="Q788"/>
  <c r="Q724"/>
  <c r="Q988"/>
  <c r="P1033"/>
  <c r="Q860"/>
  <c r="Q673"/>
  <c r="Q628"/>
  <c r="P647"/>
  <c r="P615"/>
  <c r="P874"/>
  <c r="Q1045"/>
  <c r="O841"/>
  <c r="P905"/>
  <c r="R905" s="1"/>
  <c r="Q800"/>
  <c r="Q577"/>
  <c r="Q606"/>
  <c r="P683"/>
  <c r="Q797"/>
  <c r="O747"/>
  <c r="Q608"/>
  <c r="Q597"/>
  <c r="P876"/>
  <c r="Q796"/>
  <c r="Q834"/>
  <c r="Q765"/>
  <c r="Q1059"/>
  <c r="Q604"/>
  <c r="O681"/>
  <c r="Q820"/>
  <c r="Q1046"/>
  <c r="Q892"/>
  <c r="P681"/>
  <c r="Q670"/>
  <c r="P904"/>
  <c r="P812"/>
  <c r="O583"/>
  <c r="P715"/>
  <c r="O585"/>
  <c r="Q929"/>
  <c r="O647"/>
  <c r="Q895"/>
  <c r="Q927"/>
  <c r="Q821"/>
  <c r="P999"/>
  <c r="Q863"/>
  <c r="O616"/>
  <c r="Q958"/>
  <c r="Q961"/>
  <c r="Q693"/>
  <c r="Q726"/>
  <c r="Q725"/>
  <c r="P572"/>
  <c r="P792"/>
  <c r="R792" s="1"/>
  <c r="O857"/>
  <c r="O748"/>
  <c r="Q742"/>
  <c r="O974"/>
  <c r="O601"/>
  <c r="P634"/>
  <c r="P762"/>
  <c r="P668"/>
  <c r="O888"/>
  <c r="P977"/>
  <c r="O1007"/>
  <c r="Q774"/>
  <c r="O751"/>
  <c r="P877"/>
  <c r="O1015"/>
  <c r="P1015"/>
  <c r="P722"/>
  <c r="O631"/>
  <c r="P1040"/>
  <c r="P699"/>
  <c r="P764"/>
  <c r="O812"/>
  <c r="P849"/>
  <c r="R849" s="1"/>
  <c r="P666"/>
  <c r="R666" s="1"/>
  <c r="O695"/>
  <c r="P914"/>
  <c r="P882"/>
  <c r="P980"/>
  <c r="O952"/>
  <c r="P688"/>
  <c r="O1042"/>
  <c r="P599"/>
  <c r="O623"/>
  <c r="O749"/>
  <c r="P782"/>
  <c r="O817"/>
  <c r="O824"/>
  <c r="O878"/>
  <c r="O561"/>
  <c r="O716"/>
  <c r="Q678"/>
  <c r="P891"/>
  <c r="O723"/>
  <c r="O787"/>
  <c r="P921"/>
  <c r="O690"/>
  <c r="P1010"/>
  <c r="P686"/>
  <c r="O761"/>
  <c r="P795"/>
  <c r="O846"/>
  <c r="P665"/>
  <c r="O691"/>
  <c r="O909"/>
  <c r="P823"/>
  <c r="O699"/>
  <c r="O791"/>
  <c r="O635"/>
  <c r="P945"/>
  <c r="P659"/>
  <c r="P728"/>
  <c r="O816"/>
  <c r="Q676"/>
  <c r="P793"/>
  <c r="P892"/>
  <c r="O730"/>
  <c r="Q1060"/>
  <c r="P729"/>
  <c r="P912"/>
  <c r="O908"/>
  <c r="O569"/>
  <c r="P660"/>
  <c r="P594"/>
  <c r="R594" s="1"/>
  <c r="O889"/>
  <c r="P730"/>
  <c r="P636"/>
  <c r="P855"/>
  <c r="P717"/>
  <c r="O818"/>
  <c r="P788"/>
  <c r="O793"/>
  <c r="O856"/>
  <c r="P881"/>
  <c r="O987"/>
  <c r="O986"/>
  <c r="Q580"/>
  <c r="P560"/>
  <c r="P657"/>
  <c r="O556"/>
  <c r="P1005"/>
  <c r="P954"/>
  <c r="P827"/>
  <c r="Q1061"/>
  <c r="O571"/>
  <c r="P924"/>
  <c r="Q870"/>
  <c r="O943"/>
  <c r="O1004"/>
  <c r="P916"/>
  <c r="O600"/>
  <c r="O921"/>
  <c r="Q966"/>
  <c r="P691"/>
  <c r="R691" s="1"/>
  <c r="P727"/>
  <c r="P973"/>
  <c r="O879"/>
  <c r="P561"/>
  <c r="O622"/>
  <c r="P731"/>
  <c r="P667"/>
  <c r="O759"/>
  <c r="Q838"/>
  <c r="O627"/>
  <c r="P858"/>
  <c r="O887"/>
  <c r="P974"/>
  <c r="P1017"/>
  <c r="P1020"/>
  <c r="O876"/>
  <c r="P922"/>
  <c r="O721"/>
  <c r="P562"/>
  <c r="R562" s="1"/>
  <c r="O567"/>
  <c r="O983"/>
  <c r="O624"/>
  <c r="O755"/>
  <c r="O1008"/>
  <c r="P1048"/>
  <c r="Q644"/>
  <c r="O984"/>
  <c r="P622"/>
  <c r="O819"/>
  <c r="O890"/>
  <c r="P700"/>
  <c r="P1011"/>
  <c r="P627"/>
  <c r="R627" s="1"/>
  <c r="Q933"/>
  <c r="O823"/>
  <c r="P983"/>
  <c r="P621"/>
  <c r="P825"/>
  <c r="P909"/>
  <c r="P751"/>
  <c r="O589"/>
  <c r="O973"/>
  <c r="Q869"/>
  <c r="O792"/>
  <c r="Q900"/>
  <c r="P761"/>
  <c r="O877"/>
  <c r="P883"/>
  <c r="O731"/>
  <c r="Q582"/>
  <c r="O786"/>
  <c r="Q996"/>
  <c r="O955"/>
  <c r="Q836"/>
  <c r="Q708"/>
  <c r="P986"/>
  <c r="O1048"/>
  <c r="P690"/>
  <c r="P1007"/>
  <c r="O813"/>
  <c r="Q805"/>
  <c r="P944"/>
  <c r="P817"/>
  <c r="O687"/>
  <c r="P781"/>
  <c r="P794"/>
  <c r="R794" s="1"/>
  <c r="P1049"/>
  <c r="O1009"/>
  <c r="O1018"/>
  <c r="P857"/>
  <c r="P819"/>
  <c r="Q998"/>
  <c r="O1038"/>
  <c r="O626"/>
  <c r="P820"/>
  <c r="O1010"/>
  <c r="O655"/>
  <c r="O781"/>
  <c r="P814"/>
  <c r="P828"/>
  <c r="P847"/>
  <c r="R847" s="1"/>
  <c r="P889"/>
  <c r="Q613"/>
  <c r="O719"/>
  <c r="O947"/>
  <c r="O945"/>
  <c r="P890"/>
  <c r="P987"/>
  <c r="P568"/>
  <c r="R568" s="1"/>
  <c r="P571"/>
  <c r="P623"/>
  <c r="O634"/>
  <c r="P824"/>
  <c r="O859"/>
  <c r="O881"/>
  <c r="P859"/>
  <c r="O914"/>
  <c r="Q709"/>
  <c r="O727"/>
  <c r="P1043"/>
  <c r="P602"/>
  <c r="P826"/>
  <c r="R826" s="1"/>
  <c r="O1050"/>
  <c r="O728"/>
  <c r="P760"/>
  <c r="O795"/>
  <c r="O825"/>
  <c r="O844"/>
  <c r="O882"/>
  <c r="Q581"/>
  <c r="O718"/>
  <c r="P1016"/>
  <c r="R1016" s="1"/>
  <c r="P975"/>
  <c r="P592"/>
  <c r="P1052"/>
  <c r="O827"/>
  <c r="O652"/>
  <c r="O783"/>
  <c r="P1009"/>
  <c r="P635"/>
  <c r="O784"/>
  <c r="O972"/>
  <c r="O688"/>
  <c r="P718"/>
  <c r="R718" s="1"/>
  <c r="P856"/>
  <c r="P941"/>
  <c r="Q932"/>
  <c r="O762"/>
  <c r="O658"/>
  <c r="P1006"/>
  <c r="Q901"/>
  <c r="Q614"/>
  <c r="P848"/>
  <c r="P879"/>
  <c r="O729"/>
  <c r="P1038"/>
  <c r="P624"/>
  <c r="P887"/>
  <c r="P1039"/>
  <c r="P923"/>
  <c r="O698"/>
  <c r="O568"/>
  <c r="O717"/>
  <c r="P1012"/>
  <c r="R1012" s="1"/>
  <c r="Q997"/>
  <c r="P724"/>
  <c r="O780"/>
  <c r="O685"/>
  <c r="O815"/>
  <c r="P1041"/>
  <c r="O603"/>
  <c r="P985"/>
  <c r="P948"/>
  <c r="O912"/>
  <c r="Q965"/>
  <c r="Q772"/>
  <c r="P570"/>
  <c r="O1011"/>
  <c r="O663"/>
  <c r="O920"/>
  <c r="P988"/>
  <c r="P750"/>
  <c r="P1044"/>
  <c r="O940"/>
  <c r="P878"/>
  <c r="O911"/>
  <c r="P951"/>
  <c r="P596"/>
  <c r="O785"/>
  <c r="O850"/>
  <c r="O696"/>
  <c r="P1018"/>
  <c r="P696"/>
  <c r="P785"/>
  <c r="P664"/>
  <c r="P947"/>
  <c r="P595"/>
  <c r="P563"/>
  <c r="O782"/>
  <c r="P946"/>
  <c r="R946" s="1"/>
  <c r="P818"/>
  <c r="P604"/>
  <c r="O855"/>
  <c r="Q934"/>
  <c r="O633"/>
  <c r="O849"/>
  <c r="Q645"/>
  <c r="P687"/>
  <c r="O750"/>
  <c r="O654"/>
  <c r="P913"/>
  <c r="Q902"/>
  <c r="O632"/>
  <c r="P1050"/>
  <c r="O558"/>
  <c r="O722"/>
  <c r="O1019"/>
  <c r="O1040"/>
  <c r="O697"/>
  <c r="P952"/>
  <c r="P796"/>
  <c r="P654"/>
  <c r="P1019"/>
  <c r="P632"/>
  <c r="R632" s="1"/>
  <c r="P910"/>
  <c r="Q773"/>
  <c r="P1047"/>
  <c r="P653"/>
  <c r="Q806"/>
  <c r="Q1028"/>
  <c r="O1016"/>
  <c r="P631"/>
  <c r="O591"/>
  <c r="P753"/>
  <c r="P625"/>
  <c r="P851"/>
  <c r="P852"/>
  <c r="O910"/>
  <c r="O923"/>
  <c r="O951"/>
  <c r="P658"/>
  <c r="O659"/>
  <c r="O1049"/>
  <c r="P600"/>
  <c r="Q837"/>
  <c r="P591"/>
  <c r="P695"/>
  <c r="O858"/>
  <c r="O1051"/>
  <c r="P749"/>
  <c r="P920"/>
  <c r="P911"/>
  <c r="O563"/>
  <c r="O593"/>
  <c r="P692"/>
  <c r="Q804"/>
  <c r="P558"/>
  <c r="P763"/>
  <c r="P813"/>
  <c r="P656"/>
  <c r="R656" s="1"/>
  <c r="O684"/>
  <c r="P754"/>
  <c r="Q710"/>
  <c r="R710" s="1"/>
  <c r="S710" s="1"/>
  <c r="O1017"/>
  <c r="P919"/>
  <c r="O1006"/>
  <c r="Q1029"/>
  <c r="P589"/>
  <c r="O599"/>
  <c r="P978"/>
  <c r="Q1030"/>
  <c r="O753"/>
  <c r="P791"/>
  <c r="O826"/>
  <c r="P663"/>
  <c r="O689"/>
  <c r="P816"/>
  <c r="P787"/>
  <c r="O664"/>
  <c r="P984"/>
  <c r="P845"/>
  <c r="O620"/>
  <c r="Q646"/>
  <c r="P732"/>
  <c r="P1051"/>
  <c r="O760"/>
  <c r="O794"/>
  <c r="P655"/>
  <c r="O667"/>
  <c r="P976"/>
  <c r="O752"/>
  <c r="O653"/>
  <c r="P884"/>
  <c r="P846"/>
  <c r="Q740"/>
  <c r="P888"/>
  <c r="R888" s="1"/>
  <c r="O625"/>
  <c r="P942"/>
  <c r="O666"/>
  <c r="O891"/>
  <c r="O880"/>
  <c r="Q741"/>
  <c r="O979"/>
  <c r="O1036"/>
  <c r="P633"/>
  <c r="O953"/>
  <c r="O954"/>
  <c r="O592"/>
  <c r="P860"/>
  <c r="R860" s="1"/>
  <c r="P759"/>
  <c r="O883"/>
  <c r="O922"/>
  <c r="P719"/>
  <c r="P685"/>
  <c r="P783"/>
  <c r="O946"/>
  <c r="P955"/>
  <c r="O1041"/>
  <c r="O562"/>
  <c r="P723"/>
  <c r="P915"/>
  <c r="O595"/>
  <c r="Q868"/>
  <c r="O814"/>
  <c r="O847"/>
  <c r="P943"/>
  <c r="P593"/>
  <c r="O845"/>
  <c r="P628"/>
  <c r="O985"/>
  <c r="O978"/>
  <c r="O594"/>
  <c r="P698"/>
  <c r="P564"/>
  <c r="P601"/>
  <c r="P626"/>
  <c r="O570"/>
  <c r="O941"/>
  <c r="P1037"/>
  <c r="P1042"/>
  <c r="P815"/>
  <c r="O1039"/>
  <c r="O976"/>
  <c r="P603"/>
  <c r="O763"/>
  <c r="P979"/>
  <c r="P850"/>
  <c r="P557"/>
  <c r="O621"/>
  <c r="P752"/>
  <c r="Q677"/>
  <c r="P956"/>
  <c r="O915"/>
  <c r="O686"/>
  <c r="Q964"/>
  <c r="O560"/>
  <c r="O919"/>
  <c r="O557"/>
  <c r="O559"/>
  <c r="P697"/>
  <c r="Q612"/>
  <c r="P569"/>
  <c r="P784"/>
  <c r="O848"/>
  <c r="O720"/>
  <c r="O975"/>
  <c r="P689"/>
  <c r="P786"/>
  <c r="P756"/>
  <c r="Q1062"/>
  <c r="P567"/>
  <c r="O851"/>
  <c r="O944"/>
  <c r="O977"/>
  <c r="P880"/>
  <c r="P590"/>
  <c r="O590"/>
  <c r="P559"/>
  <c r="P1008"/>
  <c r="O1047"/>
  <c r="O1037"/>
  <c r="P721"/>
  <c r="O657"/>
  <c r="O913"/>
  <c r="O942"/>
  <c r="O588"/>
  <c r="O1043"/>
  <c r="P755"/>
  <c r="O665"/>
  <c r="O602"/>
  <c r="P720"/>
  <c r="O1005"/>
  <c r="O754"/>
  <c r="O656"/>
  <c r="P953"/>
  <c r="O609"/>
  <c r="O770"/>
  <c r="O926"/>
  <c r="P836"/>
  <c r="O925"/>
  <c r="P982"/>
  <c r="O992"/>
  <c r="P578"/>
  <c r="O796"/>
  <c r="P898"/>
  <c r="P900"/>
  <c r="P575"/>
  <c r="O771"/>
  <c r="P962"/>
  <c r="P963"/>
  <c r="P637"/>
  <c r="P994"/>
  <c r="O980"/>
  <c r="P638"/>
  <c r="R638" s="1"/>
  <c r="P609"/>
  <c r="P1060"/>
  <c r="P733"/>
  <c r="O949"/>
  <c r="P964"/>
  <c r="O764"/>
  <c r="P693"/>
  <c r="O726"/>
  <c r="O917"/>
  <c r="P992"/>
  <c r="O892"/>
  <c r="P833"/>
  <c r="O598"/>
  <c r="O995"/>
  <c r="O801"/>
  <c r="P704"/>
  <c r="O1046"/>
  <c r="O700"/>
  <c r="O1025"/>
  <c r="P804"/>
  <c r="P566"/>
  <c r="O1054"/>
  <c r="O701"/>
  <c r="P597"/>
  <c r="O886"/>
  <c r="O566"/>
  <c r="O957"/>
  <c r="P1028"/>
  <c r="P862"/>
  <c r="P863"/>
  <c r="P925"/>
  <c r="O640"/>
  <c r="P799"/>
  <c r="O800"/>
  <c r="O766"/>
  <c r="O924"/>
  <c r="O834"/>
  <c r="P981"/>
  <c r="P670"/>
  <c r="O596"/>
  <c r="P831"/>
  <c r="O692"/>
  <c r="O916"/>
  <c r="O607"/>
  <c r="O1044"/>
  <c r="O669"/>
  <c r="O863"/>
  <c r="O574"/>
  <c r="P866"/>
  <c r="P1025"/>
  <c r="O963"/>
  <c r="O950"/>
  <c r="O608"/>
  <c r="P705"/>
  <c r="O898"/>
  <c r="P854"/>
  <c r="P771"/>
  <c r="P830"/>
  <c r="O636"/>
  <c r="P734"/>
  <c r="O693"/>
  <c r="O896"/>
  <c r="P853"/>
  <c r="O1045"/>
  <c r="O854"/>
  <c r="O1058"/>
  <c r="P895"/>
  <c r="P832"/>
  <c r="O958"/>
  <c r="O674"/>
  <c r="O1026"/>
  <c r="P896"/>
  <c r="P918"/>
  <c r="O660"/>
  <c r="O897"/>
  <c r="O706"/>
  <c r="P694"/>
  <c r="P612"/>
  <c r="P959"/>
  <c r="O630"/>
  <c r="P1014"/>
  <c r="O865"/>
  <c r="P662"/>
  <c r="P611"/>
  <c r="O732"/>
  <c r="O768"/>
  <c r="O988"/>
  <c r="O1023"/>
  <c r="O982"/>
  <c r="P740"/>
  <c r="P894"/>
  <c r="P642"/>
  <c r="O930"/>
  <c r="O820"/>
  <c r="O564"/>
  <c r="P927"/>
  <c r="P800"/>
  <c r="O661"/>
  <c r="P671"/>
  <c r="O1013"/>
  <c r="O1024"/>
  <c r="O767"/>
  <c r="O798"/>
  <c r="O821"/>
  <c r="O668"/>
  <c r="P676"/>
  <c r="O990"/>
  <c r="P580"/>
  <c r="P703"/>
  <c r="P993"/>
  <c r="P565"/>
  <c r="O981"/>
  <c r="O830"/>
  <c r="O597"/>
  <c r="O789"/>
  <c r="P950"/>
  <c r="P803"/>
  <c r="P769"/>
  <c r="O739"/>
  <c r="O927"/>
  <c r="P790"/>
  <c r="P931"/>
  <c r="P885"/>
  <c r="P610"/>
  <c r="O611"/>
  <c r="P726"/>
  <c r="O929"/>
  <c r="P737"/>
  <c r="P577"/>
  <c r="R577" s="1"/>
  <c r="O724"/>
  <c r="P1022"/>
  <c r="P932"/>
  <c r="O756"/>
  <c r="P579"/>
  <c r="O725"/>
  <c r="O758"/>
  <c r="O993"/>
  <c r="P758"/>
  <c r="O628"/>
  <c r="P701"/>
  <c r="O866"/>
  <c r="O918"/>
  <c r="P864"/>
  <c r="P821"/>
  <c r="P991"/>
  <c r="O765"/>
  <c r="P765"/>
  <c r="O1059"/>
  <c r="O738"/>
  <c r="O641"/>
  <c r="O931"/>
  <c r="P957"/>
  <c r="O989"/>
  <c r="O670"/>
  <c r="O822"/>
  <c r="P960"/>
  <c r="P702"/>
  <c r="O831"/>
  <c r="P861"/>
  <c r="O959"/>
  <c r="P674"/>
  <c r="O852"/>
  <c r="O861"/>
  <c r="O802"/>
  <c r="O797"/>
  <c r="P1023"/>
  <c r="O707"/>
  <c r="O835"/>
  <c r="P917"/>
  <c r="P708"/>
  <c r="P1054"/>
  <c r="P630"/>
  <c r="O769"/>
  <c r="O1022"/>
  <c r="P928"/>
  <c r="P598"/>
  <c r="P899"/>
  <c r="P886"/>
  <c r="P834"/>
  <c r="P1046"/>
  <c r="P835"/>
  <c r="P1021"/>
  <c r="O675"/>
  <c r="O884"/>
  <c r="O1020"/>
  <c r="P644"/>
  <c r="O799"/>
  <c r="P573"/>
  <c r="O956"/>
  <c r="O629"/>
  <c r="P822"/>
  <c r="P629"/>
  <c r="O662"/>
  <c r="P641"/>
  <c r="O948"/>
  <c r="O928"/>
  <c r="P767"/>
  <c r="O733"/>
  <c r="O610"/>
  <c r="P1059"/>
  <c r="O673"/>
  <c r="O788"/>
  <c r="O735"/>
  <c r="P995"/>
  <c r="O642"/>
  <c r="O1012"/>
  <c r="O643"/>
  <c r="O606"/>
  <c r="O895"/>
  <c r="O694"/>
  <c r="O565"/>
  <c r="P926"/>
  <c r="P576"/>
  <c r="P789"/>
  <c r="P661"/>
  <c r="O862"/>
  <c r="P1027"/>
  <c r="O1052"/>
  <c r="P706"/>
  <c r="P868"/>
  <c r="O885"/>
  <c r="O864"/>
  <c r="O577"/>
  <c r="O893"/>
  <c r="P867"/>
  <c r="O578"/>
  <c r="O705"/>
  <c r="P735"/>
  <c r="O1014"/>
  <c r="O1027"/>
  <c r="O833"/>
  <c r="P574"/>
  <c r="P1057"/>
  <c r="O702"/>
  <c r="O829"/>
  <c r="P739"/>
  <c r="O832"/>
  <c r="P797"/>
  <c r="O572"/>
  <c r="O991"/>
  <c r="P1055"/>
  <c r="P989"/>
  <c r="P738"/>
  <c r="O671"/>
  <c r="O1021"/>
  <c r="O1056"/>
  <c r="O994"/>
  <c r="P961"/>
  <c r="O672"/>
  <c r="P772"/>
  <c r="P607"/>
  <c r="O704"/>
  <c r="P798"/>
  <c r="P996"/>
  <c r="P725"/>
  <c r="O639"/>
  <c r="P958"/>
  <c r="O576"/>
  <c r="O867"/>
  <c r="P640"/>
  <c r="O1057"/>
  <c r="O737"/>
  <c r="P768"/>
  <c r="P865"/>
  <c r="P736"/>
  <c r="O757"/>
  <c r="P669"/>
  <c r="P829"/>
  <c r="P1045"/>
  <c r="P1058"/>
  <c r="P606"/>
  <c r="O962"/>
  <c r="O853"/>
  <c r="P801"/>
  <c r="O860"/>
  <c r="O575"/>
  <c r="P672"/>
  <c r="P608"/>
  <c r="P802"/>
  <c r="O790"/>
  <c r="O637"/>
  <c r="O638"/>
  <c r="P707"/>
  <c r="O734"/>
  <c r="O960"/>
  <c r="P897"/>
  <c r="P1053"/>
  <c r="R1053" s="1"/>
  <c r="P1024"/>
  <c r="O605"/>
  <c r="P770"/>
  <c r="P605"/>
  <c r="P766"/>
  <c r="O703"/>
  <c r="O736"/>
  <c r="O573"/>
  <c r="O1053"/>
  <c r="O1055"/>
  <c r="P675"/>
  <c r="O579"/>
  <c r="P949"/>
  <c r="P673"/>
  <c r="O803"/>
  <c r="P893"/>
  <c r="P990"/>
  <c r="O894"/>
  <c r="O828"/>
  <c r="O604"/>
  <c r="P930"/>
  <c r="P1026"/>
  <c r="P1056"/>
  <c r="P639"/>
  <c r="P1013"/>
  <c r="R1013" s="1"/>
  <c r="O961"/>
  <c r="P757"/>
  <c r="P929"/>
  <c r="O899"/>
  <c r="P643"/>
  <c r="P677"/>
  <c r="P805"/>
  <c r="O1061"/>
  <c r="O742"/>
  <c r="O804"/>
  <c r="O837"/>
  <c r="P646"/>
  <c r="O709"/>
  <c r="P997"/>
  <c r="O773"/>
  <c r="P709"/>
  <c r="P742"/>
  <c r="O869"/>
  <c r="P998"/>
  <c r="O582"/>
  <c r="O998"/>
  <c r="O772"/>
  <c r="P582"/>
  <c r="O646"/>
  <c r="O932"/>
  <c r="O676"/>
  <c r="P1061"/>
  <c r="P901"/>
  <c r="O1028"/>
  <c r="O613"/>
  <c r="R32" i="42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P177" i="41" s="1"/>
  <c r="E133" i="26"/>
  <c r="E149"/>
  <c r="B203"/>
  <c r="R895" i="41" l="1"/>
  <c r="S895" s="1"/>
  <c r="R664"/>
  <c r="S664" s="1"/>
  <c r="R703"/>
  <c r="S703" s="1"/>
  <c r="U703" s="1"/>
  <c r="R918"/>
  <c r="S918" s="1"/>
  <c r="U918" s="1"/>
  <c r="R1044"/>
  <c r="S1044" s="1"/>
  <c r="R768"/>
  <c r="S768" s="1"/>
  <c r="U768" s="1"/>
  <c r="L15"/>
  <c r="C196" i="26"/>
  <c r="B196"/>
  <c r="C195"/>
  <c r="C201" s="1"/>
  <c r="R599" i="41"/>
  <c r="S599" s="1"/>
  <c r="U599" s="1"/>
  <c r="R608"/>
  <c r="S608" s="1"/>
  <c r="U608" s="1"/>
  <c r="R772"/>
  <c r="S772" s="1"/>
  <c r="R1060"/>
  <c r="S1060" s="1"/>
  <c r="U1060" s="1"/>
  <c r="V1060" s="1"/>
  <c r="R1014"/>
  <c r="S1014" s="1"/>
  <c r="U1014" s="1"/>
  <c r="R607"/>
  <c r="S607" s="1"/>
  <c r="U607" s="1"/>
  <c r="V607" s="1"/>
  <c r="S1012"/>
  <c r="U1012" s="1"/>
  <c r="V1012" s="1"/>
  <c r="R575"/>
  <c r="S575" s="1"/>
  <c r="U575" s="1"/>
  <c r="R912"/>
  <c r="S912" s="1"/>
  <c r="R940"/>
  <c r="S940" s="1"/>
  <c r="U940" s="1"/>
  <c r="R1025"/>
  <c r="S1025" s="1"/>
  <c r="U1025" s="1"/>
  <c r="R958"/>
  <c r="S958" s="1"/>
  <c r="U958" s="1"/>
  <c r="R882"/>
  <c r="S882" s="1"/>
  <c r="U882" s="1"/>
  <c r="R729"/>
  <c r="S729" s="1"/>
  <c r="R964"/>
  <c r="S964" s="1"/>
  <c r="U964" s="1"/>
  <c r="V964" s="1"/>
  <c r="R733"/>
  <c r="S733" s="1"/>
  <c r="R769"/>
  <c r="S769" s="1"/>
  <c r="U769" s="1"/>
  <c r="R564"/>
  <c r="S564" s="1"/>
  <c r="R1008"/>
  <c r="S1008" s="1"/>
  <c r="R1045"/>
  <c r="S1045" s="1"/>
  <c r="R968"/>
  <c r="S968" s="1"/>
  <c r="U968" s="1"/>
  <c r="R711"/>
  <c r="S711" s="1"/>
  <c r="U711" s="1"/>
  <c r="R832"/>
  <c r="S832" s="1"/>
  <c r="U832" s="1"/>
  <c r="R756"/>
  <c r="S756" s="1"/>
  <c r="U756" s="1"/>
  <c r="R765"/>
  <c r="S765" s="1"/>
  <c r="R913"/>
  <c r="S913" s="1"/>
  <c r="R877"/>
  <c r="S877" s="1"/>
  <c r="U877" s="1"/>
  <c r="G63" i="30"/>
  <c r="R634" i="41"/>
  <c r="S634" s="1"/>
  <c r="R775"/>
  <c r="S775" s="1"/>
  <c r="U775" s="1"/>
  <c r="V775" s="1"/>
  <c r="G73" i="30"/>
  <c r="R613" i="41"/>
  <c r="S613" s="1"/>
  <c r="R586"/>
  <c r="S586" s="1"/>
  <c r="R581"/>
  <c r="S581" s="1"/>
  <c r="U581" s="1"/>
  <c r="V581" s="1"/>
  <c r="R993"/>
  <c r="S993" s="1"/>
  <c r="R981"/>
  <c r="S981" s="1"/>
  <c r="R1042"/>
  <c r="S1042" s="1"/>
  <c r="U1042" s="1"/>
  <c r="V1042" s="1"/>
  <c r="R986"/>
  <c r="S986" s="1"/>
  <c r="R751"/>
  <c r="S751" s="1"/>
  <c r="R1011"/>
  <c r="S1011" s="1"/>
  <c r="U1011" s="1"/>
  <c r="R999"/>
  <c r="S999" s="1"/>
  <c r="R579"/>
  <c r="S579" s="1"/>
  <c r="U579" s="1"/>
  <c r="R601"/>
  <c r="S601" s="1"/>
  <c r="U601" s="1"/>
  <c r="R593"/>
  <c r="S593" s="1"/>
  <c r="R1019"/>
  <c r="S1019" s="1"/>
  <c r="U1019" s="1"/>
  <c r="R623"/>
  <c r="S623" s="1"/>
  <c r="R1007"/>
  <c r="S1007" s="1"/>
  <c r="U1007" s="1"/>
  <c r="V1007" s="1"/>
  <c r="R1005"/>
  <c r="S1005" s="1"/>
  <c r="U1005" s="1"/>
  <c r="R891"/>
  <c r="S891" s="1"/>
  <c r="U891" s="1"/>
  <c r="R1031"/>
  <c r="S1031" s="1"/>
  <c r="U1031" s="1"/>
  <c r="R776"/>
  <c r="S776" s="1"/>
  <c r="U776" s="1"/>
  <c r="R767"/>
  <c r="S767" s="1"/>
  <c r="R738"/>
  <c r="S738" s="1"/>
  <c r="U738" s="1"/>
  <c r="V738" s="1"/>
  <c r="R662"/>
  <c r="S662" s="1"/>
  <c r="R558"/>
  <c r="S558" s="1"/>
  <c r="R696"/>
  <c r="S696" s="1"/>
  <c r="R856"/>
  <c r="S856" s="1"/>
  <c r="R974"/>
  <c r="S974" s="1"/>
  <c r="U974" s="1"/>
  <c r="V974" s="1"/>
  <c r="R659"/>
  <c r="S659" s="1"/>
  <c r="R972"/>
  <c r="S972" s="1"/>
  <c r="U972" s="1"/>
  <c r="R843"/>
  <c r="S843" s="1"/>
  <c r="R1027"/>
  <c r="S1027" s="1"/>
  <c r="U1027" s="1"/>
  <c r="R799"/>
  <c r="S799" s="1"/>
  <c r="U799" s="1"/>
  <c r="R795"/>
  <c r="S795" s="1"/>
  <c r="U795" s="1"/>
  <c r="R706"/>
  <c r="S706" s="1"/>
  <c r="U706" s="1"/>
  <c r="V706" s="1"/>
  <c r="R719"/>
  <c r="S719" s="1"/>
  <c r="R633"/>
  <c r="S633" s="1"/>
  <c r="R791"/>
  <c r="S791" s="1"/>
  <c r="R878"/>
  <c r="S878" s="1"/>
  <c r="U878" s="1"/>
  <c r="V878" s="1"/>
  <c r="R848"/>
  <c r="S848" s="1"/>
  <c r="R824"/>
  <c r="S824" s="1"/>
  <c r="U824" s="1"/>
  <c r="V824" s="1"/>
  <c r="R1002"/>
  <c r="S1002" s="1"/>
  <c r="R997"/>
  <c r="S997" s="1"/>
  <c r="R863"/>
  <c r="S863" s="1"/>
  <c r="U863" s="1"/>
  <c r="R596"/>
  <c r="S596" s="1"/>
  <c r="U596" s="1"/>
  <c r="T710"/>
  <c r="U710"/>
  <c r="V710" s="1"/>
  <c r="R614"/>
  <c r="S614" s="1"/>
  <c r="R646"/>
  <c r="S646" s="1"/>
  <c r="R766"/>
  <c r="S766" s="1"/>
  <c r="U766" s="1"/>
  <c r="R837"/>
  <c r="S837" s="1"/>
  <c r="R741"/>
  <c r="S741" s="1"/>
  <c r="U741" s="1"/>
  <c r="R742"/>
  <c r="S742" s="1"/>
  <c r="U742" s="1"/>
  <c r="R1058"/>
  <c r="S1058" s="1"/>
  <c r="R996"/>
  <c r="S996" s="1"/>
  <c r="R985"/>
  <c r="S985" s="1"/>
  <c r="U985" s="1"/>
  <c r="R606"/>
  <c r="S606" s="1"/>
  <c r="R861"/>
  <c r="S861" s="1"/>
  <c r="U861" s="1"/>
  <c r="R565"/>
  <c r="S565" s="1"/>
  <c r="U565" s="1"/>
  <c r="R959"/>
  <c r="S959" s="1"/>
  <c r="R816"/>
  <c r="S816" s="1"/>
  <c r="U816" s="1"/>
  <c r="R852"/>
  <c r="S852" s="1"/>
  <c r="U852" s="1"/>
  <c r="R624"/>
  <c r="S624" s="1"/>
  <c r="U624" s="1"/>
  <c r="R838"/>
  <c r="S838" s="1"/>
  <c r="R657"/>
  <c r="S657" s="1"/>
  <c r="R793"/>
  <c r="S793" s="1"/>
  <c r="R645"/>
  <c r="S645" s="1"/>
  <c r="R695"/>
  <c r="S695" s="1"/>
  <c r="R1052"/>
  <c r="S1052" s="1"/>
  <c r="R1049"/>
  <c r="S1049" s="1"/>
  <c r="U1049" s="1"/>
  <c r="R906"/>
  <c r="S906" s="1"/>
  <c r="U906" s="1"/>
  <c r="R808"/>
  <c r="S808" s="1"/>
  <c r="U808" s="1"/>
  <c r="R1004"/>
  <c r="S1004" s="1"/>
  <c r="R801"/>
  <c r="S801" s="1"/>
  <c r="U801" s="1"/>
  <c r="R989"/>
  <c r="S989" s="1"/>
  <c r="U989" s="1"/>
  <c r="R644"/>
  <c r="S644" s="1"/>
  <c r="R931"/>
  <c r="S931" s="1"/>
  <c r="U931" s="1"/>
  <c r="S888"/>
  <c r="R631"/>
  <c r="S631" s="1"/>
  <c r="R923"/>
  <c r="S923" s="1"/>
  <c r="U923" s="1"/>
  <c r="R622"/>
  <c r="S622" s="1"/>
  <c r="U622" s="1"/>
  <c r="R916"/>
  <c r="S916" s="1"/>
  <c r="U916" s="1"/>
  <c r="R652"/>
  <c r="S652" s="1"/>
  <c r="R933"/>
  <c r="S933" s="1"/>
  <c r="R1022"/>
  <c r="S1022" s="1"/>
  <c r="U1022" s="1"/>
  <c r="R845"/>
  <c r="S845" s="1"/>
  <c r="R602"/>
  <c r="S602" s="1"/>
  <c r="R827"/>
  <c r="S827" s="1"/>
  <c r="R745"/>
  <c r="S745" s="1"/>
  <c r="U745" s="1"/>
  <c r="R869"/>
  <c r="S869" s="1"/>
  <c r="R582"/>
  <c r="S582" s="1"/>
  <c r="R735"/>
  <c r="S735" s="1"/>
  <c r="U735" s="1"/>
  <c r="R979"/>
  <c r="S979" s="1"/>
  <c r="R976"/>
  <c r="S976" s="1"/>
  <c r="U976" s="1"/>
  <c r="R556"/>
  <c r="S556" s="1"/>
  <c r="U556" s="1"/>
  <c r="R679"/>
  <c r="S679" s="1"/>
  <c r="U679" s="1"/>
  <c r="R673"/>
  <c r="S673" s="1"/>
  <c r="R798"/>
  <c r="S798" s="1"/>
  <c r="U798" s="1"/>
  <c r="R576"/>
  <c r="S576" s="1"/>
  <c r="R637"/>
  <c r="S637" s="1"/>
  <c r="R578"/>
  <c r="S578" s="1"/>
  <c r="R567"/>
  <c r="S567" s="1"/>
  <c r="R625"/>
  <c r="S625" s="1"/>
  <c r="U625" s="1"/>
  <c r="R951"/>
  <c r="S951" s="1"/>
  <c r="U951" s="1"/>
  <c r="R890"/>
  <c r="S890" s="1"/>
  <c r="R667"/>
  <c r="S667" s="1"/>
  <c r="U667" s="1"/>
  <c r="R620"/>
  <c r="S620" s="1"/>
  <c r="U620" s="1"/>
  <c r="R588"/>
  <c r="S588" s="1"/>
  <c r="U588" s="1"/>
  <c r="R1035"/>
  <c r="S1035" s="1"/>
  <c r="R809"/>
  <c r="S809" s="1"/>
  <c r="R699"/>
  <c r="S699" s="1"/>
  <c r="U699" s="1"/>
  <c r="R709"/>
  <c r="S709" s="1"/>
  <c r="R1056"/>
  <c r="S1056" s="1"/>
  <c r="R897"/>
  <c r="S897" s="1"/>
  <c r="U897" s="1"/>
  <c r="R797"/>
  <c r="S797" s="1"/>
  <c r="U797" s="1"/>
  <c r="R789"/>
  <c r="S789" s="1"/>
  <c r="U789" s="1"/>
  <c r="R1021"/>
  <c r="S1021" s="1"/>
  <c r="U1021" s="1"/>
  <c r="R1023"/>
  <c r="S1023" s="1"/>
  <c r="R726"/>
  <c r="S726" s="1"/>
  <c r="R557"/>
  <c r="S557" s="1"/>
  <c r="R732"/>
  <c r="S732" s="1"/>
  <c r="U732" s="1"/>
  <c r="R589"/>
  <c r="S589" s="1"/>
  <c r="R600"/>
  <c r="S600" s="1"/>
  <c r="U600" s="1"/>
  <c r="R952"/>
  <c r="S952" s="1"/>
  <c r="R947"/>
  <c r="S947" s="1"/>
  <c r="U947" s="1"/>
  <c r="R635"/>
  <c r="S635" s="1"/>
  <c r="S1016"/>
  <c r="U1016" s="1"/>
  <c r="V1016" s="1"/>
  <c r="R987"/>
  <c r="S987" s="1"/>
  <c r="U987" s="1"/>
  <c r="R828"/>
  <c r="S828" s="1"/>
  <c r="U828" s="1"/>
  <c r="R883"/>
  <c r="S883" s="1"/>
  <c r="S691"/>
  <c r="R924"/>
  <c r="S924" s="1"/>
  <c r="R560"/>
  <c r="S560" s="1"/>
  <c r="U560" s="1"/>
  <c r="R823"/>
  <c r="S823" s="1"/>
  <c r="S849"/>
  <c r="R762"/>
  <c r="S762" s="1"/>
  <c r="U762" s="1"/>
  <c r="R572"/>
  <c r="S572" s="1"/>
  <c r="U572" s="1"/>
  <c r="R1033"/>
  <c r="S1033" s="1"/>
  <c r="R903"/>
  <c r="S903" s="1"/>
  <c r="R939"/>
  <c r="S939" s="1"/>
  <c r="U939" s="1"/>
  <c r="V939" s="1"/>
  <c r="R871"/>
  <c r="S871" s="1"/>
  <c r="R965"/>
  <c r="S965" s="1"/>
  <c r="R800"/>
  <c r="S800" s="1"/>
  <c r="R885"/>
  <c r="S885" s="1"/>
  <c r="U885" s="1"/>
  <c r="R636"/>
  <c r="S636" s="1"/>
  <c r="R739"/>
  <c r="S739" s="1"/>
  <c r="R1046"/>
  <c r="S1046" s="1"/>
  <c r="R1028"/>
  <c r="S1028" s="1"/>
  <c r="R559"/>
  <c r="S559" s="1"/>
  <c r="R893"/>
  <c r="S893" s="1"/>
  <c r="S1053"/>
  <c r="R661"/>
  <c r="S661" s="1"/>
  <c r="U661" s="1"/>
  <c r="R928"/>
  <c r="S928" s="1"/>
  <c r="U928" s="1"/>
  <c r="R864"/>
  <c r="S864" s="1"/>
  <c r="U864" s="1"/>
  <c r="R853"/>
  <c r="S853" s="1"/>
  <c r="R925"/>
  <c r="S925" s="1"/>
  <c r="R815"/>
  <c r="S815" s="1"/>
  <c r="U815" s="1"/>
  <c r="R1051"/>
  <c r="S1051" s="1"/>
  <c r="U1051" s="1"/>
  <c r="R796"/>
  <c r="S796" s="1"/>
  <c r="U796" s="1"/>
  <c r="R948"/>
  <c r="S948" s="1"/>
  <c r="S627"/>
  <c r="R1048"/>
  <c r="S1048" s="1"/>
  <c r="U1048" s="1"/>
  <c r="R686"/>
  <c r="S686" s="1"/>
  <c r="U686" s="1"/>
  <c r="S792"/>
  <c r="R715"/>
  <c r="S715" s="1"/>
  <c r="S905"/>
  <c r="R713"/>
  <c r="S713" s="1"/>
  <c r="U713" s="1"/>
  <c r="R938"/>
  <c r="S938" s="1"/>
  <c r="R1003"/>
  <c r="S1003" s="1"/>
  <c r="R1000"/>
  <c r="S1000" s="1"/>
  <c r="R619"/>
  <c r="S619" s="1"/>
  <c r="U619" s="1"/>
  <c r="O175"/>
  <c r="O145"/>
  <c r="P142"/>
  <c r="O521"/>
  <c r="O337"/>
  <c r="P204"/>
  <c r="O129"/>
  <c r="S744"/>
  <c r="P49"/>
  <c r="P176"/>
  <c r="P241"/>
  <c r="P44"/>
  <c r="P110"/>
  <c r="P431"/>
  <c r="O428"/>
  <c r="O449"/>
  <c r="R961"/>
  <c r="S961" s="1"/>
  <c r="U961" s="1"/>
  <c r="R957"/>
  <c r="S957" s="1"/>
  <c r="U957" s="1"/>
  <c r="R846"/>
  <c r="S846" s="1"/>
  <c r="R787"/>
  <c r="S787" s="1"/>
  <c r="U787" s="1"/>
  <c r="R591"/>
  <c r="S591" s="1"/>
  <c r="U591" s="1"/>
  <c r="R1050"/>
  <c r="S1050" s="1"/>
  <c r="U1050" s="1"/>
  <c r="R563"/>
  <c r="S563" s="1"/>
  <c r="U563" s="1"/>
  <c r="R571"/>
  <c r="S571" s="1"/>
  <c r="U571" s="1"/>
  <c r="R892"/>
  <c r="S892" s="1"/>
  <c r="U892" s="1"/>
  <c r="R876"/>
  <c r="S876" s="1"/>
  <c r="U876" s="1"/>
  <c r="R777"/>
  <c r="S777" s="1"/>
  <c r="R618"/>
  <c r="S618" s="1"/>
  <c r="U618" s="1"/>
  <c r="R650"/>
  <c r="S650" s="1"/>
  <c r="R584"/>
  <c r="S584" s="1"/>
  <c r="U584" s="1"/>
  <c r="R748"/>
  <c r="S748" s="1"/>
  <c r="U748" s="1"/>
  <c r="O460"/>
  <c r="O462"/>
  <c r="O271"/>
  <c r="O111"/>
  <c r="O398"/>
  <c r="P273"/>
  <c r="O494"/>
  <c r="R740"/>
  <c r="S740" s="1"/>
  <c r="U740" s="1"/>
  <c r="R603"/>
  <c r="S603" s="1"/>
  <c r="U603" s="1"/>
  <c r="R687"/>
  <c r="S687" s="1"/>
  <c r="U687" s="1"/>
  <c r="O79"/>
  <c r="P79"/>
  <c r="P461"/>
  <c r="R707"/>
  <c r="S707" s="1"/>
  <c r="S860"/>
  <c r="R671"/>
  <c r="S671" s="1"/>
  <c r="R894"/>
  <c r="S894" s="1"/>
  <c r="R962"/>
  <c r="S962" s="1"/>
  <c r="R982"/>
  <c r="S982" s="1"/>
  <c r="U982" s="1"/>
  <c r="R628"/>
  <c r="S628" s="1"/>
  <c r="U628" s="1"/>
  <c r="R915"/>
  <c r="S915" s="1"/>
  <c r="R919"/>
  <c r="S919" s="1"/>
  <c r="R658"/>
  <c r="S658" s="1"/>
  <c r="R910"/>
  <c r="S910" s="1"/>
  <c r="R818"/>
  <c r="S818" s="1"/>
  <c r="R570"/>
  <c r="S570" s="1"/>
  <c r="U570" s="1"/>
  <c r="R621"/>
  <c r="S621" s="1"/>
  <c r="R665"/>
  <c r="S665" s="1"/>
  <c r="R980"/>
  <c r="S980" s="1"/>
  <c r="U980" s="1"/>
  <c r="R774"/>
  <c r="S774" s="1"/>
  <c r="R683"/>
  <c r="S683" s="1"/>
  <c r="R615"/>
  <c r="S615" s="1"/>
  <c r="R873"/>
  <c r="S873" s="1"/>
  <c r="R778"/>
  <c r="S778" s="1"/>
  <c r="R839"/>
  <c r="S839" s="1"/>
  <c r="R780"/>
  <c r="S780" s="1"/>
  <c r="U780" s="1"/>
  <c r="R844"/>
  <c r="S844" s="1"/>
  <c r="U844" s="1"/>
  <c r="R969"/>
  <c r="S969" s="1"/>
  <c r="P81"/>
  <c r="O143"/>
  <c r="P401"/>
  <c r="P367"/>
  <c r="O457"/>
  <c r="O33"/>
  <c r="O481"/>
  <c r="R1030"/>
  <c r="S1030" s="1"/>
  <c r="O209"/>
  <c r="P366"/>
  <c r="R675"/>
  <c r="S675" s="1"/>
  <c r="U675" s="1"/>
  <c r="P433"/>
  <c r="P496"/>
  <c r="O174"/>
  <c r="P141"/>
  <c r="O171"/>
  <c r="R605"/>
  <c r="S605" s="1"/>
  <c r="R669"/>
  <c r="S669" s="1"/>
  <c r="R834"/>
  <c r="S834" s="1"/>
  <c r="R1054"/>
  <c r="S1054" s="1"/>
  <c r="O177"/>
  <c r="P112"/>
  <c r="P113"/>
  <c r="O302"/>
  <c r="O332"/>
  <c r="O235"/>
  <c r="O238"/>
  <c r="O361"/>
  <c r="R677"/>
  <c r="S677" s="1"/>
  <c r="R930"/>
  <c r="S930" s="1"/>
  <c r="U930" s="1"/>
  <c r="R949"/>
  <c r="S949" s="1"/>
  <c r="R829"/>
  <c r="S829" s="1"/>
  <c r="U829" s="1"/>
  <c r="R926"/>
  <c r="S926" s="1"/>
  <c r="R995"/>
  <c r="S995" s="1"/>
  <c r="U995" s="1"/>
  <c r="R573"/>
  <c r="S573" s="1"/>
  <c r="R960"/>
  <c r="S960" s="1"/>
  <c r="U960" s="1"/>
  <c r="R701"/>
  <c r="S701" s="1"/>
  <c r="U701" s="1"/>
  <c r="R950"/>
  <c r="S950" s="1"/>
  <c r="U950" s="1"/>
  <c r="R611"/>
  <c r="S611" s="1"/>
  <c r="U611" s="1"/>
  <c r="R734"/>
  <c r="S734" s="1"/>
  <c r="U734" s="1"/>
  <c r="R804"/>
  <c r="S804" s="1"/>
  <c r="U804" s="1"/>
  <c r="R833"/>
  <c r="S833" s="1"/>
  <c r="R963"/>
  <c r="S963" s="1"/>
  <c r="U963" s="1"/>
  <c r="R685"/>
  <c r="S685" s="1"/>
  <c r="R942"/>
  <c r="S942" s="1"/>
  <c r="U942" s="1"/>
  <c r="R763"/>
  <c r="S763" s="1"/>
  <c r="U763" s="1"/>
  <c r="R749"/>
  <c r="S749" s="1"/>
  <c r="R753"/>
  <c r="S753" s="1"/>
  <c r="U753" s="1"/>
  <c r="R785"/>
  <c r="S785" s="1"/>
  <c r="R1041"/>
  <c r="S1041" s="1"/>
  <c r="R879"/>
  <c r="S879" s="1"/>
  <c r="R941"/>
  <c r="S941" s="1"/>
  <c r="U941" s="1"/>
  <c r="R857"/>
  <c r="S857" s="1"/>
  <c r="R944"/>
  <c r="S944" s="1"/>
  <c r="R761"/>
  <c r="S761" s="1"/>
  <c r="R1017"/>
  <c r="S1017" s="1"/>
  <c r="R731"/>
  <c r="S731" s="1"/>
  <c r="R855"/>
  <c r="S855" s="1"/>
  <c r="U855" s="1"/>
  <c r="R728"/>
  <c r="S728" s="1"/>
  <c r="U728" s="1"/>
  <c r="R921"/>
  <c r="S921" s="1"/>
  <c r="U921" s="1"/>
  <c r="R904"/>
  <c r="S904" s="1"/>
  <c r="R552"/>
  <c r="S552" s="1"/>
  <c r="U552" s="1"/>
  <c r="S616"/>
  <c r="R684"/>
  <c r="S684" s="1"/>
  <c r="U684" s="1"/>
  <c r="O304"/>
  <c r="O161"/>
  <c r="P80"/>
  <c r="P495"/>
  <c r="O400"/>
  <c r="P462"/>
  <c r="O201"/>
  <c r="O396"/>
  <c r="R929"/>
  <c r="S929" s="1"/>
  <c r="P464"/>
  <c r="O303"/>
  <c r="O463"/>
  <c r="P77"/>
  <c r="O46"/>
  <c r="O173"/>
  <c r="P399"/>
  <c r="O524"/>
  <c r="R901"/>
  <c r="S901" s="1"/>
  <c r="R643"/>
  <c r="S643" s="1"/>
  <c r="U643" s="1"/>
  <c r="R1026"/>
  <c r="S1026" s="1"/>
  <c r="U1026" s="1"/>
  <c r="R672"/>
  <c r="S672" s="1"/>
  <c r="R835"/>
  <c r="S835" s="1"/>
  <c r="R702"/>
  <c r="S702" s="1"/>
  <c r="R803"/>
  <c r="S803" s="1"/>
  <c r="U803" s="1"/>
  <c r="R862"/>
  <c r="S862" s="1"/>
  <c r="R566"/>
  <c r="S566" s="1"/>
  <c r="R953"/>
  <c r="S953" s="1"/>
  <c r="R784"/>
  <c r="S784" s="1"/>
  <c r="R850"/>
  <c r="S850" s="1"/>
  <c r="R1037"/>
  <c r="S1037" s="1"/>
  <c r="R783"/>
  <c r="S783" s="1"/>
  <c r="R1029"/>
  <c r="S1029" s="1"/>
  <c r="R813"/>
  <c r="S813" s="1"/>
  <c r="R1047"/>
  <c r="S1047" s="1"/>
  <c r="R814"/>
  <c r="S814" s="1"/>
  <c r="R819"/>
  <c r="S819" s="1"/>
  <c r="U819" s="1"/>
  <c r="R909"/>
  <c r="S909" s="1"/>
  <c r="R700"/>
  <c r="S700" s="1"/>
  <c r="U700" s="1"/>
  <c r="R1020"/>
  <c r="S1020" s="1"/>
  <c r="U1020" s="1"/>
  <c r="R966"/>
  <c r="S966" s="1"/>
  <c r="R812"/>
  <c r="S812" s="1"/>
  <c r="R585"/>
  <c r="S585" s="1"/>
  <c r="R553"/>
  <c r="S553" s="1"/>
  <c r="R747"/>
  <c r="S747" s="1"/>
  <c r="U747" s="1"/>
  <c r="R936"/>
  <c r="S936" s="1"/>
  <c r="R935"/>
  <c r="S935" s="1"/>
  <c r="R937"/>
  <c r="S937" s="1"/>
  <c r="U937" s="1"/>
  <c r="R1034"/>
  <c r="S1034" s="1"/>
  <c r="R551"/>
  <c r="S551" s="1"/>
  <c r="U551" s="1"/>
  <c r="R1001"/>
  <c r="S1001" s="1"/>
  <c r="R716"/>
  <c r="S716" s="1"/>
  <c r="U716" s="1"/>
  <c r="R1062"/>
  <c r="S1062" s="1"/>
  <c r="R806"/>
  <c r="S806" s="1"/>
  <c r="R1009"/>
  <c r="S1009" s="1"/>
  <c r="U1009" s="1"/>
  <c r="R705"/>
  <c r="S705" s="1"/>
  <c r="U705" s="1"/>
  <c r="R994"/>
  <c r="S994" s="1"/>
  <c r="U994" s="1"/>
  <c r="S682"/>
  <c r="U682" s="1"/>
  <c r="R822"/>
  <c r="S822" s="1"/>
  <c r="U822" s="1"/>
  <c r="R693"/>
  <c r="S693" s="1"/>
  <c r="U693" s="1"/>
  <c r="R698"/>
  <c r="S698" s="1"/>
  <c r="U698" s="1"/>
  <c r="R988"/>
  <c r="S988" s="1"/>
  <c r="U988" s="1"/>
  <c r="S568"/>
  <c r="U568" s="1"/>
  <c r="R668"/>
  <c r="S668" s="1"/>
  <c r="U668" s="1"/>
  <c r="R840"/>
  <c r="S840" s="1"/>
  <c r="U840" s="1"/>
  <c r="R648"/>
  <c r="S648" s="1"/>
  <c r="U648" s="1"/>
  <c r="O139"/>
  <c r="O205"/>
  <c r="O427"/>
  <c r="O461"/>
  <c r="O429"/>
  <c r="P237"/>
  <c r="O491"/>
  <c r="O336"/>
  <c r="P432"/>
  <c r="O80"/>
  <c r="P48"/>
  <c r="O49"/>
  <c r="P78"/>
  <c r="O105"/>
  <c r="P396"/>
  <c r="P429"/>
  <c r="O333"/>
  <c r="P365"/>
  <c r="O193"/>
  <c r="R757"/>
  <c r="S757" s="1"/>
  <c r="U757" s="1"/>
  <c r="R770"/>
  <c r="S770" s="1"/>
  <c r="U770" s="1"/>
  <c r="R641"/>
  <c r="S641" s="1"/>
  <c r="U641" s="1"/>
  <c r="R886"/>
  <c r="S886" s="1"/>
  <c r="U886" s="1"/>
  <c r="R708"/>
  <c r="S708" s="1"/>
  <c r="U708" s="1"/>
  <c r="R758"/>
  <c r="S758" s="1"/>
  <c r="U758" s="1"/>
  <c r="R676"/>
  <c r="S676" s="1"/>
  <c r="U676" s="1"/>
  <c r="R830"/>
  <c r="S830" s="1"/>
  <c r="U830" s="1"/>
  <c r="R992"/>
  <c r="S992" s="1"/>
  <c r="U992" s="1"/>
  <c r="R590"/>
  <c r="S590" s="1"/>
  <c r="U590" s="1"/>
  <c r="R786"/>
  <c r="S786" s="1"/>
  <c r="U786" s="1"/>
  <c r="R697"/>
  <c r="S697" s="1"/>
  <c r="U697" s="1"/>
  <c r="R956"/>
  <c r="S956" s="1"/>
  <c r="U956" s="1"/>
  <c r="R626"/>
  <c r="S626" s="1"/>
  <c r="U626" s="1"/>
  <c r="R723"/>
  <c r="S723" s="1"/>
  <c r="U723" s="1"/>
  <c r="R655"/>
  <c r="S655" s="1"/>
  <c r="U655" s="1"/>
  <c r="R984"/>
  <c r="S984" s="1"/>
  <c r="U984" s="1"/>
  <c r="S632"/>
  <c r="U632" s="1"/>
  <c r="S946"/>
  <c r="U946" s="1"/>
  <c r="R1018"/>
  <c r="S1018" s="1"/>
  <c r="U1018" s="1"/>
  <c r="S718"/>
  <c r="U718" s="1"/>
  <c r="R1043"/>
  <c r="S1043" s="1"/>
  <c r="U1043" s="1"/>
  <c r="R983"/>
  <c r="S983" s="1"/>
  <c r="U983" s="1"/>
  <c r="R561"/>
  <c r="S561" s="1"/>
  <c r="U561" s="1"/>
  <c r="R954"/>
  <c r="S954" s="1"/>
  <c r="U954" s="1"/>
  <c r="R881"/>
  <c r="S881" s="1"/>
  <c r="U881" s="1"/>
  <c r="R730"/>
  <c r="S730" s="1"/>
  <c r="U730" s="1"/>
  <c r="R945"/>
  <c r="S945" s="1"/>
  <c r="U945" s="1"/>
  <c r="R782"/>
  <c r="S782" s="1"/>
  <c r="U782" s="1"/>
  <c r="R1040"/>
  <c r="S1040" s="1"/>
  <c r="U1040" s="1"/>
  <c r="R681"/>
  <c r="S681" s="1"/>
  <c r="U681" s="1"/>
  <c r="R647"/>
  <c r="S647" s="1"/>
  <c r="U647" s="1"/>
  <c r="R587"/>
  <c r="S587" s="1"/>
  <c r="U587" s="1"/>
  <c r="R875"/>
  <c r="S875" s="1"/>
  <c r="U875" s="1"/>
  <c r="R908"/>
  <c r="S908" s="1"/>
  <c r="U908" s="1"/>
  <c r="R1036"/>
  <c r="S1036" s="1"/>
  <c r="U1036" s="1"/>
  <c r="R743"/>
  <c r="S743" s="1"/>
  <c r="U743" s="1"/>
  <c r="R773"/>
  <c r="S773" s="1"/>
  <c r="R678"/>
  <c r="S678" s="1"/>
  <c r="R640"/>
  <c r="S640" s="1"/>
  <c r="U640" s="1"/>
  <c r="R868"/>
  <c r="S868" s="1"/>
  <c r="U868" s="1"/>
  <c r="R630"/>
  <c r="S630" s="1"/>
  <c r="U630" s="1"/>
  <c r="R932"/>
  <c r="S932" s="1"/>
  <c r="U932" s="1"/>
  <c r="R610"/>
  <c r="S610" s="1"/>
  <c r="U610" s="1"/>
  <c r="R580"/>
  <c r="S580" s="1"/>
  <c r="U580" s="1"/>
  <c r="R642"/>
  <c r="S642" s="1"/>
  <c r="U642" s="1"/>
  <c r="R569"/>
  <c r="S569" s="1"/>
  <c r="U569" s="1"/>
  <c r="R604"/>
  <c r="S604" s="1"/>
  <c r="U604" s="1"/>
  <c r="S826"/>
  <c r="U826" s="1"/>
  <c r="R825"/>
  <c r="S825" s="1"/>
  <c r="U825" s="1"/>
  <c r="R764"/>
  <c r="S764" s="1"/>
  <c r="U764" s="1"/>
  <c r="R874"/>
  <c r="S874" s="1"/>
  <c r="U874" s="1"/>
  <c r="R970"/>
  <c r="S970" s="1"/>
  <c r="U970" s="1"/>
  <c r="R841"/>
  <c r="S841" s="1"/>
  <c r="U841" s="1"/>
  <c r="R907"/>
  <c r="S907" s="1"/>
  <c r="U907" s="1"/>
  <c r="R714"/>
  <c r="S714" s="1"/>
  <c r="U714" s="1"/>
  <c r="R663"/>
  <c r="S663" s="1"/>
  <c r="U663" s="1"/>
  <c r="R920"/>
  <c r="S920" s="1"/>
  <c r="U920" s="1"/>
  <c r="R717"/>
  <c r="S717" s="1"/>
  <c r="U717" s="1"/>
  <c r="R612"/>
  <c r="S612" s="1"/>
  <c r="U612" s="1"/>
  <c r="S656"/>
  <c r="U656" s="1"/>
  <c r="R851"/>
  <c r="S851" s="1"/>
  <c r="U851" s="1"/>
  <c r="R1038"/>
  <c r="S1038" s="1"/>
  <c r="U1038" s="1"/>
  <c r="R859"/>
  <c r="S859" s="1"/>
  <c r="U859" s="1"/>
  <c r="R1010"/>
  <c r="S1010" s="1"/>
  <c r="U1010" s="1"/>
  <c r="R680"/>
  <c r="S680" s="1"/>
  <c r="U680" s="1"/>
  <c r="R779"/>
  <c r="S779" s="1"/>
  <c r="U779" s="1"/>
  <c r="R639"/>
  <c r="S639" s="1"/>
  <c r="U639" s="1"/>
  <c r="R802"/>
  <c r="S802" s="1"/>
  <c r="U802" s="1"/>
  <c r="R725"/>
  <c r="S725" s="1"/>
  <c r="U725" s="1"/>
  <c r="R670"/>
  <c r="S670" s="1"/>
  <c r="U670" s="1"/>
  <c r="R898"/>
  <c r="S898" s="1"/>
  <c r="U898" s="1"/>
  <c r="R955"/>
  <c r="S955" s="1"/>
  <c r="U955" s="1"/>
  <c r="R760"/>
  <c r="S760" s="1"/>
  <c r="U760" s="1"/>
  <c r="R781"/>
  <c r="S781" s="1"/>
  <c r="U781" s="1"/>
  <c r="R727"/>
  <c r="S727" s="1"/>
  <c r="U727" s="1"/>
  <c r="R788"/>
  <c r="S788" s="1"/>
  <c r="U788" s="1"/>
  <c r="R1015"/>
  <c r="S1015" s="1"/>
  <c r="U1015" s="1"/>
  <c r="R617"/>
  <c r="S617" s="1"/>
  <c r="U617" s="1"/>
  <c r="R807"/>
  <c r="S807" s="1"/>
  <c r="U807" s="1"/>
  <c r="O367"/>
  <c r="P337"/>
  <c r="O240"/>
  <c r="P305"/>
  <c r="O48"/>
  <c r="P111"/>
  <c r="O331"/>
  <c r="O225"/>
  <c r="O107"/>
  <c r="O142"/>
  <c r="P271"/>
  <c r="P428"/>
  <c r="O385"/>
  <c r="R805"/>
  <c r="S805" s="1"/>
  <c r="S1013"/>
  <c r="U1013" s="1"/>
  <c r="R990"/>
  <c r="S990" s="1"/>
  <c r="U990" s="1"/>
  <c r="R1024"/>
  <c r="S1024" s="1"/>
  <c r="U1024" s="1"/>
  <c r="R865"/>
  <c r="S865" s="1"/>
  <c r="U865" s="1"/>
  <c r="R574"/>
  <c r="S574" s="1"/>
  <c r="U574" s="1"/>
  <c r="R1059"/>
  <c r="S1059" s="1"/>
  <c r="U1059" s="1"/>
  <c r="R629"/>
  <c r="S629" s="1"/>
  <c r="U629" s="1"/>
  <c r="R598"/>
  <c r="S598" s="1"/>
  <c r="U598" s="1"/>
  <c r="R821"/>
  <c r="S821" s="1"/>
  <c r="U821" s="1"/>
  <c r="R737"/>
  <c r="S737" s="1"/>
  <c r="U737" s="1"/>
  <c r="R927"/>
  <c r="S927" s="1"/>
  <c r="U927" s="1"/>
  <c r="R896"/>
  <c r="S896" s="1"/>
  <c r="U896" s="1"/>
  <c r="R854"/>
  <c r="S854" s="1"/>
  <c r="U854" s="1"/>
  <c r="R597"/>
  <c r="S597" s="1"/>
  <c r="U597" s="1"/>
  <c r="R704"/>
  <c r="S704" s="1"/>
  <c r="U704" s="1"/>
  <c r="S638"/>
  <c r="U638" s="1"/>
  <c r="R900"/>
  <c r="S900" s="1"/>
  <c r="U900" s="1"/>
  <c r="R721"/>
  <c r="S721" s="1"/>
  <c r="U721" s="1"/>
  <c r="R752"/>
  <c r="S752" s="1"/>
  <c r="U752" s="1"/>
  <c r="R943"/>
  <c r="S943" s="1"/>
  <c r="U943" s="1"/>
  <c r="R759"/>
  <c r="S759" s="1"/>
  <c r="U759" s="1"/>
  <c r="R978"/>
  <c r="S978" s="1"/>
  <c r="U978" s="1"/>
  <c r="R754"/>
  <c r="S754" s="1"/>
  <c r="U754" s="1"/>
  <c r="R654"/>
  <c r="S654" s="1"/>
  <c r="U654" s="1"/>
  <c r="R750"/>
  <c r="S750" s="1"/>
  <c r="U750" s="1"/>
  <c r="R724"/>
  <c r="S724" s="1"/>
  <c r="U724" s="1"/>
  <c r="R887"/>
  <c r="S887" s="1"/>
  <c r="U887" s="1"/>
  <c r="R1006"/>
  <c r="S1006" s="1"/>
  <c r="U1006" s="1"/>
  <c r="R592"/>
  <c r="S592" s="1"/>
  <c r="U592" s="1"/>
  <c r="R889"/>
  <c r="S889" s="1"/>
  <c r="U889" s="1"/>
  <c r="S794"/>
  <c r="U794" s="1"/>
  <c r="R690"/>
  <c r="S690" s="1"/>
  <c r="U690" s="1"/>
  <c r="R973"/>
  <c r="S973" s="1"/>
  <c r="U973" s="1"/>
  <c r="S594"/>
  <c r="U594" s="1"/>
  <c r="R722"/>
  <c r="S722" s="1"/>
  <c r="U722" s="1"/>
  <c r="S872"/>
  <c r="U872" s="1"/>
  <c r="S651"/>
  <c r="U651" s="1"/>
  <c r="R842"/>
  <c r="S842" s="1"/>
  <c r="U842" s="1"/>
  <c r="R555"/>
  <c r="S555" s="1"/>
  <c r="U555" s="1"/>
  <c r="R971"/>
  <c r="S971" s="1"/>
  <c r="U971" s="1"/>
  <c r="R810"/>
  <c r="S810" s="1"/>
  <c r="U810" s="1"/>
  <c r="R902"/>
  <c r="S902" s="1"/>
  <c r="R694"/>
  <c r="S694" s="1"/>
  <c r="U694" s="1"/>
  <c r="R817"/>
  <c r="S817" s="1"/>
  <c r="U817" s="1"/>
  <c r="R688"/>
  <c r="S688" s="1"/>
  <c r="U688" s="1"/>
  <c r="R712"/>
  <c r="S712" s="1"/>
  <c r="U712" s="1"/>
  <c r="R755"/>
  <c r="S755" s="1"/>
  <c r="U755" s="1"/>
  <c r="R911"/>
  <c r="S911" s="1"/>
  <c r="U911" s="1"/>
  <c r="R653"/>
  <c r="S653" s="1"/>
  <c r="U653" s="1"/>
  <c r="S967"/>
  <c r="U967" s="1"/>
  <c r="R884"/>
  <c r="S884" s="1"/>
  <c r="U884" s="1"/>
  <c r="R595"/>
  <c r="S595" s="1"/>
  <c r="U595" s="1"/>
  <c r="R975"/>
  <c r="S975" s="1"/>
  <c r="U975" s="1"/>
  <c r="S847"/>
  <c r="U847" s="1"/>
  <c r="R922"/>
  <c r="S922" s="1"/>
  <c r="U922" s="1"/>
  <c r="R660"/>
  <c r="S660" s="1"/>
  <c r="U660" s="1"/>
  <c r="S666"/>
  <c r="U666" s="1"/>
  <c r="R746"/>
  <c r="S746" s="1"/>
  <c r="U746" s="1"/>
  <c r="R811"/>
  <c r="S811" s="1"/>
  <c r="U811" s="1"/>
  <c r="R554"/>
  <c r="S554" s="1"/>
  <c r="U554" s="1"/>
  <c r="P304"/>
  <c r="O496"/>
  <c r="O369"/>
  <c r="R1061"/>
  <c r="S1061" s="1"/>
  <c r="R998"/>
  <c r="S998" s="1"/>
  <c r="R736"/>
  <c r="S736" s="1"/>
  <c r="U736" s="1"/>
  <c r="R1055"/>
  <c r="S1055" s="1"/>
  <c r="U1055" s="1"/>
  <c r="R1057"/>
  <c r="S1057" s="1"/>
  <c r="U1057" s="1"/>
  <c r="R867"/>
  <c r="S867" s="1"/>
  <c r="U867" s="1"/>
  <c r="R899"/>
  <c r="S899" s="1"/>
  <c r="U899" s="1"/>
  <c r="R917"/>
  <c r="S917" s="1"/>
  <c r="U917" s="1"/>
  <c r="R674"/>
  <c r="S674" s="1"/>
  <c r="U674" s="1"/>
  <c r="R991"/>
  <c r="S991" s="1"/>
  <c r="U991" s="1"/>
  <c r="S577"/>
  <c r="U577" s="1"/>
  <c r="R790"/>
  <c r="S790" s="1"/>
  <c r="U790" s="1"/>
  <c r="R771"/>
  <c r="S771" s="1"/>
  <c r="U771" s="1"/>
  <c r="R866"/>
  <c r="S866" s="1"/>
  <c r="U866" s="1"/>
  <c r="R831"/>
  <c r="S831" s="1"/>
  <c r="U831" s="1"/>
  <c r="R609"/>
  <c r="S609" s="1"/>
  <c r="U609" s="1"/>
  <c r="R836"/>
  <c r="S836" s="1"/>
  <c r="U836" s="1"/>
  <c r="R720"/>
  <c r="S720" s="1"/>
  <c r="U720" s="1"/>
  <c r="R880"/>
  <c r="S880" s="1"/>
  <c r="U880" s="1"/>
  <c r="R689"/>
  <c r="S689" s="1"/>
  <c r="U689" s="1"/>
  <c r="R692"/>
  <c r="S692" s="1"/>
  <c r="U692" s="1"/>
  <c r="R1039"/>
  <c r="S1039" s="1"/>
  <c r="U1039" s="1"/>
  <c r="R820"/>
  <c r="S820" s="1"/>
  <c r="U820" s="1"/>
  <c r="S562"/>
  <c r="U562" s="1"/>
  <c r="R858"/>
  <c r="S858" s="1"/>
  <c r="U858" s="1"/>
  <c r="R914"/>
  <c r="S914" s="1"/>
  <c r="U914" s="1"/>
  <c r="R977"/>
  <c r="S977" s="1"/>
  <c r="U977" s="1"/>
  <c r="R1032"/>
  <c r="S1032" s="1"/>
  <c r="U1032" s="1"/>
  <c r="R649"/>
  <c r="S649" s="1"/>
  <c r="U649" s="1"/>
  <c r="R583"/>
  <c r="S583" s="1"/>
  <c r="U583" s="1"/>
  <c r="R870"/>
  <c r="S870" s="1"/>
  <c r="R934"/>
  <c r="S934" s="1"/>
  <c r="Q371"/>
  <c r="Q274"/>
  <c r="Q467"/>
  <c r="Q499"/>
  <c r="Q117"/>
  <c r="Q115"/>
  <c r="Q405"/>
  <c r="Q178"/>
  <c r="Q341"/>
  <c r="Q466"/>
  <c r="Q213"/>
  <c r="Q242"/>
  <c r="Q372"/>
  <c r="Q51"/>
  <c r="Q338"/>
  <c r="Q403"/>
  <c r="Q402"/>
  <c r="Q498"/>
  <c r="Q434"/>
  <c r="Q84"/>
  <c r="Q370"/>
  <c r="Q19"/>
  <c r="Q83"/>
  <c r="Q179"/>
  <c r="Q182"/>
  <c r="Q146"/>
  <c r="Q306"/>
  <c r="Q147"/>
  <c r="Q339"/>
  <c r="Q211"/>
  <c r="Q374"/>
  <c r="Q243"/>
  <c r="Q435"/>
  <c r="Q114"/>
  <c r="Q275"/>
  <c r="Q307"/>
  <c r="Q150"/>
  <c r="Q50"/>
  <c r="Q210"/>
  <c r="Q18"/>
  <c r="Q82"/>
  <c r="Q346"/>
  <c r="Q282"/>
  <c r="Q439"/>
  <c r="Q163"/>
  <c r="Q404"/>
  <c r="Q279"/>
  <c r="Q90"/>
  <c r="Q418"/>
  <c r="Q437"/>
  <c r="Q22"/>
  <c r="Q184"/>
  <c r="Q99"/>
  <c r="Q123"/>
  <c r="Q503"/>
  <c r="Q247"/>
  <c r="Q122"/>
  <c r="Q27"/>
  <c r="Q285"/>
  <c r="Q478"/>
  <c r="Q411"/>
  <c r="Q407"/>
  <c r="Q315"/>
  <c r="Q20"/>
  <c r="Q195"/>
  <c r="Q34"/>
  <c r="Q475"/>
  <c r="Q119"/>
  <c r="Q347"/>
  <c r="Q155"/>
  <c r="Q414"/>
  <c r="Q244"/>
  <c r="Q185"/>
  <c r="Q509"/>
  <c r="Q286"/>
  <c r="Q343"/>
  <c r="Q386"/>
  <c r="Q468"/>
  <c r="Q246"/>
  <c r="Q102"/>
  <c r="Q471"/>
  <c r="Q98"/>
  <c r="Q354"/>
  <c r="Q291"/>
  <c r="Q148"/>
  <c r="Q375"/>
  <c r="Q218"/>
  <c r="Q438"/>
  <c r="Q442"/>
  <c r="Q251"/>
  <c r="Q514"/>
  <c r="Q450"/>
  <c r="Q259"/>
  <c r="Q376"/>
  <c r="Q283"/>
  <c r="Q250"/>
  <c r="Q194"/>
  <c r="Q262"/>
  <c r="Q390"/>
  <c r="Q248"/>
  <c r="Q502"/>
  <c r="Q440"/>
  <c r="Q310"/>
  <c r="Q212"/>
  <c r="Q151"/>
  <c r="Q66"/>
  <c r="Q94"/>
  <c r="Q485"/>
  <c r="Q470"/>
  <c r="Q189"/>
  <c r="Q58"/>
  <c r="Q180"/>
  <c r="Q226"/>
  <c r="Q214"/>
  <c r="Q342"/>
  <c r="Q87"/>
  <c r="Q88"/>
  <c r="Q312"/>
  <c r="Q355"/>
  <c r="Q472"/>
  <c r="Q53"/>
  <c r="Q278"/>
  <c r="Q24"/>
  <c r="Q501"/>
  <c r="Q118"/>
  <c r="Q216"/>
  <c r="Q340"/>
  <c r="Q258"/>
  <c r="Q245"/>
  <c r="Q149"/>
  <c r="Q23"/>
  <c r="Q59"/>
  <c r="Q26"/>
  <c r="Q222"/>
  <c r="Q413"/>
  <c r="Q389"/>
  <c r="Q482"/>
  <c r="Q506"/>
  <c r="Q219"/>
  <c r="Q515"/>
  <c r="Q186"/>
  <c r="Q379"/>
  <c r="Q181"/>
  <c r="Q56"/>
  <c r="Q483"/>
  <c r="Q91"/>
  <c r="Q276"/>
  <c r="Q227"/>
  <c r="Q280"/>
  <c r="Q500"/>
  <c r="Q126"/>
  <c r="Q38"/>
  <c r="Q387"/>
  <c r="Q277"/>
  <c r="Q408"/>
  <c r="Q130"/>
  <c r="Q152"/>
  <c r="Q443"/>
  <c r="Q314"/>
  <c r="Q183"/>
  <c r="Q187"/>
  <c r="Q451"/>
  <c r="Q290"/>
  <c r="Q116"/>
  <c r="Q215"/>
  <c r="Q311"/>
  <c r="Q308"/>
  <c r="Q309"/>
  <c r="Q323"/>
  <c r="Q436"/>
  <c r="Q507"/>
  <c r="Q86"/>
  <c r="Q67"/>
  <c r="Q166"/>
  <c r="Q517"/>
  <c r="Q504"/>
  <c r="Q378"/>
  <c r="Q120"/>
  <c r="Q410"/>
  <c r="Q162"/>
  <c r="Q406"/>
  <c r="Q322"/>
  <c r="Q52"/>
  <c r="Q373"/>
  <c r="Q419"/>
  <c r="Q55"/>
  <c r="Q35"/>
  <c r="Q344"/>
  <c r="Q85"/>
  <c r="Q469"/>
  <c r="Q154"/>
  <c r="Q157"/>
  <c r="Q474"/>
  <c r="Q54"/>
  <c r="Q21"/>
  <c r="Q131"/>
  <c r="Q190"/>
  <c r="Q223"/>
  <c r="P114"/>
  <c r="Q153"/>
  <c r="Q220"/>
  <c r="Q156"/>
  <c r="Q409"/>
  <c r="Q89"/>
  <c r="Q196"/>
  <c r="Q455"/>
  <c r="P340"/>
  <c r="R340" s="1"/>
  <c r="P402"/>
  <c r="Q294"/>
  <c r="Q510"/>
  <c r="Q62"/>
  <c r="Q232"/>
  <c r="Q39"/>
  <c r="O434"/>
  <c r="Q487"/>
  <c r="P212"/>
  <c r="R212" s="1"/>
  <c r="Q135"/>
  <c r="Q65"/>
  <c r="P275"/>
  <c r="Q43"/>
  <c r="Q255"/>
  <c r="Q522"/>
  <c r="O244"/>
  <c r="Q363"/>
  <c r="Q106"/>
  <c r="P308"/>
  <c r="P276"/>
  <c r="Q95"/>
  <c r="P403"/>
  <c r="P211"/>
  <c r="Q73"/>
  <c r="P52"/>
  <c r="P244"/>
  <c r="Q96"/>
  <c r="O149"/>
  <c r="P246"/>
  <c r="P343"/>
  <c r="P119"/>
  <c r="O309"/>
  <c r="O406"/>
  <c r="P310"/>
  <c r="P503"/>
  <c r="P438"/>
  <c r="Q397"/>
  <c r="O502"/>
  <c r="Q121"/>
  <c r="Q473"/>
  <c r="Q30"/>
  <c r="Q317"/>
  <c r="Q446"/>
  <c r="O275"/>
  <c r="P213"/>
  <c r="Q231"/>
  <c r="Q491"/>
  <c r="Q383"/>
  <c r="O148"/>
  <c r="O116"/>
  <c r="P86"/>
  <c r="P55"/>
  <c r="Q174"/>
  <c r="O501"/>
  <c r="Q480"/>
  <c r="Q476"/>
  <c r="Q516"/>
  <c r="Q101"/>
  <c r="P306"/>
  <c r="P339"/>
  <c r="P82"/>
  <c r="Q75"/>
  <c r="Q319"/>
  <c r="Q481"/>
  <c r="P242"/>
  <c r="P84"/>
  <c r="P118"/>
  <c r="O118"/>
  <c r="Q270"/>
  <c r="O469"/>
  <c r="Q31"/>
  <c r="O213"/>
  <c r="P247"/>
  <c r="P502"/>
  <c r="P18"/>
  <c r="Q281"/>
  <c r="Q456"/>
  <c r="Q416"/>
  <c r="Q221"/>
  <c r="O82"/>
  <c r="P307"/>
  <c r="Q191"/>
  <c r="P19"/>
  <c r="Q46"/>
  <c r="O437"/>
  <c r="O310"/>
  <c r="Q525"/>
  <c r="Q459"/>
  <c r="Q224"/>
  <c r="Q345"/>
  <c r="Q249"/>
  <c r="Q164"/>
  <c r="Q188"/>
  <c r="Q324"/>
  <c r="Q138"/>
  <c r="Q477"/>
  <c r="Q133"/>
  <c r="Q518"/>
  <c r="Q197"/>
  <c r="Q519"/>
  <c r="P178"/>
  <c r="Q42"/>
  <c r="P274"/>
  <c r="Q422"/>
  <c r="Q70"/>
  <c r="P434"/>
  <c r="O210"/>
  <c r="Q41"/>
  <c r="Q520"/>
  <c r="Q192"/>
  <c r="Q330"/>
  <c r="P468"/>
  <c r="Q140"/>
  <c r="Q524"/>
  <c r="Q385"/>
  <c r="Q332"/>
  <c r="O338"/>
  <c r="Q128"/>
  <c r="Q423"/>
  <c r="Q193"/>
  <c r="Q104"/>
  <c r="Q172"/>
  <c r="Q327"/>
  <c r="O211"/>
  <c r="O22"/>
  <c r="Q109"/>
  <c r="P215"/>
  <c r="P342"/>
  <c r="O278"/>
  <c r="O246"/>
  <c r="O374"/>
  <c r="Q269"/>
  <c r="Q526"/>
  <c r="P406"/>
  <c r="R406" s="1"/>
  <c r="Q365"/>
  <c r="O470"/>
  <c r="Q427"/>
  <c r="Q57"/>
  <c r="Q132"/>
  <c r="Q254"/>
  <c r="Q61"/>
  <c r="Q93"/>
  <c r="P467"/>
  <c r="Q364"/>
  <c r="Q40"/>
  <c r="O242"/>
  <c r="Q266"/>
  <c r="Q169"/>
  <c r="O117"/>
  <c r="P151"/>
  <c r="Q173"/>
  <c r="Q494"/>
  <c r="O467"/>
  <c r="Q484"/>
  <c r="Q508"/>
  <c r="O435"/>
  <c r="Q171"/>
  <c r="Q325"/>
  <c r="Q447"/>
  <c r="O114"/>
  <c r="P51"/>
  <c r="Q351"/>
  <c r="Q267"/>
  <c r="Q287"/>
  <c r="Q71"/>
  <c r="P54"/>
  <c r="Q45"/>
  <c r="Q141"/>
  <c r="P374"/>
  <c r="O54"/>
  <c r="Q301"/>
  <c r="Q430"/>
  <c r="P439"/>
  <c r="R439" s="1"/>
  <c r="Q426"/>
  <c r="Q217"/>
  <c r="Q229"/>
  <c r="O498"/>
  <c r="Q457"/>
  <c r="P436"/>
  <c r="O243"/>
  <c r="P371"/>
  <c r="O52"/>
  <c r="Q160"/>
  <c r="P278"/>
  <c r="Q429"/>
  <c r="Q461"/>
  <c r="O307"/>
  <c r="O146"/>
  <c r="Q348"/>
  <c r="Q252"/>
  <c r="Q92"/>
  <c r="Q100"/>
  <c r="Q388"/>
  <c r="Q441"/>
  <c r="Q453"/>
  <c r="Q299"/>
  <c r="Q68"/>
  <c r="P148"/>
  <c r="Q25"/>
  <c r="Q125"/>
  <c r="Q421"/>
  <c r="Q69"/>
  <c r="Q382"/>
  <c r="Q326"/>
  <c r="Q395"/>
  <c r="Q295"/>
  <c r="Q127"/>
  <c r="P83"/>
  <c r="R83" s="1"/>
  <c r="O339"/>
  <c r="Q136"/>
  <c r="P372"/>
  <c r="Q331"/>
  <c r="Q256"/>
  <c r="O372"/>
  <c r="Q167"/>
  <c r="Q63"/>
  <c r="P404"/>
  <c r="Q352"/>
  <c r="O18"/>
  <c r="Q234"/>
  <c r="O115"/>
  <c r="O50"/>
  <c r="P146"/>
  <c r="O21"/>
  <c r="P22"/>
  <c r="P182"/>
  <c r="R182" s="1"/>
  <c r="Q302"/>
  <c r="Q110"/>
  <c r="Q206"/>
  <c r="O342"/>
  <c r="O214"/>
  <c r="Q398"/>
  <c r="Q237"/>
  <c r="P150"/>
  <c r="O438"/>
  <c r="P243"/>
  <c r="Q505"/>
  <c r="Q60"/>
  <c r="Q165"/>
  <c r="Q32"/>
  <c r="Q350"/>
  <c r="Q200"/>
  <c r="Q479"/>
  <c r="Q523"/>
  <c r="Q396"/>
  <c r="P500"/>
  <c r="O179"/>
  <c r="Q235"/>
  <c r="P87"/>
  <c r="O277"/>
  <c r="Q366"/>
  <c r="O373"/>
  <c r="Q228"/>
  <c r="Q316"/>
  <c r="Q230"/>
  <c r="Q415"/>
  <c r="Q293"/>
  <c r="Q296"/>
  <c r="O403"/>
  <c r="Q417"/>
  <c r="P53"/>
  <c r="P309"/>
  <c r="P435"/>
  <c r="P116"/>
  <c r="O86"/>
  <c r="Q334"/>
  <c r="Q238"/>
  <c r="Q462"/>
  <c r="P279"/>
  <c r="P407"/>
  <c r="O370"/>
  <c r="Q420"/>
  <c r="P466"/>
  <c r="Q134"/>
  <c r="Q357"/>
  <c r="P338"/>
  <c r="P180"/>
  <c r="Q199"/>
  <c r="Q394"/>
  <c r="Q72"/>
  <c r="P214"/>
  <c r="P470"/>
  <c r="O274"/>
  <c r="O83"/>
  <c r="Q36"/>
  <c r="Q313"/>
  <c r="Q284"/>
  <c r="Q28"/>
  <c r="Q412"/>
  <c r="Q380"/>
  <c r="Q37"/>
  <c r="Q454"/>
  <c r="Q158"/>
  <c r="Q384"/>
  <c r="Q29"/>
  <c r="Q298"/>
  <c r="P498"/>
  <c r="Q198"/>
  <c r="Q381"/>
  <c r="Q320"/>
  <c r="Q511"/>
  <c r="O404"/>
  <c r="O178"/>
  <c r="Q74"/>
  <c r="O402"/>
  <c r="P20"/>
  <c r="Q170"/>
  <c r="Q359"/>
  <c r="O466"/>
  <c r="Q391"/>
  <c r="P117"/>
  <c r="Q204"/>
  <c r="O371"/>
  <c r="O499"/>
  <c r="P115"/>
  <c r="Q64"/>
  <c r="P210"/>
  <c r="Q202"/>
  <c r="P179"/>
  <c r="O85"/>
  <c r="Q78"/>
  <c r="O245"/>
  <c r="Q333"/>
  <c r="P311"/>
  <c r="O341"/>
  <c r="Q205"/>
  <c r="P59"/>
  <c r="O182"/>
  <c r="P183"/>
  <c r="R183" s="1"/>
  <c r="Q142"/>
  <c r="P471"/>
  <c r="Q458"/>
  <c r="Q107"/>
  <c r="O51"/>
  <c r="Q292"/>
  <c r="Q444"/>
  <c r="Q356"/>
  <c r="Q377"/>
  <c r="Q260"/>
  <c r="Q392"/>
  <c r="Q358"/>
  <c r="Q328"/>
  <c r="O19"/>
  <c r="Q253"/>
  <c r="Q159"/>
  <c r="Q349"/>
  <c r="Q318"/>
  <c r="Q445"/>
  <c r="Q261"/>
  <c r="Q448"/>
  <c r="Q424"/>
  <c r="Q264"/>
  <c r="O147"/>
  <c r="Q288"/>
  <c r="Q168"/>
  <c r="Q203"/>
  <c r="P499"/>
  <c r="R499" s="1"/>
  <c r="Q449"/>
  <c r="Q490"/>
  <c r="P50"/>
  <c r="Q103"/>
  <c r="Q362"/>
  <c r="Q512"/>
  <c r="Q393"/>
  <c r="Q33"/>
  <c r="P147"/>
  <c r="Q139"/>
  <c r="Q77"/>
  <c r="O150"/>
  <c r="O405"/>
  <c r="Q493"/>
  <c r="Q452"/>
  <c r="Q124"/>
  <c r="Q486"/>
  <c r="O306"/>
  <c r="Q360"/>
  <c r="Q263"/>
  <c r="Q488"/>
  <c r="P370"/>
  <c r="O212"/>
  <c r="O181"/>
  <c r="P23"/>
  <c r="P375"/>
  <c r="R375" s="1"/>
  <c r="Q527"/>
  <c r="P378"/>
  <c r="Q521"/>
  <c r="Q265"/>
  <c r="P149"/>
  <c r="Q300"/>
  <c r="O308"/>
  <c r="P469"/>
  <c r="Q236"/>
  <c r="P58"/>
  <c r="P312"/>
  <c r="O378"/>
  <c r="O123"/>
  <c r="P505"/>
  <c r="R505" s="1"/>
  <c r="O452"/>
  <c r="P322"/>
  <c r="O348"/>
  <c r="P227"/>
  <c r="O476"/>
  <c r="P162"/>
  <c r="P347"/>
  <c r="O313"/>
  <c r="P34"/>
  <c r="O23"/>
  <c r="P408"/>
  <c r="Q367"/>
  <c r="P90"/>
  <c r="P323"/>
  <c r="O347"/>
  <c r="Q369"/>
  <c r="P123"/>
  <c r="Q496"/>
  <c r="P216"/>
  <c r="Q304"/>
  <c r="O474"/>
  <c r="O444"/>
  <c r="O377"/>
  <c r="O152"/>
  <c r="P290"/>
  <c r="Q273"/>
  <c r="O26"/>
  <c r="O93"/>
  <c r="P62"/>
  <c r="O189"/>
  <c r="O198"/>
  <c r="P255"/>
  <c r="O254"/>
  <c r="P102"/>
  <c r="O414"/>
  <c r="O382"/>
  <c r="P383"/>
  <c r="P487"/>
  <c r="O357"/>
  <c r="O158"/>
  <c r="P447"/>
  <c r="P423"/>
  <c r="O510"/>
  <c r="O454"/>
  <c r="O343"/>
  <c r="Q225"/>
  <c r="Q489"/>
  <c r="P196"/>
  <c r="O279"/>
  <c r="P280"/>
  <c r="O66"/>
  <c r="O119"/>
  <c r="Q207"/>
  <c r="O87"/>
  <c r="O217"/>
  <c r="P61"/>
  <c r="R61" s="1"/>
  <c r="O506"/>
  <c r="P133"/>
  <c r="O62"/>
  <c r="P39"/>
  <c r="P254"/>
  <c r="O485"/>
  <c r="P486"/>
  <c r="O322"/>
  <c r="Q400"/>
  <c r="O355"/>
  <c r="Q143"/>
  <c r="O226"/>
  <c r="P283"/>
  <c r="O125"/>
  <c r="P190"/>
  <c r="O326"/>
  <c r="O517"/>
  <c r="Q80"/>
  <c r="O53"/>
  <c r="O156"/>
  <c r="P387"/>
  <c r="O187"/>
  <c r="O184"/>
  <c r="O450"/>
  <c r="P249"/>
  <c r="Q528"/>
  <c r="P453"/>
  <c r="O229"/>
  <c r="P159"/>
  <c r="O317"/>
  <c r="P382"/>
  <c r="O478"/>
  <c r="Q271"/>
  <c r="O180"/>
  <c r="Q353"/>
  <c r="P163"/>
  <c r="P514"/>
  <c r="O376"/>
  <c r="O164"/>
  <c r="P186"/>
  <c r="O251"/>
  <c r="P195"/>
  <c r="P355"/>
  <c r="R355" s="1"/>
  <c r="O101"/>
  <c r="O294"/>
  <c r="O422"/>
  <c r="O222"/>
  <c r="O509"/>
  <c r="P57"/>
  <c r="Q428"/>
  <c r="Q76"/>
  <c r="Q97"/>
  <c r="O276"/>
  <c r="P341"/>
  <c r="O436"/>
  <c r="Q257"/>
  <c r="O356"/>
  <c r="O472"/>
  <c r="P477"/>
  <c r="O220"/>
  <c r="O55"/>
  <c r="O514"/>
  <c r="P473"/>
  <c r="O419"/>
  <c r="P120"/>
  <c r="P476"/>
  <c r="P259"/>
  <c r="P474"/>
  <c r="P411"/>
  <c r="P325"/>
  <c r="Q47"/>
  <c r="P261"/>
  <c r="P421"/>
  <c r="O311"/>
  <c r="P386"/>
  <c r="O410"/>
  <c r="O122"/>
  <c r="P99"/>
  <c r="P25"/>
  <c r="Q495"/>
  <c r="P124"/>
  <c r="O58"/>
  <c r="O407"/>
  <c r="O483"/>
  <c r="Q240"/>
  <c r="P376"/>
  <c r="P324"/>
  <c r="P185"/>
  <c r="O70"/>
  <c r="O165"/>
  <c r="O134"/>
  <c r="P222"/>
  <c r="O190"/>
  <c r="P63"/>
  <c r="O413"/>
  <c r="O358"/>
  <c r="P359"/>
  <c r="P455"/>
  <c r="O318"/>
  <c r="P358"/>
  <c r="P510"/>
  <c r="P415"/>
  <c r="Q105"/>
  <c r="P181"/>
  <c r="Q492"/>
  <c r="P125"/>
  <c r="O154"/>
  <c r="O408"/>
  <c r="P66"/>
  <c r="P507"/>
  <c r="O186"/>
  <c r="P443"/>
  <c r="O100"/>
  <c r="P517"/>
  <c r="O259"/>
  <c r="O38"/>
  <c r="P191"/>
  <c r="O350"/>
  <c r="P230"/>
  <c r="P286"/>
  <c r="Q432"/>
  <c r="P346"/>
  <c r="P35"/>
  <c r="O25"/>
  <c r="P122"/>
  <c r="P344"/>
  <c r="O253"/>
  <c r="P287"/>
  <c r="O453"/>
  <c r="P294"/>
  <c r="O346"/>
  <c r="P437"/>
  <c r="O250"/>
  <c r="O98"/>
  <c r="O324"/>
  <c r="P484"/>
  <c r="P226"/>
  <c r="O130"/>
  <c r="P250"/>
  <c r="O418"/>
  <c r="P258"/>
  <c r="P103"/>
  <c r="P134"/>
  <c r="O389"/>
  <c r="P475"/>
  <c r="P373"/>
  <c r="P405"/>
  <c r="Q176"/>
  <c r="Q368"/>
  <c r="O482"/>
  <c r="P412"/>
  <c r="O120"/>
  <c r="P197"/>
  <c r="O215"/>
  <c r="P131"/>
  <c r="P31"/>
  <c r="P94"/>
  <c r="O381"/>
  <c r="O446"/>
  <c r="P155"/>
  <c r="P154"/>
  <c r="Q79"/>
  <c r="P85"/>
  <c r="P21"/>
  <c r="Q460"/>
  <c r="Q129"/>
  <c r="P245"/>
  <c r="P501"/>
  <c r="R501" s="1"/>
  <c r="O500"/>
  <c r="Q175"/>
  <c r="P217"/>
  <c r="P442"/>
  <c r="P56"/>
  <c r="P156"/>
  <c r="P441"/>
  <c r="O409"/>
  <c r="O249"/>
  <c r="O258"/>
  <c r="O90"/>
  <c r="P317"/>
  <c r="P419"/>
  <c r="Q303"/>
  <c r="O291"/>
  <c r="P153"/>
  <c r="P389"/>
  <c r="O442"/>
  <c r="O292"/>
  <c r="O24"/>
  <c r="Q399"/>
  <c r="P314"/>
  <c r="P36"/>
  <c r="O88"/>
  <c r="P152"/>
  <c r="R152" s="1"/>
  <c r="O218"/>
  <c r="Q48"/>
  <c r="O315"/>
  <c r="P440"/>
  <c r="P91"/>
  <c r="P228"/>
  <c r="O282"/>
  <c r="P130"/>
  <c r="O61"/>
  <c r="O37"/>
  <c r="O133"/>
  <c r="O261"/>
  <c r="P158"/>
  <c r="P71"/>
  <c r="P223"/>
  <c r="P295"/>
  <c r="P318"/>
  <c r="P262"/>
  <c r="P135"/>
  <c r="O477"/>
  <c r="O518"/>
  <c r="P478"/>
  <c r="O230"/>
  <c r="P414"/>
  <c r="P377"/>
  <c r="P218"/>
  <c r="Q233"/>
  <c r="Q321"/>
  <c r="Q289"/>
  <c r="O84"/>
  <c r="Q44"/>
  <c r="P291"/>
  <c r="P60"/>
  <c r="O28"/>
  <c r="Q272"/>
  <c r="O387"/>
  <c r="O56"/>
  <c r="Q208"/>
  <c r="Q112"/>
  <c r="O484"/>
  <c r="O227"/>
  <c r="P92"/>
  <c r="P281"/>
  <c r="O440"/>
  <c r="O344"/>
  <c r="P194"/>
  <c r="P127"/>
  <c r="P167"/>
  <c r="O445"/>
  <c r="Q329"/>
  <c r="P251"/>
  <c r="O247"/>
  <c r="P483"/>
  <c r="P100"/>
  <c r="O475"/>
  <c r="Q49"/>
  <c r="O504"/>
  <c r="O194"/>
  <c r="O29"/>
  <c r="P326"/>
  <c r="P198"/>
  <c r="P446"/>
  <c r="P121"/>
  <c r="Q463"/>
  <c r="O468"/>
  <c r="P284"/>
  <c r="O183"/>
  <c r="Q144"/>
  <c r="O516"/>
  <c r="P184"/>
  <c r="O345"/>
  <c r="O162"/>
  <c r="Q464"/>
  <c r="O89"/>
  <c r="P30"/>
  <c r="R30" s="1"/>
  <c r="P166"/>
  <c r="P350"/>
  <c r="P277"/>
  <c r="O151"/>
  <c r="O375"/>
  <c r="O503"/>
  <c r="O439"/>
  <c r="Q201"/>
  <c r="O20"/>
  <c r="Q361"/>
  <c r="O340"/>
  <c r="Q268"/>
  <c r="Q425"/>
  <c r="Q161"/>
  <c r="O280"/>
  <c r="Q335"/>
  <c r="P379"/>
  <c r="P450"/>
  <c r="O386"/>
  <c r="O473"/>
  <c r="O153"/>
  <c r="Q239"/>
  <c r="O196"/>
  <c r="P349"/>
  <c r="Q81"/>
  <c r="P381"/>
  <c r="O121"/>
  <c r="P187"/>
  <c r="O57"/>
  <c r="O283"/>
  <c r="P354"/>
  <c r="Q113"/>
  <c r="P515"/>
  <c r="Q145"/>
  <c r="P282"/>
  <c r="O124"/>
  <c r="P472"/>
  <c r="P482"/>
  <c r="P98"/>
  <c r="P418"/>
  <c r="P356"/>
  <c r="O441"/>
  <c r="Q431"/>
  <c r="O316"/>
  <c r="P219"/>
  <c r="O34"/>
  <c r="O94"/>
  <c r="P70"/>
  <c r="R70" s="1"/>
  <c r="O197"/>
  <c r="O262"/>
  <c r="O286"/>
  <c r="P319"/>
  <c r="O166"/>
  <c r="O421"/>
  <c r="O390"/>
  <c r="P391"/>
  <c r="P519"/>
  <c r="O293"/>
  <c r="O349"/>
  <c r="P518"/>
  <c r="P511"/>
  <c r="O486"/>
  <c r="P504"/>
  <c r="O60"/>
  <c r="Q137"/>
  <c r="P410"/>
  <c r="O248"/>
  <c r="O290"/>
  <c r="Q336"/>
  <c r="P24"/>
  <c r="P253"/>
  <c r="P248"/>
  <c r="P409"/>
  <c r="O354"/>
  <c r="P67"/>
  <c r="O157"/>
  <c r="O126"/>
  <c r="O325"/>
  <c r="P351"/>
  <c r="P479"/>
  <c r="P422"/>
  <c r="O380"/>
  <c r="P88"/>
  <c r="P345"/>
  <c r="P26"/>
  <c r="Q433"/>
  <c r="O30"/>
  <c r="P327"/>
  <c r="P231"/>
  <c r="P454"/>
  <c r="O312"/>
  <c r="Q108"/>
  <c r="Q465"/>
  <c r="P315"/>
  <c r="P509"/>
  <c r="O471"/>
  <c r="O216"/>
  <c r="Q111"/>
  <c r="P506"/>
  <c r="P38"/>
  <c r="P199"/>
  <c r="O285"/>
  <c r="P390"/>
  <c r="P89"/>
  <c r="Q513"/>
  <c r="Q297"/>
  <c r="P485"/>
  <c r="P27"/>
  <c r="O388"/>
  <c r="P451"/>
  <c r="P313"/>
  <c r="P516"/>
  <c r="O314"/>
  <c r="O221"/>
  <c r="P126"/>
  <c r="P263"/>
  <c r="P95"/>
  <c r="O224"/>
  <c r="O330"/>
  <c r="O360"/>
  <c r="O136"/>
  <c r="P392"/>
  <c r="P32"/>
  <c r="P128"/>
  <c r="P257"/>
  <c r="O256"/>
  <c r="O91"/>
  <c r="P165"/>
  <c r="P28"/>
  <c r="P188"/>
  <c r="P132"/>
  <c r="O68"/>
  <c r="O252"/>
  <c r="Q241"/>
  <c r="P445"/>
  <c r="P380"/>
  <c r="O127"/>
  <c r="P33"/>
  <c r="O455"/>
  <c r="P288"/>
  <c r="P107"/>
  <c r="O298"/>
  <c r="O263"/>
  <c r="O167"/>
  <c r="O74"/>
  <c r="P171"/>
  <c r="O520"/>
  <c r="P521"/>
  <c r="O415"/>
  <c r="P73"/>
  <c r="O232"/>
  <c r="P425"/>
  <c r="P296"/>
  <c r="P252"/>
  <c r="P420"/>
  <c r="O188"/>
  <c r="P480"/>
  <c r="O288"/>
  <c r="O42"/>
  <c r="P512"/>
  <c r="O106"/>
  <c r="P444"/>
  <c r="O104"/>
  <c r="O479"/>
  <c r="P225"/>
  <c r="P168"/>
  <c r="P266"/>
  <c r="O219"/>
  <c r="O228"/>
  <c r="O27"/>
  <c r="O424"/>
  <c r="P161"/>
  <c r="P320"/>
  <c r="P395"/>
  <c r="O40"/>
  <c r="P193"/>
  <c r="P235"/>
  <c r="O99"/>
  <c r="O195"/>
  <c r="P96"/>
  <c r="O392"/>
  <c r="O191"/>
  <c r="P352"/>
  <c r="O512"/>
  <c r="P448"/>
  <c r="O135"/>
  <c r="P363"/>
  <c r="P394"/>
  <c r="O423"/>
  <c r="O319"/>
  <c r="Q497"/>
  <c r="P388"/>
  <c r="O323"/>
  <c r="O69"/>
  <c r="P229"/>
  <c r="P93"/>
  <c r="O59"/>
  <c r="O281"/>
  <c r="Q401"/>
  <c r="O412"/>
  <c r="O379"/>
  <c r="P72"/>
  <c r="O519"/>
  <c r="P329"/>
  <c r="O362"/>
  <c r="P331"/>
  <c r="P264"/>
  <c r="R264" s="1"/>
  <c r="O264"/>
  <c r="O31"/>
  <c r="O138"/>
  <c r="P490"/>
  <c r="O426"/>
  <c r="P202"/>
  <c r="O95"/>
  <c r="P234"/>
  <c r="O255"/>
  <c r="Q305"/>
  <c r="O102"/>
  <c r="P220"/>
  <c r="O287"/>
  <c r="O394"/>
  <c r="O192"/>
  <c r="O234"/>
  <c r="O266"/>
  <c r="P413"/>
  <c r="P361"/>
  <c r="P192"/>
  <c r="O456"/>
  <c r="P362"/>
  <c r="P201"/>
  <c r="P101"/>
  <c r="O416"/>
  <c r="P385"/>
  <c r="P65"/>
  <c r="P449"/>
  <c r="O328"/>
  <c r="P489"/>
  <c r="P508"/>
  <c r="P221"/>
  <c r="P42"/>
  <c r="P41"/>
  <c r="P40"/>
  <c r="P160"/>
  <c r="P456"/>
  <c r="P416"/>
  <c r="R416" s="1"/>
  <c r="P426"/>
  <c r="P458"/>
  <c r="O327"/>
  <c r="P138"/>
  <c r="O260"/>
  <c r="O71"/>
  <c r="O443"/>
  <c r="O163"/>
  <c r="O505"/>
  <c r="O507"/>
  <c r="O508"/>
  <c r="O92"/>
  <c r="P37"/>
  <c r="P321"/>
  <c r="P232"/>
  <c r="O64"/>
  <c r="P481"/>
  <c r="O170"/>
  <c r="P43"/>
  <c r="P513"/>
  <c r="O295"/>
  <c r="P137"/>
  <c r="O168"/>
  <c r="O351"/>
  <c r="O383"/>
  <c r="P64"/>
  <c r="P328"/>
  <c r="P488"/>
  <c r="P522"/>
  <c r="O231"/>
  <c r="P417"/>
  <c r="O159"/>
  <c r="O72"/>
  <c r="P293"/>
  <c r="P260"/>
  <c r="P292"/>
  <c r="O284"/>
  <c r="O185"/>
  <c r="Q177"/>
  <c r="R177" s="1"/>
  <c r="Q529"/>
  <c r="P384"/>
  <c r="O511"/>
  <c r="O128"/>
  <c r="O458"/>
  <c r="O359"/>
  <c r="O36"/>
  <c r="P189"/>
  <c r="P520"/>
  <c r="P139"/>
  <c r="P459"/>
  <c r="O223"/>
  <c r="O320"/>
  <c r="O39"/>
  <c r="P169"/>
  <c r="R169" s="1"/>
  <c r="O411"/>
  <c r="O155"/>
  <c r="P200"/>
  <c r="O488"/>
  <c r="P289"/>
  <c r="O160"/>
  <c r="O32"/>
  <c r="P69"/>
  <c r="P106"/>
  <c r="P393"/>
  <c r="O487"/>
  <c r="P299"/>
  <c r="O296"/>
  <c r="P104"/>
  <c r="P523"/>
  <c r="P256"/>
  <c r="P330"/>
  <c r="O96"/>
  <c r="O200"/>
  <c r="O451"/>
  <c r="P452"/>
  <c r="O420"/>
  <c r="P348"/>
  <c r="O131"/>
  <c r="O132"/>
  <c r="P157"/>
  <c r="P68"/>
  <c r="O515"/>
  <c r="O352"/>
  <c r="P424"/>
  <c r="P457"/>
  <c r="P203"/>
  <c r="O490"/>
  <c r="P136"/>
  <c r="O202"/>
  <c r="O391"/>
  <c r="P267"/>
  <c r="P170"/>
  <c r="O384"/>
  <c r="O447"/>
  <c r="P353"/>
  <c r="P233"/>
  <c r="O480"/>
  <c r="O199"/>
  <c r="P357"/>
  <c r="P316"/>
  <c r="O67"/>
  <c r="O35"/>
  <c r="P360"/>
  <c r="P224"/>
  <c r="P297"/>
  <c r="P164"/>
  <c r="P97"/>
  <c r="P265"/>
  <c r="O448"/>
  <c r="O63"/>
  <c r="P427"/>
  <c r="Q209"/>
  <c r="Q337"/>
  <c r="O522"/>
  <c r="P298"/>
  <c r="P491"/>
  <c r="O103"/>
  <c r="P75"/>
  <c r="P285"/>
  <c r="P29"/>
  <c r="P74"/>
  <c r="P105"/>
  <c r="P129"/>
  <c r="O270"/>
  <c r="P463"/>
  <c r="P268"/>
  <c r="O301"/>
  <c r="O204"/>
  <c r="O237"/>
  <c r="P207"/>
  <c r="P525"/>
  <c r="P143"/>
  <c r="P238"/>
  <c r="O45"/>
  <c r="O523"/>
  <c r="O110"/>
  <c r="P46"/>
  <c r="O265"/>
  <c r="O492"/>
  <c r="P269"/>
  <c r="O363"/>
  <c r="P236"/>
  <c r="P332"/>
  <c r="O208"/>
  <c r="O432"/>
  <c r="O176"/>
  <c r="P398"/>
  <c r="O366"/>
  <c r="O397"/>
  <c r="P109"/>
  <c r="O334"/>
  <c r="O97"/>
  <c r="O257"/>
  <c r="O464"/>
  <c r="O368"/>
  <c r="P465"/>
  <c r="O239"/>
  <c r="P272"/>
  <c r="O527"/>
  <c r="O433"/>
  <c r="P144"/>
  <c r="P368"/>
  <c r="P336"/>
  <c r="O297"/>
  <c r="P270"/>
  <c r="P303"/>
  <c r="O73"/>
  <c r="P206"/>
  <c r="P45"/>
  <c r="O493"/>
  <c r="O489"/>
  <c r="O141"/>
  <c r="O78"/>
  <c r="O44"/>
  <c r="O206"/>
  <c r="P174"/>
  <c r="O526"/>
  <c r="O353"/>
  <c r="O459"/>
  <c r="P333"/>
  <c r="P364"/>
  <c r="O300"/>
  <c r="O108"/>
  <c r="P369"/>
  <c r="O241"/>
  <c r="O465"/>
  <c r="O76"/>
  <c r="P300"/>
  <c r="P108"/>
  <c r="O75"/>
  <c r="O203"/>
  <c r="O41"/>
  <c r="P172"/>
  <c r="P528"/>
  <c r="P208"/>
  <c r="P497"/>
  <c r="O431"/>
  <c r="P529"/>
  <c r="O529"/>
  <c r="O81"/>
  <c r="O399"/>
  <c r="P240"/>
  <c r="O513"/>
  <c r="O169"/>
  <c r="O430"/>
  <c r="P205"/>
  <c r="O43"/>
  <c r="P524"/>
  <c r="O236"/>
  <c r="O109"/>
  <c r="P302"/>
  <c r="P47"/>
  <c r="O321"/>
  <c r="P239"/>
  <c r="O365"/>
  <c r="P494"/>
  <c r="O425"/>
  <c r="O364"/>
  <c r="O417"/>
  <c r="O267"/>
  <c r="O395"/>
  <c r="P173"/>
  <c r="O273"/>
  <c r="O272"/>
  <c r="O335"/>
  <c r="O207"/>
  <c r="P334"/>
  <c r="P175"/>
  <c r="O393"/>
  <c r="O289"/>
  <c r="P493"/>
  <c r="O233"/>
  <c r="O495"/>
  <c r="O528"/>
  <c r="O112"/>
  <c r="O305"/>
  <c r="O497"/>
  <c r="O401"/>
  <c r="P145"/>
  <c r="O47"/>
  <c r="P400"/>
  <c r="P526"/>
  <c r="O77"/>
  <c r="O525"/>
  <c r="O172"/>
  <c r="P335"/>
  <c r="O137"/>
  <c r="P76"/>
  <c r="O269"/>
  <c r="O329"/>
  <c r="P527"/>
  <c r="O299"/>
  <c r="P140"/>
  <c r="O65"/>
  <c r="P430"/>
  <c r="P460"/>
  <c r="P492"/>
  <c r="P397"/>
  <c r="O268"/>
  <c r="P301"/>
  <c r="O140"/>
  <c r="O113"/>
  <c r="O144"/>
  <c r="P209"/>
  <c r="E135" i="26"/>
  <c r="E138"/>
  <c r="E134"/>
  <c r="E146"/>
  <c r="E139"/>
  <c r="E151"/>
  <c r="E162"/>
  <c r="E150"/>
  <c r="E155"/>
  <c r="E154"/>
  <c r="B83"/>
  <c r="B82"/>
  <c r="D175"/>
  <c r="D176" s="1"/>
  <c r="D178"/>
  <c r="R419" i="41" l="1"/>
  <c r="S419" s="1"/>
  <c r="E141" i="26"/>
  <c r="R436" i="41"/>
  <c r="S436" s="1"/>
  <c r="U436" s="1"/>
  <c r="R469"/>
  <c r="S469" s="1"/>
  <c r="U469" s="1"/>
  <c r="R387"/>
  <c r="S387" s="1"/>
  <c r="U387" s="1"/>
  <c r="R247"/>
  <c r="S247" s="1"/>
  <c r="C200" i="26"/>
  <c r="R488" i="41"/>
  <c r="S488" s="1"/>
  <c r="R388"/>
  <c r="S388" s="1"/>
  <c r="U388" s="1"/>
  <c r="R253"/>
  <c r="S253" s="1"/>
  <c r="R148"/>
  <c r="S148" s="1"/>
  <c r="R65"/>
  <c r="S65" s="1"/>
  <c r="U65" s="1"/>
  <c r="R211"/>
  <c r="S211" s="1"/>
  <c r="U211" s="1"/>
  <c r="R322"/>
  <c r="S322" s="1"/>
  <c r="U322" s="1"/>
  <c r="R218"/>
  <c r="S218" s="1"/>
  <c r="U218" s="1"/>
  <c r="E157" i="26"/>
  <c r="B85"/>
  <c r="B87" s="1"/>
  <c r="R139" i="41"/>
  <c r="S139" s="1"/>
  <c r="T1012"/>
  <c r="R423"/>
  <c r="S423" s="1"/>
  <c r="R405"/>
  <c r="S405" s="1"/>
  <c r="U405" s="1"/>
  <c r="R202"/>
  <c r="S202" s="1"/>
  <c r="R477"/>
  <c r="S477" s="1"/>
  <c r="U477" s="1"/>
  <c r="R191"/>
  <c r="S191" s="1"/>
  <c r="U191" s="1"/>
  <c r="R156"/>
  <c r="S156" s="1"/>
  <c r="R232"/>
  <c r="S232" s="1"/>
  <c r="R513"/>
  <c r="S513" s="1"/>
  <c r="R361"/>
  <c r="S361" s="1"/>
  <c r="R261"/>
  <c r="S261" s="1"/>
  <c r="U261" s="1"/>
  <c r="R276"/>
  <c r="S276" s="1"/>
  <c r="R516"/>
  <c r="S516" s="1"/>
  <c r="U516" s="1"/>
  <c r="R91"/>
  <c r="S91" s="1"/>
  <c r="U91" s="1"/>
  <c r="R26"/>
  <c r="S26" s="1"/>
  <c r="R37"/>
  <c r="S37" s="1"/>
  <c r="S183"/>
  <c r="U183" s="1"/>
  <c r="V183" s="1"/>
  <c r="R203"/>
  <c r="S203" s="1"/>
  <c r="R459"/>
  <c r="S459" s="1"/>
  <c r="U459" s="1"/>
  <c r="R456"/>
  <c r="S456" s="1"/>
  <c r="U456" s="1"/>
  <c r="V456" s="1"/>
  <c r="R122"/>
  <c r="S122" s="1"/>
  <c r="U122" s="1"/>
  <c r="V122" s="1"/>
  <c r="R296"/>
  <c r="S296" s="1"/>
  <c r="R97"/>
  <c r="S97" s="1"/>
  <c r="U97" s="1"/>
  <c r="R295"/>
  <c r="S295" s="1"/>
  <c r="G3" i="30"/>
  <c r="B7" i="26" s="1"/>
  <c r="R282" i="41"/>
  <c r="S282" s="1"/>
  <c r="U282" s="1"/>
  <c r="R275"/>
  <c r="S275" s="1"/>
  <c r="U275" s="1"/>
  <c r="R455"/>
  <c r="S455" s="1"/>
  <c r="R381"/>
  <c r="S381" s="1"/>
  <c r="U381" s="1"/>
  <c r="V381" s="1"/>
  <c r="T775"/>
  <c r="T1042"/>
  <c r="T964"/>
  <c r="T581"/>
  <c r="R199"/>
  <c r="S199" s="1"/>
  <c r="U199" s="1"/>
  <c r="T974"/>
  <c r="T1060"/>
  <c r="T706"/>
  <c r="T878"/>
  <c r="T1007"/>
  <c r="T738"/>
  <c r="T607"/>
  <c r="T824"/>
  <c r="T939"/>
  <c r="T1016"/>
  <c r="T1001"/>
  <c r="U1001"/>
  <c r="V1001" s="1"/>
  <c r="T585"/>
  <c r="U585"/>
  <c r="V585" s="1"/>
  <c r="T814"/>
  <c r="U814"/>
  <c r="V814" s="1"/>
  <c r="U850"/>
  <c r="V850" s="1"/>
  <c r="T702"/>
  <c r="U702"/>
  <c r="V702" s="1"/>
  <c r="T1041"/>
  <c r="U1041"/>
  <c r="V1041" s="1"/>
  <c r="T573"/>
  <c r="U573"/>
  <c r="V573" s="1"/>
  <c r="T586"/>
  <c r="U586"/>
  <c r="V586" s="1"/>
  <c r="T818"/>
  <c r="U818"/>
  <c r="V818" s="1"/>
  <c r="U979"/>
  <c r="V979" s="1"/>
  <c r="T623"/>
  <c r="U623"/>
  <c r="V623" s="1"/>
  <c r="U646"/>
  <c r="V646" s="1"/>
  <c r="U678"/>
  <c r="V678" s="1"/>
  <c r="T879"/>
  <c r="U879"/>
  <c r="V879" s="1"/>
  <c r="T1046"/>
  <c r="U1046"/>
  <c r="V1046" s="1"/>
  <c r="U1054"/>
  <c r="V1054" s="1"/>
  <c r="T792"/>
  <c r="U792"/>
  <c r="V792" s="1"/>
  <c r="U800"/>
  <c r="V800" s="1"/>
  <c r="T986"/>
  <c r="U986"/>
  <c r="V986" s="1"/>
  <c r="T966"/>
  <c r="U966"/>
  <c r="V966" s="1"/>
  <c r="T1047"/>
  <c r="U1047"/>
  <c r="V1047" s="1"/>
  <c r="U953"/>
  <c r="V953" s="1"/>
  <c r="T672"/>
  <c r="U672"/>
  <c r="V672" s="1"/>
  <c r="T761"/>
  <c r="U761"/>
  <c r="V761" s="1"/>
  <c r="T749"/>
  <c r="U749"/>
  <c r="V749" s="1"/>
  <c r="U1030"/>
  <c r="V1030" s="1"/>
  <c r="T843"/>
  <c r="U843"/>
  <c r="V843" s="1"/>
  <c r="T1002"/>
  <c r="U1002"/>
  <c r="V1002" s="1"/>
  <c r="T621"/>
  <c r="U621"/>
  <c r="V621" s="1"/>
  <c r="T558"/>
  <c r="U558"/>
  <c r="V558" s="1"/>
  <c r="U733"/>
  <c r="V733" s="1"/>
  <c r="T938"/>
  <c r="U938"/>
  <c r="V938" s="1"/>
  <c r="T948"/>
  <c r="U948"/>
  <c r="V948" s="1"/>
  <c r="U739"/>
  <c r="V739" s="1"/>
  <c r="U903"/>
  <c r="V903" s="1"/>
  <c r="T924"/>
  <c r="U924"/>
  <c r="V924" s="1"/>
  <c r="T635"/>
  <c r="U635"/>
  <c r="V635" s="1"/>
  <c r="T981"/>
  <c r="U981"/>
  <c r="V981" s="1"/>
  <c r="T1056"/>
  <c r="U1056"/>
  <c r="V1056" s="1"/>
  <c r="U890"/>
  <c r="V890" s="1"/>
  <c r="U1045"/>
  <c r="V1045" s="1"/>
  <c r="U869"/>
  <c r="V869" s="1"/>
  <c r="T593"/>
  <c r="U593"/>
  <c r="V593" s="1"/>
  <c r="U959"/>
  <c r="V959" s="1"/>
  <c r="T772"/>
  <c r="U772"/>
  <c r="V772" s="1"/>
  <c r="U870"/>
  <c r="V870" s="1"/>
  <c r="U805"/>
  <c r="V805" s="1"/>
  <c r="U1034"/>
  <c r="V1034" s="1"/>
  <c r="T634"/>
  <c r="U634"/>
  <c r="V634" s="1"/>
  <c r="T913"/>
  <c r="U913"/>
  <c r="V913" s="1"/>
  <c r="U1008"/>
  <c r="V1008" s="1"/>
  <c r="U767"/>
  <c r="V767" s="1"/>
  <c r="U616"/>
  <c r="V616" s="1"/>
  <c r="U1017"/>
  <c r="V1017" s="1"/>
  <c r="U926"/>
  <c r="V926" s="1"/>
  <c r="U605"/>
  <c r="V605" s="1"/>
  <c r="U873"/>
  <c r="V873" s="1"/>
  <c r="T729"/>
  <c r="U729"/>
  <c r="V729" s="1"/>
  <c r="U658"/>
  <c r="V658" s="1"/>
  <c r="U962"/>
  <c r="V962" s="1"/>
  <c r="T707"/>
  <c r="U707"/>
  <c r="V707" s="1"/>
  <c r="U650"/>
  <c r="V650" s="1"/>
  <c r="U1003"/>
  <c r="V1003" s="1"/>
  <c r="T627"/>
  <c r="U627"/>
  <c r="V627" s="1"/>
  <c r="U652"/>
  <c r="V652" s="1"/>
  <c r="T695"/>
  <c r="U695"/>
  <c r="V695" s="1"/>
  <c r="U934"/>
  <c r="V934" s="1"/>
  <c r="T812"/>
  <c r="U812"/>
  <c r="V812" s="1"/>
  <c r="T664"/>
  <c r="U664"/>
  <c r="V664" s="1"/>
  <c r="T784"/>
  <c r="U784"/>
  <c r="V784" s="1"/>
  <c r="U835"/>
  <c r="V835" s="1"/>
  <c r="U731"/>
  <c r="V731" s="1"/>
  <c r="T785"/>
  <c r="U785"/>
  <c r="V785" s="1"/>
  <c r="T669"/>
  <c r="U669"/>
  <c r="V669" s="1"/>
  <c r="U778"/>
  <c r="V778" s="1"/>
  <c r="T659"/>
  <c r="U659"/>
  <c r="V659" s="1"/>
  <c r="T910"/>
  <c r="U910"/>
  <c r="V910" s="1"/>
  <c r="U860"/>
  <c r="V860" s="1"/>
  <c r="T1000"/>
  <c r="U1000"/>
  <c r="V1000" s="1"/>
  <c r="U564"/>
  <c r="V564" s="1"/>
  <c r="U1028"/>
  <c r="V1028" s="1"/>
  <c r="U871"/>
  <c r="V871" s="1"/>
  <c r="T823"/>
  <c r="U823"/>
  <c r="V823" s="1"/>
  <c r="T557"/>
  <c r="U557"/>
  <c r="V557" s="1"/>
  <c r="T576"/>
  <c r="U576"/>
  <c r="V576" s="1"/>
  <c r="U933"/>
  <c r="V933" s="1"/>
  <c r="T644"/>
  <c r="U644"/>
  <c r="V644" s="1"/>
  <c r="T1052"/>
  <c r="U1052"/>
  <c r="V1052" s="1"/>
  <c r="U1058"/>
  <c r="V1058" s="1"/>
  <c r="T614"/>
  <c r="U614"/>
  <c r="V614" s="1"/>
  <c r="U833"/>
  <c r="V833" s="1"/>
  <c r="T834"/>
  <c r="U834"/>
  <c r="V834" s="1"/>
  <c r="T744"/>
  <c r="U744"/>
  <c r="V744" s="1"/>
  <c r="T853"/>
  <c r="U853"/>
  <c r="V853" s="1"/>
  <c r="T965"/>
  <c r="U965"/>
  <c r="V965" s="1"/>
  <c r="U996"/>
  <c r="V996" s="1"/>
  <c r="T915"/>
  <c r="U915"/>
  <c r="V915" s="1"/>
  <c r="T671"/>
  <c r="U671"/>
  <c r="V671" s="1"/>
  <c r="T925"/>
  <c r="U925"/>
  <c r="V925" s="1"/>
  <c r="U1035"/>
  <c r="V1035" s="1"/>
  <c r="T578"/>
  <c r="U578"/>
  <c r="V578" s="1"/>
  <c r="U845"/>
  <c r="V845" s="1"/>
  <c r="U888"/>
  <c r="V888" s="1"/>
  <c r="U838"/>
  <c r="V838" s="1"/>
  <c r="T1062"/>
  <c r="U1062"/>
  <c r="V1062" s="1"/>
  <c r="T909"/>
  <c r="U909"/>
  <c r="V909" s="1"/>
  <c r="T783"/>
  <c r="U783"/>
  <c r="V783" s="1"/>
  <c r="T1044"/>
  <c r="U1044"/>
  <c r="V1044" s="1"/>
  <c r="U901"/>
  <c r="V901" s="1"/>
  <c r="T685"/>
  <c r="U685"/>
  <c r="V685" s="1"/>
  <c r="U677"/>
  <c r="V677" s="1"/>
  <c r="U774"/>
  <c r="V774" s="1"/>
  <c r="T719"/>
  <c r="U719"/>
  <c r="V719" s="1"/>
  <c r="U894"/>
  <c r="V894" s="1"/>
  <c r="T715"/>
  <c r="U715"/>
  <c r="V715" s="1"/>
  <c r="U893"/>
  <c r="V893" s="1"/>
  <c r="U883"/>
  <c r="V883" s="1"/>
  <c r="T1023"/>
  <c r="U1023"/>
  <c r="V1023" s="1"/>
  <c r="T809"/>
  <c r="U809"/>
  <c r="V809" s="1"/>
  <c r="U567"/>
  <c r="V567" s="1"/>
  <c r="T602"/>
  <c r="U602"/>
  <c r="V602" s="1"/>
  <c r="U631"/>
  <c r="V631" s="1"/>
  <c r="T657"/>
  <c r="U657"/>
  <c r="V657" s="1"/>
  <c r="U606"/>
  <c r="V606" s="1"/>
  <c r="U837"/>
  <c r="V837" s="1"/>
  <c r="U1061"/>
  <c r="V1061" s="1"/>
  <c r="U806"/>
  <c r="V806" s="1"/>
  <c r="T936"/>
  <c r="U936"/>
  <c r="V936" s="1"/>
  <c r="U1029"/>
  <c r="V1029" s="1"/>
  <c r="U862"/>
  <c r="V862" s="1"/>
  <c r="U857"/>
  <c r="V857" s="1"/>
  <c r="U683"/>
  <c r="V683" s="1"/>
  <c r="T848"/>
  <c r="U848"/>
  <c r="V848" s="1"/>
  <c r="T633"/>
  <c r="U633"/>
  <c r="V633" s="1"/>
  <c r="T662"/>
  <c r="U662"/>
  <c r="V662" s="1"/>
  <c r="U905"/>
  <c r="V905" s="1"/>
  <c r="U1053"/>
  <c r="V1053" s="1"/>
  <c r="U791"/>
  <c r="V791" s="1"/>
  <c r="U999"/>
  <c r="V999" s="1"/>
  <c r="U751"/>
  <c r="V751" s="1"/>
  <c r="U952"/>
  <c r="V952" s="1"/>
  <c r="T726"/>
  <c r="U726"/>
  <c r="V726" s="1"/>
  <c r="T827"/>
  <c r="U827"/>
  <c r="V827" s="1"/>
  <c r="U793"/>
  <c r="V793" s="1"/>
  <c r="U773"/>
  <c r="V773" s="1"/>
  <c r="U665"/>
  <c r="V665" s="1"/>
  <c r="U765"/>
  <c r="V765" s="1"/>
  <c r="T559"/>
  <c r="U559"/>
  <c r="V559" s="1"/>
  <c r="U849"/>
  <c r="V849" s="1"/>
  <c r="T637"/>
  <c r="U637"/>
  <c r="V637" s="1"/>
  <c r="U553"/>
  <c r="V553" s="1"/>
  <c r="T1037"/>
  <c r="U1037"/>
  <c r="V1037" s="1"/>
  <c r="T929"/>
  <c r="U929"/>
  <c r="V929" s="1"/>
  <c r="U912"/>
  <c r="V912" s="1"/>
  <c r="U839"/>
  <c r="V839" s="1"/>
  <c r="T696"/>
  <c r="U696"/>
  <c r="V696" s="1"/>
  <c r="U582"/>
  <c r="V582" s="1"/>
  <c r="T589"/>
  <c r="U589"/>
  <c r="V589" s="1"/>
  <c r="U902"/>
  <c r="V902" s="1"/>
  <c r="T998"/>
  <c r="U998"/>
  <c r="V998" s="1"/>
  <c r="U935"/>
  <c r="V935" s="1"/>
  <c r="U813"/>
  <c r="V813" s="1"/>
  <c r="T566"/>
  <c r="U566"/>
  <c r="V566" s="1"/>
  <c r="T613"/>
  <c r="U613"/>
  <c r="V613" s="1"/>
  <c r="T904"/>
  <c r="U904"/>
  <c r="V904" s="1"/>
  <c r="T944"/>
  <c r="U944"/>
  <c r="V944" s="1"/>
  <c r="T949"/>
  <c r="U949"/>
  <c r="V949" s="1"/>
  <c r="T969"/>
  <c r="U969"/>
  <c r="V969" s="1"/>
  <c r="T615"/>
  <c r="U615"/>
  <c r="V615" s="1"/>
  <c r="T856"/>
  <c r="U856"/>
  <c r="V856" s="1"/>
  <c r="U919"/>
  <c r="V919" s="1"/>
  <c r="T895"/>
  <c r="U895"/>
  <c r="V895" s="1"/>
  <c r="T777"/>
  <c r="U777"/>
  <c r="V777" s="1"/>
  <c r="U846"/>
  <c r="V846" s="1"/>
  <c r="U636"/>
  <c r="V636" s="1"/>
  <c r="U1033"/>
  <c r="V1033" s="1"/>
  <c r="U691"/>
  <c r="V691" s="1"/>
  <c r="T993"/>
  <c r="U993"/>
  <c r="V993" s="1"/>
  <c r="T709"/>
  <c r="U709"/>
  <c r="V709" s="1"/>
  <c r="T673"/>
  <c r="U673"/>
  <c r="V673" s="1"/>
  <c r="T1004"/>
  <c r="U1004"/>
  <c r="V1004" s="1"/>
  <c r="T645"/>
  <c r="U645"/>
  <c r="V645" s="1"/>
  <c r="T997"/>
  <c r="U997"/>
  <c r="V997" s="1"/>
  <c r="T903"/>
  <c r="R330"/>
  <c r="S330" s="1"/>
  <c r="R189"/>
  <c r="S189" s="1"/>
  <c r="R394"/>
  <c r="S394" s="1"/>
  <c r="T677"/>
  <c r="T905"/>
  <c r="T1058"/>
  <c r="R429"/>
  <c r="S429" s="1"/>
  <c r="S177"/>
  <c r="T850"/>
  <c r="R496"/>
  <c r="S496" s="1"/>
  <c r="T1034"/>
  <c r="T901"/>
  <c r="T751"/>
  <c r="T741"/>
  <c r="V741"/>
  <c r="T1029"/>
  <c r="R176"/>
  <c r="S176" s="1"/>
  <c r="R528"/>
  <c r="S528" s="1"/>
  <c r="R252"/>
  <c r="S252" s="1"/>
  <c r="R99"/>
  <c r="S99" s="1"/>
  <c r="R325"/>
  <c r="S325" s="1"/>
  <c r="R370"/>
  <c r="S370" s="1"/>
  <c r="R366"/>
  <c r="S366" s="1"/>
  <c r="R372"/>
  <c r="S372" s="1"/>
  <c r="R118"/>
  <c r="S118" s="1"/>
  <c r="U118" s="1"/>
  <c r="T952"/>
  <c r="T833"/>
  <c r="R49"/>
  <c r="S49" s="1"/>
  <c r="R93"/>
  <c r="S93" s="1"/>
  <c r="R128"/>
  <c r="S128" s="1"/>
  <c r="U128" s="1"/>
  <c r="S501"/>
  <c r="R186"/>
  <c r="S186" s="1"/>
  <c r="R196"/>
  <c r="S196" s="1"/>
  <c r="R255"/>
  <c r="S255" s="1"/>
  <c r="U255" s="1"/>
  <c r="R433"/>
  <c r="S433" s="1"/>
  <c r="U433" s="1"/>
  <c r="R465"/>
  <c r="S465" s="1"/>
  <c r="R461"/>
  <c r="S461" s="1"/>
  <c r="R80"/>
  <c r="S80" s="1"/>
  <c r="R337"/>
  <c r="S337" s="1"/>
  <c r="T871"/>
  <c r="T778"/>
  <c r="T658"/>
  <c r="T935"/>
  <c r="T996"/>
  <c r="R462"/>
  <c r="S462" s="1"/>
  <c r="T839"/>
  <c r="R464"/>
  <c r="S464" s="1"/>
  <c r="R365"/>
  <c r="S365" s="1"/>
  <c r="V742"/>
  <c r="T742"/>
  <c r="V1022"/>
  <c r="T1022"/>
  <c r="T976"/>
  <c r="V976"/>
  <c r="R81"/>
  <c r="S81" s="1"/>
  <c r="U81" s="1"/>
  <c r="T862"/>
  <c r="T665"/>
  <c r="T926"/>
  <c r="R431"/>
  <c r="S431" s="1"/>
  <c r="T616"/>
  <c r="T890"/>
  <c r="T845"/>
  <c r="T1033"/>
  <c r="R241"/>
  <c r="S241" s="1"/>
  <c r="U241" s="1"/>
  <c r="R112"/>
  <c r="S112" s="1"/>
  <c r="U112" s="1"/>
  <c r="T1017"/>
  <c r="T888"/>
  <c r="T1030"/>
  <c r="R293"/>
  <c r="S293" s="1"/>
  <c r="U293" s="1"/>
  <c r="R504"/>
  <c r="S504" s="1"/>
  <c r="R250"/>
  <c r="S250" s="1"/>
  <c r="U250" s="1"/>
  <c r="R141"/>
  <c r="S141" s="1"/>
  <c r="T606"/>
  <c r="T885"/>
  <c r="V885"/>
  <c r="R284"/>
  <c r="S284" s="1"/>
  <c r="R216"/>
  <c r="S216" s="1"/>
  <c r="U216" s="1"/>
  <c r="R50"/>
  <c r="S50" s="1"/>
  <c r="U50" s="1"/>
  <c r="T733"/>
  <c r="R239"/>
  <c r="S239" s="1"/>
  <c r="U239" s="1"/>
  <c r="R222"/>
  <c r="S222" s="1"/>
  <c r="U222" s="1"/>
  <c r="R404"/>
  <c r="S404" s="1"/>
  <c r="U404" s="1"/>
  <c r="R45"/>
  <c r="S45" s="1"/>
  <c r="U45" s="1"/>
  <c r="R525"/>
  <c r="S525" s="1"/>
  <c r="U525" s="1"/>
  <c r="R160"/>
  <c r="S160" s="1"/>
  <c r="U160" s="1"/>
  <c r="R490"/>
  <c r="S490" s="1"/>
  <c r="U490" s="1"/>
  <c r="R230"/>
  <c r="S230" s="1"/>
  <c r="U230" s="1"/>
  <c r="R25"/>
  <c r="S25" s="1"/>
  <c r="U25" s="1"/>
  <c r="R311"/>
  <c r="S311" s="1"/>
  <c r="U311" s="1"/>
  <c r="T893"/>
  <c r="T919"/>
  <c r="T691"/>
  <c r="T791"/>
  <c r="R161"/>
  <c r="S161" s="1"/>
  <c r="U161" s="1"/>
  <c r="R319"/>
  <c r="S319" s="1"/>
  <c r="U319" s="1"/>
  <c r="R121"/>
  <c r="S121" s="1"/>
  <c r="U121" s="1"/>
  <c r="R127"/>
  <c r="S127" s="1"/>
  <c r="U127" s="1"/>
  <c r="R223"/>
  <c r="S223" s="1"/>
  <c r="U223" s="1"/>
  <c r="R155"/>
  <c r="S155" s="1"/>
  <c r="U155" s="1"/>
  <c r="R443"/>
  <c r="S443" s="1"/>
  <c r="U443" s="1"/>
  <c r="T999"/>
  <c r="T838"/>
  <c r="R29"/>
  <c r="S29" s="1"/>
  <c r="U29" s="1"/>
  <c r="R480"/>
  <c r="S480" s="1"/>
  <c r="S375"/>
  <c r="R167"/>
  <c r="S167" s="1"/>
  <c r="U167" s="1"/>
  <c r="R447"/>
  <c r="S447" s="1"/>
  <c r="U447" s="1"/>
  <c r="R123"/>
  <c r="S123" s="1"/>
  <c r="R407"/>
  <c r="S407" s="1"/>
  <c r="U407" s="1"/>
  <c r="R500"/>
  <c r="S500" s="1"/>
  <c r="U500" s="1"/>
  <c r="T739"/>
  <c r="T1003"/>
  <c r="T962"/>
  <c r="R221"/>
  <c r="S221" s="1"/>
  <c r="U221" s="1"/>
  <c r="R468"/>
  <c r="S468" s="1"/>
  <c r="R175"/>
  <c r="S175" s="1"/>
  <c r="R165"/>
  <c r="S165" s="1"/>
  <c r="R51"/>
  <c r="S51" s="1"/>
  <c r="U51" s="1"/>
  <c r="T837"/>
  <c r="R491"/>
  <c r="S491" s="1"/>
  <c r="R424"/>
  <c r="S424" s="1"/>
  <c r="R292"/>
  <c r="S292" s="1"/>
  <c r="U292" s="1"/>
  <c r="R138"/>
  <c r="S138" s="1"/>
  <c r="U138" s="1"/>
  <c r="R379"/>
  <c r="S379" s="1"/>
  <c r="U379" s="1"/>
  <c r="R166"/>
  <c r="S166" s="1"/>
  <c r="U166" s="1"/>
  <c r="R440"/>
  <c r="S440" s="1"/>
  <c r="R399"/>
  <c r="S399" s="1"/>
  <c r="R312"/>
  <c r="S312" s="1"/>
  <c r="T652"/>
  <c r="T793"/>
  <c r="T883"/>
  <c r="R92"/>
  <c r="S92" s="1"/>
  <c r="R217"/>
  <c r="S217" s="1"/>
  <c r="U217" s="1"/>
  <c r="R204"/>
  <c r="S204" s="1"/>
  <c r="R173"/>
  <c r="S173" s="1"/>
  <c r="R31"/>
  <c r="S31" s="1"/>
  <c r="T631"/>
  <c r="R140"/>
  <c r="S140" s="1"/>
  <c r="T869"/>
  <c r="R335"/>
  <c r="S335" s="1"/>
  <c r="U335" s="1"/>
  <c r="R348"/>
  <c r="S348" s="1"/>
  <c r="U348" s="1"/>
  <c r="R522"/>
  <c r="S522" s="1"/>
  <c r="R171"/>
  <c r="S171" s="1"/>
  <c r="R33"/>
  <c r="S33" s="1"/>
  <c r="R188"/>
  <c r="S188" s="1"/>
  <c r="U188" s="1"/>
  <c r="R450"/>
  <c r="S450" s="1"/>
  <c r="R158"/>
  <c r="S158" s="1"/>
  <c r="R344"/>
  <c r="S344" s="1"/>
  <c r="U344" s="1"/>
  <c r="R376"/>
  <c r="S376" s="1"/>
  <c r="R162"/>
  <c r="S162" s="1"/>
  <c r="R115"/>
  <c r="S115" s="1"/>
  <c r="R19"/>
  <c r="S19" s="1"/>
  <c r="U19" s="1"/>
  <c r="T767"/>
  <c r="T553"/>
  <c r="T1053"/>
  <c r="R79"/>
  <c r="S79" s="1"/>
  <c r="R273"/>
  <c r="S273" s="1"/>
  <c r="T732"/>
  <c r="V732"/>
  <c r="V699"/>
  <c r="T699"/>
  <c r="T951"/>
  <c r="V951"/>
  <c r="T916"/>
  <c r="V916"/>
  <c r="T796"/>
  <c r="V796"/>
  <c r="T849"/>
  <c r="T934"/>
  <c r="T564"/>
  <c r="R428"/>
  <c r="S428" s="1"/>
  <c r="T636"/>
  <c r="T857"/>
  <c r="T800"/>
  <c r="T959"/>
  <c r="T1008"/>
  <c r="T582"/>
  <c r="R460"/>
  <c r="S460" s="1"/>
  <c r="R46"/>
  <c r="S46" s="1"/>
  <c r="R523"/>
  <c r="S523" s="1"/>
  <c r="U523" s="1"/>
  <c r="R40"/>
  <c r="S40" s="1"/>
  <c r="U40" s="1"/>
  <c r="R392"/>
  <c r="S392" s="1"/>
  <c r="R111"/>
  <c r="S111" s="1"/>
  <c r="R454"/>
  <c r="S454" s="1"/>
  <c r="R410"/>
  <c r="S410" s="1"/>
  <c r="R350"/>
  <c r="S350" s="1"/>
  <c r="R507"/>
  <c r="S507" s="1"/>
  <c r="U507" s="1"/>
  <c r="R18"/>
  <c r="S18" s="1"/>
  <c r="U18" s="1"/>
  <c r="R306"/>
  <c r="S306" s="1"/>
  <c r="T1054"/>
  <c r="T650"/>
  <c r="T661"/>
  <c r="V661"/>
  <c r="V863"/>
  <c r="T863"/>
  <c r="T774"/>
  <c r="R272"/>
  <c r="S272" s="1"/>
  <c r="T1061"/>
  <c r="T806"/>
  <c r="R38"/>
  <c r="S38" s="1"/>
  <c r="R495"/>
  <c r="S495" s="1"/>
  <c r="S61"/>
  <c r="R396"/>
  <c r="S396" s="1"/>
  <c r="T933"/>
  <c r="T805"/>
  <c r="T1028"/>
  <c r="T1045"/>
  <c r="R110"/>
  <c r="S110" s="1"/>
  <c r="T804"/>
  <c r="V804"/>
  <c r="T876"/>
  <c r="V876"/>
  <c r="T684"/>
  <c r="V684"/>
  <c r="T628"/>
  <c r="V628"/>
  <c r="V748"/>
  <c r="T748"/>
  <c r="V892"/>
  <c r="T892"/>
  <c r="T1026"/>
  <c r="V1026"/>
  <c r="V950"/>
  <c r="T950"/>
  <c r="V798"/>
  <c r="T798"/>
  <c r="V995"/>
  <c r="T995"/>
  <c r="T813"/>
  <c r="R96"/>
  <c r="S96" s="1"/>
  <c r="R286"/>
  <c r="S286" s="1"/>
  <c r="R320"/>
  <c r="S320" s="1"/>
  <c r="U320" s="1"/>
  <c r="R475"/>
  <c r="S475" s="1"/>
  <c r="U475" s="1"/>
  <c r="R23"/>
  <c r="S23" s="1"/>
  <c r="U23" s="1"/>
  <c r="T1035"/>
  <c r="T953"/>
  <c r="T860"/>
  <c r="T731"/>
  <c r="R430"/>
  <c r="S430" s="1"/>
  <c r="U430" s="1"/>
  <c r="R47"/>
  <c r="S47" s="1"/>
  <c r="U47" s="1"/>
  <c r="R269"/>
  <c r="S269" s="1"/>
  <c r="R331"/>
  <c r="S331" s="1"/>
  <c r="R24"/>
  <c r="S24" s="1"/>
  <c r="R467"/>
  <c r="S467" s="1"/>
  <c r="T846"/>
  <c r="T912"/>
  <c r="T979"/>
  <c r="R237"/>
  <c r="S237" s="1"/>
  <c r="T835"/>
  <c r="T567"/>
  <c r="T803"/>
  <c r="V803"/>
  <c r="R213"/>
  <c r="S213" s="1"/>
  <c r="R208"/>
  <c r="S208" s="1"/>
  <c r="R290"/>
  <c r="S290" s="1"/>
  <c r="U290" s="1"/>
  <c r="R105"/>
  <c r="S105" s="1"/>
  <c r="R164"/>
  <c r="S164" s="1"/>
  <c r="R299"/>
  <c r="S299" s="1"/>
  <c r="U299" s="1"/>
  <c r="R64"/>
  <c r="S64" s="1"/>
  <c r="U64" s="1"/>
  <c r="R458"/>
  <c r="S458" s="1"/>
  <c r="U458" s="1"/>
  <c r="R234"/>
  <c r="S234" s="1"/>
  <c r="U234" s="1"/>
  <c r="S264"/>
  <c r="R401"/>
  <c r="S401" s="1"/>
  <c r="R445"/>
  <c r="S445" s="1"/>
  <c r="R390"/>
  <c r="S390" s="1"/>
  <c r="R354"/>
  <c r="S354" s="1"/>
  <c r="U354" s="1"/>
  <c r="R48"/>
  <c r="S48" s="1"/>
  <c r="R35"/>
  <c r="S35" s="1"/>
  <c r="U35" s="1"/>
  <c r="R408"/>
  <c r="S408" s="1"/>
  <c r="U408" s="1"/>
  <c r="R77"/>
  <c r="S77" s="1"/>
  <c r="U77" s="1"/>
  <c r="R342"/>
  <c r="S342" s="1"/>
  <c r="U342" s="1"/>
  <c r="T683"/>
  <c r="T765"/>
  <c r="V740"/>
  <c r="T740"/>
  <c r="T894"/>
  <c r="R285"/>
  <c r="S285" s="1"/>
  <c r="R417"/>
  <c r="S417" s="1"/>
  <c r="U417" s="1"/>
  <c r="R27"/>
  <c r="S27" s="1"/>
  <c r="U27" s="1"/>
  <c r="R287"/>
  <c r="S287" s="1"/>
  <c r="U287" s="1"/>
  <c r="R219"/>
  <c r="S219" s="1"/>
  <c r="U219" s="1"/>
  <c r="T646"/>
  <c r="R492"/>
  <c r="S492" s="1"/>
  <c r="R400"/>
  <c r="S400" s="1"/>
  <c r="R205"/>
  <c r="S205" s="1"/>
  <c r="R529"/>
  <c r="S529" s="1"/>
  <c r="R452"/>
  <c r="S452" s="1"/>
  <c r="U452" s="1"/>
  <c r="R113"/>
  <c r="S113" s="1"/>
  <c r="U113" s="1"/>
  <c r="R281"/>
  <c r="S281" s="1"/>
  <c r="R21"/>
  <c r="S21" s="1"/>
  <c r="R304"/>
  <c r="S304" s="1"/>
  <c r="R367"/>
  <c r="S367" s="1"/>
  <c r="R78"/>
  <c r="S78" s="1"/>
  <c r="R22"/>
  <c r="S22" s="1"/>
  <c r="U22" s="1"/>
  <c r="T605"/>
  <c r="T873"/>
  <c r="R432"/>
  <c r="S432" s="1"/>
  <c r="V643"/>
  <c r="T643"/>
  <c r="V701"/>
  <c r="T701"/>
  <c r="T989"/>
  <c r="V989"/>
  <c r="V982"/>
  <c r="T982"/>
  <c r="R44"/>
  <c r="S44" s="1"/>
  <c r="U44" s="1"/>
  <c r="R393"/>
  <c r="S393" s="1"/>
  <c r="U393" s="1"/>
  <c r="R489"/>
  <c r="S489" s="1"/>
  <c r="U489" s="1"/>
  <c r="R332"/>
  <c r="S332" s="1"/>
  <c r="R316"/>
  <c r="S316" s="1"/>
  <c r="U316" s="1"/>
  <c r="R41"/>
  <c r="S41" s="1"/>
  <c r="U41" s="1"/>
  <c r="R448"/>
  <c r="S448" s="1"/>
  <c r="U448" s="1"/>
  <c r="R231"/>
  <c r="S231" s="1"/>
  <c r="U231" s="1"/>
  <c r="R409"/>
  <c r="S409" s="1"/>
  <c r="R519"/>
  <c r="S519" s="1"/>
  <c r="U519" s="1"/>
  <c r="R326"/>
  <c r="S326" s="1"/>
  <c r="U326" s="1"/>
  <c r="R94"/>
  <c r="S94" s="1"/>
  <c r="U94" s="1"/>
  <c r="R411"/>
  <c r="S411" s="1"/>
  <c r="U411" s="1"/>
  <c r="R514"/>
  <c r="S514" s="1"/>
  <c r="U514" s="1"/>
  <c r="R254"/>
  <c r="S254" s="1"/>
  <c r="R62"/>
  <c r="S62" s="1"/>
  <c r="U62" s="1"/>
  <c r="R142"/>
  <c r="S142" s="1"/>
  <c r="R470"/>
  <c r="S470" s="1"/>
  <c r="U470" s="1"/>
  <c r="R150"/>
  <c r="S150" s="1"/>
  <c r="R434"/>
  <c r="S434" s="1"/>
  <c r="R502"/>
  <c r="S502" s="1"/>
  <c r="R271"/>
  <c r="S271" s="1"/>
  <c r="T836"/>
  <c r="V836"/>
  <c r="T820"/>
  <c r="V820"/>
  <c r="V604"/>
  <c r="T604"/>
  <c r="T660"/>
  <c r="V660"/>
  <c r="T788"/>
  <c r="V788"/>
  <c r="T692"/>
  <c r="V692"/>
  <c r="V668"/>
  <c r="T668"/>
  <c r="T918"/>
  <c r="V918"/>
  <c r="V928"/>
  <c r="T928"/>
  <c r="T971"/>
  <c r="V971"/>
  <c r="V1006"/>
  <c r="T1006"/>
  <c r="T821"/>
  <c r="V821"/>
  <c r="T612"/>
  <c r="V612"/>
  <c r="T630"/>
  <c r="V630"/>
  <c r="V723"/>
  <c r="T723"/>
  <c r="T1032"/>
  <c r="V1032"/>
  <c r="V1049"/>
  <c r="T1049"/>
  <c r="V880"/>
  <c r="T880"/>
  <c r="T771"/>
  <c r="V771"/>
  <c r="V917"/>
  <c r="T917"/>
  <c r="T736"/>
  <c r="V736"/>
  <c r="T565"/>
  <c r="V565"/>
  <c r="T985"/>
  <c r="V985"/>
  <c r="T810"/>
  <c r="V810"/>
  <c r="T594"/>
  <c r="V594"/>
  <c r="V972"/>
  <c r="T972"/>
  <c r="V591"/>
  <c r="T591"/>
  <c r="T900"/>
  <c r="V900"/>
  <c r="T737"/>
  <c r="V737"/>
  <c r="T961"/>
  <c r="V961"/>
  <c r="V686"/>
  <c r="T686"/>
  <c r="T898"/>
  <c r="V898"/>
  <c r="V764"/>
  <c r="T764"/>
  <c r="T717"/>
  <c r="V717"/>
  <c r="T552"/>
  <c r="V552"/>
  <c r="T826"/>
  <c r="V826"/>
  <c r="T963"/>
  <c r="V963"/>
  <c r="T960"/>
  <c r="V960"/>
  <c r="V647"/>
  <c r="T647"/>
  <c r="T954"/>
  <c r="V954"/>
  <c r="V940"/>
  <c r="T940"/>
  <c r="T1036"/>
  <c r="V1036"/>
  <c r="V992"/>
  <c r="T992"/>
  <c r="V724"/>
  <c r="T724"/>
  <c r="T770"/>
  <c r="V770"/>
  <c r="V840"/>
  <c r="T840"/>
  <c r="T980"/>
  <c r="V980"/>
  <c r="V769"/>
  <c r="T769"/>
  <c r="T956"/>
  <c r="V956"/>
  <c r="V906"/>
  <c r="T906"/>
  <c r="T562"/>
  <c r="V562"/>
  <c r="V689"/>
  <c r="T689"/>
  <c r="V866"/>
  <c r="T866"/>
  <c r="T674"/>
  <c r="V674"/>
  <c r="V958"/>
  <c r="T958"/>
  <c r="T666"/>
  <c r="V666"/>
  <c r="T988"/>
  <c r="V988"/>
  <c r="V987"/>
  <c r="T987"/>
  <c r="V756"/>
  <c r="T756"/>
  <c r="V584"/>
  <c r="T584"/>
  <c r="V722"/>
  <c r="T722"/>
  <c r="V592"/>
  <c r="T592"/>
  <c r="V654"/>
  <c r="T654"/>
  <c r="T721"/>
  <c r="V721"/>
  <c r="V927"/>
  <c r="T927"/>
  <c r="V574"/>
  <c r="T574"/>
  <c r="V716"/>
  <c r="T716"/>
  <c r="T955"/>
  <c r="V955"/>
  <c r="V656"/>
  <c r="T656"/>
  <c r="V908"/>
  <c r="T908"/>
  <c r="V745"/>
  <c r="T745"/>
  <c r="V841"/>
  <c r="T841"/>
  <c r="T825"/>
  <c r="V825"/>
  <c r="V588"/>
  <c r="T588"/>
  <c r="T930"/>
  <c r="V930"/>
  <c r="T587"/>
  <c r="V587"/>
  <c r="T881"/>
  <c r="V881"/>
  <c r="V923"/>
  <c r="T923"/>
  <c r="T655"/>
  <c r="V655"/>
  <c r="T590"/>
  <c r="V590"/>
  <c r="V931"/>
  <c r="T931"/>
  <c r="T801"/>
  <c r="V801"/>
  <c r="T648"/>
  <c r="V648"/>
  <c r="V698"/>
  <c r="T698"/>
  <c r="T705"/>
  <c r="V705"/>
  <c r="T703"/>
  <c r="V703"/>
  <c r="R58"/>
  <c r="S58" s="1"/>
  <c r="U58" s="1"/>
  <c r="R374"/>
  <c r="S374" s="1"/>
  <c r="U374" s="1"/>
  <c r="R52"/>
  <c r="S52" s="1"/>
  <c r="U52" s="1"/>
  <c r="T678"/>
  <c r="R143"/>
  <c r="S143" s="1"/>
  <c r="R265"/>
  <c r="S265" s="1"/>
  <c r="U265" s="1"/>
  <c r="R170"/>
  <c r="S170" s="1"/>
  <c r="R104"/>
  <c r="S104" s="1"/>
  <c r="R385"/>
  <c r="S385" s="1"/>
  <c r="R413"/>
  <c r="S413" s="1"/>
  <c r="R305"/>
  <c r="S305" s="1"/>
  <c r="R235"/>
  <c r="S235" s="1"/>
  <c r="R28"/>
  <c r="S28" s="1"/>
  <c r="R422"/>
  <c r="S422" s="1"/>
  <c r="R356"/>
  <c r="S356" s="1"/>
  <c r="R515"/>
  <c r="S515" s="1"/>
  <c r="U515" s="1"/>
  <c r="R56"/>
  <c r="S56" s="1"/>
  <c r="R258"/>
  <c r="S258" s="1"/>
  <c r="R66"/>
  <c r="S66" s="1"/>
  <c r="R510"/>
  <c r="S510" s="1"/>
  <c r="R159"/>
  <c r="S159" s="1"/>
  <c r="U159" s="1"/>
  <c r="R283"/>
  <c r="S283" s="1"/>
  <c r="R383"/>
  <c r="S383" s="1"/>
  <c r="U383" s="1"/>
  <c r="R90"/>
  <c r="S90" s="1"/>
  <c r="R20"/>
  <c r="S20" s="1"/>
  <c r="S182"/>
  <c r="R84"/>
  <c r="S84" s="1"/>
  <c r="U84" s="1"/>
  <c r="R310"/>
  <c r="S310" s="1"/>
  <c r="R244"/>
  <c r="S244" s="1"/>
  <c r="T720"/>
  <c r="V720"/>
  <c r="V899"/>
  <c r="T899"/>
  <c r="T922"/>
  <c r="V922"/>
  <c r="V653"/>
  <c r="T653"/>
  <c r="V754"/>
  <c r="T754"/>
  <c r="V779"/>
  <c r="T779"/>
  <c r="T941"/>
  <c r="V941"/>
  <c r="T681"/>
  <c r="V681"/>
  <c r="T700"/>
  <c r="V700"/>
  <c r="T1031"/>
  <c r="V1031"/>
  <c r="V858"/>
  <c r="T858"/>
  <c r="V601"/>
  <c r="T601"/>
  <c r="V831"/>
  <c r="T831"/>
  <c r="V991"/>
  <c r="T991"/>
  <c r="V1055"/>
  <c r="T1055"/>
  <c r="T746"/>
  <c r="V746"/>
  <c r="T815"/>
  <c r="V815"/>
  <c r="T1011"/>
  <c r="V1011"/>
  <c r="T797"/>
  <c r="V797"/>
  <c r="T694"/>
  <c r="V694"/>
  <c r="V872"/>
  <c r="T872"/>
  <c r="V571"/>
  <c r="T571"/>
  <c r="V1050"/>
  <c r="T1050"/>
  <c r="V752"/>
  <c r="T752"/>
  <c r="V896"/>
  <c r="T896"/>
  <c r="T1059"/>
  <c r="V1059"/>
  <c r="T676"/>
  <c r="V676"/>
  <c r="V1015"/>
  <c r="T1015"/>
  <c r="T1051"/>
  <c r="V1051"/>
  <c r="T639"/>
  <c r="V639"/>
  <c r="V851"/>
  <c r="T851"/>
  <c r="V747"/>
  <c r="T747"/>
  <c r="T907"/>
  <c r="V907"/>
  <c r="T855"/>
  <c r="V855"/>
  <c r="V569"/>
  <c r="T569"/>
  <c r="V610"/>
  <c r="T610"/>
  <c r="V766"/>
  <c r="T766"/>
  <c r="V875"/>
  <c r="T875"/>
  <c r="V730"/>
  <c r="T730"/>
  <c r="V718"/>
  <c r="T718"/>
  <c r="V984"/>
  <c r="T984"/>
  <c r="T786"/>
  <c r="V786"/>
  <c r="V619"/>
  <c r="T619"/>
  <c r="T816"/>
  <c r="V816"/>
  <c r="T994"/>
  <c r="V994"/>
  <c r="T625"/>
  <c r="V625"/>
  <c r="T808"/>
  <c r="V808"/>
  <c r="T1005"/>
  <c r="V1005"/>
  <c r="V799"/>
  <c r="T799"/>
  <c r="V577"/>
  <c r="T577"/>
  <c r="T1057"/>
  <c r="V1057"/>
  <c r="V811"/>
  <c r="T811"/>
  <c r="T560"/>
  <c r="V560"/>
  <c r="V579"/>
  <c r="T579"/>
  <c r="V817"/>
  <c r="T817"/>
  <c r="V651"/>
  <c r="T651"/>
  <c r="T889"/>
  <c r="V889"/>
  <c r="T563"/>
  <c r="V563"/>
  <c r="T943"/>
  <c r="V943"/>
  <c r="T854"/>
  <c r="V854"/>
  <c r="V629"/>
  <c r="T629"/>
  <c r="V713"/>
  <c r="T713"/>
  <c r="T760"/>
  <c r="V760"/>
  <c r="V802"/>
  <c r="T802"/>
  <c r="V1038"/>
  <c r="T1038"/>
  <c r="V937"/>
  <c r="T937"/>
  <c r="V714"/>
  <c r="T714"/>
  <c r="V728"/>
  <c r="T728"/>
  <c r="V942"/>
  <c r="T942"/>
  <c r="V580"/>
  <c r="T580"/>
  <c r="T829"/>
  <c r="V829"/>
  <c r="T945"/>
  <c r="V945"/>
  <c r="V844"/>
  <c r="T844"/>
  <c r="V753"/>
  <c r="T753"/>
  <c r="V697"/>
  <c r="T697"/>
  <c r="V641"/>
  <c r="T641"/>
  <c r="T600"/>
  <c r="V600"/>
  <c r="V1009"/>
  <c r="T1009"/>
  <c r="R298"/>
  <c r="S298" s="1"/>
  <c r="R72"/>
  <c r="S72" s="1"/>
  <c r="R314"/>
  <c r="S314" s="1"/>
  <c r="U314" s="1"/>
  <c r="R503"/>
  <c r="S503" s="1"/>
  <c r="U503" s="1"/>
  <c r="R308"/>
  <c r="S308" s="1"/>
  <c r="U308" s="1"/>
  <c r="T870"/>
  <c r="R236"/>
  <c r="S236" s="1"/>
  <c r="R229"/>
  <c r="S229" s="1"/>
  <c r="R363"/>
  <c r="S363" s="1"/>
  <c r="U363" s="1"/>
  <c r="R420"/>
  <c r="S420" s="1"/>
  <c r="U420" s="1"/>
  <c r="R32"/>
  <c r="S32" s="1"/>
  <c r="U32" s="1"/>
  <c r="R126"/>
  <c r="S126" s="1"/>
  <c r="U126" s="1"/>
  <c r="S340"/>
  <c r="R100"/>
  <c r="S100" s="1"/>
  <c r="U100" s="1"/>
  <c r="R412"/>
  <c r="S412" s="1"/>
  <c r="U412" s="1"/>
  <c r="R473"/>
  <c r="S473" s="1"/>
  <c r="U473" s="1"/>
  <c r="R338"/>
  <c r="S338" s="1"/>
  <c r="U338" s="1"/>
  <c r="R243"/>
  <c r="S243" s="1"/>
  <c r="R438"/>
  <c r="S438" s="1"/>
  <c r="U438" s="1"/>
  <c r="T977"/>
  <c r="V977"/>
  <c r="T556"/>
  <c r="V556"/>
  <c r="T638"/>
  <c r="V638"/>
  <c r="T865"/>
  <c r="V865"/>
  <c r="V667"/>
  <c r="T667"/>
  <c r="V734"/>
  <c r="T734"/>
  <c r="V1018"/>
  <c r="T1018"/>
  <c r="V675"/>
  <c r="T675"/>
  <c r="T789"/>
  <c r="V789"/>
  <c r="T776"/>
  <c r="V776"/>
  <c r="V1019"/>
  <c r="T1019"/>
  <c r="V790"/>
  <c r="T790"/>
  <c r="T595"/>
  <c r="V595"/>
  <c r="T842"/>
  <c r="V842"/>
  <c r="V750"/>
  <c r="T750"/>
  <c r="T596"/>
  <c r="V596"/>
  <c r="T781"/>
  <c r="V781"/>
  <c r="T663"/>
  <c r="V663"/>
  <c r="V921"/>
  <c r="T921"/>
  <c r="V624"/>
  <c r="T624"/>
  <c r="T768"/>
  <c r="V768"/>
  <c r="T947"/>
  <c r="V947"/>
  <c r="T877"/>
  <c r="V877"/>
  <c r="V649"/>
  <c r="T649"/>
  <c r="T891"/>
  <c r="V891"/>
  <c r="T780"/>
  <c r="V780"/>
  <c r="V575"/>
  <c r="T575"/>
  <c r="V1027"/>
  <c r="T1027"/>
  <c r="V975"/>
  <c r="T975"/>
  <c r="V967"/>
  <c r="T967"/>
  <c r="V755"/>
  <c r="T755"/>
  <c r="T712"/>
  <c r="V712"/>
  <c r="V555"/>
  <c r="T555"/>
  <c r="V690"/>
  <c r="T690"/>
  <c r="T787"/>
  <c r="V787"/>
  <c r="T597"/>
  <c r="V597"/>
  <c r="V598"/>
  <c r="T598"/>
  <c r="V990"/>
  <c r="T990"/>
  <c r="T807"/>
  <c r="V807"/>
  <c r="V1048"/>
  <c r="T1048"/>
  <c r="T572"/>
  <c r="V572"/>
  <c r="V1010"/>
  <c r="T1010"/>
  <c r="V897"/>
  <c r="T897"/>
  <c r="T920"/>
  <c r="V920"/>
  <c r="V763"/>
  <c r="T763"/>
  <c r="T611"/>
  <c r="V611"/>
  <c r="T735"/>
  <c r="V735"/>
  <c r="V711"/>
  <c r="T711"/>
  <c r="V882"/>
  <c r="T882"/>
  <c r="T983"/>
  <c r="V983"/>
  <c r="V687"/>
  <c r="T687"/>
  <c r="V603"/>
  <c r="T603"/>
  <c r="T1025"/>
  <c r="V1025"/>
  <c r="V708"/>
  <c r="T708"/>
  <c r="V757"/>
  <c r="T757"/>
  <c r="T568"/>
  <c r="V568"/>
  <c r="T822"/>
  <c r="V822"/>
  <c r="V682"/>
  <c r="T682"/>
  <c r="V551"/>
  <c r="T551"/>
  <c r="V570"/>
  <c r="T570"/>
  <c r="R76"/>
  <c r="S76" s="1"/>
  <c r="R103"/>
  <c r="S103" s="1"/>
  <c r="U103" s="1"/>
  <c r="R415"/>
  <c r="S415" s="1"/>
  <c r="U415" s="1"/>
  <c r="R427"/>
  <c r="S427" s="1"/>
  <c r="R360"/>
  <c r="S360" s="1"/>
  <c r="R329"/>
  <c r="S329" s="1"/>
  <c r="U329" s="1"/>
  <c r="R181"/>
  <c r="S181" s="1"/>
  <c r="R210"/>
  <c r="S210" s="1"/>
  <c r="R180"/>
  <c r="S180" s="1"/>
  <c r="U180" s="1"/>
  <c r="R178"/>
  <c r="S178" s="1"/>
  <c r="R246"/>
  <c r="S246" s="1"/>
  <c r="U246" s="1"/>
  <c r="T773"/>
  <c r="R527"/>
  <c r="S527" s="1"/>
  <c r="R302"/>
  <c r="S302" s="1"/>
  <c r="R333"/>
  <c r="S333" s="1"/>
  <c r="R224"/>
  <c r="S224" s="1"/>
  <c r="R233"/>
  <c r="S233" s="1"/>
  <c r="U233" s="1"/>
  <c r="R157"/>
  <c r="S157" s="1"/>
  <c r="U157" s="1"/>
  <c r="S416"/>
  <c r="R472"/>
  <c r="S472" s="1"/>
  <c r="R414"/>
  <c r="S414" s="1"/>
  <c r="R389"/>
  <c r="S389" s="1"/>
  <c r="U389" s="1"/>
  <c r="R154"/>
  <c r="S154" s="1"/>
  <c r="R359"/>
  <c r="S359" s="1"/>
  <c r="U359" s="1"/>
  <c r="R421"/>
  <c r="S421" s="1"/>
  <c r="R34"/>
  <c r="S34" s="1"/>
  <c r="R309"/>
  <c r="S309" s="1"/>
  <c r="S406"/>
  <c r="R403"/>
  <c r="S403" s="1"/>
  <c r="U403" s="1"/>
  <c r="V670"/>
  <c r="T670"/>
  <c r="V970"/>
  <c r="T970"/>
  <c r="V561"/>
  <c r="T561"/>
  <c r="V758"/>
  <c r="T758"/>
  <c r="V693"/>
  <c r="T693"/>
  <c r="T795"/>
  <c r="V795"/>
  <c r="T609"/>
  <c r="V609"/>
  <c r="V867"/>
  <c r="T867"/>
  <c r="V554"/>
  <c r="T554"/>
  <c r="V762"/>
  <c r="T762"/>
  <c r="T688"/>
  <c r="V688"/>
  <c r="V794"/>
  <c r="T794"/>
  <c r="T759"/>
  <c r="V759"/>
  <c r="V884"/>
  <c r="T884"/>
  <c r="T1013"/>
  <c r="V1013"/>
  <c r="T617"/>
  <c r="V617"/>
  <c r="T725"/>
  <c r="V725"/>
  <c r="V859"/>
  <c r="T859"/>
  <c r="V679"/>
  <c r="T679"/>
  <c r="V620"/>
  <c r="T620"/>
  <c r="T642"/>
  <c r="V642"/>
  <c r="T640"/>
  <c r="V640"/>
  <c r="V782"/>
  <c r="T782"/>
  <c r="V1043"/>
  <c r="T1043"/>
  <c r="T632"/>
  <c r="V632"/>
  <c r="V830"/>
  <c r="T830"/>
  <c r="T886"/>
  <c r="V886"/>
  <c r="T583"/>
  <c r="V583"/>
  <c r="V914"/>
  <c r="T914"/>
  <c r="T1039"/>
  <c r="V1039"/>
  <c r="T1014"/>
  <c r="V1014"/>
  <c r="V1020"/>
  <c r="T1020"/>
  <c r="V847"/>
  <c r="T847"/>
  <c r="V932"/>
  <c r="T932"/>
  <c r="T911"/>
  <c r="V911"/>
  <c r="V618"/>
  <c r="T618"/>
  <c r="V973"/>
  <c r="T973"/>
  <c r="V887"/>
  <c r="T887"/>
  <c r="V978"/>
  <c r="T978"/>
  <c r="T704"/>
  <c r="V704"/>
  <c r="T957"/>
  <c r="V957"/>
  <c r="T1024"/>
  <c r="V1024"/>
  <c r="V727"/>
  <c r="T727"/>
  <c r="T861"/>
  <c r="V861"/>
  <c r="T680"/>
  <c r="V680"/>
  <c r="T1021"/>
  <c r="V1021"/>
  <c r="V819"/>
  <c r="T819"/>
  <c r="T874"/>
  <c r="V874"/>
  <c r="V832"/>
  <c r="T832"/>
  <c r="V868"/>
  <c r="T868"/>
  <c r="T743"/>
  <c r="V743"/>
  <c r="T1040"/>
  <c r="V1040"/>
  <c r="T622"/>
  <c r="V622"/>
  <c r="T946"/>
  <c r="V946"/>
  <c r="T626"/>
  <c r="V626"/>
  <c r="V852"/>
  <c r="T852"/>
  <c r="V828"/>
  <c r="T828"/>
  <c r="V599"/>
  <c r="T599"/>
  <c r="V864"/>
  <c r="T864"/>
  <c r="T608"/>
  <c r="V608"/>
  <c r="V968"/>
  <c r="T968"/>
  <c r="R193"/>
  <c r="S193" s="1"/>
  <c r="R494"/>
  <c r="S494" s="1"/>
  <c r="R444"/>
  <c r="S444" s="1"/>
  <c r="R63"/>
  <c r="S63" s="1"/>
  <c r="U63" s="1"/>
  <c r="R487"/>
  <c r="S487" s="1"/>
  <c r="U487" s="1"/>
  <c r="R398"/>
  <c r="S398" s="1"/>
  <c r="R353"/>
  <c r="S353" s="1"/>
  <c r="U353" s="1"/>
  <c r="R263"/>
  <c r="S263" s="1"/>
  <c r="U263" s="1"/>
  <c r="R153"/>
  <c r="S153" s="1"/>
  <c r="R279"/>
  <c r="S279" s="1"/>
  <c r="U279" s="1"/>
  <c r="T902"/>
  <c r="S169"/>
  <c r="U169" s="1"/>
  <c r="R497"/>
  <c r="S497" s="1"/>
  <c r="R300"/>
  <c r="S300" s="1"/>
  <c r="R364"/>
  <c r="S364" s="1"/>
  <c r="R270"/>
  <c r="S270" s="1"/>
  <c r="R74"/>
  <c r="S74" s="1"/>
  <c r="U74" s="1"/>
  <c r="R481"/>
  <c r="S481" s="1"/>
  <c r="U481" s="1"/>
  <c r="R201"/>
  <c r="S201" s="1"/>
  <c r="U201" s="1"/>
  <c r="R73"/>
  <c r="S73" s="1"/>
  <c r="U73" s="1"/>
  <c r="R315"/>
  <c r="S315" s="1"/>
  <c r="R373"/>
  <c r="S373" s="1"/>
  <c r="R517"/>
  <c r="S517" s="1"/>
  <c r="U517" s="1"/>
  <c r="R125"/>
  <c r="S125" s="1"/>
  <c r="U125" s="1"/>
  <c r="R476"/>
  <c r="S476" s="1"/>
  <c r="U476" s="1"/>
  <c r="R133"/>
  <c r="S133" s="1"/>
  <c r="U133" s="1"/>
  <c r="R102"/>
  <c r="S102" s="1"/>
  <c r="U102" s="1"/>
  <c r="R179"/>
  <c r="S179" s="1"/>
  <c r="R341"/>
  <c r="S341" s="1"/>
  <c r="U341" s="1"/>
  <c r="R323"/>
  <c r="S323" s="1"/>
  <c r="U323" s="1"/>
  <c r="R471"/>
  <c r="S471" s="1"/>
  <c r="U471" s="1"/>
  <c r="R86"/>
  <c r="S86" s="1"/>
  <c r="U86" s="1"/>
  <c r="R209"/>
  <c r="S209" s="1"/>
  <c r="R397"/>
  <c r="S397" s="1"/>
  <c r="R526"/>
  <c r="S526" s="1"/>
  <c r="R108"/>
  <c r="S108" s="1"/>
  <c r="R303"/>
  <c r="S303" s="1"/>
  <c r="R109"/>
  <c r="S109" s="1"/>
  <c r="R207"/>
  <c r="S207" s="1"/>
  <c r="R75"/>
  <c r="S75" s="1"/>
  <c r="U75" s="1"/>
  <c r="R256"/>
  <c r="S256" s="1"/>
  <c r="U256" s="1"/>
  <c r="R69"/>
  <c r="S69" s="1"/>
  <c r="U69" s="1"/>
  <c r="R137"/>
  <c r="S137" s="1"/>
  <c r="U137" s="1"/>
  <c r="R321"/>
  <c r="S321" s="1"/>
  <c r="U321" s="1"/>
  <c r="R449"/>
  <c r="S449" s="1"/>
  <c r="U449" s="1"/>
  <c r="R192"/>
  <c r="S192" s="1"/>
  <c r="U192" s="1"/>
  <c r="R220"/>
  <c r="S220" s="1"/>
  <c r="U220" s="1"/>
  <c r="R132"/>
  <c r="S132" s="1"/>
  <c r="U132" s="1"/>
  <c r="R485"/>
  <c r="S485" s="1"/>
  <c r="U485" s="1"/>
  <c r="R506"/>
  <c r="S506" s="1"/>
  <c r="U506" s="1"/>
  <c r="R88"/>
  <c r="S88" s="1"/>
  <c r="U88" s="1"/>
  <c r="R67"/>
  <c r="S67" s="1"/>
  <c r="U67" s="1"/>
  <c r="R277"/>
  <c r="S277" s="1"/>
  <c r="U277" s="1"/>
  <c r="R184"/>
  <c r="S184" s="1"/>
  <c r="U184" s="1"/>
  <c r="R446"/>
  <c r="S446" s="1"/>
  <c r="U446" s="1"/>
  <c r="R194"/>
  <c r="S194" s="1"/>
  <c r="U194" s="1"/>
  <c r="R478"/>
  <c r="S478" s="1"/>
  <c r="U478" s="1"/>
  <c r="R71"/>
  <c r="S71" s="1"/>
  <c r="U71" s="1"/>
  <c r="R228"/>
  <c r="S228" s="1"/>
  <c r="U228" s="1"/>
  <c r="R36"/>
  <c r="S36" s="1"/>
  <c r="U36" s="1"/>
  <c r="R441"/>
  <c r="S441" s="1"/>
  <c r="U441" s="1"/>
  <c r="R245"/>
  <c r="S245" s="1"/>
  <c r="U245" s="1"/>
  <c r="R134"/>
  <c r="S134" s="1"/>
  <c r="U134" s="1"/>
  <c r="R324"/>
  <c r="S324" s="1"/>
  <c r="U324" s="1"/>
  <c r="R382"/>
  <c r="S382" s="1"/>
  <c r="U382" s="1"/>
  <c r="R190"/>
  <c r="S190" s="1"/>
  <c r="U190" s="1"/>
  <c r="R486"/>
  <c r="S486" s="1"/>
  <c r="U486" s="1"/>
  <c r="R347"/>
  <c r="S347" s="1"/>
  <c r="U347" s="1"/>
  <c r="R149"/>
  <c r="S149" s="1"/>
  <c r="U149" s="1"/>
  <c r="R339"/>
  <c r="S339" s="1"/>
  <c r="U339" s="1"/>
  <c r="R55"/>
  <c r="S55" s="1"/>
  <c r="U55" s="1"/>
  <c r="R483"/>
  <c r="S483" s="1"/>
  <c r="U483" s="1"/>
  <c r="R106"/>
  <c r="S106" s="1"/>
  <c r="U106" s="1"/>
  <c r="R288"/>
  <c r="S288" s="1"/>
  <c r="U288" s="1"/>
  <c r="R345"/>
  <c r="S345" s="1"/>
  <c r="U345" s="1"/>
  <c r="R187"/>
  <c r="S187" s="1"/>
  <c r="U187" s="1"/>
  <c r="R185"/>
  <c r="S185" s="1"/>
  <c r="U185" s="1"/>
  <c r="R82"/>
  <c r="S82" s="1"/>
  <c r="U82" s="1"/>
  <c r="R362"/>
  <c r="S362" s="1"/>
  <c r="U362" s="1"/>
  <c r="R225"/>
  <c r="S225" s="1"/>
  <c r="U225" s="1"/>
  <c r="R107"/>
  <c r="S107" s="1"/>
  <c r="U107" s="1"/>
  <c r="R147"/>
  <c r="S147" s="1"/>
  <c r="U147" s="1"/>
  <c r="R54"/>
  <c r="S54" s="1"/>
  <c r="U54" s="1"/>
  <c r="R524"/>
  <c r="S524" s="1"/>
  <c r="R369"/>
  <c r="S369" s="1"/>
  <c r="R144"/>
  <c r="S144" s="1"/>
  <c r="U144" s="1"/>
  <c r="R238"/>
  <c r="S238" s="1"/>
  <c r="R463"/>
  <c r="S463" s="1"/>
  <c r="R297"/>
  <c r="S297" s="1"/>
  <c r="U297" s="1"/>
  <c r="R68"/>
  <c r="S68" s="1"/>
  <c r="U68" s="1"/>
  <c r="R200"/>
  <c r="S200" s="1"/>
  <c r="U200" s="1"/>
  <c r="R384"/>
  <c r="S384" s="1"/>
  <c r="U384" s="1"/>
  <c r="S505"/>
  <c r="U505" s="1"/>
  <c r="R426"/>
  <c r="S426" s="1"/>
  <c r="U426" s="1"/>
  <c r="R508"/>
  <c r="S508" s="1"/>
  <c r="U508" s="1"/>
  <c r="R395"/>
  <c r="S395" s="1"/>
  <c r="U395" s="1"/>
  <c r="R168"/>
  <c r="S168" s="1"/>
  <c r="U168" s="1"/>
  <c r="R451"/>
  <c r="S451" s="1"/>
  <c r="U451" s="1"/>
  <c r="R482"/>
  <c r="S482" s="1"/>
  <c r="U482" s="1"/>
  <c r="R60"/>
  <c r="S60" s="1"/>
  <c r="U60" s="1"/>
  <c r="R377"/>
  <c r="S377" s="1"/>
  <c r="U377" s="1"/>
  <c r="R318"/>
  <c r="S318" s="1"/>
  <c r="U318" s="1"/>
  <c r="R294"/>
  <c r="S294" s="1"/>
  <c r="U294" s="1"/>
  <c r="R346"/>
  <c r="S346" s="1"/>
  <c r="U346" s="1"/>
  <c r="R195"/>
  <c r="S195" s="1"/>
  <c r="U195" s="1"/>
  <c r="R280"/>
  <c r="S280" s="1"/>
  <c r="U280" s="1"/>
  <c r="R59"/>
  <c r="S59" s="1"/>
  <c r="U59" s="1"/>
  <c r="R117"/>
  <c r="S117" s="1"/>
  <c r="U117" s="1"/>
  <c r="R435"/>
  <c r="S435" s="1"/>
  <c r="U435" s="1"/>
  <c r="R146"/>
  <c r="S146" s="1"/>
  <c r="U146" s="1"/>
  <c r="R215"/>
  <c r="S215" s="1"/>
  <c r="U215" s="1"/>
  <c r="R274"/>
  <c r="S274" s="1"/>
  <c r="U274" s="1"/>
  <c r="R119"/>
  <c r="S119" s="1"/>
  <c r="U119" s="1"/>
  <c r="R457"/>
  <c r="S457" s="1"/>
  <c r="U457" s="1"/>
  <c r="R198"/>
  <c r="S198" s="1"/>
  <c r="U198" s="1"/>
  <c r="R518"/>
  <c r="S518" s="1"/>
  <c r="U518" s="1"/>
  <c r="R484"/>
  <c r="S484" s="1"/>
  <c r="U484" s="1"/>
  <c r="S499"/>
  <c r="U499" s="1"/>
  <c r="R206"/>
  <c r="S206" s="1"/>
  <c r="U206" s="1"/>
  <c r="R95"/>
  <c r="S95" s="1"/>
  <c r="U95" s="1"/>
  <c r="R291"/>
  <c r="S291" s="1"/>
  <c r="U291" s="1"/>
  <c r="R130"/>
  <c r="S130" s="1"/>
  <c r="U130" s="1"/>
  <c r="R226"/>
  <c r="S226" s="1"/>
  <c r="U226" s="1"/>
  <c r="R120"/>
  <c r="S120" s="1"/>
  <c r="U120" s="1"/>
  <c r="R249"/>
  <c r="S249" s="1"/>
  <c r="U249" s="1"/>
  <c r="R151"/>
  <c r="S151" s="1"/>
  <c r="U151" s="1"/>
  <c r="R172"/>
  <c r="S172" s="1"/>
  <c r="R368"/>
  <c r="S368" s="1"/>
  <c r="R268"/>
  <c r="S268" s="1"/>
  <c r="R101"/>
  <c r="S101" s="1"/>
  <c r="U101" s="1"/>
  <c r="R352"/>
  <c r="S352" s="1"/>
  <c r="U352" s="1"/>
  <c r="R266"/>
  <c r="S266" s="1"/>
  <c r="U266" s="1"/>
  <c r="R313"/>
  <c r="S313" s="1"/>
  <c r="U313" s="1"/>
  <c r="R509"/>
  <c r="S509" s="1"/>
  <c r="U509" s="1"/>
  <c r="R351"/>
  <c r="S351" s="1"/>
  <c r="U351" s="1"/>
  <c r="R98"/>
  <c r="S98" s="1"/>
  <c r="U98" s="1"/>
  <c r="S439"/>
  <c r="U439" s="1"/>
  <c r="R262"/>
  <c r="S262" s="1"/>
  <c r="U262" s="1"/>
  <c r="R85"/>
  <c r="S85" s="1"/>
  <c r="U85" s="1"/>
  <c r="R131"/>
  <c r="S131" s="1"/>
  <c r="U131" s="1"/>
  <c r="R386"/>
  <c r="S386" s="1"/>
  <c r="U386" s="1"/>
  <c r="R259"/>
  <c r="S259" s="1"/>
  <c r="U259" s="1"/>
  <c r="S355"/>
  <c r="U355" s="1"/>
  <c r="R453"/>
  <c r="S453" s="1"/>
  <c r="U453" s="1"/>
  <c r="R116"/>
  <c r="S116" s="1"/>
  <c r="U116" s="1"/>
  <c r="S83"/>
  <c r="U83" s="1"/>
  <c r="R278"/>
  <c r="S278" s="1"/>
  <c r="U278" s="1"/>
  <c r="R114"/>
  <c r="S114" s="1"/>
  <c r="U114" s="1"/>
  <c r="R334"/>
  <c r="S334" s="1"/>
  <c r="U334" s="1"/>
  <c r="R521"/>
  <c r="S521" s="1"/>
  <c r="U521" s="1"/>
  <c r="R53"/>
  <c r="S53" s="1"/>
  <c r="U53" s="1"/>
  <c r="R371"/>
  <c r="S371" s="1"/>
  <c r="U371" s="1"/>
  <c r="R301"/>
  <c r="S301" s="1"/>
  <c r="R174"/>
  <c r="S174" s="1"/>
  <c r="R136"/>
  <c r="S136" s="1"/>
  <c r="U136" s="1"/>
  <c r="R520"/>
  <c r="S520" s="1"/>
  <c r="U520" s="1"/>
  <c r="R257"/>
  <c r="S257" s="1"/>
  <c r="U257" s="1"/>
  <c r="R511"/>
  <c r="S511" s="1"/>
  <c r="U511" s="1"/>
  <c r="S152"/>
  <c r="U152" s="1"/>
  <c r="R197"/>
  <c r="S197" s="1"/>
  <c r="U197" s="1"/>
  <c r="R124"/>
  <c r="S124" s="1"/>
  <c r="U124" s="1"/>
  <c r="R57"/>
  <c r="S57" s="1"/>
  <c r="U57" s="1"/>
  <c r="R343"/>
  <c r="S343" s="1"/>
  <c r="U343" s="1"/>
  <c r="R145"/>
  <c r="S145" s="1"/>
  <c r="R493"/>
  <c r="S493" s="1"/>
  <c r="R240"/>
  <c r="S240" s="1"/>
  <c r="R336"/>
  <c r="S336" s="1"/>
  <c r="R129"/>
  <c r="S129" s="1"/>
  <c r="U129" s="1"/>
  <c r="R357"/>
  <c r="S357" s="1"/>
  <c r="U357" s="1"/>
  <c r="R267"/>
  <c r="S267" s="1"/>
  <c r="U267" s="1"/>
  <c r="R289"/>
  <c r="S289" s="1"/>
  <c r="U289" s="1"/>
  <c r="R260"/>
  <c r="S260" s="1"/>
  <c r="U260" s="1"/>
  <c r="R328"/>
  <c r="S328" s="1"/>
  <c r="U328" s="1"/>
  <c r="R43"/>
  <c r="S43" s="1"/>
  <c r="U43" s="1"/>
  <c r="R42"/>
  <c r="S42" s="1"/>
  <c r="U42" s="1"/>
  <c r="R512"/>
  <c r="S512" s="1"/>
  <c r="U512" s="1"/>
  <c r="R425"/>
  <c r="S425" s="1"/>
  <c r="U425" s="1"/>
  <c r="R380"/>
  <c r="S380" s="1"/>
  <c r="U380" s="1"/>
  <c r="R89"/>
  <c r="S89" s="1"/>
  <c r="U89" s="1"/>
  <c r="R327"/>
  <c r="S327" s="1"/>
  <c r="U327" s="1"/>
  <c r="R479"/>
  <c r="S479" s="1"/>
  <c r="U479" s="1"/>
  <c r="R248"/>
  <c r="S248" s="1"/>
  <c r="U248" s="1"/>
  <c r="R391"/>
  <c r="S391" s="1"/>
  <c r="U391" s="1"/>
  <c r="S70"/>
  <c r="U70" s="1"/>
  <c r="R418"/>
  <c r="S418" s="1"/>
  <c r="U418" s="1"/>
  <c r="R349"/>
  <c r="S349" s="1"/>
  <c r="U349" s="1"/>
  <c r="S30"/>
  <c r="U30" s="1"/>
  <c r="R251"/>
  <c r="S251" s="1"/>
  <c r="U251" s="1"/>
  <c r="R135"/>
  <c r="S135" s="1"/>
  <c r="U135" s="1"/>
  <c r="R317"/>
  <c r="S317" s="1"/>
  <c r="U317" s="1"/>
  <c r="R442"/>
  <c r="S442" s="1"/>
  <c r="U442" s="1"/>
  <c r="R437"/>
  <c r="S437" s="1"/>
  <c r="U437" s="1"/>
  <c r="R358"/>
  <c r="S358" s="1"/>
  <c r="U358" s="1"/>
  <c r="R474"/>
  <c r="S474" s="1"/>
  <c r="U474" s="1"/>
  <c r="R163"/>
  <c r="S163" s="1"/>
  <c r="U163" s="1"/>
  <c r="R39"/>
  <c r="S39" s="1"/>
  <c r="U39" s="1"/>
  <c r="R227"/>
  <c r="S227" s="1"/>
  <c r="U227" s="1"/>
  <c r="R378"/>
  <c r="S378" s="1"/>
  <c r="U378" s="1"/>
  <c r="R498"/>
  <c r="S498" s="1"/>
  <c r="U498" s="1"/>
  <c r="R214"/>
  <c r="S214" s="1"/>
  <c r="U214" s="1"/>
  <c r="R466"/>
  <c r="S466" s="1"/>
  <c r="U466" s="1"/>
  <c r="R87"/>
  <c r="S87" s="1"/>
  <c r="U87" s="1"/>
  <c r="R307"/>
  <c r="S307" s="1"/>
  <c r="U307" s="1"/>
  <c r="R242"/>
  <c r="S242" s="1"/>
  <c r="U242" s="1"/>
  <c r="S212"/>
  <c r="U212" s="1"/>
  <c r="R402"/>
  <c r="S402" s="1"/>
  <c r="U402" s="1"/>
  <c r="E156" i="26"/>
  <c r="E140"/>
  <c r="E136"/>
  <c r="E144" s="1"/>
  <c r="E137"/>
  <c r="E152"/>
  <c r="E160" s="1"/>
  <c r="E153"/>
  <c r="D179"/>
  <c r="D180"/>
  <c r="C205" l="1"/>
  <c r="C213" s="1"/>
  <c r="C32" i="27" s="1"/>
  <c r="B195" i="26"/>
  <c r="B201" s="1"/>
  <c r="T183" i="41"/>
  <c r="T456"/>
  <c r="T122"/>
  <c r="K7" i="26"/>
  <c r="J7"/>
  <c r="T381" i="41"/>
  <c r="U237"/>
  <c r="V237" s="1"/>
  <c r="U46"/>
  <c r="V46" s="1"/>
  <c r="T528"/>
  <c r="U528"/>
  <c r="V528" s="1"/>
  <c r="T179"/>
  <c r="U179"/>
  <c r="V179" s="1"/>
  <c r="T236"/>
  <c r="U236"/>
  <c r="V236" s="1"/>
  <c r="T213"/>
  <c r="U213"/>
  <c r="V213" s="1"/>
  <c r="T376"/>
  <c r="U376"/>
  <c r="V376" s="1"/>
  <c r="T165"/>
  <c r="U165"/>
  <c r="V165" s="1"/>
  <c r="U423"/>
  <c r="V423" s="1"/>
  <c r="U455"/>
  <c r="V455" s="1"/>
  <c r="T431"/>
  <c r="U431"/>
  <c r="V431" s="1"/>
  <c r="U330"/>
  <c r="V330" s="1"/>
  <c r="T416"/>
  <c r="U416"/>
  <c r="V416" s="1"/>
  <c r="U56"/>
  <c r="V56" s="1"/>
  <c r="U143"/>
  <c r="V143" s="1"/>
  <c r="T493"/>
  <c r="U493"/>
  <c r="V493" s="1"/>
  <c r="U463"/>
  <c r="V463" s="1"/>
  <c r="T207"/>
  <c r="U207"/>
  <c r="V207" s="1"/>
  <c r="T26"/>
  <c r="U26"/>
  <c r="V26" s="1"/>
  <c r="U302"/>
  <c r="V302" s="1"/>
  <c r="U28"/>
  <c r="V28" s="1"/>
  <c r="U33"/>
  <c r="V33" s="1"/>
  <c r="U312"/>
  <c r="V312" s="1"/>
  <c r="T397"/>
  <c r="U397"/>
  <c r="V397" s="1"/>
  <c r="T224"/>
  <c r="U224"/>
  <c r="V224" s="1"/>
  <c r="T340"/>
  <c r="U340"/>
  <c r="V340" s="1"/>
  <c r="T283"/>
  <c r="U283"/>
  <c r="V283" s="1"/>
  <c r="U385"/>
  <c r="V385" s="1"/>
  <c r="T271"/>
  <c r="U271"/>
  <c r="V271" s="1"/>
  <c r="T254"/>
  <c r="U254"/>
  <c r="V254" s="1"/>
  <c r="T401"/>
  <c r="U401"/>
  <c r="V401" s="1"/>
  <c r="T110"/>
  <c r="U110"/>
  <c r="V110" s="1"/>
  <c r="T350"/>
  <c r="U350"/>
  <c r="V350" s="1"/>
  <c r="U460"/>
  <c r="V460" s="1"/>
  <c r="U158"/>
  <c r="V158" s="1"/>
  <c r="U468"/>
  <c r="V468" s="1"/>
  <c r="U154"/>
  <c r="V154" s="1"/>
  <c r="U247"/>
  <c r="V247" s="1"/>
  <c r="U204"/>
  <c r="V204" s="1"/>
  <c r="U501"/>
  <c r="V501" s="1"/>
  <c r="U177"/>
  <c r="V177" s="1"/>
  <c r="T305"/>
  <c r="U305"/>
  <c r="V305" s="1"/>
  <c r="U142"/>
  <c r="V142" s="1"/>
  <c r="U366"/>
  <c r="V366" s="1"/>
  <c r="U172"/>
  <c r="V172" s="1"/>
  <c r="T303"/>
  <c r="U303"/>
  <c r="V303" s="1"/>
  <c r="U360"/>
  <c r="V360" s="1"/>
  <c r="U235"/>
  <c r="V235" s="1"/>
  <c r="T203"/>
  <c r="U203"/>
  <c r="V203" s="1"/>
  <c r="T304"/>
  <c r="U304"/>
  <c r="V304" s="1"/>
  <c r="T492"/>
  <c r="U492"/>
  <c r="V492" s="1"/>
  <c r="U253"/>
  <c r="V253" s="1"/>
  <c r="U269"/>
  <c r="V269" s="1"/>
  <c r="T495"/>
  <c r="U495"/>
  <c r="V495" s="1"/>
  <c r="U79"/>
  <c r="V79" s="1"/>
  <c r="T162"/>
  <c r="U162"/>
  <c r="V162" s="1"/>
  <c r="T522"/>
  <c r="U522"/>
  <c r="V522" s="1"/>
  <c r="T440"/>
  <c r="U440"/>
  <c r="V440" s="1"/>
  <c r="T480"/>
  <c r="U480"/>
  <c r="V480" s="1"/>
  <c r="T461"/>
  <c r="U461"/>
  <c r="V461" s="1"/>
  <c r="U196"/>
  <c r="V196" s="1"/>
  <c r="U361"/>
  <c r="V361" s="1"/>
  <c r="U189"/>
  <c r="V189" s="1"/>
  <c r="T145"/>
  <c r="U145"/>
  <c r="V145" s="1"/>
  <c r="T368"/>
  <c r="U368"/>
  <c r="V368" s="1"/>
  <c r="T238"/>
  <c r="U238"/>
  <c r="V238" s="1"/>
  <c r="T109"/>
  <c r="U109"/>
  <c r="V109" s="1"/>
  <c r="T373"/>
  <c r="U373"/>
  <c r="V373" s="1"/>
  <c r="T300"/>
  <c r="U300"/>
  <c r="V300" s="1"/>
  <c r="T398"/>
  <c r="U398"/>
  <c r="V398" s="1"/>
  <c r="T494"/>
  <c r="U494"/>
  <c r="V494" s="1"/>
  <c r="T34"/>
  <c r="U34"/>
  <c r="V34" s="1"/>
  <c r="T202"/>
  <c r="U202"/>
  <c r="V202" s="1"/>
  <c r="U527"/>
  <c r="V527" s="1"/>
  <c r="U232"/>
  <c r="V232" s="1"/>
  <c r="U298"/>
  <c r="V298" s="1"/>
  <c r="U182"/>
  <c r="V182" s="1"/>
  <c r="U258"/>
  <c r="V258" s="1"/>
  <c r="U296"/>
  <c r="V296" s="1"/>
  <c r="U150"/>
  <c r="V150" s="1"/>
  <c r="T332"/>
  <c r="U332"/>
  <c r="V332" s="1"/>
  <c r="T367"/>
  <c r="U367"/>
  <c r="V367" s="1"/>
  <c r="T400"/>
  <c r="U400"/>
  <c r="V400" s="1"/>
  <c r="T285"/>
  <c r="U285"/>
  <c r="V285" s="1"/>
  <c r="T208"/>
  <c r="U208"/>
  <c r="V208" s="1"/>
  <c r="T331"/>
  <c r="U331"/>
  <c r="V331" s="1"/>
  <c r="T61"/>
  <c r="U61"/>
  <c r="V61" s="1"/>
  <c r="T306"/>
  <c r="U306"/>
  <c r="V306" s="1"/>
  <c r="T392"/>
  <c r="U392"/>
  <c r="V392" s="1"/>
  <c r="T428"/>
  <c r="U428"/>
  <c r="V428" s="1"/>
  <c r="U273"/>
  <c r="V273" s="1"/>
  <c r="U115"/>
  <c r="V115" s="1"/>
  <c r="U171"/>
  <c r="V171" s="1"/>
  <c r="U173"/>
  <c r="V173" s="1"/>
  <c r="T399"/>
  <c r="U399"/>
  <c r="V399" s="1"/>
  <c r="U375"/>
  <c r="V375" s="1"/>
  <c r="U464"/>
  <c r="V464" s="1"/>
  <c r="T80"/>
  <c r="U80"/>
  <c r="V80" s="1"/>
  <c r="U252"/>
  <c r="V252" s="1"/>
  <c r="U496"/>
  <c r="V496" s="1"/>
  <c r="U394"/>
  <c r="V394" s="1"/>
  <c r="T301"/>
  <c r="U301"/>
  <c r="V301" s="1"/>
  <c r="U178"/>
  <c r="V178" s="1"/>
  <c r="T281"/>
  <c r="U281"/>
  <c r="V281" s="1"/>
  <c r="T445"/>
  <c r="U445"/>
  <c r="V445" s="1"/>
  <c r="U175"/>
  <c r="V175" s="1"/>
  <c r="U141"/>
  <c r="V141" s="1"/>
  <c r="U174"/>
  <c r="V174" s="1"/>
  <c r="T369"/>
  <c r="U369"/>
  <c r="V369" s="1"/>
  <c r="U108"/>
  <c r="V108" s="1"/>
  <c r="U90"/>
  <c r="V90" s="1"/>
  <c r="U38"/>
  <c r="V38" s="1"/>
  <c r="U465"/>
  <c r="V465" s="1"/>
  <c r="T186"/>
  <c r="U186"/>
  <c r="V186" s="1"/>
  <c r="U295"/>
  <c r="V295" s="1"/>
  <c r="U497"/>
  <c r="V497" s="1"/>
  <c r="U229"/>
  <c r="V229" s="1"/>
  <c r="T364"/>
  <c r="U364"/>
  <c r="V364" s="1"/>
  <c r="U37"/>
  <c r="V37" s="1"/>
  <c r="T243"/>
  <c r="U243"/>
  <c r="V243" s="1"/>
  <c r="U72"/>
  <c r="V72" s="1"/>
  <c r="U48"/>
  <c r="V48" s="1"/>
  <c r="T24"/>
  <c r="U24"/>
  <c r="V24" s="1"/>
  <c r="U396"/>
  <c r="V396" s="1"/>
  <c r="U31"/>
  <c r="V31" s="1"/>
  <c r="T491"/>
  <c r="U491"/>
  <c r="V491" s="1"/>
  <c r="U365"/>
  <c r="V365" s="1"/>
  <c r="T337"/>
  <c r="U337"/>
  <c r="V337" s="1"/>
  <c r="T99"/>
  <c r="U99"/>
  <c r="V99" s="1"/>
  <c r="T240"/>
  <c r="U240"/>
  <c r="V240" s="1"/>
  <c r="U270"/>
  <c r="V270" s="1"/>
  <c r="T444"/>
  <c r="U444"/>
  <c r="V444" s="1"/>
  <c r="U148"/>
  <c r="V148" s="1"/>
  <c r="U472"/>
  <c r="V472" s="1"/>
  <c r="T513"/>
  <c r="U513"/>
  <c r="V513" s="1"/>
  <c r="U181"/>
  <c r="V181" s="1"/>
  <c r="U310"/>
  <c r="V310" s="1"/>
  <c r="T510"/>
  <c r="U510"/>
  <c r="V510" s="1"/>
  <c r="U422"/>
  <c r="V422" s="1"/>
  <c r="U104"/>
  <c r="V104" s="1"/>
  <c r="T502"/>
  <c r="U502"/>
  <c r="V502" s="1"/>
  <c r="T276"/>
  <c r="U276"/>
  <c r="V276" s="1"/>
  <c r="T432"/>
  <c r="U432"/>
  <c r="V432" s="1"/>
  <c r="T529"/>
  <c r="U529"/>
  <c r="V529" s="1"/>
  <c r="U467"/>
  <c r="V467" s="1"/>
  <c r="T96"/>
  <c r="U96"/>
  <c r="V96" s="1"/>
  <c r="T272"/>
  <c r="U272"/>
  <c r="V272" s="1"/>
  <c r="U454"/>
  <c r="V454" s="1"/>
  <c r="T139"/>
  <c r="U139"/>
  <c r="V139" s="1"/>
  <c r="T424"/>
  <c r="U424"/>
  <c r="V424" s="1"/>
  <c r="T284"/>
  <c r="U284"/>
  <c r="V284" s="1"/>
  <c r="U49"/>
  <c r="V49" s="1"/>
  <c r="T325"/>
  <c r="U325"/>
  <c r="V325" s="1"/>
  <c r="T429"/>
  <c r="U429"/>
  <c r="V429" s="1"/>
  <c r="U524"/>
  <c r="V524" s="1"/>
  <c r="U526"/>
  <c r="V526" s="1"/>
  <c r="U413"/>
  <c r="V413" s="1"/>
  <c r="U409"/>
  <c r="V409" s="1"/>
  <c r="U105"/>
  <c r="V105" s="1"/>
  <c r="T372"/>
  <c r="U372"/>
  <c r="V372" s="1"/>
  <c r="T427"/>
  <c r="U427"/>
  <c r="V427" s="1"/>
  <c r="T419"/>
  <c r="U419"/>
  <c r="V419" s="1"/>
  <c r="U21"/>
  <c r="V21" s="1"/>
  <c r="U390"/>
  <c r="V390" s="1"/>
  <c r="T164"/>
  <c r="U164"/>
  <c r="V164" s="1"/>
  <c r="T315"/>
  <c r="U315"/>
  <c r="V315" s="1"/>
  <c r="T193"/>
  <c r="U193"/>
  <c r="V193" s="1"/>
  <c r="U421"/>
  <c r="V421" s="1"/>
  <c r="U20"/>
  <c r="V20" s="1"/>
  <c r="T268"/>
  <c r="U268"/>
  <c r="V268" s="1"/>
  <c r="U309"/>
  <c r="V309" s="1"/>
  <c r="U66"/>
  <c r="V66" s="1"/>
  <c r="U170"/>
  <c r="V170" s="1"/>
  <c r="U434"/>
  <c r="V434" s="1"/>
  <c r="U78"/>
  <c r="V78" s="1"/>
  <c r="U205"/>
  <c r="V205" s="1"/>
  <c r="T111"/>
  <c r="U111"/>
  <c r="V111" s="1"/>
  <c r="U336"/>
  <c r="V336" s="1"/>
  <c r="U209"/>
  <c r="V209" s="1"/>
  <c r="U153"/>
  <c r="V153" s="1"/>
  <c r="U156"/>
  <c r="V156" s="1"/>
  <c r="U406"/>
  <c r="V406" s="1"/>
  <c r="U414"/>
  <c r="V414" s="1"/>
  <c r="T333"/>
  <c r="U333"/>
  <c r="V333" s="1"/>
  <c r="U210"/>
  <c r="V210" s="1"/>
  <c r="U76"/>
  <c r="V76" s="1"/>
  <c r="T244"/>
  <c r="U244"/>
  <c r="V244" s="1"/>
  <c r="U356"/>
  <c r="V356" s="1"/>
  <c r="T488"/>
  <c r="U488"/>
  <c r="V488" s="1"/>
  <c r="T264"/>
  <c r="U264"/>
  <c r="V264" s="1"/>
  <c r="U286"/>
  <c r="V286" s="1"/>
  <c r="U410"/>
  <c r="V410" s="1"/>
  <c r="T450"/>
  <c r="U450"/>
  <c r="V450" s="1"/>
  <c r="U140"/>
  <c r="V140" s="1"/>
  <c r="U92"/>
  <c r="V92" s="1"/>
  <c r="U123"/>
  <c r="V123" s="1"/>
  <c r="U504"/>
  <c r="V504" s="1"/>
  <c r="T462"/>
  <c r="U462"/>
  <c r="V462" s="1"/>
  <c r="U93"/>
  <c r="V93" s="1"/>
  <c r="T370"/>
  <c r="U370"/>
  <c r="V370" s="1"/>
  <c r="U176"/>
  <c r="V176" s="1"/>
  <c r="T175"/>
  <c r="T302"/>
  <c r="T252"/>
  <c r="T33"/>
  <c r="T177"/>
  <c r="T235"/>
  <c r="V128"/>
  <c r="T128"/>
  <c r="T140"/>
  <c r="T66"/>
  <c r="T173"/>
  <c r="T455"/>
  <c r="T394"/>
  <c r="T153"/>
  <c r="T375"/>
  <c r="V448"/>
  <c r="T448"/>
  <c r="V161"/>
  <c r="T161"/>
  <c r="T118"/>
  <c r="V118"/>
  <c r="T433"/>
  <c r="V433"/>
  <c r="T460"/>
  <c r="T361"/>
  <c r="T143"/>
  <c r="T295"/>
  <c r="T105"/>
  <c r="T72"/>
  <c r="T46"/>
  <c r="T465"/>
  <c r="T115"/>
  <c r="T501"/>
  <c r="T79"/>
  <c r="T121"/>
  <c r="V121"/>
  <c r="V239"/>
  <c r="T239"/>
  <c r="T81"/>
  <c r="V81"/>
  <c r="V241"/>
  <c r="T241"/>
  <c r="T45"/>
  <c r="V45"/>
  <c r="T154"/>
  <c r="T176"/>
  <c r="T258"/>
  <c r="T253"/>
  <c r="T286"/>
  <c r="T247"/>
  <c r="T496"/>
  <c r="T434"/>
  <c r="T497"/>
  <c r="T423"/>
  <c r="V112"/>
  <c r="T112"/>
  <c r="V217"/>
  <c r="T217"/>
  <c r="T292"/>
  <c r="V292"/>
  <c r="V379"/>
  <c r="T379"/>
  <c r="T158"/>
  <c r="T421"/>
  <c r="T31"/>
  <c r="T229"/>
  <c r="T142"/>
  <c r="T270"/>
  <c r="T171"/>
  <c r="T205"/>
  <c r="T309"/>
  <c r="T141"/>
  <c r="T390"/>
  <c r="T37"/>
  <c r="T472"/>
  <c r="T365"/>
  <c r="T406"/>
  <c r="V166"/>
  <c r="T166"/>
  <c r="T311"/>
  <c r="V311"/>
  <c r="V348"/>
  <c r="T348"/>
  <c r="T443"/>
  <c r="V443"/>
  <c r="T525"/>
  <c r="V525"/>
  <c r="V19"/>
  <c r="T19"/>
  <c r="V188"/>
  <c r="T188"/>
  <c r="V138"/>
  <c r="T138"/>
  <c r="T25"/>
  <c r="V25"/>
  <c r="V335"/>
  <c r="T335"/>
  <c r="V500"/>
  <c r="T500"/>
  <c r="V29"/>
  <c r="T29"/>
  <c r="T127"/>
  <c r="V127"/>
  <c r="T123"/>
  <c r="T108"/>
  <c r="T78"/>
  <c r="T464"/>
  <c r="T504"/>
  <c r="T410"/>
  <c r="T49"/>
  <c r="T181"/>
  <c r="T232"/>
  <c r="T454"/>
  <c r="T527"/>
  <c r="T336"/>
  <c r="T312"/>
  <c r="T470"/>
  <c r="V470"/>
  <c r="T94"/>
  <c r="V94"/>
  <c r="T113"/>
  <c r="V113"/>
  <c r="V35"/>
  <c r="T35"/>
  <c r="V44"/>
  <c r="T44"/>
  <c r="V417"/>
  <c r="T417"/>
  <c r="V40"/>
  <c r="T40"/>
  <c r="T326"/>
  <c r="V326"/>
  <c r="T316"/>
  <c r="V316"/>
  <c r="T77"/>
  <c r="V77"/>
  <c r="T182"/>
  <c r="T310"/>
  <c r="T422"/>
  <c r="T209"/>
  <c r="T396"/>
  <c r="T366"/>
  <c r="T38"/>
  <c r="T28"/>
  <c r="T385"/>
  <c r="V47"/>
  <c r="T47"/>
  <c r="T430"/>
  <c r="V430"/>
  <c r="V62"/>
  <c r="T62"/>
  <c r="T27"/>
  <c r="V27"/>
  <c r="V514"/>
  <c r="T514"/>
  <c r="V287"/>
  <c r="T287"/>
  <c r="T237"/>
  <c r="T524"/>
  <c r="T204"/>
  <c r="T178"/>
  <c r="T409"/>
  <c r="T189"/>
  <c r="V1064"/>
  <c r="T273"/>
  <c r="T104"/>
  <c r="T156"/>
  <c r="T56"/>
  <c r="T170"/>
  <c r="T150"/>
  <c r="T356"/>
  <c r="T48"/>
  <c r="T269"/>
  <c r="T93"/>
  <c r="T360"/>
  <c r="T1064"/>
  <c r="R2" s="1"/>
  <c r="E223" i="26" s="1"/>
  <c r="C34" i="27" s="1"/>
  <c r="T103" i="41"/>
  <c r="V103"/>
  <c r="V363"/>
  <c r="T363"/>
  <c r="T102"/>
  <c r="V102"/>
  <c r="V412"/>
  <c r="T412"/>
  <c r="V233"/>
  <c r="T233"/>
  <c r="V359"/>
  <c r="T359"/>
  <c r="T481"/>
  <c r="V481"/>
  <c r="T196"/>
  <c r="T90"/>
  <c r="V97"/>
  <c r="T97"/>
  <c r="T201"/>
  <c r="V201"/>
  <c r="T299"/>
  <c r="V299"/>
  <c r="V169"/>
  <c r="T169"/>
  <c r="T76"/>
  <c r="T210"/>
  <c r="T330"/>
  <c r="T20"/>
  <c r="T467"/>
  <c r="T468"/>
  <c r="T148"/>
  <c r="T92"/>
  <c r="T73"/>
  <c r="V73"/>
  <c r="T459"/>
  <c r="V459"/>
  <c r="T296"/>
  <c r="T21"/>
  <c r="T298"/>
  <c r="T414"/>
  <c r="T413"/>
  <c r="T463"/>
  <c r="T289"/>
  <c r="V289"/>
  <c r="V135"/>
  <c r="T135"/>
  <c r="V137"/>
  <c r="T137"/>
  <c r="T131"/>
  <c r="V131"/>
  <c r="T185"/>
  <c r="V185"/>
  <c r="T391"/>
  <c r="V391"/>
  <c r="V95"/>
  <c r="T95"/>
  <c r="V144"/>
  <c r="T144"/>
  <c r="V36"/>
  <c r="T36"/>
  <c r="T75"/>
  <c r="V75"/>
  <c r="T297"/>
  <c r="V297"/>
  <c r="V479"/>
  <c r="T479"/>
  <c r="T215"/>
  <c r="V215"/>
  <c r="V321"/>
  <c r="T321"/>
  <c r="T343"/>
  <c r="V343"/>
  <c r="T53"/>
  <c r="V53"/>
  <c r="V119"/>
  <c r="T119"/>
  <c r="T195"/>
  <c r="V195"/>
  <c r="T163"/>
  <c r="V163"/>
  <c r="T39"/>
  <c r="V39"/>
  <c r="T71"/>
  <c r="V71"/>
  <c r="T425"/>
  <c r="V425"/>
  <c r="T151"/>
  <c r="V151"/>
  <c r="V257"/>
  <c r="T257"/>
  <c r="V323"/>
  <c r="T323"/>
  <c r="V307"/>
  <c r="T307"/>
  <c r="V349"/>
  <c r="T349"/>
  <c r="T152"/>
  <c r="V152"/>
  <c r="V354"/>
  <c r="T354"/>
  <c r="V499"/>
  <c r="T499"/>
  <c r="T347"/>
  <c r="V347"/>
  <c r="V506"/>
  <c r="T506"/>
  <c r="V334"/>
  <c r="T334"/>
  <c r="T50"/>
  <c r="V50"/>
  <c r="V439"/>
  <c r="T439"/>
  <c r="V293"/>
  <c r="T293"/>
  <c r="V353"/>
  <c r="T353"/>
  <c r="T130"/>
  <c r="V130"/>
  <c r="T457"/>
  <c r="V457"/>
  <c r="T435"/>
  <c r="V435"/>
  <c r="V180"/>
  <c r="T180"/>
  <c r="V318"/>
  <c r="T318"/>
  <c r="T191"/>
  <c r="V191"/>
  <c r="T200"/>
  <c r="V200"/>
  <c r="T475"/>
  <c r="V475"/>
  <c r="V43"/>
  <c r="T43"/>
  <c r="V483"/>
  <c r="T483"/>
  <c r="V149"/>
  <c r="T149"/>
  <c r="V230"/>
  <c r="T230"/>
  <c r="V84"/>
  <c r="T84"/>
  <c r="V88"/>
  <c r="T88"/>
  <c r="T519"/>
  <c r="V519"/>
  <c r="T63"/>
  <c r="V63"/>
  <c r="T395"/>
  <c r="V395"/>
  <c r="V52"/>
  <c r="T52"/>
  <c r="T466"/>
  <c r="V466"/>
  <c r="T251"/>
  <c r="V251"/>
  <c r="V219"/>
  <c r="T219"/>
  <c r="V223"/>
  <c r="T223"/>
  <c r="V489"/>
  <c r="T489"/>
  <c r="V124"/>
  <c r="T124"/>
  <c r="V136"/>
  <c r="T136"/>
  <c r="V116"/>
  <c r="T116"/>
  <c r="V259"/>
  <c r="T259"/>
  <c r="V218"/>
  <c r="T218"/>
  <c r="T263"/>
  <c r="V263"/>
  <c r="T64"/>
  <c r="V64"/>
  <c r="V226"/>
  <c r="T226"/>
  <c r="V146"/>
  <c r="T146"/>
  <c r="V133"/>
  <c r="T133"/>
  <c r="T384"/>
  <c r="V384"/>
  <c r="V308"/>
  <c r="T308"/>
  <c r="V157"/>
  <c r="T157"/>
  <c r="T106"/>
  <c r="V106"/>
  <c r="V338"/>
  <c r="T338"/>
  <c r="V324"/>
  <c r="T324"/>
  <c r="T478"/>
  <c r="V478"/>
  <c r="T447"/>
  <c r="V447"/>
  <c r="T174"/>
  <c r="V89"/>
  <c r="T89"/>
  <c r="T407"/>
  <c r="V407"/>
  <c r="T377"/>
  <c r="V377"/>
  <c r="T487"/>
  <c r="V487"/>
  <c r="T82"/>
  <c r="V82"/>
  <c r="V194"/>
  <c r="T194"/>
  <c r="V231"/>
  <c r="T231"/>
  <c r="V214"/>
  <c r="T214"/>
  <c r="V471"/>
  <c r="T471"/>
  <c r="V197"/>
  <c r="T197"/>
  <c r="V212"/>
  <c r="T212"/>
  <c r="V512"/>
  <c r="T512"/>
  <c r="V57"/>
  <c r="T57"/>
  <c r="V477"/>
  <c r="T477"/>
  <c r="T91"/>
  <c r="V91"/>
  <c r="T507"/>
  <c r="V507"/>
  <c r="T120"/>
  <c r="V120"/>
  <c r="T198"/>
  <c r="V198"/>
  <c r="T280"/>
  <c r="V280"/>
  <c r="V294"/>
  <c r="T294"/>
  <c r="V168"/>
  <c r="T168"/>
  <c r="T383"/>
  <c r="V383"/>
  <c r="T147"/>
  <c r="V147"/>
  <c r="V351"/>
  <c r="T351"/>
  <c r="V411"/>
  <c r="T411"/>
  <c r="V339"/>
  <c r="T339"/>
  <c r="V473"/>
  <c r="T473"/>
  <c r="T282"/>
  <c r="V282"/>
  <c r="V420"/>
  <c r="T420"/>
  <c r="T18"/>
  <c r="V18"/>
  <c r="V267"/>
  <c r="T267"/>
  <c r="V402"/>
  <c r="T402"/>
  <c r="T22"/>
  <c r="V22"/>
  <c r="T317"/>
  <c r="V317"/>
  <c r="T248"/>
  <c r="V248"/>
  <c r="V328"/>
  <c r="T328"/>
  <c r="T523"/>
  <c r="V523"/>
  <c r="T279"/>
  <c r="V279"/>
  <c r="V159"/>
  <c r="T159"/>
  <c r="V261"/>
  <c r="T261"/>
  <c r="T278"/>
  <c r="V278"/>
  <c r="V355"/>
  <c r="T355"/>
  <c r="V85"/>
  <c r="T85"/>
  <c r="V313"/>
  <c r="T313"/>
  <c r="V458"/>
  <c r="T458"/>
  <c r="T199"/>
  <c r="V199"/>
  <c r="T249"/>
  <c r="V249"/>
  <c r="T155"/>
  <c r="V155"/>
  <c r="V274"/>
  <c r="T274"/>
  <c r="V23"/>
  <c r="T23"/>
  <c r="T346"/>
  <c r="V346"/>
  <c r="V505"/>
  <c r="T505"/>
  <c r="V54"/>
  <c r="T54"/>
  <c r="T288"/>
  <c r="V288"/>
  <c r="V436"/>
  <c r="T436"/>
  <c r="V277"/>
  <c r="T277"/>
  <c r="T132"/>
  <c r="V132"/>
  <c r="T160"/>
  <c r="V160"/>
  <c r="T256"/>
  <c r="V256"/>
  <c r="V86"/>
  <c r="T86"/>
  <c r="T172"/>
  <c r="V498"/>
  <c r="T498"/>
  <c r="V255"/>
  <c r="T255"/>
  <c r="V408"/>
  <c r="T408"/>
  <c r="V352"/>
  <c r="T352"/>
  <c r="V291"/>
  <c r="T291"/>
  <c r="T117"/>
  <c r="V117"/>
  <c r="V319"/>
  <c r="T319"/>
  <c r="V389"/>
  <c r="T389"/>
  <c r="V387"/>
  <c r="T387"/>
  <c r="T134"/>
  <c r="V134"/>
  <c r="V490"/>
  <c r="T490"/>
  <c r="T87"/>
  <c r="V87"/>
  <c r="T474"/>
  <c r="V474"/>
  <c r="V388"/>
  <c r="T388"/>
  <c r="V386"/>
  <c r="T386"/>
  <c r="V520"/>
  <c r="T520"/>
  <c r="V83"/>
  <c r="T83"/>
  <c r="V262"/>
  <c r="T262"/>
  <c r="T206"/>
  <c r="V206"/>
  <c r="T404"/>
  <c r="V404"/>
  <c r="T442"/>
  <c r="V442"/>
  <c r="T129"/>
  <c r="V129"/>
  <c r="T228"/>
  <c r="V228"/>
  <c r="T453"/>
  <c r="V453"/>
  <c r="V221"/>
  <c r="T221"/>
  <c r="T65"/>
  <c r="V65"/>
  <c r="T59"/>
  <c r="V59"/>
  <c r="V322"/>
  <c r="T322"/>
  <c r="T482"/>
  <c r="V482"/>
  <c r="T74"/>
  <c r="V74"/>
  <c r="V362"/>
  <c r="T362"/>
  <c r="T438"/>
  <c r="V438"/>
  <c r="V184"/>
  <c r="T184"/>
  <c r="V449"/>
  <c r="T449"/>
  <c r="V314"/>
  <c r="T314"/>
  <c r="T374"/>
  <c r="V374"/>
  <c r="V58"/>
  <c r="T58"/>
  <c r="T437"/>
  <c r="V437"/>
  <c r="T70"/>
  <c r="V70"/>
  <c r="T380"/>
  <c r="V380"/>
  <c r="V327"/>
  <c r="T327"/>
  <c r="T357"/>
  <c r="V357"/>
  <c r="T371"/>
  <c r="V371"/>
  <c r="V55"/>
  <c r="T55"/>
  <c r="V114"/>
  <c r="T114"/>
  <c r="V405"/>
  <c r="T405"/>
  <c r="V101"/>
  <c r="T101"/>
  <c r="T515"/>
  <c r="V515"/>
  <c r="V415"/>
  <c r="T415"/>
  <c r="T211"/>
  <c r="V211"/>
  <c r="T469"/>
  <c r="V469"/>
  <c r="V125"/>
  <c r="T125"/>
  <c r="T503"/>
  <c r="V503"/>
  <c r="V508"/>
  <c r="T508"/>
  <c r="V225"/>
  <c r="T225"/>
  <c r="V187"/>
  <c r="T187"/>
  <c r="T275"/>
  <c r="V275"/>
  <c r="V190"/>
  <c r="T190"/>
  <c r="T441"/>
  <c r="V441"/>
  <c r="T446"/>
  <c r="V446"/>
  <c r="V126"/>
  <c r="T126"/>
  <c r="V192"/>
  <c r="T192"/>
  <c r="V265"/>
  <c r="T265"/>
  <c r="T344"/>
  <c r="V344"/>
  <c r="T526"/>
  <c r="V222"/>
  <c r="T222"/>
  <c r="T452"/>
  <c r="V452"/>
  <c r="V69"/>
  <c r="T69"/>
  <c r="V511"/>
  <c r="T511"/>
  <c r="V242"/>
  <c r="T242"/>
  <c r="V30"/>
  <c r="T30"/>
  <c r="V266"/>
  <c r="T266"/>
  <c r="T260"/>
  <c r="V260"/>
  <c r="T521"/>
  <c r="V521"/>
  <c r="V227"/>
  <c r="T227"/>
  <c r="T167"/>
  <c r="V167"/>
  <c r="V320"/>
  <c r="T320"/>
  <c r="V342"/>
  <c r="T342"/>
  <c r="T509"/>
  <c r="V509"/>
  <c r="V290"/>
  <c r="T290"/>
  <c r="V518"/>
  <c r="T518"/>
  <c r="T517"/>
  <c r="V517"/>
  <c r="V426"/>
  <c r="T426"/>
  <c r="T393"/>
  <c r="V393"/>
  <c r="T345"/>
  <c r="V345"/>
  <c r="T382"/>
  <c r="V382"/>
  <c r="T32"/>
  <c r="V32"/>
  <c r="V51"/>
  <c r="T51"/>
  <c r="V378"/>
  <c r="T378"/>
  <c r="V358"/>
  <c r="T358"/>
  <c r="T418"/>
  <c r="V418"/>
  <c r="T516"/>
  <c r="V516"/>
  <c r="V42"/>
  <c r="T42"/>
  <c r="V246"/>
  <c r="T246"/>
  <c r="V67"/>
  <c r="T67"/>
  <c r="V216"/>
  <c r="T216"/>
  <c r="V250"/>
  <c r="T250"/>
  <c r="V98"/>
  <c r="T98"/>
  <c r="T234"/>
  <c r="V234"/>
  <c r="V451"/>
  <c r="T451"/>
  <c r="T403"/>
  <c r="V403"/>
  <c r="V484"/>
  <c r="T484"/>
  <c r="T476"/>
  <c r="V476"/>
  <c r="V60"/>
  <c r="T60"/>
  <c r="V68"/>
  <c r="T68"/>
  <c r="V41"/>
  <c r="T41"/>
  <c r="T107"/>
  <c r="V107"/>
  <c r="V486"/>
  <c r="T486"/>
  <c r="V245"/>
  <c r="T245"/>
  <c r="V100"/>
  <c r="T100"/>
  <c r="V485"/>
  <c r="T485"/>
  <c r="T220"/>
  <c r="V220"/>
  <c r="T329"/>
  <c r="V329"/>
  <c r="T341"/>
  <c r="V341"/>
  <c r="E159" i="26"/>
  <c r="E158"/>
  <c r="E142"/>
  <c r="E143"/>
  <c r="D120"/>
  <c r="D130" s="1"/>
  <c r="AI24" i="2" s="1"/>
  <c r="D34" i="26"/>
  <c r="J2" i="41"/>
  <c r="E34" i="26"/>
  <c r="D164" l="1"/>
  <c r="D165" s="1"/>
  <c r="J48" i="2"/>
  <c r="M2" i="41"/>
  <c r="M3" s="1"/>
  <c r="C31" i="27"/>
  <c r="B200" i="26"/>
  <c r="E145"/>
  <c r="E147" s="1"/>
  <c r="M535" i="41"/>
  <c r="M536" s="1"/>
  <c r="J540"/>
  <c r="AA48" i="2"/>
  <c r="E224" i="26"/>
  <c r="E225" s="1"/>
  <c r="C38" i="27" s="1"/>
  <c r="V531" i="41"/>
  <c r="T531"/>
  <c r="Q2" s="1"/>
  <c r="D223" i="26" s="1"/>
  <c r="B34" i="27" s="1"/>
  <c r="E161" i="26"/>
  <c r="E120"/>
  <c r="E130" s="1"/>
  <c r="C34"/>
  <c r="B35"/>
  <c r="B34"/>
  <c r="J535" i="41"/>
  <c r="E163" i="26" l="1"/>
  <c r="M548" i="41" s="1"/>
  <c r="E164" i="26"/>
  <c r="E165" s="1"/>
  <c r="AI48" i="2"/>
  <c r="L548" i="41"/>
  <c r="B205" i="26"/>
  <c r="B31" i="27" s="1"/>
  <c r="J537" i="41"/>
  <c r="J4"/>
  <c r="K541"/>
  <c r="L543" s="1"/>
  <c r="M539"/>
  <c r="E71" i="26" s="1"/>
  <c r="L540" i="41"/>
  <c r="J7"/>
  <c r="B48" i="2"/>
  <c r="D224" i="26"/>
  <c r="D225" s="1"/>
  <c r="B38" i="27" s="1"/>
  <c r="C35" i="26"/>
  <c r="K543" i="41" l="1"/>
  <c r="B213" i="26"/>
  <c r="B32" i="27" s="1"/>
  <c r="K546" i="41"/>
  <c r="K544"/>
  <c r="L544"/>
  <c r="L545"/>
  <c r="L546"/>
  <c r="E73" i="26"/>
  <c r="E89"/>
  <c r="J547" i="41"/>
  <c r="K8"/>
  <c r="M6"/>
  <c r="D71" i="26" s="1"/>
  <c r="L7" i="41"/>
  <c r="K10" s="1"/>
  <c r="E57" i="30"/>
  <c r="E61" s="1"/>
  <c r="E67"/>
  <c r="E71" s="1"/>
  <c r="F57"/>
  <c r="F61" s="1"/>
  <c r="F67"/>
  <c r="F69" s="1"/>
  <c r="I57"/>
  <c r="I59" s="1"/>
  <c r="I67"/>
  <c r="I70" s="1"/>
  <c r="B57"/>
  <c r="B61" s="1"/>
  <c r="B67"/>
  <c r="B72" s="1"/>
  <c r="D89" i="26" l="1"/>
  <c r="L10" i="41"/>
  <c r="L11"/>
  <c r="L13"/>
  <c r="L12"/>
  <c r="I69" i="30"/>
  <c r="F58"/>
  <c r="F59"/>
  <c r="F71"/>
  <c r="E68"/>
  <c r="E69"/>
  <c r="F70"/>
  <c r="I60"/>
  <c r="I71"/>
  <c r="B68"/>
  <c r="B69"/>
  <c r="B58"/>
  <c r="F60"/>
  <c r="E70"/>
  <c r="E58"/>
  <c r="I61"/>
  <c r="B70"/>
  <c r="B59"/>
  <c r="E59"/>
  <c r="B71"/>
  <c r="B60"/>
  <c r="I68"/>
  <c r="E60"/>
  <c r="B62"/>
  <c r="I58"/>
  <c r="F68"/>
  <c r="K13" i="41"/>
  <c r="K11"/>
  <c r="E78" i="26"/>
  <c r="E75"/>
  <c r="E86"/>
  <c r="E79"/>
  <c r="E74"/>
  <c r="E102"/>
  <c r="E91"/>
  <c r="E94"/>
  <c r="E90"/>
  <c r="E95"/>
  <c r="E81" l="1"/>
  <c r="J14" i="41"/>
  <c r="D73" i="26"/>
  <c r="D78" s="1"/>
  <c r="E97"/>
  <c r="D94"/>
  <c r="D102"/>
  <c r="D91"/>
  <c r="D95"/>
  <c r="D90"/>
  <c r="F63" i="30"/>
  <c r="E73"/>
  <c r="I73"/>
  <c r="F73"/>
  <c r="I63"/>
  <c r="B63"/>
  <c r="B73"/>
  <c r="E63"/>
  <c r="E93" i="26"/>
  <c r="E92"/>
  <c r="E100" s="1"/>
  <c r="E80"/>
  <c r="E77"/>
  <c r="E76"/>
  <c r="E84" s="1"/>
  <c r="E96"/>
  <c r="D86" l="1"/>
  <c r="D74"/>
  <c r="D79"/>
  <c r="D80" s="1"/>
  <c r="D75"/>
  <c r="D97"/>
  <c r="D93"/>
  <c r="D96"/>
  <c r="D92"/>
  <c r="D100" s="1"/>
  <c r="E3" i="30"/>
  <c r="B5" i="26" s="1"/>
  <c r="F3" i="30"/>
  <c r="B6" i="26" s="1"/>
  <c r="I3" i="30"/>
  <c r="B9" i="26" s="1"/>
  <c r="B3" i="30"/>
  <c r="E83" i="26"/>
  <c r="E82"/>
  <c r="E98"/>
  <c r="E99"/>
  <c r="D81" l="1"/>
  <c r="E85"/>
  <c r="E87" s="1"/>
  <c r="D77"/>
  <c r="D76"/>
  <c r="D84" s="1"/>
  <c r="D99"/>
  <c r="D98"/>
  <c r="K6"/>
  <c r="J6"/>
  <c r="J5"/>
  <c r="B33" s="1"/>
  <c r="K5"/>
  <c r="C33" s="1"/>
  <c r="K9"/>
  <c r="J9"/>
  <c r="E101"/>
  <c r="E103" l="1"/>
  <c r="M547" i="41" s="1"/>
  <c r="L547"/>
  <c r="D83" i="26"/>
  <c r="D82"/>
  <c r="D101"/>
  <c r="D33"/>
  <c r="E33"/>
  <c r="D103" l="1"/>
  <c r="M14" i="41" s="1"/>
  <c r="W770"/>
  <c r="X770" s="1"/>
  <c r="W1062"/>
  <c r="X1062" s="1"/>
  <c r="W584"/>
  <c r="X584" s="1"/>
  <c r="W922"/>
  <c r="X922" s="1"/>
  <c r="W1014"/>
  <c r="X1014" s="1"/>
  <c r="W875"/>
  <c r="X875" s="1"/>
  <c r="W743"/>
  <c r="X743" s="1"/>
  <c r="W604"/>
  <c r="X604" s="1"/>
  <c r="W911"/>
  <c r="X911" s="1"/>
  <c r="W573"/>
  <c r="X573" s="1"/>
  <c r="W575"/>
  <c r="X575" s="1"/>
  <c r="W589"/>
  <c r="X589" s="1"/>
  <c r="W903"/>
  <c r="X903" s="1"/>
  <c r="W696"/>
  <c r="X696" s="1"/>
  <c r="W997"/>
  <c r="X997" s="1"/>
  <c r="W948"/>
  <c r="X948" s="1"/>
  <c r="W559"/>
  <c r="X559" s="1"/>
  <c r="W705"/>
  <c r="X705" s="1"/>
  <c r="W912"/>
  <c r="X912" s="1"/>
  <c r="W643"/>
  <c r="X643" s="1"/>
  <c r="W664"/>
  <c r="X664" s="1"/>
  <c r="W1050"/>
  <c r="X1050" s="1"/>
  <c r="W883"/>
  <c r="X883" s="1"/>
  <c r="W958"/>
  <c r="X958" s="1"/>
  <c r="W592"/>
  <c r="X592" s="1"/>
  <c r="W839"/>
  <c r="X839" s="1"/>
  <c r="W648"/>
  <c r="X648" s="1"/>
  <c r="W603"/>
  <c r="X603" s="1"/>
  <c r="W710"/>
  <c r="X710" s="1"/>
  <c r="W757"/>
  <c r="X757" s="1"/>
  <c r="W837"/>
  <c r="X837" s="1"/>
  <c r="W921"/>
  <c r="X921" s="1"/>
  <c r="W894"/>
  <c r="X894" s="1"/>
  <c r="W771"/>
  <c r="X771" s="1"/>
  <c r="W806"/>
  <c r="X806" s="1"/>
  <c r="W840"/>
  <c r="X840" s="1"/>
  <c r="W580"/>
  <c r="X580" s="1"/>
  <c r="W1027"/>
  <c r="X1027" s="1"/>
  <c r="W871"/>
  <c r="X871" s="1"/>
  <c r="W976"/>
  <c r="X976" s="1"/>
  <c r="W897"/>
  <c r="X897" s="1"/>
  <c r="W704"/>
  <c r="X704" s="1"/>
  <c r="W800"/>
  <c r="X800" s="1"/>
  <c r="W841"/>
  <c r="X841" s="1"/>
  <c r="W708"/>
  <c r="X708" s="1"/>
  <c r="W642"/>
  <c r="X642" s="1"/>
  <c r="W554"/>
  <c r="X554" s="1"/>
  <c r="W598"/>
  <c r="X598" s="1"/>
  <c r="W1048"/>
  <c r="X1048" s="1"/>
  <c r="W969"/>
  <c r="X969" s="1"/>
  <c r="W1012"/>
  <c r="X1012" s="1"/>
  <c r="W591"/>
  <c r="X591" s="1"/>
  <c r="W819"/>
  <c r="X819" s="1"/>
  <c r="W690"/>
  <c r="X690" s="1"/>
  <c r="W920"/>
  <c r="X920" s="1"/>
  <c r="W810"/>
  <c r="X810" s="1"/>
  <c r="W1040"/>
  <c r="X1040" s="1"/>
  <c r="W1030"/>
  <c r="X1030" s="1"/>
  <c r="W949"/>
  <c r="X949" s="1"/>
  <c r="W917"/>
  <c r="X917" s="1"/>
  <c r="W779"/>
  <c r="X779" s="1"/>
  <c r="W830"/>
  <c r="X830" s="1"/>
  <c r="W638"/>
  <c r="X638" s="1"/>
  <c r="W865"/>
  <c r="X865" s="1"/>
  <c r="W668"/>
  <c r="X668" s="1"/>
  <c r="W595"/>
  <c r="X595" s="1"/>
  <c r="W804"/>
  <c r="X804" s="1"/>
  <c r="W588"/>
  <c r="X588" s="1"/>
  <c r="W747"/>
  <c r="X747" s="1"/>
  <c r="W947"/>
  <c r="X947" s="1"/>
  <c r="W565"/>
  <c r="X565" s="1"/>
  <c r="W637"/>
  <c r="X637" s="1"/>
  <c r="W936"/>
  <c r="X936" s="1"/>
  <c r="W869"/>
  <c r="X869" s="1"/>
  <c r="W777"/>
  <c r="X777" s="1"/>
  <c r="W560"/>
  <c r="X560" s="1"/>
  <c r="W610"/>
  <c r="X610" s="1"/>
  <c r="W856"/>
  <c r="X856" s="1"/>
  <c r="W751"/>
  <c r="X751" s="1"/>
  <c r="W676"/>
  <c r="X676" s="1"/>
  <c r="W731"/>
  <c r="X731" s="1"/>
  <c r="W793"/>
  <c r="X793" s="1"/>
  <c r="W977"/>
  <c r="X977" s="1"/>
  <c r="W701"/>
  <c r="X701" s="1"/>
  <c r="W933"/>
  <c r="X933" s="1"/>
  <c r="W621"/>
  <c r="X621" s="1"/>
  <c r="W1032"/>
  <c r="X1032" s="1"/>
  <c r="W585"/>
  <c r="X585" s="1"/>
  <c r="W768"/>
  <c r="X768" s="1"/>
  <c r="W765"/>
  <c r="X765" s="1"/>
  <c r="W673"/>
  <c r="X673" s="1"/>
  <c r="W1022"/>
  <c r="X1022" s="1"/>
  <c r="W612"/>
  <c r="X612" s="1"/>
  <c r="W1059"/>
  <c r="X1059" s="1"/>
  <c r="W640"/>
  <c r="X640" s="1"/>
  <c r="W794"/>
  <c r="X794" s="1"/>
  <c r="W955"/>
  <c r="X955" s="1"/>
  <c r="W783"/>
  <c r="X783" s="1"/>
  <c r="W679"/>
  <c r="X679" s="1"/>
  <c r="W753"/>
  <c r="X753" s="1"/>
  <c r="W797"/>
  <c r="X797" s="1"/>
  <c r="W881"/>
  <c r="X881" s="1"/>
  <c r="W877"/>
  <c r="X877" s="1"/>
  <c r="W602"/>
  <c r="X602" s="1"/>
  <c r="W962"/>
  <c r="X962" s="1"/>
  <c r="W928"/>
  <c r="X928" s="1"/>
  <c r="W674"/>
  <c r="X674" s="1"/>
  <c r="W791"/>
  <c r="X791" s="1"/>
  <c r="W978"/>
  <c r="X978" s="1"/>
  <c r="W916"/>
  <c r="X916" s="1"/>
  <c r="W964"/>
  <c r="X964" s="1"/>
  <c r="W685"/>
  <c r="X685" s="1"/>
  <c r="W1001"/>
  <c r="X1001" s="1"/>
  <c r="W864"/>
  <c r="X864" s="1"/>
  <c r="W706"/>
  <c r="X706" s="1"/>
  <c r="W715"/>
  <c r="X715" s="1"/>
  <c r="W1004"/>
  <c r="X1004" s="1"/>
  <c r="W749"/>
  <c r="X749" s="1"/>
  <c r="W586"/>
  <c r="X586" s="1"/>
  <c r="W835"/>
  <c r="X835" s="1"/>
  <c r="W960"/>
  <c r="X960" s="1"/>
  <c r="W988"/>
  <c r="X988" s="1"/>
  <c r="W901"/>
  <c r="X901" s="1"/>
  <c r="W712"/>
  <c r="X712" s="1"/>
  <c r="W1005"/>
  <c r="X1005" s="1"/>
  <c r="W661"/>
  <c r="X661" s="1"/>
  <c r="W876"/>
  <c r="X876" s="1"/>
  <c r="W755"/>
  <c r="X755" s="1"/>
  <c r="W778"/>
  <c r="X778" s="1"/>
  <c r="W703"/>
  <c r="X703" s="1"/>
  <c r="W802"/>
  <c r="X802" s="1"/>
  <c r="W1016"/>
  <c r="X1016" s="1"/>
  <c r="W688"/>
  <c r="X688" s="1"/>
  <c r="W990"/>
  <c r="X990" s="1"/>
  <c r="W641"/>
  <c r="X641" s="1"/>
  <c r="W1055"/>
  <c r="X1055" s="1"/>
  <c r="W767"/>
  <c r="X767" s="1"/>
  <c r="W970"/>
  <c r="X970" s="1"/>
  <c r="W754"/>
  <c r="X754" s="1"/>
  <c r="W1013"/>
  <c r="X1013" s="1"/>
  <c r="W699"/>
  <c r="X699" s="1"/>
  <c r="W1003"/>
  <c r="X1003" s="1"/>
  <c r="W555"/>
  <c r="X555" s="1"/>
  <c r="W986"/>
  <c r="X986" s="1"/>
  <c r="W594"/>
  <c r="X594" s="1"/>
  <c r="W660"/>
  <c r="X660" s="1"/>
  <c r="W665"/>
  <c r="X665" s="1"/>
  <c r="W691"/>
  <c r="X691" s="1"/>
  <c r="W625"/>
  <c r="X625" s="1"/>
  <c r="W975"/>
  <c r="X975" s="1"/>
  <c r="W893"/>
  <c r="X893" s="1"/>
  <c r="W1002"/>
  <c r="X1002" s="1"/>
  <c r="W759"/>
  <c r="X759" s="1"/>
  <c r="W1028"/>
  <c r="X1028" s="1"/>
  <c r="W727"/>
  <c r="X727" s="1"/>
  <c r="W857"/>
  <c r="X857" s="1"/>
  <c r="W971"/>
  <c r="X971" s="1"/>
  <c r="W974"/>
  <c r="X974" s="1"/>
  <c r="W658"/>
  <c r="X658" s="1"/>
  <c r="W1034"/>
  <c r="X1034" s="1"/>
  <c r="W600"/>
  <c r="X600" s="1"/>
  <c r="W728"/>
  <c r="X728" s="1"/>
  <c r="W935"/>
  <c r="X935" s="1"/>
  <c r="W569"/>
  <c r="X569" s="1"/>
  <c r="W711"/>
  <c r="X711" s="1"/>
  <c r="W647"/>
  <c r="X647" s="1"/>
  <c r="W808"/>
  <c r="X808" s="1"/>
  <c r="W820"/>
  <c r="X820" s="1"/>
  <c r="W892"/>
  <c r="X892" s="1"/>
  <c r="W1046"/>
  <c r="X1046" s="1"/>
  <c r="W994"/>
  <c r="X994" s="1"/>
  <c r="W925"/>
  <c r="X925" s="1"/>
  <c r="W582"/>
  <c r="X582" s="1"/>
  <c r="W979"/>
  <c r="X979" s="1"/>
  <c r="W709"/>
  <c r="X709" s="1"/>
  <c r="W619"/>
  <c r="X619" s="1"/>
  <c r="W634"/>
  <c r="X634" s="1"/>
  <c r="W831"/>
  <c r="X831" s="1"/>
  <c r="W953"/>
  <c r="X953" s="1"/>
  <c r="W853"/>
  <c r="X853" s="1"/>
  <c r="W611"/>
  <c r="X611" s="1"/>
  <c r="W823"/>
  <c r="X823" s="1"/>
  <c r="W552"/>
  <c r="X552" s="1"/>
  <c r="W667"/>
  <c r="X667" s="1"/>
  <c r="W677"/>
  <c r="X677" s="1"/>
  <c r="W562"/>
  <c r="X562" s="1"/>
  <c r="W700"/>
  <c r="X700" s="1"/>
  <c r="W904"/>
  <c r="X904" s="1"/>
  <c r="W874"/>
  <c r="X874" s="1"/>
  <c r="W635"/>
  <c r="X635" s="1"/>
  <c r="W655"/>
  <c r="X655" s="1"/>
  <c r="W707"/>
  <c r="X707" s="1"/>
  <c r="W937"/>
  <c r="X937" s="1"/>
  <c r="W723"/>
  <c r="X723" s="1"/>
  <c r="W781"/>
  <c r="X781" s="1"/>
  <c r="W888"/>
  <c r="X888" s="1"/>
  <c r="W846"/>
  <c r="X846" s="1"/>
  <c r="W639"/>
  <c r="X639" s="1"/>
  <c r="W776"/>
  <c r="X776" s="1"/>
  <c r="W852"/>
  <c r="X852" s="1"/>
  <c r="W750"/>
  <c r="X750" s="1"/>
  <c r="W952"/>
  <c r="X952" s="1"/>
  <c r="W825"/>
  <c r="X825" s="1"/>
  <c r="W1058"/>
  <c r="X1058" s="1"/>
  <c r="W732"/>
  <c r="X732" s="1"/>
  <c r="W943"/>
  <c r="X943" s="1"/>
  <c r="W910"/>
  <c r="X910" s="1"/>
  <c r="W868"/>
  <c r="X868" s="1"/>
  <c r="W1033"/>
  <c r="X1033" s="1"/>
  <c r="W789"/>
  <c r="X789" s="1"/>
  <c r="W1043"/>
  <c r="X1043" s="1"/>
  <c r="W923"/>
  <c r="X923" s="1"/>
  <c r="W632"/>
  <c r="X632" s="1"/>
  <c r="W722"/>
  <c r="X722" s="1"/>
  <c r="W931"/>
  <c r="X931" s="1"/>
  <c r="W553"/>
  <c r="X553" s="1"/>
  <c r="W822"/>
  <c r="X822" s="1"/>
  <c r="W733"/>
  <c r="X733" s="1"/>
  <c r="W758"/>
  <c r="X758" s="1"/>
  <c r="W1054"/>
  <c r="X1054" s="1"/>
  <c r="W1024"/>
  <c r="X1024" s="1"/>
  <c r="W720"/>
  <c r="X720" s="1"/>
  <c r="W880"/>
  <c r="X880" s="1"/>
  <c r="W847"/>
  <c r="X847" s="1"/>
  <c r="W859"/>
  <c r="X859" s="1"/>
  <c r="W650"/>
  <c r="X650" s="1"/>
  <c r="W866"/>
  <c r="X866" s="1"/>
  <c r="W744"/>
  <c r="X744" s="1"/>
  <c r="W919"/>
  <c r="X919" s="1"/>
  <c r="W730"/>
  <c r="X730" s="1"/>
  <c r="W626"/>
  <c r="X626" s="1"/>
  <c r="W652"/>
  <c r="X652" s="1"/>
  <c r="W675"/>
  <c r="X675" s="1"/>
  <c r="W946"/>
  <c r="X946" s="1"/>
  <c r="W1038"/>
  <c r="X1038" s="1"/>
  <c r="W616"/>
  <c r="X616" s="1"/>
  <c r="W571"/>
  <c r="X571" s="1"/>
  <c r="W735"/>
  <c r="X735" s="1"/>
  <c r="W653"/>
  <c r="X653" s="1"/>
  <c r="W617"/>
  <c r="X617" s="1"/>
  <c r="W959"/>
  <c r="X959" s="1"/>
  <c r="W854"/>
  <c r="X854" s="1"/>
  <c r="W832"/>
  <c r="X832" s="1"/>
  <c r="W729"/>
  <c r="X729" s="1"/>
  <c r="W775"/>
  <c r="X775" s="1"/>
  <c r="W601"/>
  <c r="X601" s="1"/>
  <c r="W985"/>
  <c r="X985" s="1"/>
  <c r="W796"/>
  <c r="X796" s="1"/>
  <c r="W622"/>
  <c r="X622" s="1"/>
  <c r="W828"/>
  <c r="X828" s="1"/>
  <c r="W941"/>
  <c r="X941" s="1"/>
  <c r="W654"/>
  <c r="X654" s="1"/>
  <c r="W583"/>
  <c r="X583" s="1"/>
  <c r="W745"/>
  <c r="X745" s="1"/>
  <c r="W1007"/>
  <c r="X1007" s="1"/>
  <c r="W813"/>
  <c r="X813" s="1"/>
  <c r="W963"/>
  <c r="X963" s="1"/>
  <c r="W760"/>
  <c r="X760" s="1"/>
  <c r="W721"/>
  <c r="X721" s="1"/>
  <c r="W814"/>
  <c r="X814" s="1"/>
  <c r="W972"/>
  <c r="X972" s="1"/>
  <c r="W902"/>
  <c r="X902" s="1"/>
  <c r="W957"/>
  <c r="X957" s="1"/>
  <c r="W618"/>
  <c r="X618" s="1"/>
  <c r="W693"/>
  <c r="X693" s="1"/>
  <c r="W734"/>
  <c r="X734" s="1"/>
  <c r="W989"/>
  <c r="X989" s="1"/>
  <c r="W785"/>
  <c r="X785" s="1"/>
  <c r="W966"/>
  <c r="X966" s="1"/>
  <c r="W551"/>
  <c r="X551" s="1"/>
  <c r="W566"/>
  <c r="X566" s="1"/>
  <c r="W873"/>
  <c r="X873" s="1"/>
  <c r="W845"/>
  <c r="X845" s="1"/>
  <c r="W834"/>
  <c r="X834" s="1"/>
  <c r="W698"/>
  <c r="X698" s="1"/>
  <c r="W671"/>
  <c r="X671" s="1"/>
  <c r="W805"/>
  <c r="X805" s="1"/>
  <c r="W766"/>
  <c r="X766" s="1"/>
  <c r="W858"/>
  <c r="X858" s="1"/>
  <c r="W824"/>
  <c r="X824" s="1"/>
  <c r="W812"/>
  <c r="X812" s="1"/>
  <c r="W995"/>
  <c r="X995" s="1"/>
  <c r="W561"/>
  <c r="X561" s="1"/>
  <c r="W646"/>
  <c r="X646" s="1"/>
  <c r="W609"/>
  <c r="X609" s="1"/>
  <c r="W1061"/>
  <c r="X1061" s="1"/>
  <c r="W798"/>
  <c r="X798" s="1"/>
  <c r="W980"/>
  <c r="X980" s="1"/>
  <c r="W786"/>
  <c r="X786" s="1"/>
  <c r="W644"/>
  <c r="X644" s="1"/>
  <c r="W656"/>
  <c r="X656" s="1"/>
  <c r="W886"/>
  <c r="X886" s="1"/>
  <c r="W606"/>
  <c r="X606" s="1"/>
  <c r="W1009"/>
  <c r="X1009" s="1"/>
  <c r="W567"/>
  <c r="X567" s="1"/>
  <c r="W738"/>
  <c r="X738" s="1"/>
  <c r="W951"/>
  <c r="X951" s="1"/>
  <c r="W564"/>
  <c r="X564" s="1"/>
  <c r="W900"/>
  <c r="X900" s="1"/>
  <c r="W803"/>
  <c r="X803" s="1"/>
  <c r="W624"/>
  <c r="X624" s="1"/>
  <c r="W1053"/>
  <c r="X1053" s="1"/>
  <c r="W915"/>
  <c r="X915" s="1"/>
  <c r="W872"/>
  <c r="X872" s="1"/>
  <c r="W788"/>
  <c r="X788" s="1"/>
  <c r="W614"/>
  <c r="X614" s="1"/>
  <c r="W795"/>
  <c r="X795" s="1"/>
  <c r="W954"/>
  <c r="X954" s="1"/>
  <c r="W836"/>
  <c r="X836" s="1"/>
  <c r="W695"/>
  <c r="X695" s="1"/>
  <c r="W587"/>
  <c r="X587" s="1"/>
  <c r="W898"/>
  <c r="X898" s="1"/>
  <c r="W984"/>
  <c r="X984" s="1"/>
  <c r="W999"/>
  <c r="X999" s="1"/>
  <c r="W1056"/>
  <c r="X1056" s="1"/>
  <c r="W924"/>
  <c r="X924" s="1"/>
  <c r="W983"/>
  <c r="X983" s="1"/>
  <c r="W826"/>
  <c r="X826" s="1"/>
  <c r="W769"/>
  <c r="X769" s="1"/>
  <c r="W801"/>
  <c r="X801" s="1"/>
  <c r="W680"/>
  <c r="X680" s="1"/>
  <c r="W718"/>
  <c r="X718" s="1"/>
  <c r="W842"/>
  <c r="X842" s="1"/>
  <c r="W739"/>
  <c r="X739" s="1"/>
  <c r="W850"/>
  <c r="X850" s="1"/>
  <c r="W889"/>
  <c r="X889" s="1"/>
  <c r="W780"/>
  <c r="X780" s="1"/>
  <c r="W827"/>
  <c r="X827" s="1"/>
  <c r="W878"/>
  <c r="X878" s="1"/>
  <c r="W905"/>
  <c r="X905" s="1"/>
  <c r="W833"/>
  <c r="X833" s="1"/>
  <c r="W556"/>
  <c r="X556" s="1"/>
  <c r="W926"/>
  <c r="X926" s="1"/>
  <c r="W906"/>
  <c r="X906" s="1"/>
  <c r="W811"/>
  <c r="X811" s="1"/>
  <c r="W681"/>
  <c r="X681" s="1"/>
  <c r="W782"/>
  <c r="X782" s="1"/>
  <c r="W761"/>
  <c r="X761" s="1"/>
  <c r="W1057"/>
  <c r="X1057" s="1"/>
  <c r="W896"/>
  <c r="X896" s="1"/>
  <c r="W597"/>
  <c r="X597" s="1"/>
  <c r="W1029"/>
  <c r="X1029" s="1"/>
  <c r="W605"/>
  <c r="X605" s="1"/>
  <c r="W666"/>
  <c r="X666" s="1"/>
  <c r="W1000"/>
  <c r="X1000" s="1"/>
  <c r="W629"/>
  <c r="X629" s="1"/>
  <c r="W956"/>
  <c r="X956" s="1"/>
  <c r="W697"/>
  <c r="X697" s="1"/>
  <c r="W1052"/>
  <c r="X1052" s="1"/>
  <c r="W939"/>
  <c r="X939" s="1"/>
  <c r="W1018"/>
  <c r="X1018" s="1"/>
  <c r="W965"/>
  <c r="X965" s="1"/>
  <c r="W908"/>
  <c r="X908" s="1"/>
  <c r="W1023"/>
  <c r="X1023" s="1"/>
  <c r="W683"/>
  <c r="X683" s="1"/>
  <c r="W724"/>
  <c r="X724" s="1"/>
  <c r="W991"/>
  <c r="X991" s="1"/>
  <c r="W1037"/>
  <c r="X1037" s="1"/>
  <c r="W1019"/>
  <c r="X1019" s="1"/>
  <c r="W885"/>
  <c r="X885" s="1"/>
  <c r="W992"/>
  <c r="X992" s="1"/>
  <c r="W623"/>
  <c r="X623" s="1"/>
  <c r="W1049"/>
  <c r="X1049" s="1"/>
  <c r="W940"/>
  <c r="X940" s="1"/>
  <c r="W1006"/>
  <c r="X1006" s="1"/>
  <c r="W576"/>
  <c r="X576" s="1"/>
  <c r="W593"/>
  <c r="X593" s="1"/>
  <c r="W633"/>
  <c r="X633" s="1"/>
  <c r="W686"/>
  <c r="X686" s="1"/>
  <c r="W998"/>
  <c r="X998" s="1"/>
  <c r="W746"/>
  <c r="X746" s="1"/>
  <c r="W736"/>
  <c r="X736" s="1"/>
  <c r="W1020"/>
  <c r="X1020" s="1"/>
  <c r="W1039"/>
  <c r="X1039" s="1"/>
  <c r="W1036"/>
  <c r="X1036" s="1"/>
  <c r="W620"/>
  <c r="X620" s="1"/>
  <c r="W1041"/>
  <c r="X1041" s="1"/>
  <c r="W987"/>
  <c r="X987" s="1"/>
  <c r="W578"/>
  <c r="X578" s="1"/>
  <c r="W748"/>
  <c r="X748" s="1"/>
  <c r="W1026"/>
  <c r="X1026" s="1"/>
  <c r="W1021"/>
  <c r="X1021" s="1"/>
  <c r="W784"/>
  <c r="X784" s="1"/>
  <c r="W596"/>
  <c r="X596" s="1"/>
  <c r="W568"/>
  <c r="X568" s="1"/>
  <c r="W599"/>
  <c r="X599" s="1"/>
  <c r="W945"/>
  <c r="X945" s="1"/>
  <c r="W756"/>
  <c r="X756" s="1"/>
  <c r="W821"/>
  <c r="X821" s="1"/>
  <c r="W909"/>
  <c r="X909" s="1"/>
  <c r="W913"/>
  <c r="X913" s="1"/>
  <c r="W968"/>
  <c r="X968" s="1"/>
  <c r="W849"/>
  <c r="X849" s="1"/>
  <c r="W870"/>
  <c r="X870" s="1"/>
  <c r="W844"/>
  <c r="X844" s="1"/>
  <c r="W762"/>
  <c r="X762" s="1"/>
  <c r="W973"/>
  <c r="X973" s="1"/>
  <c r="W815"/>
  <c r="X815" s="1"/>
  <c r="W1035"/>
  <c r="X1035" s="1"/>
  <c r="W790"/>
  <c r="X790" s="1"/>
  <c r="W636"/>
  <c r="X636" s="1"/>
  <c r="W863"/>
  <c r="X863" s="1"/>
  <c r="W1011"/>
  <c r="X1011" s="1"/>
  <c r="W577"/>
  <c r="X577" s="1"/>
  <c r="W773"/>
  <c r="X773" s="1"/>
  <c r="W929"/>
  <c r="X929" s="1"/>
  <c r="W678"/>
  <c r="X678" s="1"/>
  <c r="W879"/>
  <c r="X879" s="1"/>
  <c r="W702"/>
  <c r="X702" s="1"/>
  <c r="W657"/>
  <c r="X657" s="1"/>
  <c r="W1017"/>
  <c r="X1017" s="1"/>
  <c r="W558"/>
  <c r="X558" s="1"/>
  <c r="W914"/>
  <c r="X914" s="1"/>
  <c r="W884"/>
  <c r="X884" s="1"/>
  <c r="W792"/>
  <c r="X792" s="1"/>
  <c r="W737"/>
  <c r="X737" s="1"/>
  <c r="W848"/>
  <c r="X848" s="1"/>
  <c r="W714"/>
  <c r="X714" s="1"/>
  <c r="W895"/>
  <c r="X895" s="1"/>
  <c r="W890"/>
  <c r="X890" s="1"/>
  <c r="W1051"/>
  <c r="X1051" s="1"/>
  <c r="W669"/>
  <c r="X669" s="1"/>
  <c r="W716"/>
  <c r="X716" s="1"/>
  <c r="W1044"/>
  <c r="X1044" s="1"/>
  <c r="W934"/>
  <c r="X934" s="1"/>
  <c r="W574"/>
  <c r="X574" s="1"/>
  <c r="W938"/>
  <c r="X938" s="1"/>
  <c r="W590"/>
  <c r="X590" s="1"/>
  <c r="W891"/>
  <c r="X891" s="1"/>
  <c r="W672"/>
  <c r="X672" s="1"/>
  <c r="W663"/>
  <c r="X663" s="1"/>
  <c r="W649"/>
  <c r="X649" s="1"/>
  <c r="W631"/>
  <c r="X631" s="1"/>
  <c r="W1060"/>
  <c r="X1060" s="1"/>
  <c r="W899"/>
  <c r="X899" s="1"/>
  <c r="W627"/>
  <c r="X627" s="1"/>
  <c r="W682"/>
  <c r="X682" s="1"/>
  <c r="W944"/>
  <c r="X944" s="1"/>
  <c r="W838"/>
  <c r="X838" s="1"/>
  <c r="W799"/>
  <c r="X799" s="1"/>
  <c r="W719"/>
  <c r="X719" s="1"/>
  <c r="W993"/>
  <c r="X993" s="1"/>
  <c r="W563"/>
  <c r="X563" s="1"/>
  <c r="W829"/>
  <c r="X829" s="1"/>
  <c r="W713"/>
  <c r="X713" s="1"/>
  <c r="W692"/>
  <c r="X692" s="1"/>
  <c r="W752"/>
  <c r="X752" s="1"/>
  <c r="W818"/>
  <c r="X818" s="1"/>
  <c r="W967"/>
  <c r="X967" s="1"/>
  <c r="W996"/>
  <c r="X996" s="1"/>
  <c r="W740"/>
  <c r="X740" s="1"/>
  <c r="W579"/>
  <c r="X579" s="1"/>
  <c r="W907"/>
  <c r="X907" s="1"/>
  <c r="W1025"/>
  <c r="X1025" s="1"/>
  <c r="W630"/>
  <c r="X630" s="1"/>
  <c r="W887"/>
  <c r="X887" s="1"/>
  <c r="W645"/>
  <c r="X645" s="1"/>
  <c r="W950"/>
  <c r="X950" s="1"/>
  <c r="W855"/>
  <c r="X855" s="1"/>
  <c r="W581"/>
  <c r="X581" s="1"/>
  <c r="W807"/>
  <c r="X807" s="1"/>
  <c r="W817"/>
  <c r="X817" s="1"/>
  <c r="W726"/>
  <c r="X726" s="1"/>
  <c r="W774"/>
  <c r="X774" s="1"/>
  <c r="W1015"/>
  <c r="X1015" s="1"/>
  <c r="W608"/>
  <c r="X608" s="1"/>
  <c r="W851"/>
  <c r="X851" s="1"/>
  <c r="W918"/>
  <c r="X918" s="1"/>
  <c r="W694"/>
  <c r="X694" s="1"/>
  <c r="W981"/>
  <c r="X981" s="1"/>
  <c r="W763"/>
  <c r="X763" s="1"/>
  <c r="W809"/>
  <c r="X809" s="1"/>
  <c r="W557"/>
  <c r="X557" s="1"/>
  <c r="W1042"/>
  <c r="X1042" s="1"/>
  <c r="W670"/>
  <c r="X670" s="1"/>
  <c r="W570"/>
  <c r="X570" s="1"/>
  <c r="W1047"/>
  <c r="X1047" s="1"/>
  <c r="W861"/>
  <c r="X861" s="1"/>
  <c r="W572"/>
  <c r="X572" s="1"/>
  <c r="W725"/>
  <c r="X725" s="1"/>
  <c r="W684"/>
  <c r="X684" s="1"/>
  <c r="W932"/>
  <c r="X932" s="1"/>
  <c r="W1008"/>
  <c r="X1008" s="1"/>
  <c r="W687"/>
  <c r="X687" s="1"/>
  <c r="W741"/>
  <c r="X741" s="1"/>
  <c r="W689"/>
  <c r="X689" s="1"/>
  <c r="W742"/>
  <c r="X742" s="1"/>
  <c r="W942"/>
  <c r="X942" s="1"/>
  <c r="W961"/>
  <c r="X961" s="1"/>
  <c r="W867"/>
  <c r="X867" s="1"/>
  <c r="W613"/>
  <c r="X613" s="1"/>
  <c r="W882"/>
  <c r="X882" s="1"/>
  <c r="W651"/>
  <c r="X651" s="1"/>
  <c r="W615"/>
  <c r="X615" s="1"/>
  <c r="W628"/>
  <c r="X628" s="1"/>
  <c r="W787"/>
  <c r="X787" s="1"/>
  <c r="W717"/>
  <c r="X717" s="1"/>
  <c r="W816"/>
  <c r="X816" s="1"/>
  <c r="W772"/>
  <c r="X772" s="1"/>
  <c r="W982"/>
  <c r="X982" s="1"/>
  <c r="W1031"/>
  <c r="X1031" s="1"/>
  <c r="W1045"/>
  <c r="X1045" s="1"/>
  <c r="W662"/>
  <c r="X662" s="1"/>
  <c r="W843"/>
  <c r="X843" s="1"/>
  <c r="W764"/>
  <c r="X764" s="1"/>
  <c r="W607"/>
  <c r="X607" s="1"/>
  <c r="W930"/>
  <c r="X930" s="1"/>
  <c r="W927"/>
  <c r="X927" s="1"/>
  <c r="W862"/>
  <c r="X862" s="1"/>
  <c r="W659"/>
  <c r="X659" s="1"/>
  <c r="W860"/>
  <c r="X860" s="1"/>
  <c r="W1010"/>
  <c r="X1010" s="1"/>
  <c r="D85" i="26"/>
  <c r="D87" s="1"/>
  <c r="X1064" i="41" l="1"/>
  <c r="R3" s="1"/>
  <c r="E222" i="26" s="1"/>
  <c r="Y47" i="44" s="1"/>
  <c r="L14" i="41"/>
  <c r="E226" i="26" l="1"/>
  <c r="C37" i="27" s="1"/>
  <c r="AA47" i="2"/>
  <c r="C35" i="27"/>
  <c r="W481" i="41"/>
  <c r="X481" s="1"/>
  <c r="W312"/>
  <c r="X312" s="1"/>
  <c r="W152"/>
  <c r="X152" s="1"/>
  <c r="W504"/>
  <c r="X504" s="1"/>
  <c r="W491"/>
  <c r="X491" s="1"/>
  <c r="W503"/>
  <c r="X503" s="1"/>
  <c r="W493"/>
  <c r="X493" s="1"/>
  <c r="W489"/>
  <c r="X489" s="1"/>
  <c r="W180"/>
  <c r="X180" s="1"/>
  <c r="W473"/>
  <c r="X473" s="1"/>
  <c r="W435"/>
  <c r="X435" s="1"/>
  <c r="W50"/>
  <c r="X50" s="1"/>
  <c r="W520"/>
  <c r="X520" s="1"/>
  <c r="W101"/>
  <c r="X101" s="1"/>
  <c r="W227"/>
  <c r="X227" s="1"/>
  <c r="W474"/>
  <c r="X474" s="1"/>
  <c r="W390"/>
  <c r="X390" s="1"/>
  <c r="W65"/>
  <c r="X65" s="1"/>
  <c r="W197"/>
  <c r="X197" s="1"/>
  <c r="W172"/>
  <c r="X172" s="1"/>
  <c r="W211"/>
  <c r="X211" s="1"/>
  <c r="W424"/>
  <c r="X424" s="1"/>
  <c r="W251"/>
  <c r="X251" s="1"/>
  <c r="W509"/>
  <c r="X509" s="1"/>
  <c r="W480"/>
  <c r="X480" s="1"/>
  <c r="W479"/>
  <c r="X479" s="1"/>
  <c r="W483"/>
  <c r="X483" s="1"/>
  <c r="W143"/>
  <c r="X143" s="1"/>
  <c r="W97"/>
  <c r="X97" s="1"/>
  <c r="W78"/>
  <c r="X78" s="1"/>
  <c r="W185"/>
  <c r="X185" s="1"/>
  <c r="W314"/>
  <c r="X314" s="1"/>
  <c r="W66"/>
  <c r="X66" s="1"/>
  <c r="W53"/>
  <c r="X53" s="1"/>
  <c r="W72"/>
  <c r="X72" s="1"/>
  <c r="W247"/>
  <c r="X247" s="1"/>
  <c r="W446"/>
  <c r="X446" s="1"/>
  <c r="W366"/>
  <c r="X366" s="1"/>
  <c r="W510"/>
  <c r="X510" s="1"/>
  <c r="W439"/>
  <c r="X439" s="1"/>
  <c r="W282"/>
  <c r="X282" s="1"/>
  <c r="W316"/>
  <c r="X316" s="1"/>
  <c r="W430"/>
  <c r="X430" s="1"/>
  <c r="W405"/>
  <c r="X405" s="1"/>
  <c r="W208"/>
  <c r="X208" s="1"/>
  <c r="W470"/>
  <c r="X470" s="1"/>
  <c r="W423"/>
  <c r="X423" s="1"/>
  <c r="W346"/>
  <c r="X346" s="1"/>
  <c r="W48"/>
  <c r="X48" s="1"/>
  <c r="W57"/>
  <c r="X57" s="1"/>
  <c r="W254"/>
  <c r="X254" s="1"/>
  <c r="W484"/>
  <c r="X484" s="1"/>
  <c r="W236"/>
  <c r="X236" s="1"/>
  <c r="W179"/>
  <c r="X179" s="1"/>
  <c r="W350"/>
  <c r="X350" s="1"/>
  <c r="W452"/>
  <c r="X452" s="1"/>
  <c r="W268"/>
  <c r="X268" s="1"/>
  <c r="W422"/>
  <c r="X422" s="1"/>
  <c r="W459"/>
  <c r="X459" s="1"/>
  <c r="W420"/>
  <c r="X420" s="1"/>
  <c r="W380"/>
  <c r="X380" s="1"/>
  <c r="W111"/>
  <c r="X111" s="1"/>
  <c r="W341"/>
  <c r="X341" s="1"/>
  <c r="W266"/>
  <c r="X266" s="1"/>
  <c r="W171"/>
  <c r="X171" s="1"/>
  <c r="W153"/>
  <c r="X153" s="1"/>
  <c r="W463"/>
  <c r="X463" s="1"/>
  <c r="W525"/>
  <c r="X525" s="1"/>
  <c r="W307"/>
  <c r="X307" s="1"/>
  <c r="W517"/>
  <c r="X517" s="1"/>
  <c r="W348"/>
  <c r="X348" s="1"/>
  <c r="W305"/>
  <c r="X305" s="1"/>
  <c r="W271"/>
  <c r="X271" s="1"/>
  <c r="W260"/>
  <c r="X260" s="1"/>
  <c r="W475"/>
  <c r="X475" s="1"/>
  <c r="W71"/>
  <c r="X71" s="1"/>
  <c r="W229"/>
  <c r="X229" s="1"/>
  <c r="W320"/>
  <c r="X320" s="1"/>
  <c r="W54"/>
  <c r="X54" s="1"/>
  <c r="W256"/>
  <c r="X256" s="1"/>
  <c r="W338"/>
  <c r="X338" s="1"/>
  <c r="W200"/>
  <c r="X200" s="1"/>
  <c r="W360"/>
  <c r="X360" s="1"/>
  <c r="W107"/>
  <c r="X107" s="1"/>
  <c r="W523"/>
  <c r="X523" s="1"/>
  <c r="W27"/>
  <c r="X27" s="1"/>
  <c r="W287"/>
  <c r="X287" s="1"/>
  <c r="W345"/>
  <c r="X345" s="1"/>
  <c r="W133"/>
  <c r="X133" s="1"/>
  <c r="W464"/>
  <c r="X464" s="1"/>
  <c r="W291"/>
  <c r="X291" s="1"/>
  <c r="W296"/>
  <c r="X296" s="1"/>
  <c r="W244"/>
  <c r="X244" s="1"/>
  <c r="W108"/>
  <c r="X108" s="1"/>
  <c r="W115"/>
  <c r="X115" s="1"/>
  <c r="W482"/>
  <c r="X482" s="1"/>
  <c r="W319"/>
  <c r="X319" s="1"/>
  <c r="W69"/>
  <c r="X69" s="1"/>
  <c r="W352"/>
  <c r="X352" s="1"/>
  <c r="W39"/>
  <c r="X39" s="1"/>
  <c r="W331"/>
  <c r="X331" s="1"/>
  <c r="W136"/>
  <c r="X136" s="1"/>
  <c r="W40"/>
  <c r="X40" s="1"/>
  <c r="W151"/>
  <c r="X151" s="1"/>
  <c r="W326"/>
  <c r="X326" s="1"/>
  <c r="W217"/>
  <c r="X217" s="1"/>
  <c r="W195"/>
  <c r="X195" s="1"/>
  <c r="W243"/>
  <c r="X243" s="1"/>
  <c r="W468"/>
  <c r="X468" s="1"/>
  <c r="W528"/>
  <c r="X528" s="1"/>
  <c r="W257"/>
  <c r="X257" s="1"/>
  <c r="W204"/>
  <c r="X204" s="1"/>
  <c r="W454"/>
  <c r="X454" s="1"/>
  <c r="W285"/>
  <c r="X285" s="1"/>
  <c r="W353"/>
  <c r="X353" s="1"/>
  <c r="W32"/>
  <c r="X32" s="1"/>
  <c r="W462"/>
  <c r="X462" s="1"/>
  <c r="W340"/>
  <c r="X340" s="1"/>
  <c r="W45"/>
  <c r="X45" s="1"/>
  <c r="W99"/>
  <c r="X99" s="1"/>
  <c r="W164"/>
  <c r="X164" s="1"/>
  <c r="W406"/>
  <c r="X406" s="1"/>
  <c r="W145"/>
  <c r="X145" s="1"/>
  <c r="W450"/>
  <c r="X450" s="1"/>
  <c r="W529"/>
  <c r="X529" s="1"/>
  <c r="W113"/>
  <c r="X113" s="1"/>
  <c r="W169"/>
  <c r="X169" s="1"/>
  <c r="W461"/>
  <c r="X461" s="1"/>
  <c r="W514"/>
  <c r="X514" s="1"/>
  <c r="W144"/>
  <c r="X144" s="1"/>
  <c r="W83"/>
  <c r="X83" s="1"/>
  <c r="W335"/>
  <c r="X335" s="1"/>
  <c r="W215"/>
  <c r="X215" s="1"/>
  <c r="W275"/>
  <c r="X275" s="1"/>
  <c r="W109"/>
  <c r="X109" s="1"/>
  <c r="W141"/>
  <c r="X141" s="1"/>
  <c r="W396"/>
  <c r="X396" s="1"/>
  <c r="W196"/>
  <c r="X196" s="1"/>
  <c r="W70"/>
  <c r="X70" s="1"/>
  <c r="W297"/>
  <c r="X297" s="1"/>
  <c r="W193"/>
  <c r="X193" s="1"/>
  <c r="W59"/>
  <c r="X59" s="1"/>
  <c r="W499"/>
  <c r="X499" s="1"/>
  <c r="W293"/>
  <c r="X293" s="1"/>
  <c r="W299"/>
  <c r="X299" s="1"/>
  <c r="W188"/>
  <c r="X188" s="1"/>
  <c r="W132"/>
  <c r="X132" s="1"/>
  <c r="W492"/>
  <c r="X492" s="1"/>
  <c r="W443"/>
  <c r="X443" s="1"/>
  <c r="W269"/>
  <c r="X269" s="1"/>
  <c r="W182"/>
  <c r="X182" s="1"/>
  <c r="W388"/>
  <c r="X388" s="1"/>
  <c r="W190"/>
  <c r="X190" s="1"/>
  <c r="W225"/>
  <c r="X225" s="1"/>
  <c r="W415"/>
  <c r="X415" s="1"/>
  <c r="W527"/>
  <c r="X527" s="1"/>
  <c r="W321"/>
  <c r="X321" s="1"/>
  <c r="W112"/>
  <c r="X112" s="1"/>
  <c r="W174"/>
  <c r="X174" s="1"/>
  <c r="W85"/>
  <c r="X85" s="1"/>
  <c r="W207"/>
  <c r="X207" s="1"/>
  <c r="W399"/>
  <c r="X399" s="1"/>
  <c r="W427"/>
  <c r="X427" s="1"/>
  <c r="W124"/>
  <c r="X124" s="1"/>
  <c r="W61"/>
  <c r="X61" s="1"/>
  <c r="W47"/>
  <c r="X47" s="1"/>
  <c r="W55"/>
  <c r="X55" s="1"/>
  <c r="W155"/>
  <c r="X155" s="1"/>
  <c r="W281"/>
  <c r="X281" s="1"/>
  <c r="W106"/>
  <c r="X106" s="1"/>
  <c r="W77"/>
  <c r="X77" s="1"/>
  <c r="W184"/>
  <c r="X184" s="1"/>
  <c r="W344"/>
  <c r="X344" s="1"/>
  <c r="W400"/>
  <c r="X400" s="1"/>
  <c r="W68"/>
  <c r="X68" s="1"/>
  <c r="W160"/>
  <c r="X160" s="1"/>
  <c r="W292"/>
  <c r="X292" s="1"/>
  <c r="W62"/>
  <c r="X62" s="1"/>
  <c r="W519"/>
  <c r="X519" s="1"/>
  <c r="W434"/>
  <c r="X434" s="1"/>
  <c r="W163"/>
  <c r="X163" s="1"/>
  <c r="W453"/>
  <c r="X453" s="1"/>
  <c r="W294"/>
  <c r="X294" s="1"/>
  <c r="W237"/>
  <c r="X237" s="1"/>
  <c r="W330"/>
  <c r="X330" s="1"/>
  <c r="W150"/>
  <c r="X150" s="1"/>
  <c r="W51"/>
  <c r="X51" s="1"/>
  <c r="W189"/>
  <c r="X189" s="1"/>
  <c r="W129"/>
  <c r="X129" s="1"/>
  <c r="W300"/>
  <c r="X300" s="1"/>
  <c r="W436"/>
  <c r="X436" s="1"/>
  <c r="W274"/>
  <c r="X274" s="1"/>
  <c r="W18"/>
  <c r="X18" s="1"/>
  <c r="W511"/>
  <c r="X511" s="1"/>
  <c r="W86"/>
  <c r="X86" s="1"/>
  <c r="W25"/>
  <c r="X25" s="1"/>
  <c r="W67"/>
  <c r="X67" s="1"/>
  <c r="W167"/>
  <c r="X167" s="1"/>
  <c r="W313"/>
  <c r="X313" s="1"/>
  <c r="W26"/>
  <c r="X26" s="1"/>
  <c r="W166"/>
  <c r="X166" s="1"/>
  <c r="W206"/>
  <c r="X206" s="1"/>
  <c r="W522"/>
  <c r="X522" s="1"/>
  <c r="W42"/>
  <c r="X42" s="1"/>
  <c r="W105"/>
  <c r="X105" s="1"/>
  <c r="W276"/>
  <c r="X276" s="1"/>
  <c r="W304"/>
  <c r="X304" s="1"/>
  <c r="W125"/>
  <c r="X125" s="1"/>
  <c r="W94"/>
  <c r="X94" s="1"/>
  <c r="W521"/>
  <c r="X521" s="1"/>
  <c r="W394"/>
  <c r="X394" s="1"/>
  <c r="W233"/>
  <c r="X233" s="1"/>
  <c r="W421"/>
  <c r="X421" s="1"/>
  <c r="W33"/>
  <c r="X33" s="1"/>
  <c r="W505"/>
  <c r="X505" s="1"/>
  <c r="W80"/>
  <c r="X80" s="1"/>
  <c r="W114"/>
  <c r="X114" s="1"/>
  <c r="W507"/>
  <c r="X507" s="1"/>
  <c r="W248"/>
  <c r="X248" s="1"/>
  <c r="W494"/>
  <c r="X494" s="1"/>
  <c r="W231"/>
  <c r="X231" s="1"/>
  <c r="W322"/>
  <c r="X322" s="1"/>
  <c r="W56"/>
  <c r="X56" s="1"/>
  <c r="W134"/>
  <c r="X134" s="1"/>
  <c r="W226"/>
  <c r="X226" s="1"/>
  <c r="W429"/>
  <c r="X429" s="1"/>
  <c r="W414"/>
  <c r="X414" s="1"/>
  <c r="W358"/>
  <c r="X358" s="1"/>
  <c r="W428"/>
  <c r="X428" s="1"/>
  <c r="W120"/>
  <c r="X120" s="1"/>
  <c r="W328"/>
  <c r="X328" s="1"/>
  <c r="W60"/>
  <c r="X60" s="1"/>
  <c r="W397"/>
  <c r="X397" s="1"/>
  <c r="W187"/>
  <c r="X187" s="1"/>
  <c r="W127"/>
  <c r="X127" s="1"/>
  <c r="W258"/>
  <c r="X258" s="1"/>
  <c r="W370"/>
  <c r="X370" s="1"/>
  <c r="W213"/>
  <c r="X213" s="1"/>
  <c r="W121"/>
  <c r="X121" s="1"/>
  <c r="W161"/>
  <c r="X161" s="1"/>
  <c r="W265"/>
  <c r="X265" s="1"/>
  <c r="W240"/>
  <c r="X240" s="1"/>
  <c r="W437"/>
  <c r="X437" s="1"/>
  <c r="W445"/>
  <c r="X445" s="1"/>
  <c r="W347"/>
  <c r="X347" s="1"/>
  <c r="W404"/>
  <c r="X404" s="1"/>
  <c r="W110"/>
  <c r="X110" s="1"/>
  <c r="W29"/>
  <c r="X29" s="1"/>
  <c r="W501"/>
  <c r="X501" s="1"/>
  <c r="W311"/>
  <c r="X311" s="1"/>
  <c r="W476"/>
  <c r="X476" s="1"/>
  <c r="W317"/>
  <c r="X317" s="1"/>
  <c r="W496"/>
  <c r="X496" s="1"/>
  <c r="W389"/>
  <c r="X389" s="1"/>
  <c r="W96"/>
  <c r="X96" s="1"/>
  <c r="W456"/>
  <c r="X456" s="1"/>
  <c r="W333"/>
  <c r="X333" s="1"/>
  <c r="W279"/>
  <c r="X279" s="1"/>
  <c r="W444"/>
  <c r="X444" s="1"/>
  <c r="W156"/>
  <c r="X156" s="1"/>
  <c r="W410"/>
  <c r="X410" s="1"/>
  <c r="W440"/>
  <c r="X440" s="1"/>
  <c r="W371"/>
  <c r="X371" s="1"/>
  <c r="W177"/>
  <c r="X177" s="1"/>
  <c r="W158"/>
  <c r="X158" s="1"/>
  <c r="W418"/>
  <c r="X418" s="1"/>
  <c r="W146"/>
  <c r="X146" s="1"/>
  <c r="W119"/>
  <c r="X119" s="1"/>
  <c r="W432"/>
  <c r="X432" s="1"/>
  <c r="W159"/>
  <c r="X159" s="1"/>
  <c r="W267"/>
  <c r="X267" s="1"/>
  <c r="W449"/>
  <c r="X449" s="1"/>
  <c r="W465"/>
  <c r="X465" s="1"/>
  <c r="W500"/>
  <c r="X500" s="1"/>
  <c r="W426"/>
  <c r="X426" s="1"/>
  <c r="W417"/>
  <c r="X417" s="1"/>
  <c r="W486"/>
  <c r="X486" s="1"/>
  <c r="W283"/>
  <c r="X283" s="1"/>
  <c r="W332"/>
  <c r="X332" s="1"/>
  <c r="W356"/>
  <c r="X356" s="1"/>
  <c r="W278"/>
  <c r="X278" s="1"/>
  <c r="W458"/>
  <c r="X458" s="1"/>
  <c r="W100"/>
  <c r="X100" s="1"/>
  <c r="W252"/>
  <c r="X252" s="1"/>
  <c r="W103"/>
  <c r="X103" s="1"/>
  <c r="W238"/>
  <c r="X238" s="1"/>
  <c r="W515"/>
  <c r="X515" s="1"/>
  <c r="W102"/>
  <c r="X102" s="1"/>
  <c r="W372"/>
  <c r="X372" s="1"/>
  <c r="W126"/>
  <c r="X126" s="1"/>
  <c r="W89"/>
  <c r="X89" s="1"/>
  <c r="W375"/>
  <c r="X375" s="1"/>
  <c r="W502"/>
  <c r="X502" s="1"/>
  <c r="W433"/>
  <c r="X433" s="1"/>
  <c r="W351"/>
  <c r="X351" s="1"/>
  <c r="W176"/>
  <c r="X176" s="1"/>
  <c r="W232"/>
  <c r="X232" s="1"/>
  <c r="W261"/>
  <c r="X261" s="1"/>
  <c r="W376"/>
  <c r="X376" s="1"/>
  <c r="W210"/>
  <c r="X210" s="1"/>
  <c r="W130"/>
  <c r="X130" s="1"/>
  <c r="W173"/>
  <c r="X173" s="1"/>
  <c r="W336"/>
  <c r="X336" s="1"/>
  <c r="W75"/>
  <c r="X75" s="1"/>
  <c r="W363"/>
  <c r="X363" s="1"/>
  <c r="W438"/>
  <c r="X438" s="1"/>
  <c r="W263"/>
  <c r="X263" s="1"/>
  <c r="W349"/>
  <c r="X349" s="1"/>
  <c r="W142"/>
  <c r="X142" s="1"/>
  <c r="W30"/>
  <c r="X30" s="1"/>
  <c r="W471"/>
  <c r="X471" s="1"/>
  <c r="W259"/>
  <c r="X259" s="1"/>
  <c r="W222"/>
  <c r="X222" s="1"/>
  <c r="W90"/>
  <c r="X90" s="1"/>
  <c r="W205"/>
  <c r="X205" s="1"/>
  <c r="W249"/>
  <c r="X249" s="1"/>
  <c r="W425"/>
  <c r="X425" s="1"/>
  <c r="W262"/>
  <c r="X262" s="1"/>
  <c r="W88"/>
  <c r="X88" s="1"/>
  <c r="W385"/>
  <c r="X385" s="1"/>
  <c r="W255"/>
  <c r="X255" s="1"/>
  <c r="W235"/>
  <c r="X235" s="1"/>
  <c r="W324"/>
  <c r="X324" s="1"/>
  <c r="W367"/>
  <c r="X367" s="1"/>
  <c r="W253"/>
  <c r="X253" s="1"/>
  <c r="W135"/>
  <c r="X135" s="1"/>
  <c r="W122"/>
  <c r="X122" s="1"/>
  <c r="W79"/>
  <c r="X79" s="1"/>
  <c r="W395"/>
  <c r="X395" s="1"/>
  <c r="W343"/>
  <c r="X343" s="1"/>
  <c r="W488"/>
  <c r="X488" s="1"/>
  <c r="W128"/>
  <c r="X128" s="1"/>
  <c r="W369"/>
  <c r="X369" s="1"/>
  <c r="W37"/>
  <c r="X37" s="1"/>
  <c r="W84"/>
  <c r="X84" s="1"/>
  <c r="W412"/>
  <c r="X412" s="1"/>
  <c r="W413"/>
  <c r="X413" s="1"/>
  <c r="W95"/>
  <c r="X95" s="1"/>
  <c r="W44"/>
  <c r="X44" s="1"/>
  <c r="W52"/>
  <c r="X52" s="1"/>
  <c r="W295"/>
  <c r="X295" s="1"/>
  <c r="W220"/>
  <c r="X220" s="1"/>
  <c r="W359"/>
  <c r="X359" s="1"/>
  <c r="W241"/>
  <c r="X241" s="1"/>
  <c r="W250"/>
  <c r="X250" s="1"/>
  <c r="W323"/>
  <c r="X323" s="1"/>
  <c r="W19"/>
  <c r="X19" s="1"/>
  <c r="W91"/>
  <c r="X91" s="1"/>
  <c r="W191"/>
  <c r="X191" s="1"/>
  <c r="W378"/>
  <c r="X378" s="1"/>
  <c r="W357"/>
  <c r="X357" s="1"/>
  <c r="W148"/>
  <c r="X148" s="1"/>
  <c r="W460"/>
  <c r="X460" s="1"/>
  <c r="W183"/>
  <c r="X183" s="1"/>
  <c r="W497"/>
  <c r="X497" s="1"/>
  <c r="W22"/>
  <c r="X22" s="1"/>
  <c r="W280"/>
  <c r="X280" s="1"/>
  <c r="W337"/>
  <c r="X337" s="1"/>
  <c r="W202"/>
  <c r="X202" s="1"/>
  <c r="W212"/>
  <c r="X212" s="1"/>
  <c r="W82"/>
  <c r="X82" s="1"/>
  <c r="W411"/>
  <c r="X411" s="1"/>
  <c r="W472"/>
  <c r="X472" s="1"/>
  <c r="W309"/>
  <c r="X309" s="1"/>
  <c r="W518"/>
  <c r="X518" s="1"/>
  <c r="W374"/>
  <c r="X374" s="1"/>
  <c r="W138"/>
  <c r="X138" s="1"/>
  <c r="W203"/>
  <c r="X203" s="1"/>
  <c r="W209"/>
  <c r="X209" s="1"/>
  <c r="W467"/>
  <c r="X467" s="1"/>
  <c r="W383"/>
  <c r="X383" s="1"/>
  <c r="W524"/>
  <c r="X524" s="1"/>
  <c r="W46"/>
  <c r="X46" s="1"/>
  <c r="W149"/>
  <c r="X149" s="1"/>
  <c r="W242"/>
  <c r="X242" s="1"/>
  <c r="W381"/>
  <c r="X381" s="1"/>
  <c r="W64"/>
  <c r="X64" s="1"/>
  <c r="W218"/>
  <c r="X218" s="1"/>
  <c r="W354"/>
  <c r="X354" s="1"/>
  <c r="W219"/>
  <c r="X219" s="1"/>
  <c r="W301"/>
  <c r="X301" s="1"/>
  <c r="W147"/>
  <c r="X147" s="1"/>
  <c r="W58"/>
  <c r="X58" s="1"/>
  <c r="W447"/>
  <c r="X447" s="1"/>
  <c r="W272"/>
  <c r="X272" s="1"/>
  <c r="W239"/>
  <c r="X239" s="1"/>
  <c r="W198"/>
  <c r="X198" s="1"/>
  <c r="W393"/>
  <c r="X393" s="1"/>
  <c r="W403"/>
  <c r="X403" s="1"/>
  <c r="W382"/>
  <c r="X382" s="1"/>
  <c r="W498"/>
  <c r="X498" s="1"/>
  <c r="W181"/>
  <c r="X181" s="1"/>
  <c r="W387"/>
  <c r="X387" s="1"/>
  <c r="W245"/>
  <c r="X245" s="1"/>
  <c r="W308"/>
  <c r="X308" s="1"/>
  <c r="W162"/>
  <c r="X162" s="1"/>
  <c r="W221"/>
  <c r="X221" s="1"/>
  <c r="W76"/>
  <c r="X76" s="1"/>
  <c r="W118"/>
  <c r="X118" s="1"/>
  <c r="W315"/>
  <c r="X315" s="1"/>
  <c r="W303"/>
  <c r="X303" s="1"/>
  <c r="W513"/>
  <c r="X513" s="1"/>
  <c r="W194"/>
  <c r="X194" s="1"/>
  <c r="W35"/>
  <c r="X35" s="1"/>
  <c r="W377"/>
  <c r="X377" s="1"/>
  <c r="W416"/>
  <c r="X416" s="1"/>
  <c r="W409"/>
  <c r="X409" s="1"/>
  <c r="W98"/>
  <c r="X98" s="1"/>
  <c r="W74"/>
  <c r="X74" s="1"/>
  <c r="W140"/>
  <c r="X140" s="1"/>
  <c r="W284"/>
  <c r="X284" s="1"/>
  <c r="W31"/>
  <c r="X31" s="1"/>
  <c r="W290"/>
  <c r="X290" s="1"/>
  <c r="W431"/>
  <c r="X431" s="1"/>
  <c r="W466"/>
  <c r="X466" s="1"/>
  <c r="W379"/>
  <c r="X379" s="1"/>
  <c r="W41"/>
  <c r="X41" s="1"/>
  <c r="W318"/>
  <c r="X318" s="1"/>
  <c r="W329"/>
  <c r="X329" s="1"/>
  <c r="W490"/>
  <c r="X490" s="1"/>
  <c r="W516"/>
  <c r="X516" s="1"/>
  <c r="W401"/>
  <c r="X401" s="1"/>
  <c r="W391"/>
  <c r="X391" s="1"/>
  <c r="W306"/>
  <c r="X306" s="1"/>
  <c r="W201"/>
  <c r="X201" s="1"/>
  <c r="W457"/>
  <c r="X457" s="1"/>
  <c r="W264"/>
  <c r="X264" s="1"/>
  <c r="W339"/>
  <c r="X339" s="1"/>
  <c r="W361"/>
  <c r="X361" s="1"/>
  <c r="W526"/>
  <c r="X526" s="1"/>
  <c r="W234"/>
  <c r="X234" s="1"/>
  <c r="W362"/>
  <c r="X362" s="1"/>
  <c r="W487"/>
  <c r="X487" s="1"/>
  <c r="W402"/>
  <c r="X402" s="1"/>
  <c r="W43"/>
  <c r="X43" s="1"/>
  <c r="W214"/>
  <c r="X214" s="1"/>
  <c r="W327"/>
  <c r="X327" s="1"/>
  <c r="W28"/>
  <c r="X28" s="1"/>
  <c r="W228"/>
  <c r="X228" s="1"/>
  <c r="W506"/>
  <c r="X506" s="1"/>
  <c r="W286"/>
  <c r="X286" s="1"/>
  <c r="W298"/>
  <c r="X298" s="1"/>
  <c r="W485"/>
  <c r="X485" s="1"/>
  <c r="W448"/>
  <c r="X448" s="1"/>
  <c r="W325"/>
  <c r="X325" s="1"/>
  <c r="W230"/>
  <c r="X230" s="1"/>
  <c r="W186"/>
  <c r="X186" s="1"/>
  <c r="W365"/>
  <c r="X365" s="1"/>
  <c r="W131"/>
  <c r="X131" s="1"/>
  <c r="W224"/>
  <c r="X224" s="1"/>
  <c r="W21"/>
  <c r="X21" s="1"/>
  <c r="W117"/>
  <c r="X117" s="1"/>
  <c r="W104"/>
  <c r="X104" s="1"/>
  <c r="W386"/>
  <c r="X386" s="1"/>
  <c r="W154"/>
  <c r="X154" s="1"/>
  <c r="W364"/>
  <c r="X364" s="1"/>
  <c r="W302"/>
  <c r="X302" s="1"/>
  <c r="W342"/>
  <c r="X342" s="1"/>
  <c r="W270"/>
  <c r="X270" s="1"/>
  <c r="W38"/>
  <c r="X38" s="1"/>
  <c r="W199"/>
  <c r="X199" s="1"/>
  <c r="W23"/>
  <c r="X23" s="1"/>
  <c r="W93"/>
  <c r="X93" s="1"/>
  <c r="W398"/>
  <c r="X398" s="1"/>
  <c r="W123"/>
  <c r="X123" s="1"/>
  <c r="W419"/>
  <c r="X419" s="1"/>
  <c r="W49"/>
  <c r="X49" s="1"/>
  <c r="W289"/>
  <c r="X289" s="1"/>
  <c r="W384"/>
  <c r="X384" s="1"/>
  <c r="W34"/>
  <c r="X34" s="1"/>
  <c r="W137"/>
  <c r="X137" s="1"/>
  <c r="W139"/>
  <c r="X139" s="1"/>
  <c r="W495"/>
  <c r="X495" s="1"/>
  <c r="W175"/>
  <c r="X175" s="1"/>
  <c r="W477"/>
  <c r="X477" s="1"/>
  <c r="W20"/>
  <c r="X20" s="1"/>
  <c r="W310"/>
  <c r="X310" s="1"/>
  <c r="W73"/>
  <c r="X73" s="1"/>
  <c r="W512"/>
  <c r="X512" s="1"/>
  <c r="W408"/>
  <c r="X408" s="1"/>
  <c r="W87"/>
  <c r="X87" s="1"/>
  <c r="W334"/>
  <c r="X334" s="1"/>
  <c r="W92"/>
  <c r="X92" s="1"/>
  <c r="W392"/>
  <c r="X392" s="1"/>
  <c r="W81"/>
  <c r="X81" s="1"/>
  <c r="W36"/>
  <c r="X36" s="1"/>
  <c r="W451"/>
  <c r="X451" s="1"/>
  <c r="W170"/>
  <c r="X170" s="1"/>
  <c r="W63"/>
  <c r="X63" s="1"/>
  <c r="W165"/>
  <c r="X165" s="1"/>
  <c r="W178"/>
  <c r="X178" s="1"/>
  <c r="W192"/>
  <c r="X192" s="1"/>
  <c r="W246"/>
  <c r="X246" s="1"/>
  <c r="W116"/>
  <c r="X116" s="1"/>
  <c r="W478"/>
  <c r="X478" s="1"/>
  <c r="W373"/>
  <c r="X373" s="1"/>
  <c r="W216"/>
  <c r="X216" s="1"/>
  <c r="W407"/>
  <c r="X407" s="1"/>
  <c r="W469"/>
  <c r="X469" s="1"/>
  <c r="W368"/>
  <c r="X368" s="1"/>
  <c r="W168"/>
  <c r="X168" s="1"/>
  <c r="W24"/>
  <c r="X24" s="1"/>
  <c r="W455"/>
  <c r="X455" s="1"/>
  <c r="W442"/>
  <c r="X442" s="1"/>
  <c r="W273"/>
  <c r="X273" s="1"/>
  <c r="W157"/>
  <c r="X157" s="1"/>
  <c r="W508"/>
  <c r="X508" s="1"/>
  <c r="W223"/>
  <c r="X223" s="1"/>
  <c r="W355"/>
  <c r="X355" s="1"/>
  <c r="W277"/>
  <c r="X277" s="1"/>
  <c r="W441"/>
  <c r="X441" s="1"/>
  <c r="W288"/>
  <c r="X288" s="1"/>
  <c r="E227" i="26" l="1"/>
  <c r="AA23" i="2" s="1"/>
  <c r="X531" i="41"/>
  <c r="Q3" s="1"/>
  <c r="D222" i="26" s="1"/>
  <c r="B35" i="27" l="1"/>
  <c r="C40"/>
  <c r="Y48" i="44"/>
  <c r="B47"/>
  <c r="B47" i="2"/>
  <c r="D226" i="26"/>
  <c r="D227" s="1"/>
  <c r="B23" i="2" l="1"/>
  <c r="B48" i="44"/>
  <c r="B37" i="27"/>
  <c r="B40"/>
  <c r="B44" s="1"/>
  <c r="B49" i="44" s="1"/>
</calcChain>
</file>

<file path=xl/sharedStrings.xml><?xml version="1.0" encoding="utf-8"?>
<sst xmlns="http://schemas.openxmlformats.org/spreadsheetml/2006/main" count="3944" uniqueCount="1196">
  <si>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</si>
  <si>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</si>
  <si>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</si>
  <si>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</si>
  <si>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</si>
  <si>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</si>
  <si>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</si>
  <si>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</si>
  <si>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</si>
  <si>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</si>
  <si>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</si>
  <si>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</si>
  <si>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</si>
  <si>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</si>
  <si>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</si>
  <si>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</si>
  <si>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</si>
  <si>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</si>
  <si>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</si>
  <si>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</si>
  <si>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</si>
  <si>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</si>
  <si>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</si>
  <si>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</si>
  <si>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</si>
  <si>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</si>
  <si>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</si>
  <si>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</si>
  <si>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</si>
  <si>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</si>
  <si>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</si>
  <si>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</si>
  <si>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</si>
  <si>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</si>
  <si>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</si>
  <si>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</si>
  <si>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</si>
  <si>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</si>
  <si>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</si>
  <si>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</si>
  <si>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</si>
  <si>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</si>
  <si>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</si>
  <si>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</si>
  <si>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</si>
  <si>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</si>
  <si>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</si>
  <si>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</si>
  <si>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</si>
  <si>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</si>
  <si>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</si>
  <si>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</si>
  <si>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</si>
  <si>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</si>
  <si>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</si>
  <si>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Aesir</t>
  </si>
  <si>
    <t>Forager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</si>
  <si>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</si>
  <si>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</si>
  <si>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</si>
  <si>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</si>
  <si>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</si>
  <si>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</si>
  <si>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</si>
  <si>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</si>
  <si>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</si>
  <si>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</si>
  <si>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Flame</t>
  </si>
  <si>
    <t>Gear Haste</t>
  </si>
  <si>
    <t>Dex Crit</t>
  </si>
  <si>
    <t>Over-TP Rnds:</t>
  </si>
  <si>
    <t>Sam Roll</t>
  </si>
  <si>
    <t>PCC</t>
  </si>
  <si>
    <t>Earring</t>
  </si>
  <si>
    <t>Ring</t>
  </si>
  <si>
    <t>Ulthalam</t>
  </si>
  <si>
    <t>Sniper</t>
  </si>
  <si>
    <t>Toreador</t>
  </si>
  <si>
    <t>Strigoi</t>
  </si>
  <si>
    <t>Excelsis</t>
  </si>
  <si>
    <t>Amemet</t>
  </si>
  <si>
    <t>Cuchulain</t>
  </si>
  <si>
    <t>Sharpeye</t>
  </si>
  <si>
    <t>Virtuoso</t>
  </si>
  <si>
    <t>Ruby</t>
  </si>
  <si>
    <t>Amemet+1</t>
  </si>
  <si>
    <t>Ziel</t>
  </si>
  <si>
    <t>Hollow</t>
  </si>
  <si>
    <t>Anguinus</t>
  </si>
  <si>
    <t>Triumph</t>
  </si>
  <si>
    <t>Tiercel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</si>
  <si>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</si>
  <si>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</si>
  <si>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</si>
  <si>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</si>
  <si>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</si>
  <si>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</si>
  <si>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</si>
  <si>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</si>
  <si>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</si>
  <si>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</si>
  <si>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</si>
  <si>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</si>
  <si>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</si>
  <si>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</si>
  <si>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</si>
  <si>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</si>
  <si>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</si>
  <si>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</si>
  <si>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</si>
  <si>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Ecphoria</t>
  </si>
  <si>
    <t>Minuet</t>
  </si>
  <si>
    <t>Chivalrous</t>
  </si>
  <si>
    <t>Tiphia Sting</t>
  </si>
  <si>
    <t>WSC:</t>
  </si>
  <si>
    <t>fTP:</t>
  </si>
  <si>
    <t>Crit%:</t>
  </si>
  <si>
    <t>WS Dmg:</t>
  </si>
  <si>
    <t>Set DPS:</t>
  </si>
  <si>
    <t>Full DPS:</t>
  </si>
  <si>
    <t>Cerberus +1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</si>
  <si>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</si>
  <si>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</si>
  <si>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</si>
  <si>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</si>
  <si>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</si>
  <si>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</si>
  <si>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</si>
  <si>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</si>
  <si>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</si>
  <si>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</si>
  <si>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</si>
  <si>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</si>
  <si>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</si>
  <si>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</si>
  <si>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</si>
  <si>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</si>
  <si>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</si>
  <si>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</si>
  <si>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</si>
  <si>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Hoard</t>
  </si>
  <si>
    <t>DW</t>
  </si>
  <si>
    <t>Ranged</t>
  </si>
  <si>
    <t>Suppanomimi</t>
  </si>
  <si>
    <t>Vellaunus</t>
  </si>
  <si>
    <t>Speed</t>
  </si>
  <si>
    <t>Goading</t>
  </si>
  <si>
    <t>Offhand</t>
  </si>
  <si>
    <t>Off</t>
  </si>
  <si>
    <t>Main</t>
  </si>
  <si>
    <t>D</t>
  </si>
  <si>
    <t>Commander</t>
  </si>
  <si>
    <t>Stalwart's (acc)</t>
  </si>
  <si>
    <t>Stalwart's (att)</t>
  </si>
  <si>
    <t>Magic Haste</t>
  </si>
  <si>
    <t>JA Haste</t>
  </si>
  <si>
    <t>Carbonara</t>
  </si>
  <si>
    <t>Jupiter</t>
  </si>
  <si>
    <t>March 1</t>
  </si>
  <si>
    <t>March 2</t>
  </si>
  <si>
    <t>Acc Bonus</t>
  </si>
  <si>
    <t>Toggle</t>
  </si>
  <si>
    <t>Vorpal Blade</t>
  </si>
  <si>
    <t>Set 1</t>
  </si>
  <si>
    <t>TA:</t>
  </si>
  <si>
    <t>Set 2</t>
  </si>
  <si>
    <t>TA</t>
  </si>
  <si>
    <t>Ele.Belt</t>
  </si>
  <si>
    <t>Flame Sachet</t>
  </si>
  <si>
    <t>Fortitude</t>
  </si>
  <si>
    <t>Justice</t>
  </si>
  <si>
    <t>Beir</t>
  </si>
  <si>
    <t>Chant du Cygne</t>
  </si>
  <si>
    <t>WSDmg</t>
  </si>
  <si>
    <t>Combined</t>
  </si>
  <si>
    <t>Swings:</t>
  </si>
  <si>
    <t>Prob:</t>
  </si>
  <si>
    <t>Next TP</t>
  </si>
  <si>
    <t>Avg TP:</t>
  </si>
  <si>
    <t>Scorpion Queen</t>
  </si>
  <si>
    <t>Alpha &amp; Omega</t>
  </si>
  <si>
    <t>Twilight</t>
  </si>
  <si>
    <t>Spiral</t>
  </si>
  <si>
    <t>Keen</t>
  </si>
  <si>
    <t>Atheling</t>
  </si>
  <si>
    <t>Avg Dmg:</t>
  </si>
  <si>
    <t>Beir +1</t>
  </si>
  <si>
    <t>Mounted Champion</t>
  </si>
  <si>
    <t>Smiting Blow</t>
  </si>
  <si>
    <t>Rnds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</si>
  <si>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</si>
  <si>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</si>
  <si>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</si>
  <si>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</si>
  <si>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</si>
  <si>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</si>
  <si>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</si>
  <si>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</si>
  <si>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</si>
  <si>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</si>
  <si>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</si>
  <si>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</si>
  <si>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Buffs</t>
  </si>
  <si>
    <t>Crit</t>
  </si>
  <si>
    <t>Melee / Weaponskill</t>
  </si>
  <si>
    <t>Weaponskill</t>
  </si>
  <si>
    <t>Aggressor</t>
  </si>
  <si>
    <t>Chaos Roll</t>
  </si>
  <si>
    <t>Tactician's Roll</t>
  </si>
  <si>
    <t>Results</t>
  </si>
  <si>
    <t>Melee damage per round</t>
  </si>
  <si>
    <t>Adloquium</t>
  </si>
  <si>
    <t>Melee DPS</t>
  </si>
  <si>
    <t>Stalwart's</t>
  </si>
  <si>
    <t>Rounds/WS</t>
  </si>
  <si>
    <t>Total Cycle Damage</t>
  </si>
  <si>
    <t>Total Cycle Time</t>
  </si>
  <si>
    <t>Total DPS</t>
  </si>
  <si>
    <t>Combined Results</t>
  </si>
  <si>
    <t>Total:</t>
  </si>
  <si>
    <t>Set Ratios</t>
  </si>
  <si>
    <t>Combined DPS</t>
  </si>
  <si>
    <t>TP Set 1</t>
  </si>
  <si>
    <t>TP Set 2</t>
  </si>
  <si>
    <t>WS Set 1</t>
  </si>
  <si>
    <t>WS Set 2</t>
  </si>
  <si>
    <t>Shields</t>
  </si>
  <si>
    <t>Shield</t>
  </si>
  <si>
    <t>Sub1HSlots</t>
  </si>
  <si>
    <t>Sword</t>
  </si>
  <si>
    <t>Swords</t>
  </si>
  <si>
    <t>Base+M</t>
  </si>
  <si>
    <t>Atma 1</t>
  </si>
  <si>
    <t>Total 1</t>
  </si>
  <si>
    <t>Atma 2</t>
  </si>
  <si>
    <t>Total 2</t>
  </si>
  <si>
    <t>Mult.</t>
  </si>
  <si>
    <t>Att Bonus</t>
  </si>
  <si>
    <t>Zanshin:</t>
  </si>
  <si>
    <t>Food STP</t>
  </si>
  <si>
    <t>TPBonus</t>
  </si>
  <si>
    <t>TPSet1</t>
  </si>
  <si>
    <t>TPSet2</t>
  </si>
  <si>
    <t>WSSet1</t>
  </si>
  <si>
    <t>WSSet2</t>
  </si>
  <si>
    <t>Round Delay</t>
  </si>
  <si>
    <t>TP Delay</t>
  </si>
  <si>
    <t>Base TP/Hit</t>
  </si>
  <si>
    <t>TP/Hit</t>
  </si>
  <si>
    <t>dDex</t>
  </si>
  <si>
    <t>C.Dmg Multiplier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</si>
  <si>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</si>
  <si>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</si>
  <si>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</si>
  <si>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</si>
  <si>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</si>
  <si>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</si>
  <si>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</si>
  <si>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TP Time</t>
  </si>
  <si>
    <t>Total Damage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</si>
  <si>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</si>
  <si>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</si>
  <si>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</si>
  <si>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</si>
  <si>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</si>
  <si>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</si>
  <si>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</si>
  <si>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</si>
  <si>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</si>
  <si>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</si>
  <si>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</si>
  <si>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</si>
  <si>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Reduced Delay</t>
  </si>
  <si>
    <t>Avg Dmg 1</t>
  </si>
  <si>
    <t>Avg Dmg 2</t>
  </si>
  <si>
    <t>Hits 1</t>
  </si>
  <si>
    <t>Hits 2</t>
  </si>
  <si>
    <t>C.Rate 2</t>
  </si>
  <si>
    <t>C.Rate 1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</si>
  <si>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</si>
  <si>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</si>
  <si>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</si>
  <si>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</si>
  <si>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</si>
  <si>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</si>
  <si>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</si>
  <si>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</si>
  <si>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</si>
  <si>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</si>
  <si>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Conserve TP:</t>
  </si>
  <si>
    <t>First</t>
  </si>
  <si>
    <t>Save TP: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</si>
  <si>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</si>
  <si>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</si>
  <si>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</si>
  <si>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</si>
  <si>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</si>
  <si>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</si>
  <si>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</si>
  <si>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</si>
  <si>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</si>
  <si>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</si>
  <si>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</si>
  <si>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</si>
  <si>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</si>
  <si>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</si>
  <si>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</si>
  <si>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</si>
  <si>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</si>
  <si>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</si>
  <si>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</si>
  <si>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QA</t>
  </si>
  <si>
    <t>CTP</t>
  </si>
  <si>
    <t>Weaponskills</t>
  </si>
  <si>
    <t>Requiescat</t>
  </si>
  <si>
    <t>TP Adjustments</t>
  </si>
  <si>
    <t>Voidwatch</t>
  </si>
  <si>
    <t>N/A</t>
  </si>
  <si>
    <t>Final Stats</t>
  </si>
  <si>
    <t>Calculations</t>
  </si>
  <si>
    <t>Grades</t>
  </si>
  <si>
    <t>C</t>
  </si>
  <si>
    <t>B</t>
  </si>
  <si>
    <t>E</t>
  </si>
  <si>
    <t>F</t>
  </si>
  <si>
    <t>G</t>
  </si>
  <si>
    <t>A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</si>
  <si>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</si>
  <si>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</si>
  <si>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</si>
  <si>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</si>
  <si>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</si>
  <si>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</si>
  <si>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</si>
  <si>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</si>
  <si>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</si>
  <si>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</si>
  <si>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</si>
  <si>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</si>
  <si>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</si>
  <si>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</si>
  <si>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</si>
  <si>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</si>
  <si>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</si>
  <si>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</si>
  <si>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</si>
  <si>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</si>
  <si>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 Rates</t>
  </si>
  <si>
    <t>HPBase</t>
  </si>
  <si>
    <t>HP60</t>
  </si>
  <si>
    <t>HP30+</t>
  </si>
  <si>
    <t>HP75</t>
  </si>
  <si>
    <t>HP99</t>
  </si>
  <si>
    <t>StatBase</t>
  </si>
  <si>
    <t>Stat60</t>
  </si>
  <si>
    <t>Stat75</t>
  </si>
  <si>
    <t>Stat99</t>
  </si>
  <si>
    <t>Bonus</t>
  </si>
  <si>
    <t>Att Boost</t>
  </si>
  <si>
    <t>Sagasinger</t>
  </si>
  <si>
    <t>Ephemeron</t>
  </si>
  <si>
    <t>Devourer</t>
  </si>
  <si>
    <t>Pyrosoul</t>
  </si>
  <si>
    <t>Thundersoul</t>
  </si>
  <si>
    <t>Aquasoul</t>
  </si>
  <si>
    <t>Swiftwing</t>
  </si>
  <si>
    <t>Relic Bonus</t>
  </si>
  <si>
    <t>Def Down Tier</t>
  </si>
  <si>
    <t>WS Att Bonus</t>
  </si>
  <si>
    <t>Aqua Sachet</t>
  </si>
  <si>
    <t>Aife's</t>
  </si>
  <si>
    <t>Jupiter Pearl</t>
  </si>
  <si>
    <t>Vulcan</t>
  </si>
  <si>
    <t>Vulcan Pearl</t>
  </si>
  <si>
    <t>Neptune</t>
  </si>
  <si>
    <t>Neptune Pearl</t>
  </si>
  <si>
    <t>Cascade</t>
  </si>
  <si>
    <t>Thunder Sachet</t>
  </si>
  <si>
    <t>Tjukurrpa</t>
  </si>
  <si>
    <t>Prosilio</t>
  </si>
  <si>
    <t>Windbuffet</t>
  </si>
  <si>
    <t>Rancor Max</t>
  </si>
  <si>
    <t>OAx</t>
  </si>
  <si>
    <t>OA2</t>
  </si>
  <si>
    <t>OA3</t>
  </si>
  <si>
    <t>OA4</t>
  </si>
  <si>
    <t>OA5</t>
  </si>
  <si>
    <t>OA6</t>
  </si>
  <si>
    <t>OA7</t>
  </si>
  <si>
    <t>OA8</t>
  </si>
  <si>
    <t>Att%</t>
  </si>
  <si>
    <t>Embrava</t>
  </si>
  <si>
    <t>Minimum WS TP</t>
  </si>
  <si>
    <t>Other TP Gain/Loss</t>
  </si>
  <si>
    <t>Min TP:</t>
  </si>
  <si>
    <t>TP&gt;Ready</t>
  </si>
  <si>
    <t>Hits&gt;Ready</t>
  </si>
  <si>
    <t>Phasmida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</si>
  <si>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</si>
  <si>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</si>
  <si>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</si>
  <si>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</si>
  <si>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</si>
  <si>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</si>
  <si>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</si>
  <si>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</si>
  <si>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</si>
  <si>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Att1</t>
  </si>
  <si>
    <t>Att2</t>
  </si>
  <si>
    <t>Crit0</t>
  </si>
  <si>
    <t>Crit1</t>
  </si>
  <si>
    <t>Crit2</t>
  </si>
  <si>
    <t>Set1</t>
  </si>
  <si>
    <t>WS Store TP:</t>
  </si>
  <si>
    <t>Extra 1</t>
  </si>
  <si>
    <t>Extra 2</t>
  </si>
  <si>
    <t>P(extra)</t>
  </si>
  <si>
    <t>Set2</t>
  </si>
  <si>
    <t>KA:</t>
  </si>
  <si>
    <t>OAx (1)</t>
  </si>
  <si>
    <t>OAx (2)</t>
  </si>
  <si>
    <t>Griffon's Claw</t>
  </si>
  <si>
    <t>WSDmg:</t>
  </si>
  <si>
    <t>Blu</t>
  </si>
  <si>
    <t>Wyvern Targe</t>
  </si>
  <si>
    <t>Spells</t>
  </si>
  <si>
    <t>M</t>
  </si>
  <si>
    <t>S</t>
  </si>
  <si>
    <t>P</t>
  </si>
  <si>
    <t>Name</t>
  </si>
  <si>
    <t>Dmg Type</t>
  </si>
  <si>
    <t>Points</t>
  </si>
  <si>
    <t>Assimilation</t>
  </si>
  <si>
    <t>Max Points:</t>
  </si>
  <si>
    <t>Spell 1A</t>
  </si>
  <si>
    <t>Spell 1B</t>
  </si>
  <si>
    <t>Spell 2A</t>
  </si>
  <si>
    <t>Spell2B</t>
  </si>
  <si>
    <t>Wild Oats</t>
  </si>
  <si>
    <t>Sandspin</t>
  </si>
  <si>
    <t>Pollen</t>
  </si>
  <si>
    <t>Foot Kick</t>
  </si>
  <si>
    <t>Power Attack</t>
  </si>
  <si>
    <t>Sprout Smack</t>
  </si>
  <si>
    <t>Metallic Body</t>
  </si>
  <si>
    <t>Cocoon</t>
  </si>
  <si>
    <t>Queasyshroom</t>
  </si>
  <si>
    <t>Battle Dance</t>
  </si>
  <si>
    <t>Head Butt</t>
  </si>
  <si>
    <t>Feather Storm</t>
  </si>
  <si>
    <t>Helldive</t>
  </si>
  <si>
    <t>Healing Breeze</t>
  </si>
  <si>
    <t>Sheep Song</t>
  </si>
  <si>
    <t>Bludgeon</t>
  </si>
  <si>
    <t>Cursed Sphere</t>
  </si>
  <si>
    <t>Blastbomb</t>
  </si>
  <si>
    <t>Blood Drain</t>
  </si>
  <si>
    <t>Claw Cyclone</t>
  </si>
  <si>
    <t>Poison Breath</t>
  </si>
  <si>
    <t>Soporific</t>
  </si>
  <si>
    <t>Screwdriver</t>
  </si>
  <si>
    <t>Bomb Toss</t>
  </si>
  <si>
    <t>Wild Carrot</t>
  </si>
  <si>
    <t>Grand Slam</t>
  </si>
  <si>
    <t>Sound Blast</t>
  </si>
  <si>
    <t>Chaotic Eye</t>
  </si>
  <si>
    <t>Death Ray</t>
  </si>
  <si>
    <t>Smite of Rage</t>
  </si>
  <si>
    <t>Digest</t>
  </si>
  <si>
    <t>Pinecone Bomb</t>
  </si>
  <si>
    <t>Blank Gaze</t>
  </si>
  <si>
    <t>Jet Stream</t>
  </si>
  <si>
    <t>Uppercut</t>
  </si>
  <si>
    <t>Mysterious Light</t>
  </si>
  <si>
    <t>Terror Touch</t>
  </si>
  <si>
    <t>Venom Shell</t>
  </si>
  <si>
    <t>MP Drainkiss</t>
  </si>
  <si>
    <t>Blitzstrahl</t>
  </si>
  <si>
    <t>Stinking Gas</t>
  </si>
  <si>
    <t>Mandibular Bite</t>
  </si>
  <si>
    <t>Magnetite Cloud</t>
  </si>
  <si>
    <t>Geist Wall</t>
  </si>
  <si>
    <t>Awful Eye</t>
  </si>
  <si>
    <t>Refueling</t>
  </si>
  <si>
    <t>Blood Saber</t>
  </si>
  <si>
    <t>Sickle Slash</t>
  </si>
  <si>
    <t>Jettatura</t>
  </si>
  <si>
    <t>Ice Break</t>
  </si>
  <si>
    <t>Self-Destruct</t>
  </si>
  <si>
    <t>Frightful Roar</t>
  </si>
  <si>
    <t>Cold Wave</t>
  </si>
  <si>
    <t>Filamented Hold</t>
  </si>
  <si>
    <t>Hecatomb Wave</t>
  </si>
  <si>
    <t>Radiant Breath</t>
  </si>
  <si>
    <t>Feather Barrier</t>
  </si>
  <si>
    <t>Magic Fruit</t>
  </si>
  <si>
    <t>Flying Hip Press</t>
  </si>
  <si>
    <t>Light of Penance</t>
  </si>
  <si>
    <t>Death Scissors</t>
  </si>
  <si>
    <t>Dimensional Death</t>
  </si>
  <si>
    <t>Spiral Spin</t>
  </si>
  <si>
    <t>Maelstrom</t>
  </si>
  <si>
    <t>Eyes On Me</t>
  </si>
  <si>
    <t>Seedspray</t>
  </si>
  <si>
    <t>Bad Breath</t>
  </si>
  <si>
    <t>Memento Mori</t>
  </si>
  <si>
    <t>Body Slam</t>
  </si>
  <si>
    <t>1000 Needles</t>
  </si>
  <si>
    <t>Spinal Cleave</t>
  </si>
  <si>
    <t>Frenetic Rip</t>
  </si>
  <si>
    <t>Frypan</t>
  </si>
  <si>
    <t>Hydro Shot</t>
  </si>
  <si>
    <t>Feather Tickle</t>
  </si>
  <si>
    <t>Yawn</t>
  </si>
  <si>
    <t>Voracious Trunk</t>
  </si>
  <si>
    <t>Infrasonics</t>
  </si>
  <si>
    <t>Zephyr Mantle</t>
  </si>
  <si>
    <t>Frost Breath</t>
  </si>
  <si>
    <t>Sandspray</t>
  </si>
  <si>
    <t>Corrosive Ooze</t>
  </si>
  <si>
    <t>Diamondhide</t>
  </si>
  <si>
    <t>Enervation</t>
  </si>
  <si>
    <t>Warm-Up</t>
  </si>
  <si>
    <t>Firespit</t>
  </si>
  <si>
    <t>Tail Slap</t>
  </si>
  <si>
    <t>Hysteric Barrage</t>
  </si>
  <si>
    <t>Regurgitation</t>
  </si>
  <si>
    <t>Amplification</t>
  </si>
  <si>
    <t>Cannonball</t>
  </si>
  <si>
    <t>Asuran Claws</t>
  </si>
  <si>
    <t>Lowing</t>
  </si>
  <si>
    <t>Heat Breath</t>
  </si>
  <si>
    <t>Triumphant Roar</t>
  </si>
  <si>
    <t>Sub-zero Smash</t>
  </si>
  <si>
    <t>Disseverment</t>
  </si>
  <si>
    <t>Saline Coat</t>
  </si>
  <si>
    <t>Ram Charge</t>
  </si>
  <si>
    <t>Mind Blast</t>
  </si>
  <si>
    <t>Temporal Shift</t>
  </si>
  <si>
    <t>Actinic Burst</t>
  </si>
  <si>
    <t>Magic Hammer</t>
  </si>
  <si>
    <t>Reactor Cool</t>
  </si>
  <si>
    <t>Exuviation</t>
  </si>
  <si>
    <t>Plasma Charge</t>
  </si>
  <si>
    <t>Vertical Cleave</t>
  </si>
  <si>
    <t>Plenilune Embrace</t>
  </si>
  <si>
    <t>Acrid Stream</t>
  </si>
  <si>
    <t>Leafstorm</t>
  </si>
  <si>
    <t>Cimicine Discharge</t>
  </si>
  <si>
    <t>Regeneration</t>
  </si>
  <si>
    <t>Animating Wail</t>
  </si>
  <si>
    <t>Battery Charge</t>
  </si>
  <si>
    <t>Blazing Bound</t>
  </si>
  <si>
    <t>Demoralizing Roar</t>
  </si>
  <si>
    <t>Final Sting</t>
  </si>
  <si>
    <t>Goblin Rush</t>
  </si>
  <si>
    <t>Vanity Dive</t>
  </si>
  <si>
    <t>Magic Barrier</t>
  </si>
  <si>
    <t>Whirl of Rage</t>
  </si>
  <si>
    <t>Benthic Typhoon</t>
  </si>
  <si>
    <t>Auroral Drape</t>
  </si>
  <si>
    <t>Osmosis</t>
  </si>
  <si>
    <t>Quadratic Continuum</t>
  </si>
  <si>
    <t>Fantod</t>
  </si>
  <si>
    <t>Thermal Pulse</t>
  </si>
  <si>
    <t>Empty Thrash</t>
  </si>
  <si>
    <t>Dream Flower</t>
  </si>
  <si>
    <t>Occultation</t>
  </si>
  <si>
    <t>Charged Whisker</t>
  </si>
  <si>
    <t>Winds of Promyvion</t>
  </si>
  <si>
    <t>Delta Thrust</t>
  </si>
  <si>
    <t>Everyone's Grudge</t>
  </si>
  <si>
    <t>Reaving Wind</t>
  </si>
  <si>
    <t>Barrier Tusk</t>
  </si>
  <si>
    <t>Mortal Ray</t>
  </si>
  <si>
    <t>Heavy Strike</t>
  </si>
  <si>
    <t>Water Bomb</t>
  </si>
  <si>
    <t>Dark Orb</t>
  </si>
  <si>
    <t>White Wind</t>
  </si>
  <si>
    <t>Sudden Lunge</t>
  </si>
  <si>
    <t>Quadrastrike</t>
  </si>
  <si>
    <t>Vapor Spray</t>
  </si>
  <si>
    <t>Thunder Breath</t>
  </si>
  <si>
    <t>Orcish Counterstance</t>
  </si>
  <si>
    <t>Amorphic Spikes</t>
  </si>
  <si>
    <t>Wind Breath</t>
  </si>
  <si>
    <t>Barbed Crescent</t>
  </si>
  <si>
    <t>Mods</t>
  </si>
  <si>
    <t>MStr</t>
  </si>
  <si>
    <t>MDex</t>
  </si>
  <si>
    <t>MVit</t>
  </si>
  <si>
    <t>MAgi</t>
  </si>
  <si>
    <t>MInt</t>
  </si>
  <si>
    <t>MMnd</t>
  </si>
  <si>
    <t>MChr</t>
  </si>
  <si>
    <t>fTP1</t>
  </si>
  <si>
    <t>fTP2</t>
  </si>
  <si>
    <t>fTP3</t>
  </si>
  <si>
    <t>Hits</t>
  </si>
  <si>
    <t>Alphabetical List</t>
  </si>
  <si>
    <t>Spells 1</t>
  </si>
  <si>
    <t>Spells 2</t>
  </si>
  <si>
    <t>W1 Dmg</t>
  </si>
  <si>
    <t>W1 Dly</t>
  </si>
  <si>
    <t>W2 Dmg</t>
  </si>
  <si>
    <t>W2 Dly</t>
  </si>
  <si>
    <t>Atmas 1</t>
  </si>
  <si>
    <t>Atmas 2</t>
  </si>
  <si>
    <t>Traits</t>
  </si>
  <si>
    <t>Job 1</t>
  </si>
  <si>
    <t>Job 2</t>
  </si>
  <si>
    <t>Incomplete Page</t>
  </si>
  <si>
    <t>Aliyat Chakram</t>
  </si>
  <si>
    <t>Iron Gobbet</t>
  </si>
  <si>
    <t>Hasty Pinion</t>
  </si>
  <si>
    <t>Egoist Tathlum</t>
  </si>
  <si>
    <t>MSkill</t>
  </si>
  <si>
    <t>Mavi Tathlum</t>
  </si>
  <si>
    <t>BrDmg</t>
  </si>
  <si>
    <t>Smart Grenade</t>
  </si>
  <si>
    <t>MAB</t>
  </si>
  <si>
    <t>Athos</t>
  </si>
  <si>
    <t>Ocelomeh</t>
  </si>
  <si>
    <t>Ocelomeh +1</t>
  </si>
  <si>
    <t>Thaumas</t>
  </si>
  <si>
    <t>Toci's</t>
  </si>
  <si>
    <t>Aurore</t>
  </si>
  <si>
    <t>Morrigan</t>
  </si>
  <si>
    <t>Denali</t>
  </si>
  <si>
    <t>Whirlwind</t>
  </si>
  <si>
    <t>Moonshade AttTP</t>
  </si>
  <si>
    <t>Moonshade AccTP</t>
  </si>
  <si>
    <t>Nefarious</t>
  </si>
  <si>
    <t>Houyi</t>
  </si>
  <si>
    <t>Moepapa</t>
  </si>
  <si>
    <t>Portus</t>
  </si>
  <si>
    <t>Mavi</t>
  </si>
  <si>
    <t>Stoicheion</t>
  </si>
  <si>
    <t>Wanion</t>
  </si>
  <si>
    <t>Phos</t>
  </si>
  <si>
    <t>Phos +1</t>
  </si>
  <si>
    <t>Artful</t>
  </si>
  <si>
    <t>Artful +1</t>
  </si>
  <si>
    <t>Paewr</t>
  </si>
  <si>
    <t>Oneiros</t>
  </si>
  <si>
    <t>Pipilaka</t>
  </si>
  <si>
    <t>Ninurta</t>
  </si>
  <si>
    <t>Corybant</t>
  </si>
  <si>
    <t>Tyrant</t>
  </si>
  <si>
    <t>Zaffre</t>
  </si>
  <si>
    <t>Attacker</t>
  </si>
  <si>
    <t>Dauntless</t>
  </si>
  <si>
    <t>Swith</t>
  </si>
  <si>
    <t>Swith +1</t>
  </si>
  <si>
    <t>Prodigious</t>
  </si>
  <si>
    <t>Balladeer</t>
  </si>
  <si>
    <t>Vimukti</t>
  </si>
  <si>
    <t>Sanus Ensis</t>
  </si>
  <si>
    <t>Killer's Kilij</t>
  </si>
  <si>
    <t>Eradicator's Kilij</t>
  </si>
  <si>
    <t>Heimdall's Doom</t>
  </si>
  <si>
    <t>Shikargar (str)</t>
  </si>
  <si>
    <t>Shikargar (dex)</t>
  </si>
  <si>
    <t>Isador</t>
  </si>
  <si>
    <t>Thf</t>
  </si>
  <si>
    <t>Sanguine Blade</t>
  </si>
  <si>
    <t>Type</t>
  </si>
  <si>
    <t>dInt</t>
  </si>
  <si>
    <t>Rdm</t>
  </si>
  <si>
    <t>Epona's</t>
  </si>
  <si>
    <t>White Tathlum</t>
  </si>
  <si>
    <t>Romanus</t>
  </si>
  <si>
    <t>Kaikias</t>
  </si>
  <si>
    <t>Kaikias Wind</t>
  </si>
  <si>
    <t>Potentia</t>
  </si>
  <si>
    <t>Vigilance +1</t>
  </si>
  <si>
    <t>Ire</t>
  </si>
  <si>
    <t>Ire +1</t>
  </si>
  <si>
    <t>Khadga DA</t>
  </si>
  <si>
    <t>Khadga OAT</t>
  </si>
  <si>
    <t>Khadga OA2-4</t>
  </si>
  <si>
    <t>Fencer</t>
  </si>
  <si>
    <t>Sljor</t>
  </si>
  <si>
    <t>Job Buffs</t>
  </si>
  <si>
    <t>Other Player Buffs</t>
  </si>
  <si>
    <t>Main Job</t>
  </si>
  <si>
    <t>Mage</t>
  </si>
  <si>
    <t>Whm</t>
  </si>
  <si>
    <t>Support Job</t>
  </si>
  <si>
    <t>Enhancing Skill</t>
  </si>
  <si>
    <t>Boost-Str</t>
  </si>
  <si>
    <t>Boost-Dex</t>
  </si>
  <si>
    <t>Haste Samba (5%)</t>
  </si>
  <si>
    <t>Brd</t>
  </si>
  <si>
    <t>Area Buffs</t>
  </si>
  <si>
    <t>Soul Voice</t>
  </si>
  <si>
    <t>Minuet 5</t>
  </si>
  <si>
    <t>Minuet 4</t>
  </si>
  <si>
    <t>Atmacite 1</t>
  </si>
  <si>
    <t>Madrigal 2</t>
  </si>
  <si>
    <t>Atmacite 2</t>
  </si>
  <si>
    <t>Madrigal 1</t>
  </si>
  <si>
    <t>Atmacite 3</t>
  </si>
  <si>
    <t>Smn</t>
  </si>
  <si>
    <t>Summoning Skill</t>
  </si>
  <si>
    <t>Ifrit Enfire</t>
  </si>
  <si>
    <t>Day for fTP Bonus</t>
  </si>
  <si>
    <t>Sch</t>
  </si>
  <si>
    <t>Enspell</t>
  </si>
  <si>
    <t>Haste Samba (10%)</t>
  </si>
  <si>
    <t>Cor</t>
  </si>
  <si>
    <t>Att %</t>
  </si>
  <si>
    <t>Fighter's Roll</t>
  </si>
  <si>
    <t>DA %</t>
  </si>
  <si>
    <t>Rogue's Roll</t>
  </si>
  <si>
    <t>Crit %</t>
  </si>
  <si>
    <t>Miser's Roll</t>
  </si>
  <si>
    <t>Save TP</t>
  </si>
  <si>
    <t>fTP</t>
  </si>
  <si>
    <t>Cruor 1</t>
  </si>
  <si>
    <t>Cruor 2</t>
  </si>
  <si>
    <t>Set Spells</t>
  </si>
  <si>
    <t>Crit Def</t>
  </si>
  <si>
    <t>Bluffalo EM</t>
  </si>
  <si>
    <t>Qilin</t>
  </si>
  <si>
    <t>Ig-Alima</t>
  </si>
  <si>
    <t>Boost Potency</t>
  </si>
  <si>
    <t>Brd AF3 Potency</t>
  </si>
  <si>
    <t>Madrigal</t>
  </si>
  <si>
    <t>Mythic Level</t>
  </si>
  <si>
    <t>Mythic AM2</t>
  </si>
  <si>
    <t>AM2 TP</t>
  </si>
  <si>
    <t>Mythic AM3</t>
  </si>
  <si>
    <t>AM2</t>
  </si>
  <si>
    <t>Arrabbiata</t>
  </si>
  <si>
    <t>Caudata</t>
  </si>
  <si>
    <t>Feline</t>
  </si>
  <si>
    <t>Gwyddion</t>
  </si>
  <si>
    <t>Taubran</t>
  </si>
  <si>
    <t>Morrigan +1</t>
  </si>
  <si>
    <t>Candent</t>
  </si>
  <si>
    <t>Dumakulem</t>
  </si>
  <si>
    <t>First hit rate</t>
  </si>
  <si>
    <t>DfTP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</si>
  <si>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</si>
  <si>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</si>
  <si>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</si>
  <si>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</si>
  <si>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</si>
  <si>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</si>
  <si>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</si>
  <si>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</si>
  <si>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Camatlatia</t>
  </si>
  <si>
    <t>Level Correct</t>
  </si>
  <si>
    <t>Yes</t>
  </si>
  <si>
    <t>Chapuli (102)</t>
  </si>
  <si>
    <t>No</t>
  </si>
  <si>
    <t>Casting Time</t>
  </si>
  <si>
    <t>Per N Seconds</t>
  </si>
  <si>
    <t>Chapuli (100)</t>
  </si>
  <si>
    <t>Whirlpool</t>
  </si>
  <si>
    <t>Gear2</t>
  </si>
  <si>
    <t>Lava's</t>
  </si>
  <si>
    <t>Kusha's</t>
  </si>
  <si>
    <t>Ej Necklace</t>
  </si>
  <si>
    <t>Ej Necklace +1</t>
  </si>
  <si>
    <t>KA</t>
  </si>
  <si>
    <t>Zan</t>
  </si>
  <si>
    <t>Hurch'lan</t>
  </si>
  <si>
    <t>S2</t>
  </si>
  <si>
    <t>Asperity</t>
  </si>
  <si>
    <t>Eddy</t>
  </si>
  <si>
    <t>Pya'ekue</t>
  </si>
  <si>
    <t>Pya'ekue +1</t>
  </si>
  <si>
    <t>Refraction</t>
  </si>
  <si>
    <t>Vespid</t>
  </si>
  <si>
    <t>Buramenk'ah</t>
  </si>
  <si>
    <t>Halachuinic</t>
  </si>
  <si>
    <t>Honed Tathlum</t>
  </si>
  <si>
    <t>Beeline</t>
  </si>
  <si>
    <t>K'ayres</t>
  </si>
  <si>
    <t>Tati</t>
  </si>
  <si>
    <t>Tati +1</t>
  </si>
  <si>
    <t>Dudgeon</t>
  </si>
  <si>
    <t>Heartseeker</t>
  </si>
  <si>
    <t>Bladeborn</t>
  </si>
  <si>
    <t>Steelflash</t>
  </si>
  <si>
    <t>Delve Fodder</t>
  </si>
  <si>
    <t>dStr</t>
  </si>
  <si>
    <t>Lambda</t>
  </si>
  <si>
    <t>Halachuinic R2 Str</t>
  </si>
  <si>
    <t>Halachuinic R2 Dex</t>
  </si>
  <si>
    <t>Halachuinic R15 Str</t>
  </si>
  <si>
    <t>Halachuinic R15 Dex</t>
  </si>
  <si>
    <t>Hunter's Roll</t>
  </si>
  <si>
    <t>Hand 1</t>
  </si>
  <si>
    <t>Clubs</t>
  </si>
  <si>
    <t>Tamaxchi</t>
  </si>
  <si>
    <t>CSkill</t>
  </si>
  <si>
    <t>Mondaha</t>
  </si>
  <si>
    <t>Main1HSlots</t>
  </si>
  <si>
    <t>Club</t>
  </si>
  <si>
    <t>Skills</t>
  </si>
  <si>
    <t>Skill 2</t>
  </si>
  <si>
    <t>Skill 1</t>
  </si>
  <si>
    <t>Realmrazer</t>
  </si>
  <si>
    <t>Sword Weaponskills</t>
  </si>
  <si>
    <t>Club Weaponskills</t>
  </si>
  <si>
    <t>Weapon</t>
  </si>
  <si>
    <t>Str Att</t>
  </si>
  <si>
    <t>Dex Acc</t>
  </si>
  <si>
    <t>Total Att</t>
  </si>
  <si>
    <t>Total Acc</t>
  </si>
  <si>
    <t>D Rating</t>
  </si>
  <si>
    <t>WRank</t>
  </si>
  <si>
    <t>fStr</t>
  </si>
  <si>
    <t>Base Dmg</t>
  </si>
  <si>
    <t>Hand 2</t>
  </si>
  <si>
    <t>Other modifiers</t>
  </si>
  <si>
    <t>Offhand hit rate</t>
  </si>
  <si>
    <t>CombatSkill</t>
  </si>
  <si>
    <t>Ocachi</t>
  </si>
  <si>
    <t>Cornflower</t>
  </si>
  <si>
    <t>Forefront</t>
  </si>
  <si>
    <t>Forefront (reive)</t>
  </si>
  <si>
    <t>Mondaha R2 MAcc</t>
  </si>
  <si>
    <t>Mondaha R2 MAB</t>
  </si>
  <si>
    <t>Mondaha R2 MP</t>
  </si>
  <si>
    <t>Mondaha R15 MAcc</t>
  </si>
  <si>
    <t>Mondaha R15 MAB</t>
  </si>
  <si>
    <t>Mondaha R15 MP</t>
  </si>
  <si>
    <t>Letalis</t>
  </si>
  <si>
    <t>Halakaala</t>
  </si>
  <si>
    <t>Tojil</t>
  </si>
  <si>
    <t>Iztaasu</t>
  </si>
  <si>
    <t>Iztaasu +1</t>
  </si>
  <si>
    <t>Rounds/WS:</t>
  </si>
  <si>
    <t>Thurandaut +1</t>
  </si>
  <si>
    <t>Cetl</t>
  </si>
  <si>
    <t>Kasiri</t>
  </si>
  <si>
    <t>Chuq'aba</t>
  </si>
  <si>
    <t>Cho'j</t>
  </si>
  <si>
    <t>Buquwik</t>
  </si>
  <si>
    <t>Ik</t>
  </si>
  <si>
    <t>Iximulew</t>
  </si>
  <si>
    <t>Kayapa</t>
  </si>
  <si>
    <t>Jukukik Feather</t>
  </si>
  <si>
    <t>Tlamiztli</t>
  </si>
  <si>
    <t>Camaradarie</t>
  </si>
  <si>
    <t>Almace 119</t>
  </si>
  <si>
    <t>Tizona 119</t>
  </si>
  <si>
    <t>Predatrice</t>
  </si>
  <si>
    <t>Xiutleato</t>
  </si>
  <si>
    <t>Vivifiante</t>
  </si>
  <si>
    <t>Expiacion</t>
  </si>
  <si>
    <t>Adoulin</t>
  </si>
  <si>
    <t>Ionis</t>
  </si>
  <si>
    <t>Ionis Att</t>
  </si>
  <si>
    <t>Ionis Acc</t>
  </si>
  <si>
    <t>Ionis Crit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</si>
  <si>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</si>
  <si>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</si>
  <si>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</si>
  <si>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</si>
  <si>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</si>
  <si>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</si>
  <si>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</si>
  <si>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</si>
  <si>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</si>
  <si>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</si>
  <si>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</si>
  <si>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</si>
  <si>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</si>
  <si>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</si>
  <si>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</si>
  <si>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</si>
  <si>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</si>
  <si>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</si>
  <si>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</si>
  <si>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</si>
  <si>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</si>
  <si>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</si>
  <si>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</si>
  <si>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</si>
  <si>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</si>
  <si>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Magic:</t>
  </si>
  <si>
    <t>Anahera</t>
  </si>
  <si>
    <t>Eminent</t>
  </si>
  <si>
    <t>Eminent (latent)</t>
  </si>
  <si>
    <t>Assimilator +1</t>
  </si>
  <si>
    <t>Espial</t>
  </si>
  <si>
    <t>Patricius</t>
  </si>
  <si>
    <t>Sanare</t>
  </si>
  <si>
    <t>Tripudio</t>
  </si>
  <si>
    <t>Trux</t>
  </si>
  <si>
    <t>Iuitl +1</t>
  </si>
  <si>
    <t>Umuthi</t>
  </si>
  <si>
    <t>Kuwunga (latent)</t>
  </si>
  <si>
    <t>Iqabi</t>
  </si>
  <si>
    <t>Inlamvuyeso</t>
  </si>
  <si>
    <t>Usonmunku</t>
  </si>
  <si>
    <t>Bolelabunga</t>
  </si>
  <si>
    <t>Gabaxorea</t>
  </si>
  <si>
    <t>Luhlaza +1</t>
  </si>
  <si>
    <t>Luhlazu +1</t>
  </si>
  <si>
    <t>Serac Rabbit</t>
  </si>
  <si>
    <t>Minuet 3</t>
  </si>
  <si>
    <t>Mad. Merit</t>
  </si>
  <si>
    <t>AF3+2 set</t>
  </si>
  <si>
    <t>March +song</t>
  </si>
  <si>
    <t>Minuet +song</t>
  </si>
  <si>
    <t>Minuet merit</t>
  </si>
  <si>
    <t>Mad. +song</t>
  </si>
  <si>
    <t>Geo</t>
  </si>
  <si>
    <t>Bolster</t>
  </si>
  <si>
    <t>Blaze of Glory</t>
  </si>
  <si>
    <t>Ecliptic Attrition</t>
  </si>
  <si>
    <t>Torpor</t>
  </si>
  <si>
    <t>Eva Down</t>
  </si>
  <si>
    <t>Frailty</t>
  </si>
  <si>
    <t>Def Down</t>
  </si>
  <si>
    <t>Precision</t>
  </si>
  <si>
    <t>Acc Up</t>
  </si>
  <si>
    <t>Fury</t>
  </si>
  <si>
    <t>Att Up</t>
  </si>
  <si>
    <t>Geo-Precision</t>
  </si>
  <si>
    <t>Geo-Fury</t>
  </si>
  <si>
    <t>Mimesis</t>
  </si>
  <si>
    <t>Ginsen</t>
  </si>
  <si>
    <t>Trivial</t>
  </si>
  <si>
    <t>DC Dynamis</t>
  </si>
  <si>
    <t>Metalsinger</t>
  </si>
  <si>
    <t>Gabaxorea R15 A</t>
  </si>
  <si>
    <t>Gabaxorea R15 B</t>
  </si>
  <si>
    <t>Gabaxorea R15 C</t>
  </si>
  <si>
    <t>Hagondes +1</t>
  </si>
  <si>
    <t>Usonmunku R15 A</t>
  </si>
  <si>
    <t>Usonmunku R15 B</t>
  </si>
  <si>
    <t>Usonmunku R15 C</t>
  </si>
  <si>
    <t>Iztaasu +2</t>
  </si>
  <si>
    <t>Magma Steak</t>
  </si>
  <si>
    <t>S. Salis. Steak</t>
  </si>
  <si>
    <t>C. Salis. Steak</t>
  </si>
  <si>
    <t>AM3</t>
  </si>
  <si>
    <t>AM3-2</t>
  </si>
  <si>
    <t>AM3-3</t>
  </si>
  <si>
    <t>Weatherspoon +1</t>
  </si>
  <si>
    <t>Acumen</t>
  </si>
  <si>
    <t>Enlivened</t>
  </si>
  <si>
    <t>Vehemence</t>
  </si>
  <si>
    <t>Tengu-no-Hane (Day)</t>
  </si>
  <si>
    <t>Homestead</t>
  </si>
  <si>
    <t>Homestead (reive)</t>
  </si>
  <si>
    <t>Fast Blade</t>
  </si>
  <si>
    <t>Flat Blade</t>
  </si>
  <si>
    <t>Circle Blade</t>
  </si>
  <si>
    <t>Savage Blade</t>
  </si>
  <si>
    <t>Kamihr Raaz</t>
  </si>
  <si>
    <t>Embalming Earth</t>
  </si>
  <si>
    <t>Foul Waters</t>
  </si>
  <si>
    <t>Glutinous Dart</t>
  </si>
  <si>
    <t>Nature's Meditation</t>
  </si>
  <si>
    <t>Paralyzing Triad</t>
  </si>
  <si>
    <t>Rending Deluge</t>
  </si>
  <si>
    <t>Retinal Glare</t>
  </si>
  <si>
    <t>Tempestuous Upheaval</t>
  </si>
  <si>
    <t>AttTr</t>
  </si>
  <si>
    <t>AccTr</t>
  </si>
  <si>
    <t>DWTr</t>
  </si>
  <si>
    <t>DATr</t>
  </si>
  <si>
    <t>STPTr</t>
  </si>
  <si>
    <t>HPTr</t>
  </si>
  <si>
    <t>Totals:</t>
  </si>
  <si>
    <t>Job Points: Blu Set Points</t>
  </si>
  <si>
    <t>Trait Values:</t>
  </si>
  <si>
    <t>Thrashing Assault</t>
  </si>
  <si>
    <t>Erratic Flutter</t>
  </si>
  <si>
    <t>Subduction</t>
  </si>
  <si>
    <t>Ifrit Enspell Dmg</t>
  </si>
  <si>
    <t>Sch Enspell Dmg</t>
  </si>
  <si>
    <t>Enspell Dmg</t>
  </si>
  <si>
    <t>Hastes</t>
  </si>
  <si>
    <t>Haste II</t>
  </si>
  <si>
    <t>Boosts</t>
  </si>
  <si>
    <t>Trepidity (latent)</t>
  </si>
  <si>
    <t>Ifrit</t>
  </si>
  <si>
    <t>Ifrit +1</t>
  </si>
  <si>
    <t>Leviathan</t>
  </si>
  <si>
    <t>Leviathan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</si>
  <si>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</si>
  <si>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</si>
  <si>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</si>
  <si>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</si>
  <si>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</si>
  <si>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</si>
  <si>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</si>
  <si>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</si>
  <si>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Carbuncle</t>
  </si>
  <si>
    <t>Carbuncle +1</t>
  </si>
  <si>
    <t>Fenrir</t>
  </si>
  <si>
    <t>Fenrir +1</t>
  </si>
  <si>
    <t>Yacuruna</t>
  </si>
  <si>
    <t>Yacuruna +1</t>
  </si>
  <si>
    <t>Sweordfaetels</t>
  </si>
  <si>
    <t>Sweordfaetels +1</t>
  </si>
  <si>
    <t>Ygnas (reive)</t>
  </si>
  <si>
    <t>Ygnas +1 (reive)</t>
  </si>
  <si>
    <t>Claidheamh Soluis</t>
  </si>
  <si>
    <t>Sharur (skirmish 4)</t>
  </si>
  <si>
    <t>Uk'uxkaj (dex/haste)</t>
  </si>
  <si>
    <t>Quiahuiz (str/haste)</t>
  </si>
  <si>
    <t>Quiahuiz (dex/haste)</t>
  </si>
  <si>
    <t>Eosuchus</t>
  </si>
  <si>
    <t>Quartz Tathlum +1</t>
  </si>
  <si>
    <t>Ombre Tathlum +1</t>
  </si>
  <si>
    <t>Hasty Pinion +1</t>
  </si>
  <si>
    <t>Argochampsa</t>
  </si>
  <si>
    <t>R.Acc</t>
  </si>
  <si>
    <t>R.Att</t>
  </si>
  <si>
    <t>M.Acc</t>
  </si>
  <si>
    <t>MDmg</t>
  </si>
  <si>
    <t>Item</t>
  </si>
  <si>
    <t>Nomkahpa +1</t>
  </si>
  <si>
    <t>Hidalgo +1</t>
  </si>
  <si>
    <t>Belisama's +1</t>
  </si>
  <si>
    <t>Moondoe +1</t>
  </si>
  <si>
    <t>Meanagh +1</t>
  </si>
  <si>
    <t>Shifting +1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</si>
  <si>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</si>
  <si>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</si>
  <si>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</si>
  <si>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</si>
  <si>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</si>
  <si>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</si>
  <si>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</si>
  <si>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Sinker Drill</t>
  </si>
  <si>
    <t>Restoral</t>
  </si>
  <si>
    <t>Rail Cannon</t>
  </si>
  <si>
    <t>Diffusion Ray</t>
  </si>
  <si>
    <t>CABTr</t>
  </si>
  <si>
    <t>Max Points/Tier:</t>
  </si>
  <si>
    <t>Vampirism</t>
  </si>
  <si>
    <t>Claidheamh Soluis aug</t>
  </si>
  <si>
    <t>Nehushtan</t>
  </si>
  <si>
    <t>Taeon</t>
  </si>
  <si>
    <t>Taeon max</t>
  </si>
  <si>
    <t>Taeon dw</t>
  </si>
  <si>
    <t>Dampening Tam</t>
  </si>
  <si>
    <t>Lilitu</t>
  </si>
  <si>
    <t>Samnuha</t>
  </si>
  <si>
    <t>Lapidary</t>
  </si>
  <si>
    <t>Leyline</t>
  </si>
  <si>
    <t>Helios</t>
  </si>
  <si>
    <t>Lupine</t>
  </si>
  <si>
    <t>Shetal</t>
  </si>
  <si>
    <t>Latria</t>
  </si>
  <si>
    <t>Lengo</t>
  </si>
  <si>
    <t>Mediums</t>
  </si>
  <si>
    <t>Helios aug</t>
  </si>
  <si>
    <t>Claidheamh Soluis aug dex</t>
  </si>
  <si>
    <t>Buremte DEX</t>
  </si>
  <si>
    <t>Anvil Lightning</t>
  </si>
  <si>
    <t>Tenebral Crush</t>
  </si>
  <si>
    <t>Entomb</t>
  </si>
  <si>
    <t>Spectral Floe</t>
  </si>
  <si>
    <t>Searing Tempest</t>
  </si>
  <si>
    <t>Blinding Fulgor</t>
  </si>
  <si>
    <t>Saurian Slide</t>
  </si>
  <si>
    <t>Palling Salvo</t>
  </si>
  <si>
    <t>Traits +1</t>
  </si>
  <si>
    <t>Traits +2</t>
  </si>
  <si>
    <t>Taeon curr</t>
  </si>
  <si>
    <t>Molting Plumage</t>
  </si>
  <si>
    <t>Sweeping Gouge</t>
  </si>
  <si>
    <t>Mighty Guard</t>
  </si>
  <si>
    <t>ilvl122</t>
  </si>
  <si>
    <t>ilvl130</t>
  </si>
  <si>
    <t>ilvl135</t>
  </si>
  <si>
    <t>Idris</t>
  </si>
  <si>
    <t>Hagondes +1 curr</t>
  </si>
  <si>
    <t>Vrikodara Jupon</t>
  </si>
  <si>
    <t>Toro</t>
  </si>
  <si>
    <t>Gyve</t>
  </si>
  <si>
    <t>Rawhide</t>
  </si>
  <si>
    <t>Nibiru</t>
  </si>
  <si>
    <t>Adhemar</t>
  </si>
  <si>
    <t>Adhemar +1</t>
  </si>
  <si>
    <t>Herculean</t>
  </si>
  <si>
    <t>Rawhide A</t>
  </si>
  <si>
    <t>Lissome</t>
  </si>
  <si>
    <t>Karieyh</t>
  </si>
  <si>
    <t>Adhemar A</t>
  </si>
  <si>
    <t>Adhemar B</t>
  </si>
  <si>
    <t>Sublime Sushi</t>
  </si>
  <si>
    <t>Gifts</t>
  </si>
  <si>
    <t>Attack</t>
  </si>
  <si>
    <t>Gift Att</t>
  </si>
  <si>
    <t>Gift Acc</t>
  </si>
  <si>
    <t>Grounded +1</t>
  </si>
  <si>
    <t>Bleating</t>
  </si>
  <si>
    <t>Petrov</t>
  </si>
  <si>
    <t>Caro</t>
  </si>
  <si>
    <t xml:space="preserve">Despair </t>
  </si>
  <si>
    <t>Despair</t>
  </si>
  <si>
    <t>Thereoid</t>
  </si>
  <si>
    <t>Mantoptera eye</t>
  </si>
  <si>
    <t>Dominance +1</t>
  </si>
  <si>
    <t>Defiant</t>
  </si>
  <si>
    <t>Tanmogayi +1</t>
  </si>
  <si>
    <t>Subtlety</t>
  </si>
  <si>
    <t>Abnoba</t>
  </si>
  <si>
    <t>Carmine D</t>
  </si>
  <si>
    <t>Colada</t>
  </si>
  <si>
    <t>Colada aug2</t>
  </si>
  <si>
    <t>Carmine B</t>
  </si>
  <si>
    <t>Kentarch +1</t>
  </si>
  <si>
    <t>Eabani</t>
  </si>
  <si>
    <t>Hetairoi</t>
  </si>
  <si>
    <t>Begrudging</t>
  </si>
  <si>
    <t>Apate</t>
  </si>
  <si>
    <t>Sam</t>
  </si>
  <si>
    <t>Rosmerta Crit</t>
  </si>
  <si>
    <t>Rosmerta STP</t>
  </si>
  <si>
    <t>Rosmerta DA</t>
  </si>
  <si>
    <t>Tizona 119 I</t>
  </si>
  <si>
    <t>Herculean ta</t>
  </si>
  <si>
    <t>Cessance</t>
  </si>
  <si>
    <t>Almace 119 III</t>
  </si>
  <si>
    <t>Rosmerta DW</t>
  </si>
  <si>
    <t>Herculean dw</t>
  </si>
  <si>
    <t>Emet</t>
  </si>
  <si>
    <t>Herculean dt</t>
  </si>
  <si>
    <t>Blistering sallet +1</t>
  </si>
  <si>
    <t>Neritic</t>
  </si>
  <si>
    <t>Dedition</t>
  </si>
  <si>
    <t>Cacoethic</t>
  </si>
  <si>
    <t>Cacoethic +1</t>
  </si>
  <si>
    <t>Combatant</t>
  </si>
  <si>
    <t>Ishvara</t>
  </si>
  <si>
    <t>Mache</t>
  </si>
  <si>
    <t>Mache +1</t>
  </si>
  <si>
    <t>Herculean STP</t>
  </si>
  <si>
    <t>Herculean DEX Crit rate</t>
  </si>
  <si>
    <t>Herculean DEX Crit dmg</t>
  </si>
  <si>
    <t>Shukuyu</t>
  </si>
  <si>
    <t>Rosmerta STR/WSD</t>
  </si>
  <si>
    <t>Herculean DEX/CDMG</t>
  </si>
  <si>
    <t>Falcon</t>
  </si>
  <si>
    <t>Herculean DEX/CRATE</t>
  </si>
  <si>
    <t>Herculean ta MAX</t>
  </si>
  <si>
    <t>Herculean CDMG MAX</t>
  </si>
  <si>
    <t>Herculean TA MAX</t>
  </si>
  <si>
    <t>Herculean WSD MAX</t>
  </si>
  <si>
    <t>Herculean WSD</t>
  </si>
  <si>
    <t xml:space="preserve">Herculean WSD </t>
  </si>
  <si>
    <t>MG BASE</t>
  </si>
  <si>
    <t>Chirich</t>
  </si>
  <si>
    <t>MG ACC50</t>
  </si>
  <si>
    <t>MG ACC100</t>
  </si>
  <si>
    <t>MG ACC100+</t>
  </si>
  <si>
    <t>Carmine +1 D</t>
  </si>
  <si>
    <t>MG HQ Carmine</t>
  </si>
  <si>
    <t>ACC+20</t>
  </si>
  <si>
    <t>ACC+354</t>
  </si>
  <si>
    <t>ACC+342</t>
  </si>
  <si>
    <t>TotACC</t>
  </si>
  <si>
    <t>TotAcc</t>
  </si>
  <si>
    <t>ACC295</t>
  </si>
  <si>
    <t>ACC289</t>
  </si>
  <si>
    <t>ACC226</t>
  </si>
  <si>
    <t>ACC246</t>
  </si>
  <si>
    <t>ACC190</t>
  </si>
  <si>
    <t>ACC134</t>
  </si>
  <si>
    <t>Herculean DW MAX</t>
  </si>
  <si>
    <t>Chiner's +1</t>
  </si>
  <si>
    <t>Ainia</t>
  </si>
  <si>
    <t>OTD</t>
  </si>
  <si>
    <t>OTD Dmg/Rnd</t>
  </si>
  <si>
    <t>OTD Rate (main hand)</t>
  </si>
  <si>
    <t>Jhakri</t>
  </si>
  <si>
    <t xml:space="preserve">Metamorph </t>
  </si>
  <si>
    <t>Colada mab</t>
  </si>
  <si>
    <t>Pemphredo</t>
  </si>
  <si>
    <t>Sanctity</t>
  </si>
  <si>
    <t>Friomisi</t>
  </si>
  <si>
    <t>Hecates</t>
  </si>
  <si>
    <t>Amalric</t>
  </si>
  <si>
    <t>Telos</t>
  </si>
  <si>
    <t>Herculean TA</t>
  </si>
  <si>
    <t>Assimilator +2</t>
  </si>
  <si>
    <t>Assimilator +3</t>
  </si>
  <si>
    <t>Carmine +1 B</t>
  </si>
  <si>
    <t>Sailfi</t>
  </si>
  <si>
    <t>Sequence</t>
  </si>
  <si>
    <t>Ilabrat</t>
  </si>
  <si>
    <t>Jhakri +2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</si>
</sst>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</numFmts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" fontId="5" fillId="0" borderId="0" xfId="0" applyNumberFormat="1" applyFont="1"/>
    <xf numFmtId="1" fontId="3" fillId="0" borderId="1" xfId="0" applyNumberFormat="1" applyFon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6" xfId="0" applyNumberFormat="1" applyFont="1" applyBorder="1"/>
    <xf numFmtId="165" fontId="0" fillId="0" borderId="6" xfId="0" applyNumberFormat="1" applyBorder="1"/>
    <xf numFmtId="165" fontId="0" fillId="0" borderId="3" xfId="0" applyNumberFormat="1" applyBorder="1"/>
    <xf numFmtId="0" fontId="5" fillId="0" borderId="2" xfId="0" applyFont="1" applyBorder="1"/>
    <xf numFmtId="0" fontId="0" fillId="0" borderId="2" xfId="0" applyBorder="1"/>
    <xf numFmtId="0" fontId="0" fillId="0" borderId="5" xfId="0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2" fontId="5" fillId="0" borderId="0" xfId="0" applyNumberFormat="1" applyFont="1"/>
    <xf numFmtId="0" fontId="5" fillId="0" borderId="0" xfId="0" applyFont="1" applyBorder="1"/>
    <xf numFmtId="9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 applyBorder="1"/>
    <xf numFmtId="0" fontId="6" fillId="0" borderId="0" xfId="0" applyFont="1"/>
    <xf numFmtId="9" fontId="0" fillId="0" borderId="0" xfId="4" applyFont="1"/>
    <xf numFmtId="164" fontId="5" fillId="0" borderId="0" xfId="2" applyNumberFormat="1"/>
    <xf numFmtId="164" fontId="0" fillId="0" borderId="0" xfId="0" applyNumberFormat="1" applyBorder="1"/>
    <xf numFmtId="9" fontId="1" fillId="0" borderId="0" xfId="4"/>
    <xf numFmtId="166" fontId="0" fillId="0" borderId="0" xfId="0" applyNumberFormat="1" applyBorder="1"/>
    <xf numFmtId="2" fontId="0" fillId="0" borderId="0" xfId="0" applyNumberFormat="1" applyBorder="1"/>
    <xf numFmtId="10" fontId="1" fillId="0" borderId="0" xfId="3" applyNumberFormat="1"/>
    <xf numFmtId="10" fontId="1" fillId="0" borderId="2" xfId="4" applyNumberFormat="1" applyBorder="1"/>
    <xf numFmtId="0" fontId="1" fillId="0" borderId="0" xfId="1" applyNumberFormat="1" applyBorder="1"/>
    <xf numFmtId="165" fontId="0" fillId="0" borderId="0" xfId="0" applyNumberFormat="1" applyBorder="1"/>
    <xf numFmtId="0" fontId="0" fillId="0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0" xfId="0" applyFill="1"/>
    <xf numFmtId="0" fontId="0" fillId="5" borderId="0" xfId="0" applyFill="1"/>
    <xf numFmtId="0" fontId="5" fillId="0" borderId="1" xfId="0" applyFont="1" applyBorder="1"/>
    <xf numFmtId="0" fontId="1" fillId="0" borderId="0" xfId="0" applyFont="1" applyFill="1"/>
    <xf numFmtId="0" fontId="3" fillId="0" borderId="0" xfId="0" applyFont="1" applyFill="1"/>
    <xf numFmtId="0" fontId="7" fillId="0" borderId="0" xfId="0" applyFont="1"/>
    <xf numFmtId="0" fontId="0" fillId="0" borderId="0" xfId="0" applyFont="1"/>
    <xf numFmtId="0" fontId="0" fillId="6" borderId="0" xfId="0" applyFill="1"/>
    <xf numFmtId="0" fontId="1" fillId="6" borderId="0" xfId="0" applyFont="1" applyFill="1"/>
    <xf numFmtId="9" fontId="1" fillId="6" borderId="0" xfId="0" applyNumberFormat="1" applyFont="1" applyFill="1"/>
    <xf numFmtId="9" fontId="1" fillId="6" borderId="0" xfId="4" applyFont="1" applyFill="1"/>
    <xf numFmtId="0" fontId="8" fillId="0" borderId="0" xfId="0" applyFont="1" applyFill="1"/>
    <xf numFmtId="9" fontId="1" fillId="0" borderId="0" xfId="4" applyFont="1"/>
    <xf numFmtId="1" fontId="0" fillId="0" borderId="4" xfId="0" quotePrefix="1" applyNumberFormat="1" applyBorder="1"/>
    <xf numFmtId="0" fontId="5" fillId="0" borderId="0" xfId="0" applyNumberFormat="1" applyFont="1"/>
    <xf numFmtId="9" fontId="5" fillId="0" borderId="0" xfId="0" applyNumberFormat="1" applyFont="1"/>
    <xf numFmtId="0" fontId="1" fillId="6" borderId="0" xfId="0" applyNumberFormat="1" applyFont="1" applyFill="1"/>
    <xf numFmtId="0" fontId="1" fillId="6" borderId="0" xfId="4" applyNumberFormat="1" applyFont="1" applyFill="1"/>
    <xf numFmtId="0" fontId="0" fillId="0" borderId="0" xfId="0" applyFont="1" applyFill="1" applyBorder="1"/>
    <xf numFmtId="0" fontId="1" fillId="0" borderId="0" xfId="0" applyNumberFormat="1" applyFont="1" applyFill="1" applyBorder="1"/>
    <xf numFmtId="9" fontId="0" fillId="0" borderId="0" xfId="4" quotePrefix="1" applyFont="1" applyBorder="1"/>
    <xf numFmtId="0" fontId="0" fillId="0" borderId="1" xfId="0" applyFont="1" applyFill="1" applyBorder="1"/>
    <xf numFmtId="9" fontId="0" fillId="0" borderId="1" xfId="4" quotePrefix="1" applyFont="1" applyBorder="1"/>
    <xf numFmtId="9" fontId="0" fillId="0" borderId="4" xfId="4" quotePrefix="1" applyFont="1" applyBorder="1"/>
    <xf numFmtId="9" fontId="0" fillId="0" borderId="5" xfId="4" quotePrefix="1" applyFont="1" applyBorder="1"/>
    <xf numFmtId="0" fontId="1" fillId="0" borderId="4" xfId="0" applyFon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4" xfId="0" applyBorder="1"/>
    <xf numFmtId="165" fontId="0" fillId="0" borderId="0" xfId="4" applyNumberFormat="1" applyFont="1"/>
    <xf numFmtId="0" fontId="9" fillId="0" borderId="0" xfId="0" applyFont="1"/>
    <xf numFmtId="1" fontId="3" fillId="0" borderId="0" xfId="0" applyNumberFormat="1" applyFont="1"/>
    <xf numFmtId="0" fontId="1" fillId="0" borderId="0" xfId="0" applyFont="1" applyFill="1" applyBorder="1"/>
    <xf numFmtId="9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4" applyNumberFormat="1" applyFont="1"/>
    <xf numFmtId="10" fontId="1" fillId="0" borderId="2" xfId="4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5" fontId="1" fillId="6" borderId="0" xfId="0" applyNumberFormat="1" applyFont="1" applyFill="1"/>
    <xf numFmtId="165" fontId="1" fillId="6" borderId="0" xfId="4" applyNumberFormat="1" applyFont="1" applyFill="1"/>
    <xf numFmtId="0" fontId="0" fillId="0" borderId="0" xfId="0" applyNumberFormat="1" applyFont="1"/>
    <xf numFmtId="0" fontId="1" fillId="0" borderId="0" xfId="2" applyFont="1"/>
    <xf numFmtId="0" fontId="0" fillId="0" borderId="0" xfId="4" applyNumberFormat="1" applyFont="1"/>
    <xf numFmtId="0" fontId="0" fillId="0" borderId="0" xfId="0" applyAlignment="1">
      <alignment horizontal="right"/>
    </xf>
    <xf numFmtId="0" fontId="1" fillId="0" borderId="6" xfId="0" applyFont="1" applyBorder="1"/>
    <xf numFmtId="0" fontId="1" fillId="0" borderId="3" xfId="0" applyFont="1" applyBorder="1"/>
    <xf numFmtId="0" fontId="10" fillId="0" borderId="0" xfId="0" applyFont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1" xfId="0" applyFont="1" applyFill="1" applyBorder="1"/>
    <xf numFmtId="1" fontId="0" fillId="0" borderId="5" xfId="0" quotePrefix="1" applyNumberFormat="1" applyFill="1" applyBorder="1"/>
    <xf numFmtId="1" fontId="0" fillId="0" borderId="1" xfId="0" quotePrefix="1" applyNumberFormat="1" applyFill="1" applyBorder="1"/>
    <xf numFmtId="1" fontId="0" fillId="0" borderId="1" xfId="0" applyNumberFormat="1" applyFill="1" applyBorder="1"/>
    <xf numFmtId="0" fontId="0" fillId="7" borderId="0" xfId="0" applyFill="1"/>
    <xf numFmtId="0" fontId="11" fillId="0" borderId="0" xfId="0" applyFont="1"/>
    <xf numFmtId="0" fontId="11" fillId="0" borderId="1" xfId="0" applyFont="1" applyBorder="1"/>
    <xf numFmtId="1" fontId="0" fillId="0" borderId="11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</cellXfs>
  <cellStyles count="5">
    <cellStyle name="Comma" xfId="1" builtinId="3"/>
    <cellStyle name="Normal" xfId="0" builtinId="0"/>
    <cellStyle name="Normal_DPS Calculator - Drg" xfId="2"/>
    <cellStyle name="Normal_DPS Calculator - Mnk" xfId="3"/>
    <cellStyle name="Percent" xfId="4" builtinId="5"/>
  </cellStyles>
  <dxfs count="17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42"/>
  </sheetPr>
  <dimension ref="A1:N50"/>
  <sheetViews>
    <sheetView workbookViewId="0">
      <selection activeCell="B22" sqref="B22"/>
    </sheetView>
  </sheetViews>
  <sheetFormatPr defaultRowHeight="12.75"/>
  <cols>
    <col min="1" max="1" width="25.7109375" customWidth="1"/>
    <col min="2" max="3" width="16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3.28515625" customWidth="1"/>
    <col min="13" max="14" width="18.7109375" customWidth="1"/>
  </cols>
  <sheetData>
    <row r="1" spans="1:14">
      <c r="A1" s="9"/>
      <c r="B1" s="9" t="s">
        <v>163</v>
      </c>
      <c r="C1" s="9" t="s">
        <v>165</v>
      </c>
      <c r="D1" s="9"/>
      <c r="E1" s="111" t="s">
        <v>683</v>
      </c>
      <c r="F1" s="9" t="s">
        <v>163</v>
      </c>
      <c r="G1" s="9" t="s">
        <v>165</v>
      </c>
      <c r="H1" s="9"/>
      <c r="I1" s="9" t="s">
        <v>684</v>
      </c>
      <c r="J1" s="9" t="s">
        <v>163</v>
      </c>
      <c r="K1" s="9" t="s">
        <v>165</v>
      </c>
      <c r="L1" s="9"/>
      <c r="M1" s="9" t="s">
        <v>31</v>
      </c>
      <c r="N1" s="10" t="s">
        <v>1076</v>
      </c>
    </row>
    <row r="2" spans="1:14">
      <c r="E2" s="110"/>
      <c r="F2" s="110"/>
      <c r="G2" s="110"/>
      <c r="M2" t="s">
        <v>32</v>
      </c>
      <c r="N2" s="31">
        <f>VLOOKUP($N$1,Mobs,MATCH($M2,MobHeader,0), FALSE)</f>
        <v>130</v>
      </c>
    </row>
    <row r="3" spans="1:14">
      <c r="A3" s="9" t="s">
        <v>190</v>
      </c>
      <c r="E3" s="111" t="s">
        <v>685</v>
      </c>
      <c r="F3" s="110"/>
      <c r="G3" s="110"/>
      <c r="I3" s="9" t="s">
        <v>686</v>
      </c>
      <c r="M3" t="s">
        <v>33</v>
      </c>
      <c r="N3" s="31">
        <f>VLOOKUP($N$1,Mobs,MATCH($M3,MobHeader,0), FALSE)</f>
        <v>1239</v>
      </c>
    </row>
    <row r="4" spans="1:14">
      <c r="A4" s="22" t="s">
        <v>0</v>
      </c>
      <c r="B4" s="10" t="s">
        <v>1</v>
      </c>
      <c r="C4" t="str">
        <f>B4</f>
        <v>Hume</v>
      </c>
      <c r="E4" t="s">
        <v>532</v>
      </c>
      <c r="F4" s="10">
        <v>0</v>
      </c>
      <c r="G4" s="10">
        <v>0</v>
      </c>
      <c r="I4" s="158" t="s">
        <v>982</v>
      </c>
      <c r="J4" s="10">
        <v>1</v>
      </c>
      <c r="K4" s="10">
        <v>1</v>
      </c>
      <c r="M4" t="s">
        <v>367</v>
      </c>
      <c r="N4" s="11">
        <v>0.8</v>
      </c>
    </row>
    <row r="5" spans="1:14">
      <c r="A5" s="22" t="s">
        <v>32</v>
      </c>
      <c r="B5" s="49">
        <v>99</v>
      </c>
      <c r="C5" s="50">
        <f>B5</f>
        <v>99</v>
      </c>
      <c r="D5" s="50"/>
      <c r="E5" t="s">
        <v>961</v>
      </c>
      <c r="F5" s="10">
        <v>1</v>
      </c>
      <c r="G5" s="10">
        <v>1</v>
      </c>
      <c r="L5" s="50"/>
      <c r="M5" t="s">
        <v>198</v>
      </c>
      <c r="N5" s="34">
        <f>N3-FLOOR(N3*N4, 1)</f>
        <v>248</v>
      </c>
    </row>
    <row r="6" spans="1:14">
      <c r="A6" t="s">
        <v>195</v>
      </c>
      <c r="B6" s="10" t="s">
        <v>196</v>
      </c>
      <c r="C6" s="10" t="s">
        <v>196</v>
      </c>
      <c r="D6" s="31"/>
      <c r="E6" t="s">
        <v>1074</v>
      </c>
      <c r="F6" s="10">
        <v>1</v>
      </c>
      <c r="G6" s="10">
        <v>1</v>
      </c>
      <c r="I6" s="9" t="s">
        <v>687</v>
      </c>
      <c r="L6" s="31"/>
      <c r="M6" t="s">
        <v>34</v>
      </c>
      <c r="N6" s="31">
        <f t="shared" ref="N6:N11" si="0">VLOOKUP($N$1,Mobs,MATCH($M6,MobHeader,0), FALSE)</f>
        <v>1219</v>
      </c>
    </row>
    <row r="7" spans="1:14">
      <c r="A7" t="s">
        <v>91</v>
      </c>
      <c r="B7" s="10" t="s">
        <v>1093</v>
      </c>
      <c r="C7" s="31" t="str">
        <f>B7</f>
        <v>Sublime Sushi</v>
      </c>
      <c r="D7" s="31"/>
      <c r="E7" s="118" t="s">
        <v>721</v>
      </c>
      <c r="F7" s="110"/>
      <c r="G7" s="110"/>
      <c r="I7" s="113" t="s">
        <v>689</v>
      </c>
      <c r="J7" s="114">
        <v>500</v>
      </c>
      <c r="K7" s="115">
        <v>500</v>
      </c>
      <c r="L7" s="31"/>
      <c r="M7" t="s">
        <v>5</v>
      </c>
      <c r="N7" s="31">
        <f t="shared" si="0"/>
        <v>271</v>
      </c>
    </row>
    <row r="8" spans="1:14">
      <c r="E8" t="s">
        <v>757</v>
      </c>
      <c r="F8" s="115">
        <v>1</v>
      </c>
      <c r="G8" s="115">
        <v>1</v>
      </c>
      <c r="I8" s="158" t="s">
        <v>690</v>
      </c>
      <c r="J8" s="10">
        <v>0</v>
      </c>
      <c r="K8" s="10">
        <v>0</v>
      </c>
      <c r="M8" t="s">
        <v>42</v>
      </c>
      <c r="N8" s="31">
        <f t="shared" si="0"/>
        <v>272</v>
      </c>
    </row>
    <row r="9" spans="1:14">
      <c r="A9" s="9" t="s">
        <v>6</v>
      </c>
      <c r="E9" t="s">
        <v>758</v>
      </c>
      <c r="F9" s="115">
        <v>90</v>
      </c>
      <c r="G9" s="115">
        <v>90</v>
      </c>
      <c r="M9" t="s">
        <v>269</v>
      </c>
      <c r="N9" s="31">
        <f t="shared" si="0"/>
        <v>258</v>
      </c>
    </row>
    <row r="10" spans="1:14">
      <c r="A10" t="s">
        <v>3</v>
      </c>
      <c r="B10" s="10">
        <v>15</v>
      </c>
      <c r="C10">
        <f t="shared" ref="C10:C17" si="1">B10</f>
        <v>15</v>
      </c>
      <c r="F10" s="112"/>
      <c r="G10" s="10"/>
      <c r="I10" s="9" t="s">
        <v>707</v>
      </c>
      <c r="M10" t="s">
        <v>722</v>
      </c>
      <c r="N10" s="119">
        <f t="shared" si="0"/>
        <v>0</v>
      </c>
    </row>
    <row r="11" spans="1:14">
      <c r="A11" t="s">
        <v>4</v>
      </c>
      <c r="B11" s="10">
        <v>15</v>
      </c>
      <c r="C11">
        <f t="shared" si="1"/>
        <v>15</v>
      </c>
      <c r="E11" s="111" t="s">
        <v>688</v>
      </c>
      <c r="F11" s="110"/>
      <c r="G11" s="110"/>
      <c r="I11" s="113" t="s">
        <v>689</v>
      </c>
      <c r="J11" s="114">
        <v>475</v>
      </c>
      <c r="K11" s="115">
        <v>475</v>
      </c>
      <c r="M11" s="2" t="s">
        <v>124</v>
      </c>
      <c r="N11" s="119">
        <f t="shared" si="0"/>
        <v>0</v>
      </c>
    </row>
    <row r="12" spans="1:14">
      <c r="A12" t="s">
        <v>203</v>
      </c>
      <c r="B12" s="11">
        <v>0.05</v>
      </c>
      <c r="C12" s="2">
        <f t="shared" si="1"/>
        <v>0.05</v>
      </c>
      <c r="D12" s="2"/>
      <c r="E12" t="s">
        <v>138</v>
      </c>
      <c r="F12" s="10">
        <v>0</v>
      </c>
      <c r="G12" s="10">
        <v>0</v>
      </c>
      <c r="I12" t="s">
        <v>391</v>
      </c>
      <c r="J12" s="10">
        <v>0</v>
      </c>
      <c r="K12" s="10">
        <v>0</v>
      </c>
      <c r="L12" s="2"/>
    </row>
    <row r="13" spans="1:14">
      <c r="A13" t="s">
        <v>432</v>
      </c>
      <c r="B13" s="52">
        <v>5</v>
      </c>
      <c r="C13" s="34">
        <f t="shared" si="1"/>
        <v>5</v>
      </c>
      <c r="D13" s="2"/>
      <c r="E13" t="s">
        <v>206</v>
      </c>
      <c r="F13" s="10">
        <v>0</v>
      </c>
      <c r="G13" s="10">
        <v>0</v>
      </c>
      <c r="I13" t="s">
        <v>708</v>
      </c>
      <c r="J13" s="10">
        <v>0</v>
      </c>
      <c r="K13" s="10">
        <v>0</v>
      </c>
      <c r="M13" s="2"/>
      <c r="N13" s="2"/>
    </row>
    <row r="14" spans="1:14">
      <c r="A14" t="s">
        <v>973</v>
      </c>
      <c r="B14" s="52">
        <v>20</v>
      </c>
      <c r="C14" s="34">
        <f t="shared" si="1"/>
        <v>20</v>
      </c>
      <c r="D14" s="2"/>
      <c r="E14" t="s">
        <v>692</v>
      </c>
      <c r="F14" s="10">
        <v>0</v>
      </c>
      <c r="G14" s="10">
        <v>0</v>
      </c>
      <c r="I14" t="s">
        <v>211</v>
      </c>
      <c r="J14" s="10">
        <v>0</v>
      </c>
      <c r="K14" s="10">
        <v>0</v>
      </c>
    </row>
    <row r="15" spans="1:14">
      <c r="A15" s="31" t="s">
        <v>229</v>
      </c>
      <c r="B15" s="10">
        <v>16</v>
      </c>
      <c r="C15">
        <f t="shared" si="1"/>
        <v>16</v>
      </c>
    </row>
    <row r="16" spans="1:14">
      <c r="A16" s="31" t="s">
        <v>801</v>
      </c>
      <c r="B16" s="10">
        <v>16</v>
      </c>
      <c r="C16">
        <f t="shared" si="1"/>
        <v>16</v>
      </c>
      <c r="I16" s="9" t="s">
        <v>263</v>
      </c>
    </row>
    <row r="17" spans="1:14">
      <c r="A17" t="s">
        <v>314</v>
      </c>
      <c r="B17" s="10">
        <v>1</v>
      </c>
      <c r="C17">
        <f t="shared" si="1"/>
        <v>1</v>
      </c>
      <c r="E17" s="111" t="s">
        <v>694</v>
      </c>
      <c r="F17" s="9" t="s">
        <v>163</v>
      </c>
      <c r="G17" s="9" t="s">
        <v>165</v>
      </c>
      <c r="I17" t="s">
        <v>709</v>
      </c>
      <c r="J17" s="10">
        <v>0</v>
      </c>
      <c r="K17" s="10">
        <v>0</v>
      </c>
      <c r="L17" s="10"/>
    </row>
    <row r="18" spans="1:14">
      <c r="A18" s="31" t="s">
        <v>805</v>
      </c>
      <c r="B18" s="10">
        <v>1</v>
      </c>
      <c r="C18">
        <f>B18</f>
        <v>1</v>
      </c>
      <c r="E18" s="110"/>
      <c r="F18" s="110"/>
      <c r="G18" s="110"/>
      <c r="L18" s="10"/>
    </row>
    <row r="19" spans="1:14">
      <c r="E19" s="9" t="s">
        <v>191</v>
      </c>
      <c r="H19" s="10"/>
      <c r="I19" s="9" t="s">
        <v>703</v>
      </c>
    </row>
    <row r="20" spans="1:14">
      <c r="A20" s="9" t="s">
        <v>204</v>
      </c>
      <c r="E20" t="s">
        <v>193</v>
      </c>
      <c r="F20" s="10">
        <v>0</v>
      </c>
      <c r="G20" s="10">
        <v>0</v>
      </c>
      <c r="H20" s="10"/>
      <c r="I20" s="31" t="s">
        <v>704</v>
      </c>
      <c r="J20" s="114">
        <v>450</v>
      </c>
      <c r="K20" s="115">
        <v>450</v>
      </c>
    </row>
    <row r="21" spans="1:14">
      <c r="A21" s="31" t="s">
        <v>808</v>
      </c>
      <c r="B21" t="str">
        <f>Gear!A3</f>
        <v>Sword</v>
      </c>
      <c r="C21" t="str">
        <f>Gear!Z3</f>
        <v>Sword</v>
      </c>
      <c r="E21" t="s">
        <v>194</v>
      </c>
      <c r="F21" s="115">
        <v>70</v>
      </c>
      <c r="G21" s="115">
        <f>F21</f>
        <v>70</v>
      </c>
      <c r="H21" s="10"/>
      <c r="I21" s="31" t="s">
        <v>705</v>
      </c>
      <c r="J21" s="10">
        <v>0</v>
      </c>
      <c r="K21" s="10">
        <v>0</v>
      </c>
    </row>
    <row r="22" spans="1:14">
      <c r="A22" t="s">
        <v>205</v>
      </c>
      <c r="B22" s="10" t="s">
        <v>854</v>
      </c>
      <c r="C22" s="10" t="s">
        <v>172</v>
      </c>
      <c r="D22" s="10"/>
      <c r="E22" t="s">
        <v>197</v>
      </c>
      <c r="F22" s="10" t="s">
        <v>131</v>
      </c>
      <c r="G22" s="10" t="s">
        <v>131</v>
      </c>
      <c r="H22" s="10"/>
    </row>
    <row r="23" spans="1:14">
      <c r="A23" t="s">
        <v>1178</v>
      </c>
      <c r="B23" s="11">
        <v>0</v>
      </c>
      <c r="C23" s="11">
        <v>0.6</v>
      </c>
      <c r="D23" s="10"/>
      <c r="E23" t="s">
        <v>199</v>
      </c>
      <c r="F23" s="10" t="s">
        <v>132</v>
      </c>
      <c r="G23" s="10" t="s">
        <v>132</v>
      </c>
      <c r="H23" s="10"/>
      <c r="I23" s="9" t="s">
        <v>693</v>
      </c>
      <c r="M23" s="9" t="s">
        <v>163</v>
      </c>
      <c r="N23" s="9" t="s">
        <v>165</v>
      </c>
    </row>
    <row r="24" spans="1:14">
      <c r="D24" s="10"/>
      <c r="E24" t="s">
        <v>200</v>
      </c>
      <c r="F24" s="10" t="s">
        <v>201</v>
      </c>
      <c r="G24" s="10" t="s">
        <v>201</v>
      </c>
      <c r="I24" s="113" t="s">
        <v>695</v>
      </c>
      <c r="J24" s="10">
        <v>0</v>
      </c>
      <c r="K24" s="10">
        <v>0</v>
      </c>
      <c r="L24" s="110" t="s">
        <v>908</v>
      </c>
      <c r="M24" s="115">
        <v>5</v>
      </c>
      <c r="N24" s="115">
        <v>5</v>
      </c>
    </row>
    <row r="25" spans="1:14">
      <c r="A25" t="s">
        <v>730</v>
      </c>
      <c r="B25" s="10">
        <v>0</v>
      </c>
      <c r="C25" s="10">
        <v>0</v>
      </c>
      <c r="D25" s="10"/>
      <c r="I25" s="30" t="s">
        <v>159</v>
      </c>
      <c r="J25" s="10">
        <v>0</v>
      </c>
      <c r="K25" s="10">
        <v>0</v>
      </c>
      <c r="L25" s="110" t="s">
        <v>909</v>
      </c>
      <c r="M25" s="115">
        <v>4</v>
      </c>
      <c r="N25" s="115">
        <v>4</v>
      </c>
    </row>
    <row r="26" spans="1:14">
      <c r="A26" t="s">
        <v>731</v>
      </c>
      <c r="B26" s="115">
        <v>210</v>
      </c>
      <c r="C26" s="115">
        <v>210</v>
      </c>
      <c r="D26" s="10"/>
      <c r="E26" s="9" t="s">
        <v>316</v>
      </c>
      <c r="F26" s="10">
        <v>0</v>
      </c>
      <c r="G26">
        <f>F26</f>
        <v>0</v>
      </c>
      <c r="I26" s="51" t="s">
        <v>158</v>
      </c>
      <c r="J26" s="10">
        <v>0</v>
      </c>
      <c r="K26" s="10">
        <v>0</v>
      </c>
      <c r="L26" s="110"/>
    </row>
    <row r="27" spans="1:14">
      <c r="A27" t="s">
        <v>732</v>
      </c>
      <c r="B27" s="10">
        <v>1</v>
      </c>
      <c r="C27" s="10">
        <v>0</v>
      </c>
      <c r="D27" s="10"/>
      <c r="E27" t="s">
        <v>698</v>
      </c>
      <c r="F27" s="93" t="s">
        <v>317</v>
      </c>
      <c r="G27" s="93" t="s">
        <v>317</v>
      </c>
      <c r="I27" t="s">
        <v>696</v>
      </c>
      <c r="J27" s="10">
        <v>0</v>
      </c>
      <c r="K27" s="10">
        <v>0</v>
      </c>
      <c r="L27" s="110" t="s">
        <v>910</v>
      </c>
      <c r="M27" s="115">
        <v>4</v>
      </c>
      <c r="N27" s="115">
        <v>4</v>
      </c>
    </row>
    <row r="28" spans="1:14">
      <c r="D28" s="10"/>
      <c r="E28" t="s">
        <v>700</v>
      </c>
      <c r="F28" s="93" t="s">
        <v>317</v>
      </c>
      <c r="G28" s="93" t="s">
        <v>317</v>
      </c>
      <c r="I28" t="s">
        <v>697</v>
      </c>
      <c r="J28" s="10">
        <v>0</v>
      </c>
      <c r="K28" s="10">
        <v>0</v>
      </c>
      <c r="L28" s="110" t="s">
        <v>911</v>
      </c>
      <c r="M28" s="115">
        <v>5</v>
      </c>
      <c r="N28" s="115">
        <v>5</v>
      </c>
    </row>
    <row r="29" spans="1:14">
      <c r="E29" t="s">
        <v>702</v>
      </c>
      <c r="F29" s="93" t="s">
        <v>317</v>
      </c>
      <c r="G29" s="93" t="s">
        <v>317</v>
      </c>
      <c r="I29" s="31" t="s">
        <v>906</v>
      </c>
      <c r="J29" s="10">
        <v>0</v>
      </c>
      <c r="K29" s="10">
        <v>0</v>
      </c>
      <c r="L29" s="110"/>
    </row>
    <row r="30" spans="1:14">
      <c r="A30" s="9" t="s">
        <v>209</v>
      </c>
      <c r="B30" s="9" t="s">
        <v>163</v>
      </c>
      <c r="C30" s="9" t="s">
        <v>165</v>
      </c>
      <c r="I30" t="s">
        <v>699</v>
      </c>
      <c r="J30" s="10">
        <v>0</v>
      </c>
      <c r="K30" s="10">
        <v>0</v>
      </c>
      <c r="L30" s="110" t="s">
        <v>912</v>
      </c>
      <c r="M30" s="115">
        <v>4</v>
      </c>
      <c r="N30" s="115">
        <v>4</v>
      </c>
    </row>
    <row r="31" spans="1:14">
      <c r="A31" t="s">
        <v>210</v>
      </c>
      <c r="B31" s="7">
        <f ca="1">Data!B205</f>
        <v>2344.9676372748845</v>
      </c>
      <c r="C31" s="7">
        <f ca="1">Data!C205</f>
        <v>3204.5842733406521</v>
      </c>
      <c r="E31" t="s">
        <v>213</v>
      </c>
      <c r="F31" s="10">
        <v>0</v>
      </c>
      <c r="G31" s="10">
        <v>0</v>
      </c>
      <c r="I31" t="s">
        <v>701</v>
      </c>
      <c r="J31" s="10">
        <v>0</v>
      </c>
      <c r="K31" s="10">
        <v>0</v>
      </c>
      <c r="L31" s="110" t="s">
        <v>907</v>
      </c>
      <c r="M31" s="115">
        <v>5</v>
      </c>
      <c r="N31" s="115">
        <v>5</v>
      </c>
    </row>
    <row r="32" spans="1:14">
      <c r="A32" t="s">
        <v>212</v>
      </c>
      <c r="B32" s="6">
        <f ca="1">Data!B213</f>
        <v>1529.3267199618811</v>
      </c>
      <c r="C32" s="6">
        <f ca="1">Data!C213</f>
        <v>2071.9294870736971</v>
      </c>
    </row>
    <row r="33" spans="1:14">
      <c r="E33" s="9" t="s">
        <v>855</v>
      </c>
      <c r="I33" s="9" t="s">
        <v>710</v>
      </c>
      <c r="M33" s="9" t="s">
        <v>163</v>
      </c>
      <c r="N33" s="9" t="s">
        <v>165</v>
      </c>
    </row>
    <row r="34" spans="1:14">
      <c r="A34" t="s">
        <v>214</v>
      </c>
      <c r="B34" s="4">
        <f ca="1">Data!D223</f>
        <v>2.5061208107128059</v>
      </c>
      <c r="C34" s="4">
        <f ca="1">Data!E223</f>
        <v>3.2053788452189336</v>
      </c>
      <c r="E34" s="31" t="s">
        <v>856</v>
      </c>
      <c r="F34" s="10">
        <v>1</v>
      </c>
      <c r="G34" s="10">
        <v>1</v>
      </c>
      <c r="I34" t="s">
        <v>207</v>
      </c>
      <c r="J34" s="10">
        <v>0</v>
      </c>
      <c r="K34" s="10">
        <v>0</v>
      </c>
      <c r="L34" t="s">
        <v>711</v>
      </c>
      <c r="M34" s="116">
        <v>0.55000000000000004</v>
      </c>
      <c r="N34" s="117">
        <v>0.55000000000000004</v>
      </c>
    </row>
    <row r="35" spans="1:14">
      <c r="A35" s="22" t="s">
        <v>40</v>
      </c>
      <c r="B35" s="7">
        <f ca="1">Data!D222</f>
        <v>21457.248736407411</v>
      </c>
      <c r="C35" s="7">
        <f ca="1">Data!E222</f>
        <v>29892.880138264591</v>
      </c>
      <c r="I35" s="31" t="s">
        <v>794</v>
      </c>
      <c r="J35" s="10">
        <v>0</v>
      </c>
      <c r="K35" s="10">
        <v>0</v>
      </c>
      <c r="L35" s="31" t="s">
        <v>10</v>
      </c>
      <c r="M35" s="123">
        <v>70</v>
      </c>
      <c r="N35" s="124">
        <v>70</v>
      </c>
    </row>
    <row r="36" spans="1:14">
      <c r="E36" s="9" t="s">
        <v>1094</v>
      </c>
      <c r="I36" t="s">
        <v>712</v>
      </c>
      <c r="J36" s="10">
        <v>0</v>
      </c>
      <c r="K36" s="10">
        <v>0</v>
      </c>
      <c r="L36" t="s">
        <v>713</v>
      </c>
      <c r="M36" s="116">
        <v>0.25</v>
      </c>
      <c r="N36" s="117">
        <v>0.25</v>
      </c>
    </row>
    <row r="37" spans="1:14">
      <c r="A37" t="s">
        <v>215</v>
      </c>
      <c r="B37" s="7">
        <f ca="1">Data!D226</f>
        <v>27334.020932630039</v>
      </c>
      <c r="C37" s="7">
        <f ca="1">Data!E226</f>
        <v>40164.786775752007</v>
      </c>
      <c r="E37" t="s">
        <v>1095</v>
      </c>
      <c r="F37">
        <v>70</v>
      </c>
      <c r="G37">
        <v>70</v>
      </c>
      <c r="I37" t="s">
        <v>714</v>
      </c>
      <c r="J37" s="10">
        <v>1</v>
      </c>
      <c r="K37" s="10">
        <v>1</v>
      </c>
      <c r="L37" t="s">
        <v>715</v>
      </c>
      <c r="M37" s="116">
        <v>0.25</v>
      </c>
      <c r="N37" s="117">
        <v>0.25</v>
      </c>
    </row>
    <row r="38" spans="1:14">
      <c r="A38" t="s">
        <v>216</v>
      </c>
      <c r="B38" s="7">
        <f ca="1">Data!D225</f>
        <v>354.45826030319569</v>
      </c>
      <c r="C38" s="7">
        <f ca="1">Data!E225</f>
        <v>422.09759191227613</v>
      </c>
      <c r="E38" t="s">
        <v>10</v>
      </c>
      <c r="F38">
        <v>36</v>
      </c>
      <c r="G38">
        <v>36</v>
      </c>
      <c r="I38" t="s">
        <v>71</v>
      </c>
      <c r="J38" s="10">
        <v>1</v>
      </c>
      <c r="K38" s="10">
        <v>1</v>
      </c>
      <c r="L38" t="s">
        <v>13</v>
      </c>
      <c r="M38" s="115">
        <v>70</v>
      </c>
      <c r="N38" s="115">
        <v>70</v>
      </c>
    </row>
    <row r="39" spans="1:14">
      <c r="I39" t="s">
        <v>208</v>
      </c>
      <c r="J39" s="10">
        <v>0</v>
      </c>
      <c r="K39" s="10">
        <v>0</v>
      </c>
      <c r="L39" t="s">
        <v>134</v>
      </c>
      <c r="M39" s="115">
        <v>40</v>
      </c>
      <c r="N39" s="115">
        <v>40</v>
      </c>
    </row>
    <row r="40" spans="1:14">
      <c r="A40" s="9" t="s">
        <v>217</v>
      </c>
      <c r="B40" s="8">
        <f ca="1">Data!D227</f>
        <v>4626.8952924244104</v>
      </c>
      <c r="C40" s="8">
        <f ca="1">Data!E227</f>
        <v>5709.3128525735901</v>
      </c>
      <c r="E40" t="s">
        <v>706</v>
      </c>
      <c r="F40" s="10">
        <v>1</v>
      </c>
      <c r="G40" s="10">
        <v>1</v>
      </c>
      <c r="I40" t="s">
        <v>716</v>
      </c>
      <c r="J40" s="10">
        <v>0</v>
      </c>
      <c r="K40" s="10">
        <v>0</v>
      </c>
      <c r="L40" t="s">
        <v>717</v>
      </c>
      <c r="M40" s="115">
        <v>250</v>
      </c>
      <c r="N40" s="115">
        <v>250</v>
      </c>
    </row>
    <row r="42" spans="1:14">
      <c r="A42" s="9" t="s">
        <v>218</v>
      </c>
      <c r="B42" s="9" t="s">
        <v>163</v>
      </c>
      <c r="C42" s="9" t="s">
        <v>165</v>
      </c>
      <c r="D42" t="s">
        <v>219</v>
      </c>
      <c r="E42" s="9" t="s">
        <v>315</v>
      </c>
      <c r="F42" s="10"/>
      <c r="G42" s="10"/>
      <c r="I42" s="9" t="s">
        <v>913</v>
      </c>
    </row>
    <row r="43" spans="1:14">
      <c r="A43" t="s">
        <v>220</v>
      </c>
      <c r="B43" s="52">
        <v>100</v>
      </c>
      <c r="C43" s="52">
        <v>100</v>
      </c>
      <c r="D43">
        <f>B43+C43</f>
        <v>200</v>
      </c>
      <c r="E43" t="s">
        <v>70</v>
      </c>
      <c r="F43" s="10">
        <v>0.5</v>
      </c>
      <c r="G43" s="10">
        <v>0.5</v>
      </c>
      <c r="I43" s="31" t="s">
        <v>914</v>
      </c>
      <c r="J43" s="31">
        <v>0</v>
      </c>
      <c r="K43" s="31">
        <v>0</v>
      </c>
    </row>
    <row r="44" spans="1:14">
      <c r="A44" s="9" t="s">
        <v>221</v>
      </c>
      <c r="B44" s="8">
        <f ca="1">B40*B43/D43 + C40*C43/D43</f>
        <v>5168.1040724989998</v>
      </c>
      <c r="C44" s="6"/>
      <c r="E44" t="s">
        <v>291</v>
      </c>
      <c r="F44" s="10">
        <v>0</v>
      </c>
      <c r="G44" s="10">
        <v>0</v>
      </c>
      <c r="I44" s="31" t="s">
        <v>915</v>
      </c>
      <c r="J44" s="31">
        <v>0</v>
      </c>
      <c r="K44" s="31">
        <v>0</v>
      </c>
    </row>
    <row r="45" spans="1:14">
      <c r="B45" s="10"/>
      <c r="C45" s="10"/>
      <c r="D45" s="10"/>
      <c r="E45" t="s">
        <v>392</v>
      </c>
      <c r="F45" s="10">
        <v>1000</v>
      </c>
      <c r="G45" s="10">
        <v>1000</v>
      </c>
      <c r="I45" s="29" t="s">
        <v>916</v>
      </c>
      <c r="J45" s="31">
        <v>0</v>
      </c>
      <c r="K45" s="31">
        <v>0</v>
      </c>
    </row>
    <row r="46" spans="1:14">
      <c r="B46" s="10"/>
      <c r="C46" s="10"/>
      <c r="D46" s="10"/>
      <c r="E46" t="s">
        <v>393</v>
      </c>
      <c r="F46" s="10">
        <v>0</v>
      </c>
      <c r="G46" s="10">
        <v>0</v>
      </c>
      <c r="I46" s="168" t="s">
        <v>1078</v>
      </c>
      <c r="J46" s="167">
        <v>0</v>
      </c>
      <c r="K46" s="167">
        <v>0</v>
      </c>
    </row>
    <row r="47" spans="1:14">
      <c r="I47" t="s">
        <v>917</v>
      </c>
      <c r="J47" s="10">
        <v>0</v>
      </c>
      <c r="K47" s="10">
        <v>0</v>
      </c>
      <c r="L47" t="s">
        <v>918</v>
      </c>
      <c r="M47" s="115">
        <v>75</v>
      </c>
      <c r="N47" s="115">
        <v>75</v>
      </c>
    </row>
    <row r="48" spans="1:14">
      <c r="I48" t="s">
        <v>919</v>
      </c>
      <c r="J48" s="10">
        <v>0</v>
      </c>
      <c r="K48" s="10">
        <v>0</v>
      </c>
      <c r="L48" t="s">
        <v>920</v>
      </c>
      <c r="M48" s="150">
        <v>0.28999999999999998</v>
      </c>
      <c r="N48" s="151">
        <v>0.28999999999999998</v>
      </c>
    </row>
    <row r="49" spans="9:14">
      <c r="I49" t="s">
        <v>921</v>
      </c>
      <c r="J49" s="10">
        <v>0</v>
      </c>
      <c r="K49" s="10">
        <v>0</v>
      </c>
      <c r="L49" t="s">
        <v>922</v>
      </c>
      <c r="M49" s="115">
        <v>75</v>
      </c>
      <c r="N49" s="115">
        <v>75</v>
      </c>
    </row>
    <row r="50" spans="9:14">
      <c r="I50" t="s">
        <v>923</v>
      </c>
      <c r="J50" s="10">
        <v>0</v>
      </c>
      <c r="K50" s="10">
        <v>0</v>
      </c>
      <c r="L50" t="s">
        <v>924</v>
      </c>
      <c r="M50" s="150">
        <v>0.48199999999999998</v>
      </c>
      <c r="N50" s="151">
        <v>0.48199999999999998</v>
      </c>
    </row>
  </sheetData>
  <phoneticPr fontId="2" type="noConversion"/>
  <conditionalFormatting sqref="G40 G43:G46 G12:G14 G10 G20 G22:G24 G31 G34 K34:K40 K21 K17 K12:K14 K24:K31 K43:K50 K4 K8 G4:G6">
    <cfRule type="cellIs" dxfId="16" priority="9" stopIfTrue="1" operator="notEqual">
      <formula>INDIRECT(ADDRESS(ROW(), COLUMN()-1))</formula>
    </cfRule>
  </conditionalFormatting>
  <conditionalFormatting sqref="G21 G8:G9 N34:N40 N30:N31 N27:N28 N24:N25 N47:N50 K20 K11 K7 C26">
    <cfRule type="cellIs" dxfId="15" priority="10" stopIfTrue="1" operator="notEqual">
      <formula>INDIRECT(ADDRESS(ROW(), COLUMN()-1))</formula>
    </cfRule>
  </conditionalFormatting>
  <conditionalFormatting sqref="C25 C27">
    <cfRule type="expression" dxfId="14" priority="11" stopIfTrue="1">
      <formula>AND($C$25=1, $C$27=1)</formula>
    </cfRule>
    <cfRule type="cellIs" dxfId="13" priority="12" stopIfTrue="1" operator="notEqual">
      <formula>B25</formula>
    </cfRule>
  </conditionalFormatting>
  <conditionalFormatting sqref="B25 B27">
    <cfRule type="expression" dxfId="12" priority="18" stopIfTrue="1">
      <formula>AND($B$25=1, $B$27=1)</formula>
    </cfRule>
  </conditionalFormatting>
  <conditionalFormatting sqref="J8">
    <cfRule type="expression" dxfId="11" priority="38" stopIfTrue="1">
      <formula>AND($J$8=1,#REF!= 1)</formula>
    </cfRule>
  </conditionalFormatting>
  <dataValidations count="17">
    <dataValidation type="list" allowBlank="1" showInputMessage="1" showErrorMessage="1" sqref="B22:C22">
      <formula1>INDIRECT(B21&amp;"Weaponskills")</formula1>
    </dataValidation>
    <dataValidation type="list" allowBlank="1" showInputMessage="1" showErrorMessage="1" sqref="F40:G40 J34:K40 F4:G6 B45:D46 J4:K4 B27:C27 B25:C25 J8:K8 J24:K31 J21:K21 J12:K14 J17:K17 J43:K50 F34:G34 F26 F31:G31 F20:G20 F12:G14">
      <formula1>Toggle</formula1>
    </dataValidation>
    <dataValidation type="whole" allowBlank="1" showInputMessage="1" showErrorMessage="1" sqref="F44:G44 J20:K20 J7:K7 J11:K11">
      <formula1>0</formula1>
      <formula2>500</formula2>
    </dataValidation>
    <dataValidation type="whole" allowBlank="1" showInputMessage="1" showErrorMessage="1" sqref="F45:G45">
      <formula1>1000</formula1>
      <formula2>3000</formula2>
    </dataValidation>
    <dataValidation type="list" allowBlank="1" showInputMessage="1" showErrorMessage="1" sqref="F22:G24">
      <formula1>Atmas</formula1>
    </dataValidation>
    <dataValidation type="whole" allowBlank="1" showInputMessage="1" showErrorMessage="1" sqref="F8:G9">
      <formula1>0</formula1>
      <formula2>1000</formula2>
    </dataValidation>
    <dataValidation type="whole" allowBlank="1" showInputMessage="1" showErrorMessage="1" sqref="M30:N31 M24:N25 M27:N28">
      <formula1>0</formula1>
      <formula2>5</formula2>
    </dataValidation>
    <dataValidation type="list" allowBlank="1" showInputMessage="1" showErrorMessage="1" sqref="I4">
      <formula1>Hastes</formula1>
    </dataValidation>
    <dataValidation type="decimal" allowBlank="1" showInputMessage="1" showErrorMessage="1" sqref="N4">
      <formula1>0</formula1>
      <formula2>1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6:C6">
      <formula1>Subjobs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4">
      <formula1>Races</formula1>
    </dataValidation>
    <dataValidation type="whole" allowBlank="1" showInputMessage="1" showErrorMessage="1" sqref="B10:B11">
      <formula1>0</formula1>
      <formula2>15</formula2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26:C26">
      <formula1>200</formula1>
      <formula2>299</formula2>
    </dataValidation>
    <dataValidation type="list" allowBlank="1" showInputMessage="1" showErrorMessage="1" sqref="I8">
      <formula1>Boosts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46"/>
  </sheetPr>
  <dimension ref="A1:U161"/>
  <sheetViews>
    <sheetView tabSelected="1" topLeftCell="A82" workbookViewId="0">
      <selection activeCell="A101" sqref="A101:J104"/>
    </sheetView>
  </sheetViews>
  <sheetFormatPr defaultRowHeight="12.75"/>
  <cols>
    <col min="1" max="1" width="22" customWidth="1"/>
    <col min="2" max="2" width="12.28515625" customWidth="1"/>
    <col min="4" max="4" width="11.7109375" customWidth="1"/>
    <col min="5" max="5" width="12.85546875" customWidth="1"/>
    <col min="6" max="6" width="12.140625" customWidth="1"/>
    <col min="7" max="7" width="12.28515625" customWidth="1"/>
    <col min="9" max="9" width="9.5703125" customWidth="1"/>
    <col min="10" max="10" width="12.5703125" customWidth="1"/>
    <col min="11" max="11" width="11.28515625" customWidth="1"/>
  </cols>
  <sheetData>
    <row r="1" spans="1:15">
      <c r="A1" t="s">
        <v>91</v>
      </c>
      <c r="B1" t="s">
        <v>3</v>
      </c>
      <c r="C1" t="s">
        <v>4</v>
      </c>
      <c r="D1" t="s">
        <v>5</v>
      </c>
      <c r="E1" t="s">
        <v>42</v>
      </c>
      <c r="F1" t="s">
        <v>269</v>
      </c>
      <c r="G1" t="s">
        <v>270</v>
      </c>
      <c r="H1" t="s">
        <v>271</v>
      </c>
      <c r="I1" t="s">
        <v>13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5">
      <c r="A2" t="s">
        <v>54</v>
      </c>
      <c r="J2" s="2"/>
      <c r="M2" s="2"/>
    </row>
    <row r="3" spans="1:15">
      <c r="A3" t="s">
        <v>107</v>
      </c>
      <c r="J3" s="2">
        <v>0.2</v>
      </c>
      <c r="K3">
        <v>50</v>
      </c>
      <c r="M3" s="2">
        <v>0.1</v>
      </c>
      <c r="N3">
        <v>48</v>
      </c>
    </row>
    <row r="4" spans="1:15">
      <c r="A4" t="s">
        <v>108</v>
      </c>
      <c r="J4" s="2">
        <v>0.21</v>
      </c>
      <c r="K4">
        <v>55</v>
      </c>
      <c r="M4" s="2">
        <v>0.11</v>
      </c>
      <c r="N4">
        <v>52</v>
      </c>
    </row>
    <row r="5" spans="1:15">
      <c r="A5" t="s">
        <v>105</v>
      </c>
      <c r="J5" s="2"/>
      <c r="M5" s="2">
        <v>0.13</v>
      </c>
      <c r="N5">
        <v>62</v>
      </c>
    </row>
    <row r="6" spans="1:15">
      <c r="A6" t="s">
        <v>1093</v>
      </c>
      <c r="B6">
        <v>6</v>
      </c>
      <c r="C6">
        <v>7</v>
      </c>
      <c r="G6">
        <v>-3</v>
      </c>
      <c r="H6">
        <v>6</v>
      </c>
      <c r="J6" s="2"/>
      <c r="M6" s="2">
        <v>0.1</v>
      </c>
      <c r="N6">
        <v>100</v>
      </c>
    </row>
    <row r="7" spans="1:15">
      <c r="A7" t="s">
        <v>103</v>
      </c>
      <c r="B7">
        <v>5</v>
      </c>
      <c r="C7">
        <v>6</v>
      </c>
      <c r="J7" s="2"/>
      <c r="M7" s="2">
        <v>0.15</v>
      </c>
      <c r="N7">
        <v>72</v>
      </c>
    </row>
    <row r="8" spans="1:15">
      <c r="A8" t="s">
        <v>109</v>
      </c>
      <c r="C8">
        <v>6</v>
      </c>
      <c r="J8" s="2"/>
      <c r="M8" s="2">
        <v>0.15</v>
      </c>
      <c r="N8">
        <v>72</v>
      </c>
    </row>
    <row r="9" spans="1:15">
      <c r="A9" t="s">
        <v>104</v>
      </c>
      <c r="C9">
        <v>6</v>
      </c>
      <c r="D9">
        <v>5</v>
      </c>
      <c r="J9" s="2"/>
      <c r="M9" s="2">
        <v>0.16</v>
      </c>
      <c r="N9">
        <v>76</v>
      </c>
    </row>
    <row r="10" spans="1:15">
      <c r="A10" t="s">
        <v>102</v>
      </c>
      <c r="B10">
        <v>6</v>
      </c>
      <c r="J10" s="2">
        <v>0.18</v>
      </c>
      <c r="K10">
        <v>90</v>
      </c>
      <c r="M10" s="2"/>
    </row>
    <row r="11" spans="1:15">
      <c r="A11" t="s">
        <v>940</v>
      </c>
      <c r="B11" s="31">
        <v>8</v>
      </c>
      <c r="C11" s="31"/>
      <c r="D11" s="31"/>
      <c r="I11" s="31"/>
      <c r="J11" s="12">
        <v>0.23</v>
      </c>
      <c r="K11" s="31">
        <v>180</v>
      </c>
      <c r="M11" s="2"/>
    </row>
    <row r="12" spans="1:15">
      <c r="A12" t="s">
        <v>941</v>
      </c>
      <c r="B12" s="31">
        <v>7</v>
      </c>
      <c r="C12" s="31"/>
      <c r="D12" s="31"/>
      <c r="I12" s="31"/>
      <c r="J12" s="12">
        <v>0.16</v>
      </c>
      <c r="K12" s="31">
        <v>160</v>
      </c>
      <c r="M12" s="2"/>
    </row>
    <row r="13" spans="1:15">
      <c r="A13" t="s">
        <v>942</v>
      </c>
      <c r="B13" s="31">
        <v>8</v>
      </c>
      <c r="C13" s="31"/>
      <c r="D13" s="31"/>
      <c r="I13" s="31"/>
      <c r="J13" s="12">
        <v>0.23499999999999999</v>
      </c>
      <c r="K13" s="31">
        <v>175</v>
      </c>
      <c r="M13" s="2"/>
    </row>
    <row r="14" spans="1:15">
      <c r="A14" t="s">
        <v>156</v>
      </c>
      <c r="B14">
        <v>4</v>
      </c>
      <c r="I14">
        <v>6</v>
      </c>
      <c r="J14" s="2">
        <v>0.18</v>
      </c>
      <c r="K14">
        <v>65</v>
      </c>
      <c r="M14" s="2"/>
    </row>
    <row r="15" spans="1:15">
      <c r="A15" t="s">
        <v>734</v>
      </c>
      <c r="B15">
        <v>5</v>
      </c>
      <c r="D15">
        <v>2</v>
      </c>
      <c r="F15">
        <v>-7</v>
      </c>
      <c r="I15">
        <v>5</v>
      </c>
      <c r="J15" s="2">
        <v>0.22500000000000001</v>
      </c>
      <c r="K15">
        <v>120</v>
      </c>
      <c r="M15" s="2"/>
    </row>
    <row r="16" spans="1:15">
      <c r="A16" t="s">
        <v>99</v>
      </c>
      <c r="B16">
        <v>5</v>
      </c>
      <c r="J16" s="2">
        <v>0.22</v>
      </c>
      <c r="K16">
        <v>65</v>
      </c>
      <c r="M16" s="2"/>
    </row>
    <row r="17" spans="1:18">
      <c r="A17" t="s">
        <v>101</v>
      </c>
      <c r="B17">
        <v>5</v>
      </c>
      <c r="J17" s="2">
        <v>0.2</v>
      </c>
      <c r="K17">
        <v>75</v>
      </c>
      <c r="M17" s="2"/>
    </row>
    <row r="18" spans="1:18">
      <c r="A18" t="s">
        <v>100</v>
      </c>
      <c r="B18">
        <v>5</v>
      </c>
      <c r="J18" s="2">
        <v>0.22</v>
      </c>
      <c r="K18">
        <v>80</v>
      </c>
      <c r="M18" s="2"/>
    </row>
    <row r="19" spans="1:18">
      <c r="A19" t="s">
        <v>98</v>
      </c>
      <c r="B19">
        <v>5</v>
      </c>
      <c r="J19" s="2">
        <v>0.22</v>
      </c>
      <c r="K19">
        <v>60</v>
      </c>
      <c r="M19" s="2"/>
    </row>
    <row r="20" spans="1:18">
      <c r="A20" t="s">
        <v>121</v>
      </c>
      <c r="B20">
        <v>7</v>
      </c>
      <c r="J20" s="2">
        <v>0.247</v>
      </c>
      <c r="K20">
        <v>150</v>
      </c>
      <c r="M20" s="2"/>
    </row>
    <row r="21" spans="1:18">
      <c r="A21" t="s">
        <v>122</v>
      </c>
      <c r="B21">
        <v>5</v>
      </c>
      <c r="J21" s="2">
        <v>0.2</v>
      </c>
      <c r="K21">
        <v>85</v>
      </c>
      <c r="M21" s="2"/>
    </row>
    <row r="22" spans="1:18">
      <c r="A22" t="s">
        <v>123</v>
      </c>
      <c r="B22">
        <v>5</v>
      </c>
      <c r="J22" s="2">
        <v>0.23</v>
      </c>
      <c r="K22">
        <v>90</v>
      </c>
      <c r="M22" s="2"/>
    </row>
    <row r="23" spans="1:18">
      <c r="A23" t="s">
        <v>106</v>
      </c>
      <c r="B23">
        <v>5</v>
      </c>
      <c r="J23" s="2">
        <v>0.23</v>
      </c>
      <c r="K23">
        <v>75</v>
      </c>
      <c r="M23" s="2"/>
    </row>
    <row r="26" spans="1:18">
      <c r="A26" s="14" t="s">
        <v>313</v>
      </c>
      <c r="B26" s="14" t="s">
        <v>666</v>
      </c>
      <c r="C26" s="14" t="s">
        <v>147</v>
      </c>
      <c r="D26" s="14" t="s">
        <v>398</v>
      </c>
      <c r="E26" s="14" t="s">
        <v>399</v>
      </c>
      <c r="F26" s="14" t="s">
        <v>400</v>
      </c>
      <c r="G26" s="14" t="s">
        <v>401</v>
      </c>
      <c r="H26" s="14" t="s">
        <v>402</v>
      </c>
      <c r="I26" s="21" t="s">
        <v>403</v>
      </c>
      <c r="J26" s="14" t="s">
        <v>404</v>
      </c>
      <c r="K26" s="14" t="s">
        <v>405</v>
      </c>
      <c r="L26" s="25" t="s">
        <v>406</v>
      </c>
      <c r="M26" s="14" t="s">
        <v>237</v>
      </c>
      <c r="N26" s="14" t="s">
        <v>407</v>
      </c>
      <c r="O26" s="14" t="s">
        <v>408</v>
      </c>
      <c r="P26" s="25" t="s">
        <v>409</v>
      </c>
      <c r="Q26" s="25" t="s">
        <v>410</v>
      </c>
      <c r="R26" s="25" t="s">
        <v>411</v>
      </c>
    </row>
    <row r="27" spans="1:18">
      <c r="A27" s="31" t="s">
        <v>953</v>
      </c>
      <c r="B27" s="31" t="s">
        <v>428</v>
      </c>
      <c r="C27">
        <v>0</v>
      </c>
      <c r="D27">
        <v>1</v>
      </c>
      <c r="E27" s="31" t="s">
        <v>3</v>
      </c>
      <c r="F27" s="2">
        <v>0.4</v>
      </c>
      <c r="G27" s="29" t="s">
        <v>4</v>
      </c>
      <c r="H27" s="42">
        <v>0.4</v>
      </c>
      <c r="I27" s="3">
        <v>1</v>
      </c>
      <c r="J27" s="3">
        <v>2.75</v>
      </c>
      <c r="K27" s="3">
        <v>5</v>
      </c>
      <c r="L27" s="47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1:18">
      <c r="A28" s="31" t="s">
        <v>954</v>
      </c>
      <c r="B28" s="31" t="s">
        <v>428</v>
      </c>
      <c r="C28">
        <v>0</v>
      </c>
      <c r="D28">
        <v>0</v>
      </c>
      <c r="E28" s="31" t="s">
        <v>3</v>
      </c>
      <c r="F28" s="2">
        <v>1</v>
      </c>
      <c r="G28" s="29" t="s">
        <v>317</v>
      </c>
      <c r="H28" s="42">
        <v>0</v>
      </c>
      <c r="I28" s="3">
        <v>1</v>
      </c>
      <c r="J28" s="3">
        <v>1</v>
      </c>
      <c r="K28" s="3">
        <v>1</v>
      </c>
      <c r="L28" s="47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1:18">
      <c r="A29" s="31" t="s">
        <v>955</v>
      </c>
      <c r="B29" s="31" t="s">
        <v>428</v>
      </c>
      <c r="C29">
        <v>0</v>
      </c>
      <c r="D29">
        <v>0</v>
      </c>
      <c r="E29" s="31" t="s">
        <v>3</v>
      </c>
      <c r="F29" s="2">
        <v>1</v>
      </c>
      <c r="G29" s="29" t="s">
        <v>317</v>
      </c>
      <c r="H29" s="42">
        <v>0</v>
      </c>
      <c r="I29" s="3">
        <v>1</v>
      </c>
      <c r="J29" s="3">
        <v>1</v>
      </c>
      <c r="K29" s="3">
        <v>1</v>
      </c>
      <c r="L29" s="47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1:18">
      <c r="A30" t="s">
        <v>162</v>
      </c>
      <c r="B30" t="s">
        <v>428</v>
      </c>
      <c r="C30">
        <v>0</v>
      </c>
      <c r="D30">
        <v>3</v>
      </c>
      <c r="E30" t="s">
        <v>3</v>
      </c>
      <c r="F30" s="2">
        <v>0.6</v>
      </c>
      <c r="G30" s="24" t="s">
        <v>317</v>
      </c>
      <c r="H30" s="42">
        <v>0</v>
      </c>
      <c r="I30" s="95">
        <v>1.375</v>
      </c>
      <c r="J30" s="95">
        <v>1.375</v>
      </c>
      <c r="K30" s="95">
        <v>1.375</v>
      </c>
      <c r="L30" s="47">
        <v>1</v>
      </c>
      <c r="M30" s="2">
        <v>0</v>
      </c>
      <c r="N30" s="2">
        <v>0</v>
      </c>
      <c r="O30" s="2">
        <v>0</v>
      </c>
      <c r="P30" s="2">
        <v>0.1</v>
      </c>
      <c r="Q30" s="2">
        <v>0.2</v>
      </c>
      <c r="R30" s="2">
        <v>0.2</v>
      </c>
    </row>
    <row r="31" spans="1:18">
      <c r="A31" s="31" t="s">
        <v>956</v>
      </c>
      <c r="B31" s="31" t="s">
        <v>428</v>
      </c>
      <c r="C31">
        <v>0</v>
      </c>
      <c r="D31">
        <v>1</v>
      </c>
      <c r="E31" s="31" t="s">
        <v>3</v>
      </c>
      <c r="F31" s="2">
        <v>0.5</v>
      </c>
      <c r="G31" s="29" t="s">
        <v>270</v>
      </c>
      <c r="H31" s="42">
        <v>0.5</v>
      </c>
      <c r="I31" s="3">
        <v>4</v>
      </c>
      <c r="J31" s="3">
        <v>10.25</v>
      </c>
      <c r="K31" s="3">
        <v>13.75</v>
      </c>
      <c r="L31" s="47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1:18">
      <c r="A32" s="31" t="s">
        <v>854</v>
      </c>
      <c r="B32" s="31" t="s">
        <v>428</v>
      </c>
      <c r="C32">
        <v>0</v>
      </c>
      <c r="D32">
        <v>1</v>
      </c>
      <c r="E32" s="31" t="s">
        <v>3</v>
      </c>
      <c r="F32" s="2">
        <v>0.3</v>
      </c>
      <c r="G32" s="29" t="s">
        <v>4</v>
      </c>
      <c r="H32" s="42">
        <v>0.2</v>
      </c>
      <c r="I32" s="3">
        <v>3.75</v>
      </c>
      <c r="J32" s="3">
        <v>10.25</v>
      </c>
      <c r="K32" s="3">
        <v>12.5</v>
      </c>
      <c r="L32" s="47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1:18">
      <c r="A33" t="s">
        <v>665</v>
      </c>
      <c r="B33" t="s">
        <v>426</v>
      </c>
      <c r="C33">
        <v>0</v>
      </c>
      <c r="D33">
        <v>0</v>
      </c>
      <c r="E33" t="s">
        <v>3</v>
      </c>
      <c r="F33" s="2">
        <v>0.3</v>
      </c>
      <c r="G33" s="24" t="s">
        <v>270</v>
      </c>
      <c r="H33" s="42">
        <v>0.5</v>
      </c>
      <c r="I33" s="96">
        <v>2.75</v>
      </c>
      <c r="J33" s="19">
        <v>2.75</v>
      </c>
      <c r="K33" s="19">
        <v>2.75</v>
      </c>
      <c r="L33" s="47">
        <v>0</v>
      </c>
      <c r="M33" s="2">
        <v>0</v>
      </c>
      <c r="N33" s="5">
        <v>0</v>
      </c>
      <c r="O33" s="5">
        <v>0</v>
      </c>
      <c r="P33" s="2">
        <v>0</v>
      </c>
      <c r="Q33" s="2">
        <v>0</v>
      </c>
      <c r="R33" s="2">
        <v>0</v>
      </c>
    </row>
    <row r="34" spans="1:18">
      <c r="A34" t="s">
        <v>172</v>
      </c>
      <c r="B34" t="s">
        <v>428</v>
      </c>
      <c r="C34">
        <v>0</v>
      </c>
      <c r="D34">
        <v>2</v>
      </c>
      <c r="E34" t="s">
        <v>4</v>
      </c>
      <c r="F34" s="2">
        <v>0.8</v>
      </c>
      <c r="G34" s="43" t="s">
        <v>317</v>
      </c>
      <c r="H34" s="42">
        <v>0</v>
      </c>
      <c r="I34" s="3">
        <v>2.25</v>
      </c>
      <c r="J34" s="3">
        <v>2.25</v>
      </c>
      <c r="K34" s="3">
        <v>2.25</v>
      </c>
      <c r="L34" s="47">
        <v>1</v>
      </c>
      <c r="M34" s="2">
        <v>0</v>
      </c>
      <c r="N34" s="2">
        <v>0</v>
      </c>
      <c r="O34" s="2">
        <v>0</v>
      </c>
      <c r="P34" s="2">
        <v>0.15</v>
      </c>
      <c r="Q34" s="2">
        <v>0.25</v>
      </c>
      <c r="R34" s="2">
        <v>0.4</v>
      </c>
    </row>
    <row r="35" spans="1:18">
      <c r="A35" t="s">
        <v>314</v>
      </c>
      <c r="B35" t="s">
        <v>428</v>
      </c>
      <c r="C35">
        <v>0</v>
      </c>
      <c r="D35">
        <v>4</v>
      </c>
      <c r="E35" t="s">
        <v>270</v>
      </c>
      <c r="F35" s="2">
        <f>IF(Setup!B17&gt;0, 70% + 3% *Setup!B17, 0)</f>
        <v>0.73</v>
      </c>
      <c r="G35" s="24" t="s">
        <v>317</v>
      </c>
      <c r="H35" s="42">
        <v>0</v>
      </c>
      <c r="I35" s="96">
        <v>1</v>
      </c>
      <c r="J35" s="19">
        <v>1</v>
      </c>
      <c r="K35" s="19">
        <v>1</v>
      </c>
      <c r="L35" s="47">
        <v>1</v>
      </c>
      <c r="M35" s="2">
        <v>-0.2</v>
      </c>
      <c r="N35" s="5">
        <v>0.1</v>
      </c>
      <c r="O35" s="5">
        <v>0.2</v>
      </c>
      <c r="P35" s="2">
        <v>0</v>
      </c>
      <c r="Q35" s="2">
        <v>0</v>
      </c>
      <c r="R35" s="2">
        <v>0</v>
      </c>
    </row>
    <row r="36" spans="1:18">
      <c r="A36" s="31" t="s">
        <v>805</v>
      </c>
      <c r="B36" s="31" t="s">
        <v>428</v>
      </c>
      <c r="C36">
        <v>0</v>
      </c>
      <c r="D36">
        <v>6</v>
      </c>
      <c r="E36" t="s">
        <v>270</v>
      </c>
      <c r="F36" s="2">
        <f>IF(Setup!B18&gt;0, 70% + 3% *Setup!B18, 0)</f>
        <v>0.73</v>
      </c>
      <c r="G36" s="24" t="s">
        <v>317</v>
      </c>
      <c r="H36" s="42">
        <v>0</v>
      </c>
      <c r="I36" s="141">
        <v>0.88</v>
      </c>
      <c r="J36" s="141">
        <v>0.88</v>
      </c>
      <c r="K36" s="141">
        <v>0.88</v>
      </c>
      <c r="L36" s="126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18">
      <c r="F37" s="2"/>
      <c r="G37" s="24"/>
      <c r="H37" s="42"/>
      <c r="I37" s="96"/>
      <c r="J37" s="19"/>
      <c r="K37" s="19"/>
      <c r="L37" s="47"/>
      <c r="M37" s="2"/>
      <c r="N37" s="5"/>
      <c r="O37" s="5"/>
      <c r="P37" s="2"/>
      <c r="Q37" s="2"/>
      <c r="R37" s="2"/>
    </row>
    <row r="38" spans="1:18">
      <c r="A38" s="26" t="s">
        <v>806</v>
      </c>
      <c r="F38" s="2"/>
      <c r="G38" s="24"/>
      <c r="H38" s="42"/>
      <c r="I38" s="96"/>
      <c r="J38" s="19"/>
      <c r="K38" s="19"/>
      <c r="L38" s="47"/>
      <c r="M38" s="2"/>
      <c r="N38" s="5"/>
      <c r="O38" s="5"/>
      <c r="P38" s="2"/>
      <c r="Q38" s="2"/>
      <c r="R38" s="2"/>
    </row>
    <row r="39" spans="1:18">
      <c r="A39" s="31" t="s">
        <v>953</v>
      </c>
      <c r="F39" s="2"/>
      <c r="G39" s="24"/>
      <c r="H39" s="42"/>
      <c r="I39" s="96"/>
      <c r="J39" s="19"/>
      <c r="K39" s="19"/>
      <c r="L39" s="47"/>
      <c r="M39" s="2"/>
      <c r="N39" s="5"/>
      <c r="O39" s="5"/>
      <c r="P39" s="2"/>
      <c r="Q39" s="2"/>
      <c r="R39" s="2"/>
    </row>
    <row r="40" spans="1:18">
      <c r="A40" s="31" t="s">
        <v>954</v>
      </c>
      <c r="F40" s="2"/>
      <c r="G40" s="24"/>
      <c r="H40" s="42"/>
      <c r="I40" s="96"/>
      <c r="J40" s="19"/>
      <c r="K40" s="19"/>
      <c r="L40" s="47"/>
      <c r="M40" s="2"/>
      <c r="N40" s="5"/>
      <c r="O40" s="5"/>
      <c r="P40" s="2"/>
      <c r="Q40" s="2"/>
      <c r="R40" s="2"/>
    </row>
    <row r="41" spans="1:18">
      <c r="A41" s="31" t="s">
        <v>955</v>
      </c>
      <c r="F41" s="2"/>
      <c r="G41" s="24"/>
      <c r="H41" s="42"/>
      <c r="I41" s="96"/>
      <c r="J41" s="19"/>
      <c r="K41" s="19"/>
      <c r="L41" s="47"/>
      <c r="M41" s="2"/>
      <c r="N41" s="5"/>
      <c r="O41" s="5"/>
      <c r="P41" s="2"/>
      <c r="Q41" s="2"/>
      <c r="R41" s="2"/>
    </row>
    <row r="42" spans="1:18">
      <c r="A42" t="s">
        <v>162</v>
      </c>
      <c r="F42" s="2"/>
      <c r="G42" s="24"/>
      <c r="H42" s="42"/>
      <c r="I42" s="96"/>
      <c r="J42" s="19"/>
      <c r="K42" s="19"/>
      <c r="L42" s="47"/>
      <c r="M42" s="2"/>
      <c r="N42" s="5"/>
      <c r="O42" s="5"/>
      <c r="P42" s="2"/>
      <c r="Q42" s="2"/>
      <c r="R42" s="2"/>
    </row>
    <row r="43" spans="1:18">
      <c r="A43" s="31" t="s">
        <v>956</v>
      </c>
      <c r="F43" s="2"/>
      <c r="G43" s="24"/>
      <c r="H43" s="42"/>
      <c r="I43" s="96"/>
      <c r="J43" s="19"/>
      <c r="K43" s="19"/>
      <c r="L43" s="47"/>
      <c r="M43" s="2"/>
      <c r="N43" s="5"/>
      <c r="O43" s="5"/>
      <c r="P43" s="2"/>
      <c r="Q43" s="2"/>
      <c r="R43" s="2"/>
    </row>
    <row r="44" spans="1:18">
      <c r="A44" s="31" t="s">
        <v>854</v>
      </c>
      <c r="F44" s="2"/>
      <c r="G44" s="24"/>
      <c r="H44" s="42"/>
      <c r="I44" s="96"/>
      <c r="J44" s="19"/>
      <c r="K44" s="19"/>
      <c r="L44" s="47"/>
      <c r="M44" s="2"/>
      <c r="N44" s="5"/>
      <c r="O44" s="5"/>
      <c r="P44" s="2"/>
      <c r="Q44" s="2"/>
      <c r="R44" s="2"/>
    </row>
    <row r="45" spans="1:18">
      <c r="A45" t="s">
        <v>665</v>
      </c>
      <c r="F45" s="2"/>
      <c r="G45" s="24"/>
      <c r="H45" s="42"/>
      <c r="I45" s="96"/>
      <c r="J45" s="19"/>
      <c r="K45" s="19"/>
      <c r="L45" s="47"/>
      <c r="M45" s="2"/>
      <c r="N45" s="5"/>
      <c r="O45" s="5"/>
      <c r="P45" s="2"/>
      <c r="Q45" s="2"/>
      <c r="R45" s="2"/>
    </row>
    <row r="46" spans="1:18">
      <c r="A46" t="s">
        <v>172</v>
      </c>
      <c r="F46" s="2"/>
      <c r="G46" s="24"/>
      <c r="H46" s="42"/>
      <c r="I46" s="96"/>
      <c r="J46" s="19"/>
      <c r="K46" s="19"/>
      <c r="L46" s="47"/>
      <c r="M46" s="2"/>
      <c r="N46" s="5"/>
      <c r="O46" s="5"/>
      <c r="P46" s="2"/>
      <c r="Q46" s="2"/>
      <c r="R46" s="2"/>
    </row>
    <row r="47" spans="1:18">
      <c r="A47" t="s">
        <v>314</v>
      </c>
      <c r="F47" s="2"/>
      <c r="G47" s="24"/>
      <c r="H47" s="42"/>
      <c r="I47" s="96"/>
      <c r="J47" s="19"/>
      <c r="K47" s="19"/>
      <c r="L47" s="47"/>
      <c r="M47" s="2"/>
      <c r="N47" s="5"/>
      <c r="O47" s="5"/>
      <c r="P47" s="2"/>
      <c r="Q47" s="2"/>
      <c r="R47" s="2"/>
    </row>
    <row r="48" spans="1:18">
      <c r="F48" s="2"/>
      <c r="G48" s="24"/>
      <c r="H48" s="42"/>
      <c r="I48" s="96"/>
      <c r="J48" s="19"/>
      <c r="K48" s="19"/>
      <c r="L48" s="47"/>
      <c r="M48" s="2"/>
      <c r="N48" s="5"/>
      <c r="O48" s="5"/>
      <c r="P48" s="2"/>
      <c r="Q48" s="2"/>
      <c r="R48" s="2"/>
    </row>
    <row r="49" spans="1:21">
      <c r="A49" s="26" t="s">
        <v>807</v>
      </c>
      <c r="F49" s="2"/>
      <c r="G49" s="24"/>
      <c r="H49" s="42"/>
      <c r="I49" s="96"/>
      <c r="J49" s="19"/>
      <c r="K49" s="19"/>
      <c r="L49" s="47"/>
      <c r="M49" s="2"/>
      <c r="N49" s="5"/>
      <c r="O49" s="5"/>
      <c r="P49" s="2"/>
      <c r="Q49" s="2"/>
      <c r="R49" s="2"/>
    </row>
    <row r="50" spans="1:21">
      <c r="A50" s="31" t="s">
        <v>805</v>
      </c>
      <c r="F50" s="2"/>
      <c r="G50" s="24"/>
      <c r="H50" s="42"/>
      <c r="I50" s="96"/>
      <c r="J50" s="19"/>
      <c r="K50" s="19"/>
      <c r="L50" s="47"/>
      <c r="M50" s="2"/>
      <c r="N50" s="5"/>
      <c r="O50" s="5"/>
      <c r="P50" s="2"/>
      <c r="Q50" s="2"/>
      <c r="R50" s="2"/>
    </row>
    <row r="51" spans="1:21">
      <c r="F51" s="2"/>
      <c r="G51" s="24"/>
      <c r="H51" s="42"/>
      <c r="I51" s="96"/>
      <c r="J51" s="19"/>
      <c r="K51" s="19"/>
      <c r="L51" s="47"/>
      <c r="M51" s="2"/>
      <c r="N51" s="5"/>
      <c r="O51" s="5"/>
      <c r="P51" s="2"/>
      <c r="Q51" s="2"/>
      <c r="R51" s="2"/>
    </row>
    <row r="53" spans="1:21">
      <c r="A53" s="14" t="s">
        <v>161</v>
      </c>
    </row>
    <row r="54" spans="1:21">
      <c r="A54">
        <v>0</v>
      </c>
    </row>
    <row r="55" spans="1:21">
      <c r="A55">
        <v>1</v>
      </c>
    </row>
    <row r="59" spans="1:21">
      <c r="A59" s="14" t="s">
        <v>125</v>
      </c>
      <c r="B59" s="14" t="s">
        <v>30</v>
      </c>
      <c r="C59" s="14" t="s">
        <v>3</v>
      </c>
      <c r="D59" s="14" t="s">
        <v>4</v>
      </c>
      <c r="E59" s="14" t="s">
        <v>42</v>
      </c>
      <c r="F59" s="14" t="s">
        <v>5</v>
      </c>
      <c r="G59" s="14" t="s">
        <v>42</v>
      </c>
      <c r="H59" s="14" t="s">
        <v>269</v>
      </c>
      <c r="I59" s="14" t="s">
        <v>270</v>
      </c>
      <c r="J59" s="14" t="s">
        <v>271</v>
      </c>
      <c r="K59" s="14" t="s">
        <v>9</v>
      </c>
      <c r="L59" s="14" t="s">
        <v>10</v>
      </c>
      <c r="M59" s="14" t="s">
        <v>12</v>
      </c>
      <c r="N59" s="14" t="s">
        <v>166</v>
      </c>
      <c r="O59" s="14" t="s">
        <v>124</v>
      </c>
      <c r="P59" s="14" t="s">
        <v>126</v>
      </c>
      <c r="Q59" s="14" t="s">
        <v>11</v>
      </c>
      <c r="R59" s="14" t="s">
        <v>13</v>
      </c>
      <c r="S59" s="14" t="s">
        <v>173</v>
      </c>
      <c r="T59" s="14" t="s">
        <v>240</v>
      </c>
      <c r="U59" s="14" t="s">
        <v>134</v>
      </c>
    </row>
    <row r="60" spans="1:21">
      <c r="A60" t="s">
        <v>54</v>
      </c>
    </row>
    <row r="61" spans="1:21">
      <c r="A61" t="s">
        <v>180</v>
      </c>
      <c r="K61">
        <v>50</v>
      </c>
      <c r="N61" s="2">
        <v>0.1</v>
      </c>
    </row>
    <row r="62" spans="1:21">
      <c r="A62" t="s">
        <v>201</v>
      </c>
      <c r="N62" s="2">
        <v>0.15</v>
      </c>
    </row>
    <row r="63" spans="1:21">
      <c r="A63" t="s">
        <v>133</v>
      </c>
      <c r="K63">
        <v>30</v>
      </c>
      <c r="M63" s="2">
        <v>0.05</v>
      </c>
      <c r="O63" s="2"/>
      <c r="P63" s="2"/>
    </row>
    <row r="64" spans="1:21">
      <c r="A64" t="s">
        <v>130</v>
      </c>
      <c r="E64">
        <v>50</v>
      </c>
      <c r="M64" s="2"/>
      <c r="O64" s="2">
        <v>0.2</v>
      </c>
      <c r="P64" s="2"/>
    </row>
    <row r="65" spans="1:21">
      <c r="A65" t="s">
        <v>421</v>
      </c>
      <c r="B65">
        <v>10</v>
      </c>
      <c r="M65" s="2"/>
      <c r="O65" s="2"/>
      <c r="P65" s="2"/>
      <c r="S65" s="2">
        <v>0.2</v>
      </c>
    </row>
    <row r="66" spans="1:21">
      <c r="A66" t="s">
        <v>128</v>
      </c>
      <c r="C66">
        <v>40</v>
      </c>
      <c r="M66" s="2">
        <v>0.05</v>
      </c>
      <c r="O66" s="2"/>
      <c r="P66" s="2"/>
    </row>
    <row r="67" spans="1:21">
      <c r="A67" t="s">
        <v>187</v>
      </c>
      <c r="F67">
        <v>50</v>
      </c>
      <c r="M67" s="2"/>
      <c r="O67" s="2"/>
      <c r="P67" s="2"/>
    </row>
    <row r="68" spans="1:21">
      <c r="A68" t="s">
        <v>131</v>
      </c>
      <c r="D68">
        <v>50</v>
      </c>
      <c r="M68" s="2"/>
      <c r="O68" s="2">
        <v>0.3</v>
      </c>
      <c r="P68" s="2">
        <v>0.3</v>
      </c>
    </row>
    <row r="69" spans="1:21">
      <c r="A69" t="s">
        <v>132</v>
      </c>
      <c r="M69" s="2"/>
      <c r="O69" s="2"/>
      <c r="P69" s="2">
        <v>0.3</v>
      </c>
    </row>
    <row r="70" spans="1:21">
      <c r="A70" t="s">
        <v>179</v>
      </c>
      <c r="M70" s="2"/>
      <c r="O70" s="2">
        <v>0.1</v>
      </c>
      <c r="P70" s="2"/>
      <c r="R70">
        <v>20</v>
      </c>
    </row>
    <row r="71" spans="1:21">
      <c r="A71" t="s">
        <v>188</v>
      </c>
      <c r="M71" s="2"/>
      <c r="O71" s="2"/>
      <c r="P71" s="2"/>
      <c r="T71">
        <v>1000</v>
      </c>
    </row>
    <row r="72" spans="1:21">
      <c r="A72" t="s">
        <v>127</v>
      </c>
      <c r="C72">
        <v>40</v>
      </c>
      <c r="K72">
        <v>50</v>
      </c>
      <c r="M72" s="2"/>
      <c r="N72" s="2"/>
      <c r="O72" s="2"/>
      <c r="P72" s="2"/>
    </row>
    <row r="73" spans="1:21">
      <c r="A73" t="s">
        <v>129</v>
      </c>
      <c r="C73">
        <v>50</v>
      </c>
      <c r="M73" s="2">
        <v>0.05</v>
      </c>
      <c r="N73" s="2"/>
      <c r="O73" s="2"/>
      <c r="P73" s="2"/>
      <c r="U73">
        <v>20</v>
      </c>
    </row>
    <row r="76" spans="1:21">
      <c r="A76" s="26" t="s">
        <v>800</v>
      </c>
    </row>
    <row r="77" spans="1:21">
      <c r="A77" s="31" t="s">
        <v>229</v>
      </c>
    </row>
    <row r="78" spans="1:21">
      <c r="A78" s="31" t="s">
        <v>801</v>
      </c>
    </row>
    <row r="80" spans="1:21">
      <c r="A80" s="14" t="s">
        <v>228</v>
      </c>
    </row>
    <row r="81" spans="1:10">
      <c r="A81" t="s">
        <v>229</v>
      </c>
    </row>
    <row r="82" spans="1:10">
      <c r="A82" s="31" t="s">
        <v>801</v>
      </c>
    </row>
    <row r="83" spans="1:10">
      <c r="A83" t="s">
        <v>227</v>
      </c>
    </row>
    <row r="85" spans="1:10">
      <c r="A85" s="26" t="s">
        <v>802</v>
      </c>
    </row>
    <row r="86" spans="1:10">
      <c r="A86" s="31" t="s">
        <v>229</v>
      </c>
      <c r="B86" s="31" t="s">
        <v>30</v>
      </c>
      <c r="C86">
        <v>276</v>
      </c>
    </row>
    <row r="87" spans="1:10">
      <c r="A87" s="31" t="s">
        <v>801</v>
      </c>
      <c r="B87" s="31" t="s">
        <v>798</v>
      </c>
      <c r="C87">
        <v>240</v>
      </c>
    </row>
    <row r="90" spans="1:10">
      <c r="A90" s="14" t="s">
        <v>260</v>
      </c>
      <c r="B90" s="14" t="s">
        <v>32</v>
      </c>
      <c r="C90" s="14" t="s">
        <v>753</v>
      </c>
      <c r="D90" s="14" t="s">
        <v>33</v>
      </c>
      <c r="E90" s="14" t="s">
        <v>34</v>
      </c>
      <c r="F90" s="14" t="s">
        <v>42</v>
      </c>
      <c r="G90" s="14" t="s">
        <v>5</v>
      </c>
      <c r="H90" s="14" t="s">
        <v>269</v>
      </c>
      <c r="I90" s="14" t="s">
        <v>722</v>
      </c>
      <c r="J90" s="14" t="s">
        <v>124</v>
      </c>
    </row>
    <row r="91" spans="1:10">
      <c r="A91" s="31" t="s">
        <v>929</v>
      </c>
      <c r="B91">
        <v>84</v>
      </c>
      <c r="C91" t="s">
        <v>754</v>
      </c>
      <c r="D91">
        <v>360</v>
      </c>
      <c r="E91">
        <v>351</v>
      </c>
      <c r="F91">
        <v>74</v>
      </c>
      <c r="G91">
        <v>75</v>
      </c>
      <c r="H91">
        <v>75</v>
      </c>
      <c r="I91" s="2">
        <v>0</v>
      </c>
      <c r="J91" s="2">
        <v>0</v>
      </c>
    </row>
    <row r="92" spans="1:10">
      <c r="A92" s="31" t="s">
        <v>930</v>
      </c>
      <c r="B92">
        <v>96</v>
      </c>
      <c r="C92" t="s">
        <v>754</v>
      </c>
      <c r="D92">
        <v>435</v>
      </c>
      <c r="E92">
        <v>405</v>
      </c>
      <c r="F92">
        <v>98</v>
      </c>
      <c r="G92">
        <v>95</v>
      </c>
      <c r="H92">
        <v>95</v>
      </c>
      <c r="I92" s="2">
        <v>0</v>
      </c>
      <c r="J92" s="2">
        <v>0</v>
      </c>
    </row>
    <row r="93" spans="1:10">
      <c r="A93" t="s">
        <v>723</v>
      </c>
      <c r="B93">
        <v>99</v>
      </c>
      <c r="C93" t="s">
        <v>754</v>
      </c>
      <c r="D93">
        <v>516</v>
      </c>
      <c r="E93">
        <v>411</v>
      </c>
      <c r="F93">
        <v>77</v>
      </c>
      <c r="G93">
        <v>118</v>
      </c>
      <c r="H93">
        <v>118</v>
      </c>
      <c r="I93" s="2">
        <v>0.14000000000000001</v>
      </c>
      <c r="J93" s="2">
        <v>0</v>
      </c>
    </row>
    <row r="94" spans="1:10">
      <c r="A94" t="s">
        <v>759</v>
      </c>
      <c r="B94">
        <v>100</v>
      </c>
      <c r="C94" t="s">
        <v>756</v>
      </c>
      <c r="D94">
        <v>498</v>
      </c>
      <c r="E94">
        <v>468</v>
      </c>
      <c r="F94">
        <v>106</v>
      </c>
      <c r="G94">
        <v>110</v>
      </c>
      <c r="H94">
        <v>110</v>
      </c>
      <c r="I94" s="2">
        <v>0</v>
      </c>
      <c r="J94" s="2">
        <v>0</v>
      </c>
    </row>
    <row r="95" spans="1:10">
      <c r="A95" t="s">
        <v>755</v>
      </c>
      <c r="B95">
        <v>102</v>
      </c>
      <c r="C95" t="s">
        <v>756</v>
      </c>
      <c r="D95">
        <v>534</v>
      </c>
      <c r="E95">
        <v>505</v>
      </c>
      <c r="F95">
        <v>108</v>
      </c>
      <c r="G95">
        <v>112</v>
      </c>
      <c r="H95">
        <v>112</v>
      </c>
      <c r="I95" s="2">
        <v>0</v>
      </c>
      <c r="J95" s="2">
        <v>0</v>
      </c>
    </row>
    <row r="96" spans="1:10">
      <c r="A96" t="s">
        <v>787</v>
      </c>
      <c r="B96">
        <v>107</v>
      </c>
      <c r="C96" t="s">
        <v>756</v>
      </c>
      <c r="D96">
        <v>610</v>
      </c>
      <c r="E96">
        <v>590</v>
      </c>
      <c r="F96">
        <v>136</v>
      </c>
      <c r="G96">
        <v>136</v>
      </c>
      <c r="H96">
        <v>136</v>
      </c>
      <c r="I96" s="2">
        <v>0</v>
      </c>
      <c r="J96" s="2">
        <v>0</v>
      </c>
    </row>
    <row r="97" spans="1:10">
      <c r="A97" t="s">
        <v>724</v>
      </c>
      <c r="B97">
        <v>110</v>
      </c>
      <c r="C97" t="s">
        <v>754</v>
      </c>
      <c r="D97">
        <v>560</v>
      </c>
      <c r="E97">
        <v>485</v>
      </c>
      <c r="F97">
        <v>120</v>
      </c>
      <c r="G97">
        <v>120</v>
      </c>
      <c r="H97">
        <v>120</v>
      </c>
      <c r="I97" s="2">
        <v>0</v>
      </c>
      <c r="J97" s="2">
        <v>0</v>
      </c>
    </row>
    <row r="98" spans="1:10">
      <c r="A98" t="s">
        <v>957</v>
      </c>
      <c r="B98">
        <v>113</v>
      </c>
      <c r="C98" t="s">
        <v>756</v>
      </c>
      <c r="D98">
        <v>753</v>
      </c>
      <c r="E98">
        <v>713</v>
      </c>
      <c r="F98">
        <v>127</v>
      </c>
      <c r="G98">
        <v>138</v>
      </c>
      <c r="H98">
        <v>123</v>
      </c>
      <c r="I98" s="2">
        <v>0</v>
      </c>
      <c r="J98" s="2">
        <v>0</v>
      </c>
    </row>
    <row r="99" spans="1:10">
      <c r="A99" t="s">
        <v>725</v>
      </c>
      <c r="B99">
        <v>120</v>
      </c>
      <c r="C99" t="s">
        <v>754</v>
      </c>
      <c r="D99">
        <v>750</v>
      </c>
      <c r="E99">
        <v>540</v>
      </c>
      <c r="F99">
        <v>110</v>
      </c>
      <c r="G99">
        <v>123</v>
      </c>
      <c r="H99">
        <v>123</v>
      </c>
      <c r="I99" s="2">
        <v>0</v>
      </c>
      <c r="J99" s="2">
        <v>0</v>
      </c>
    </row>
    <row r="100" spans="1:10">
      <c r="A100" s="31" t="s">
        <v>833</v>
      </c>
      <c r="B100">
        <v>130</v>
      </c>
      <c r="C100" t="s">
        <v>756</v>
      </c>
      <c r="D100">
        <v>1900</v>
      </c>
      <c r="E100">
        <v>870</v>
      </c>
      <c r="F100">
        <v>200</v>
      </c>
      <c r="G100">
        <v>200</v>
      </c>
      <c r="H100">
        <v>200</v>
      </c>
      <c r="I100" s="2">
        <v>0</v>
      </c>
      <c r="J100" s="2">
        <v>0</v>
      </c>
    </row>
    <row r="101" spans="1:10">
      <c r="A101" s="31" t="s">
        <v>905</v>
      </c>
      <c r="B101">
        <v>126</v>
      </c>
      <c r="C101" s="31" t="s">
        <v>756</v>
      </c>
      <c r="D101">
        <v>1090</v>
      </c>
      <c r="E101">
        <v>1068</v>
      </c>
      <c r="F101">
        <v>235</v>
      </c>
      <c r="G101">
        <v>228</v>
      </c>
      <c r="H101">
        <v>215</v>
      </c>
      <c r="I101" s="2">
        <v>0</v>
      </c>
      <c r="J101" s="2">
        <v>0</v>
      </c>
    </row>
    <row r="102" spans="1:10">
      <c r="A102" s="31" t="s">
        <v>1075</v>
      </c>
      <c r="B102">
        <v>122</v>
      </c>
      <c r="C102" s="31" t="s">
        <v>756</v>
      </c>
      <c r="D102">
        <v>919</v>
      </c>
      <c r="E102">
        <v>899</v>
      </c>
      <c r="F102">
        <v>200</v>
      </c>
      <c r="G102">
        <v>199</v>
      </c>
      <c r="H102">
        <v>186</v>
      </c>
      <c r="I102" s="2">
        <v>0</v>
      </c>
      <c r="J102" s="2">
        <v>0</v>
      </c>
    </row>
    <row r="103" spans="1:10">
      <c r="A103" s="31" t="s">
        <v>1076</v>
      </c>
      <c r="B103">
        <v>130</v>
      </c>
      <c r="C103" s="31" t="s">
        <v>756</v>
      </c>
      <c r="D103">
        <f>D102+40*8</f>
        <v>1239</v>
      </c>
      <c r="E103">
        <f>E102+40*8</f>
        <v>1219</v>
      </c>
      <c r="F103">
        <f>F102+9*8</f>
        <v>272</v>
      </c>
      <c r="G103">
        <f t="shared" ref="G103:H103" si="0">G102+9*8</f>
        <v>271</v>
      </c>
      <c r="H103">
        <f t="shared" si="0"/>
        <v>258</v>
      </c>
      <c r="I103" s="2">
        <v>0</v>
      </c>
      <c r="J103" s="2">
        <v>0</v>
      </c>
    </row>
    <row r="104" spans="1:10">
      <c r="A104" s="31" t="s">
        <v>1077</v>
      </c>
      <c r="B104">
        <v>135</v>
      </c>
      <c r="C104" s="31" t="s">
        <v>756</v>
      </c>
      <c r="D104">
        <v>1400</v>
      </c>
      <c r="E104">
        <v>1400</v>
      </c>
      <c r="F104">
        <v>307</v>
      </c>
      <c r="G104">
        <v>307</v>
      </c>
      <c r="H104">
        <v>295</v>
      </c>
      <c r="I104" s="2">
        <v>0</v>
      </c>
      <c r="J104" s="2">
        <v>0</v>
      </c>
    </row>
    <row r="106" spans="1:10">
      <c r="A106" s="14" t="s">
        <v>261</v>
      </c>
    </row>
    <row r="107" spans="1:10">
      <c r="A107" t="s">
        <v>263</v>
      </c>
    </row>
    <row r="108" spans="1:10">
      <c r="A108" t="s">
        <v>262</v>
      </c>
    </row>
    <row r="109" spans="1:10">
      <c r="A109" t="s">
        <v>668</v>
      </c>
    </row>
    <row r="110" spans="1:10">
      <c r="A110" t="s">
        <v>664</v>
      </c>
    </row>
    <row r="111" spans="1:10">
      <c r="A111" t="s">
        <v>1120</v>
      </c>
    </row>
    <row r="112" spans="1:10">
      <c r="A112" t="s">
        <v>196</v>
      </c>
    </row>
    <row r="114" spans="1:13">
      <c r="A114" s="14" t="s">
        <v>264</v>
      </c>
    </row>
    <row r="115" spans="1:13">
      <c r="A115" t="s">
        <v>1</v>
      </c>
    </row>
    <row r="116" spans="1:13">
      <c r="A116" t="s">
        <v>265</v>
      </c>
    </row>
    <row r="117" spans="1:13">
      <c r="A117" t="s">
        <v>266</v>
      </c>
    </row>
    <row r="118" spans="1:13">
      <c r="A118" t="s">
        <v>267</v>
      </c>
    </row>
    <row r="119" spans="1:13">
      <c r="A119" t="s">
        <v>192</v>
      </c>
    </row>
    <row r="122" spans="1:13">
      <c r="A122" s="89"/>
      <c r="B122" s="89"/>
      <c r="C122" s="89"/>
      <c r="D122" s="89" t="s">
        <v>744</v>
      </c>
      <c r="E122" s="89"/>
      <c r="F122" s="89"/>
      <c r="G122" s="89"/>
      <c r="H122" s="89"/>
      <c r="I122" s="89" t="s">
        <v>745</v>
      </c>
      <c r="J122" s="89"/>
      <c r="K122" s="22"/>
      <c r="L122" s="22"/>
    </row>
    <row r="123" spans="1:13">
      <c r="A123" s="109" t="s">
        <v>14</v>
      </c>
      <c r="B123" s="109" t="s">
        <v>761</v>
      </c>
      <c r="C123" s="109" t="s">
        <v>746</v>
      </c>
      <c r="D123" s="109">
        <v>0</v>
      </c>
      <c r="E123" s="109">
        <v>1</v>
      </c>
      <c r="F123" s="109">
        <v>2</v>
      </c>
      <c r="G123" s="109">
        <v>3</v>
      </c>
      <c r="H123" s="109">
        <v>4</v>
      </c>
      <c r="I123" s="109">
        <v>5</v>
      </c>
      <c r="J123" s="109" t="s">
        <v>747</v>
      </c>
      <c r="K123" s="109" t="s">
        <v>748</v>
      </c>
      <c r="L123" s="109" t="s">
        <v>749</v>
      </c>
      <c r="M123" s="109" t="s">
        <v>750</v>
      </c>
    </row>
    <row r="124" spans="1:13">
      <c r="A124" s="22" t="s">
        <v>621</v>
      </c>
      <c r="B124" s="22"/>
      <c r="C124" s="22" t="s">
        <v>137</v>
      </c>
      <c r="D124" s="22">
        <v>0</v>
      </c>
      <c r="E124" s="22">
        <v>0</v>
      </c>
      <c r="F124" s="122">
        <v>0.03</v>
      </c>
      <c r="G124" s="122">
        <v>0.04</v>
      </c>
      <c r="H124" s="122">
        <v>0.05</v>
      </c>
      <c r="I124" s="122">
        <v>0.06</v>
      </c>
      <c r="J124" s="22">
        <f t="shared" ref="J124:M143" ca="1" si="1">HLOOKUP((COUNTIF(INDIRECT(J$123), $A124) + IF(ISBLANK($B124)=FALSE, COUNTIF(INDIRECT(J$123), $B124), 0)) * IF(COUNTIF(INDIRECT(J$123), $A124)&gt;0, 1, 0) * IF(ISBLANK($B124)=FALSE, IF(COUNTIF(INDIRECT(J$123), $B124)&gt;0, 1, 0), 1), SetBonusLookup, ROW()-ROW(SetBonusLookup)+1, FALSE)</f>
        <v>0</v>
      </c>
      <c r="K124" s="22">
        <f t="shared" ca="1" si="1"/>
        <v>0</v>
      </c>
      <c r="L124" s="22">
        <f t="shared" ca="1" si="1"/>
        <v>0</v>
      </c>
      <c r="M124" s="22">
        <f t="shared" ca="1" si="1"/>
        <v>0</v>
      </c>
    </row>
    <row r="125" spans="1:13">
      <c r="A125" s="31" t="s">
        <v>1086</v>
      </c>
      <c r="B125" s="22"/>
      <c r="C125" s="22" t="s">
        <v>137</v>
      </c>
      <c r="D125" s="22">
        <v>0</v>
      </c>
      <c r="E125" s="22">
        <v>0</v>
      </c>
      <c r="F125" s="122">
        <v>0.04</v>
      </c>
      <c r="G125" s="122">
        <v>0.06</v>
      </c>
      <c r="H125" s="122">
        <v>0.08</v>
      </c>
      <c r="I125" s="122">
        <v>0.1</v>
      </c>
      <c r="J125" s="22">
        <f t="shared" ca="1" si="1"/>
        <v>0</v>
      </c>
      <c r="K125" s="22">
        <f t="shared" ca="1" si="1"/>
        <v>0</v>
      </c>
      <c r="L125" s="22">
        <f t="shared" ca="1" si="1"/>
        <v>0</v>
      </c>
      <c r="M125" s="22">
        <f t="shared" ca="1" si="1"/>
        <v>0</v>
      </c>
    </row>
    <row r="126" spans="1:13">
      <c r="A126" s="22" t="s">
        <v>626</v>
      </c>
      <c r="B126" s="22"/>
      <c r="C126" s="22" t="s">
        <v>13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8</v>
      </c>
      <c r="J126" s="22">
        <f t="shared" ca="1" si="1"/>
        <v>0</v>
      </c>
      <c r="K126" s="22">
        <f t="shared" ca="1" si="1"/>
        <v>0</v>
      </c>
      <c r="L126" s="22">
        <f t="shared" ca="1" si="1"/>
        <v>0</v>
      </c>
      <c r="M126" s="22">
        <f t="shared" ca="1" si="1"/>
        <v>0</v>
      </c>
    </row>
    <row r="127" spans="1:13">
      <c r="A127" s="22" t="s">
        <v>785</v>
      </c>
      <c r="B127" s="22" t="s">
        <v>786</v>
      </c>
      <c r="C127" s="22" t="s">
        <v>12</v>
      </c>
      <c r="D127" s="22">
        <v>0</v>
      </c>
      <c r="E127" s="22">
        <v>0</v>
      </c>
      <c r="F127" s="122">
        <v>7.0000000000000007E-2</v>
      </c>
      <c r="G127" s="22">
        <v>0</v>
      </c>
      <c r="H127" s="22">
        <v>0</v>
      </c>
      <c r="I127" s="22">
        <v>0</v>
      </c>
      <c r="J127" s="22">
        <f t="shared" ca="1" si="1"/>
        <v>0</v>
      </c>
      <c r="K127" s="22">
        <f t="shared" ca="1" si="1"/>
        <v>0</v>
      </c>
      <c r="L127" s="22">
        <f t="shared" ca="1" si="1"/>
        <v>0</v>
      </c>
      <c r="M127" s="22">
        <f t="shared" ca="1" si="1"/>
        <v>0</v>
      </c>
    </row>
    <row r="128" spans="1:13">
      <c r="A128" s="22" t="s">
        <v>783</v>
      </c>
      <c r="B128" s="22" t="s">
        <v>784</v>
      </c>
      <c r="C128" s="22" t="s">
        <v>141</v>
      </c>
      <c r="D128" s="22">
        <v>0</v>
      </c>
      <c r="E128" s="22">
        <v>0</v>
      </c>
      <c r="F128" s="122">
        <v>7.0000000000000007E-2</v>
      </c>
      <c r="G128" s="22">
        <v>0</v>
      </c>
      <c r="H128" s="22">
        <v>0</v>
      </c>
      <c r="I128" s="22">
        <v>0</v>
      </c>
      <c r="J128" s="22">
        <f t="shared" ca="1" si="1"/>
        <v>0</v>
      </c>
      <c r="K128" s="22">
        <f t="shared" ca="1" si="1"/>
        <v>0</v>
      </c>
      <c r="L128" s="22">
        <f t="shared" ca="1" si="1"/>
        <v>0</v>
      </c>
      <c r="M128" s="22">
        <f t="shared" ca="1" si="1"/>
        <v>0</v>
      </c>
    </row>
    <row r="129" spans="1:13">
      <c r="A129" s="22" t="s">
        <v>628</v>
      </c>
      <c r="B129" s="22"/>
      <c r="C129" s="22" t="s">
        <v>10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20</v>
      </c>
      <c r="J129" s="22">
        <f t="shared" ca="1" si="1"/>
        <v>0</v>
      </c>
      <c r="K129" s="22">
        <f t="shared" ca="1" si="1"/>
        <v>0</v>
      </c>
      <c r="L129" s="22">
        <f t="shared" ca="1" si="1"/>
        <v>0</v>
      </c>
      <c r="M129" s="22">
        <f t="shared" ca="1" si="1"/>
        <v>0</v>
      </c>
    </row>
    <row r="130" spans="1:13" s="137" customFormat="1" ht="14.25">
      <c r="A130" s="113" t="s">
        <v>890</v>
      </c>
      <c r="C130" t="s">
        <v>137</v>
      </c>
      <c r="D130" s="113">
        <v>0</v>
      </c>
      <c r="E130" s="113">
        <v>0</v>
      </c>
      <c r="F130" s="113">
        <v>0</v>
      </c>
      <c r="G130" s="113">
        <v>0</v>
      </c>
      <c r="H130" s="113">
        <v>0</v>
      </c>
      <c r="I130" s="12">
        <v>0.1</v>
      </c>
      <c r="J130" s="22">
        <f t="shared" ca="1" si="1"/>
        <v>0</v>
      </c>
      <c r="K130" s="22">
        <f t="shared" ca="1" si="1"/>
        <v>0</v>
      </c>
      <c r="L130" s="22">
        <f t="shared" ca="1" si="1"/>
        <v>0</v>
      </c>
      <c r="M130" s="22">
        <f t="shared" ca="1" si="1"/>
        <v>0</v>
      </c>
    </row>
    <row r="131" spans="1:13">
      <c r="A131" s="22" t="s">
        <v>762</v>
      </c>
      <c r="B131" s="22" t="s">
        <v>763</v>
      </c>
      <c r="C131" s="22" t="s">
        <v>10</v>
      </c>
      <c r="D131" s="22">
        <v>0</v>
      </c>
      <c r="E131" s="22">
        <v>0</v>
      </c>
      <c r="F131" s="22">
        <v>12</v>
      </c>
      <c r="G131" s="22">
        <v>0</v>
      </c>
      <c r="H131" s="22">
        <v>0</v>
      </c>
      <c r="I131" s="22">
        <v>0</v>
      </c>
      <c r="J131" s="22">
        <f t="shared" ca="1" si="1"/>
        <v>0</v>
      </c>
      <c r="K131" s="22">
        <f t="shared" ca="1" si="1"/>
        <v>0</v>
      </c>
      <c r="L131" s="22">
        <f t="shared" ca="1" si="1"/>
        <v>0</v>
      </c>
      <c r="M131" s="22">
        <f t="shared" ca="1" si="1"/>
        <v>0</v>
      </c>
    </row>
    <row r="132" spans="1:13">
      <c r="A132" s="22" t="s">
        <v>762</v>
      </c>
      <c r="B132" s="22" t="s">
        <v>763</v>
      </c>
      <c r="C132" s="22" t="s">
        <v>9</v>
      </c>
      <c r="D132" s="22">
        <v>0</v>
      </c>
      <c r="E132" s="22">
        <v>0</v>
      </c>
      <c r="F132" s="22">
        <v>6</v>
      </c>
      <c r="G132" s="22">
        <v>0</v>
      </c>
      <c r="H132" s="22">
        <v>0</v>
      </c>
      <c r="I132" s="22">
        <v>0</v>
      </c>
      <c r="J132" s="22">
        <f t="shared" ca="1" si="1"/>
        <v>0</v>
      </c>
      <c r="K132" s="22">
        <f t="shared" ca="1" si="1"/>
        <v>0</v>
      </c>
      <c r="L132" s="22">
        <f t="shared" ca="1" si="1"/>
        <v>0</v>
      </c>
      <c r="M132" s="22">
        <f t="shared" ca="1" si="1"/>
        <v>0</v>
      </c>
    </row>
    <row r="133" spans="1:13">
      <c r="A133" s="22" t="s">
        <v>622</v>
      </c>
      <c r="B133" s="22"/>
      <c r="C133" s="22" t="s">
        <v>166</v>
      </c>
      <c r="D133" s="22">
        <v>0</v>
      </c>
      <c r="E133" s="22">
        <v>0</v>
      </c>
      <c r="F133" s="122">
        <v>0.03</v>
      </c>
      <c r="G133" s="22">
        <v>0</v>
      </c>
      <c r="H133" s="22">
        <v>0</v>
      </c>
      <c r="I133" s="22">
        <v>0</v>
      </c>
      <c r="J133" s="22">
        <f t="shared" ca="1" si="1"/>
        <v>0</v>
      </c>
      <c r="K133" s="22">
        <f t="shared" ca="1" si="1"/>
        <v>0</v>
      </c>
      <c r="L133" s="22">
        <f t="shared" ca="1" si="1"/>
        <v>0</v>
      </c>
      <c r="M133" s="22">
        <f t="shared" ca="1" si="1"/>
        <v>0</v>
      </c>
    </row>
    <row r="134" spans="1:13">
      <c r="A134" s="22" t="s">
        <v>623</v>
      </c>
      <c r="B134" s="22"/>
      <c r="C134" s="22" t="s">
        <v>166</v>
      </c>
      <c r="D134" s="22">
        <v>0</v>
      </c>
      <c r="E134" s="22">
        <v>0</v>
      </c>
      <c r="F134" s="122">
        <v>0.03</v>
      </c>
      <c r="G134" s="22">
        <v>0</v>
      </c>
      <c r="H134" s="22">
        <v>0</v>
      </c>
      <c r="I134" s="22">
        <v>0</v>
      </c>
      <c r="J134" s="22">
        <f t="shared" ca="1" si="1"/>
        <v>0</v>
      </c>
      <c r="K134" s="22">
        <f t="shared" ca="1" si="1"/>
        <v>0</v>
      </c>
      <c r="L134" s="22">
        <f t="shared" ca="1" si="1"/>
        <v>0</v>
      </c>
      <c r="M134" s="22">
        <f t="shared" ca="1" si="1"/>
        <v>0</v>
      </c>
    </row>
    <row r="135" spans="1:13">
      <c r="A135" s="22" t="s">
        <v>623</v>
      </c>
      <c r="B135" s="22" t="s">
        <v>622</v>
      </c>
      <c r="C135" s="22" t="s">
        <v>166</v>
      </c>
      <c r="D135" s="22">
        <v>0</v>
      </c>
      <c r="E135" s="22">
        <v>0</v>
      </c>
      <c r="F135" s="122">
        <v>0.03</v>
      </c>
      <c r="G135" s="22">
        <v>0</v>
      </c>
      <c r="H135" s="22">
        <v>0</v>
      </c>
      <c r="I135" s="22">
        <v>0</v>
      </c>
      <c r="J135" s="22">
        <f t="shared" ca="1" si="1"/>
        <v>0</v>
      </c>
      <c r="K135" s="22">
        <f t="shared" ca="1" si="1"/>
        <v>0</v>
      </c>
      <c r="L135" s="22">
        <f t="shared" ca="1" si="1"/>
        <v>0</v>
      </c>
      <c r="M135" s="22">
        <f t="shared" ca="1" si="1"/>
        <v>0</v>
      </c>
    </row>
    <row r="136" spans="1:13">
      <c r="A136" s="22" t="s">
        <v>625</v>
      </c>
      <c r="B136" s="22" t="s">
        <v>622</v>
      </c>
      <c r="C136" s="22" t="s">
        <v>166</v>
      </c>
      <c r="D136" s="22">
        <v>0</v>
      </c>
      <c r="E136" s="22">
        <v>0</v>
      </c>
      <c r="F136" s="122">
        <v>0.03</v>
      </c>
      <c r="G136" s="22">
        <v>0</v>
      </c>
      <c r="H136" s="22">
        <v>0</v>
      </c>
      <c r="I136" s="22">
        <v>0</v>
      </c>
      <c r="J136" s="22">
        <f t="shared" ca="1" si="1"/>
        <v>0</v>
      </c>
      <c r="K136" s="22">
        <f t="shared" ca="1" si="1"/>
        <v>0</v>
      </c>
      <c r="L136" s="22">
        <f t="shared" ca="1" si="1"/>
        <v>0</v>
      </c>
      <c r="M136" s="22">
        <f t="shared" ca="1" si="1"/>
        <v>0</v>
      </c>
    </row>
    <row r="137" spans="1:13">
      <c r="A137" s="22" t="s">
        <v>625</v>
      </c>
      <c r="B137" s="22" t="s">
        <v>623</v>
      </c>
      <c r="C137" s="22" t="s">
        <v>166</v>
      </c>
      <c r="D137" s="22">
        <v>0</v>
      </c>
      <c r="E137" s="22">
        <v>0</v>
      </c>
      <c r="F137" s="122">
        <v>0.03</v>
      </c>
      <c r="G137" s="22">
        <v>0</v>
      </c>
      <c r="H137" s="22">
        <v>0</v>
      </c>
      <c r="I137" s="22">
        <v>0</v>
      </c>
      <c r="J137" s="22">
        <f t="shared" ca="1" si="1"/>
        <v>0</v>
      </c>
      <c r="K137" s="22">
        <f t="shared" ca="1" si="1"/>
        <v>0</v>
      </c>
      <c r="L137" s="22">
        <f t="shared" ca="1" si="1"/>
        <v>0</v>
      </c>
      <c r="M137" s="22">
        <f t="shared" ca="1" si="1"/>
        <v>0</v>
      </c>
    </row>
    <row r="138" spans="1:13">
      <c r="A138" s="22" t="s">
        <v>624</v>
      </c>
      <c r="B138" s="22"/>
      <c r="C138" s="22" t="s">
        <v>3</v>
      </c>
      <c r="D138" s="22">
        <v>0</v>
      </c>
      <c r="E138" s="22">
        <v>0</v>
      </c>
      <c r="F138" s="22">
        <v>2</v>
      </c>
      <c r="G138" s="22">
        <v>5</v>
      </c>
      <c r="H138" s="22">
        <v>10</v>
      </c>
      <c r="I138" s="22">
        <v>15</v>
      </c>
      <c r="J138" s="22">
        <f t="shared" ca="1" si="1"/>
        <v>0</v>
      </c>
      <c r="K138" s="22">
        <f t="shared" ca="1" si="1"/>
        <v>0</v>
      </c>
      <c r="L138" s="22">
        <f t="shared" ca="1" si="1"/>
        <v>0</v>
      </c>
      <c r="M138" s="22">
        <f t="shared" ca="1" si="1"/>
        <v>0</v>
      </c>
    </row>
    <row r="139" spans="1:13">
      <c r="A139" s="22" t="s">
        <v>624</v>
      </c>
      <c r="B139" s="22"/>
      <c r="C139" s="22" t="s">
        <v>4</v>
      </c>
      <c r="D139" s="22">
        <v>0</v>
      </c>
      <c r="E139" s="22">
        <v>0</v>
      </c>
      <c r="F139" s="22">
        <v>2</v>
      </c>
      <c r="G139" s="22">
        <v>5</v>
      </c>
      <c r="H139" s="22">
        <v>10</v>
      </c>
      <c r="I139" s="22">
        <v>15</v>
      </c>
      <c r="J139" s="22">
        <f t="shared" ca="1" si="1"/>
        <v>0</v>
      </c>
      <c r="K139" s="22">
        <f t="shared" ca="1" si="1"/>
        <v>0</v>
      </c>
      <c r="L139" s="22">
        <f t="shared" ca="1" si="1"/>
        <v>0</v>
      </c>
      <c r="M139" s="22">
        <f t="shared" ca="1" si="1"/>
        <v>0</v>
      </c>
    </row>
    <row r="140" spans="1:13">
      <c r="A140" s="22" t="s">
        <v>624</v>
      </c>
      <c r="B140" s="22"/>
      <c r="C140" s="22" t="s">
        <v>42</v>
      </c>
      <c r="D140" s="22">
        <v>0</v>
      </c>
      <c r="E140" s="22">
        <v>0</v>
      </c>
      <c r="F140" s="22">
        <v>2</v>
      </c>
      <c r="G140" s="22">
        <v>5</v>
      </c>
      <c r="H140" s="22">
        <v>10</v>
      </c>
      <c r="I140" s="22">
        <v>15</v>
      </c>
      <c r="J140" s="22">
        <f t="shared" ca="1" si="1"/>
        <v>0</v>
      </c>
      <c r="K140" s="22">
        <f t="shared" ca="1" si="1"/>
        <v>0</v>
      </c>
      <c r="L140" s="22">
        <f t="shared" ca="1" si="1"/>
        <v>0</v>
      </c>
      <c r="M140" s="22">
        <f t="shared" ca="1" si="1"/>
        <v>0</v>
      </c>
    </row>
    <row r="141" spans="1:13">
      <c r="A141" s="22" t="s">
        <v>624</v>
      </c>
      <c r="B141" s="22"/>
      <c r="C141" s="22" t="s">
        <v>270</v>
      </c>
      <c r="D141" s="22">
        <v>0</v>
      </c>
      <c r="E141" s="22">
        <v>0</v>
      </c>
      <c r="F141" s="22">
        <v>2</v>
      </c>
      <c r="G141" s="22">
        <v>5</v>
      </c>
      <c r="H141" s="22">
        <v>10</v>
      </c>
      <c r="I141" s="22">
        <v>15</v>
      </c>
      <c r="J141" s="22">
        <f t="shared" ca="1" si="1"/>
        <v>0</v>
      </c>
      <c r="K141" s="22">
        <f t="shared" ca="1" si="1"/>
        <v>0</v>
      </c>
      <c r="L141" s="22">
        <f t="shared" ca="1" si="1"/>
        <v>0</v>
      </c>
      <c r="M141" s="22">
        <f t="shared" ca="1" si="1"/>
        <v>0</v>
      </c>
    </row>
    <row r="142" spans="1:13">
      <c r="A142" s="22" t="s">
        <v>627</v>
      </c>
      <c r="B142" s="22"/>
      <c r="C142" s="22" t="s">
        <v>620</v>
      </c>
      <c r="D142" s="121">
        <v>0</v>
      </c>
      <c r="E142" s="121">
        <v>0</v>
      </c>
      <c r="F142" s="22">
        <v>0</v>
      </c>
      <c r="G142" s="22">
        <v>0</v>
      </c>
      <c r="H142" s="22">
        <v>0</v>
      </c>
      <c r="I142" s="22">
        <v>5</v>
      </c>
      <c r="J142" s="22">
        <f t="shared" ca="1" si="1"/>
        <v>0</v>
      </c>
      <c r="K142" s="22">
        <f t="shared" ca="1" si="1"/>
        <v>0</v>
      </c>
      <c r="L142" s="22">
        <f t="shared" ca="1" si="1"/>
        <v>0</v>
      </c>
      <c r="M142" s="22">
        <f t="shared" ca="1" si="1"/>
        <v>0</v>
      </c>
    </row>
    <row r="143" spans="1:13">
      <c r="A143" s="22" t="s">
        <v>739</v>
      </c>
      <c r="B143" s="22"/>
      <c r="C143" s="22" t="s">
        <v>620</v>
      </c>
      <c r="D143" s="22">
        <v>0</v>
      </c>
      <c r="E143" s="22">
        <v>0</v>
      </c>
      <c r="F143" s="121">
        <v>3</v>
      </c>
      <c r="G143" s="22">
        <v>5</v>
      </c>
      <c r="H143" s="22">
        <v>7</v>
      </c>
      <c r="I143" s="22">
        <v>9</v>
      </c>
      <c r="J143" s="22">
        <f t="shared" ca="1" si="1"/>
        <v>0</v>
      </c>
      <c r="K143" s="22">
        <f t="shared" ca="1" si="1"/>
        <v>0</v>
      </c>
      <c r="L143" s="22">
        <f t="shared" ca="1" si="1"/>
        <v>0</v>
      </c>
      <c r="M143" s="22">
        <f t="shared" ca="1" si="1"/>
        <v>0</v>
      </c>
    </row>
    <row r="147" spans="1:2">
      <c r="A147" s="26" t="s">
        <v>856</v>
      </c>
    </row>
    <row r="148" spans="1:2">
      <c r="A148" s="139" t="s">
        <v>9</v>
      </c>
      <c r="B148">
        <v>20</v>
      </c>
    </row>
    <row r="149" spans="1:2">
      <c r="A149" s="139" t="s">
        <v>10</v>
      </c>
      <c r="B149">
        <v>20</v>
      </c>
    </row>
    <row r="150" spans="1:2">
      <c r="A150" s="139" t="s">
        <v>11</v>
      </c>
      <c r="B150">
        <v>12</v>
      </c>
    </row>
    <row r="151" spans="1:2">
      <c r="A151" s="139" t="s">
        <v>717</v>
      </c>
      <c r="B151">
        <v>100</v>
      </c>
    </row>
    <row r="152" spans="1:2">
      <c r="A152" s="139" t="s">
        <v>137</v>
      </c>
      <c r="B152" s="2">
        <v>0.02</v>
      </c>
    </row>
    <row r="155" spans="1:2">
      <c r="A155" s="26" t="s">
        <v>981</v>
      </c>
    </row>
    <row r="156" spans="1:2">
      <c r="A156" s="31" t="s">
        <v>11</v>
      </c>
    </row>
    <row r="157" spans="1:2">
      <c r="A157" s="31" t="s">
        <v>982</v>
      </c>
    </row>
    <row r="159" spans="1:2">
      <c r="A159" s="26" t="s">
        <v>983</v>
      </c>
    </row>
    <row r="160" spans="1:2">
      <c r="A160" s="31" t="s">
        <v>690</v>
      </c>
    </row>
    <row r="161" spans="1:1">
      <c r="A161" s="31" t="s">
        <v>691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46"/>
  </sheetPr>
  <dimension ref="A1:J76"/>
  <sheetViews>
    <sheetView topLeftCell="A46" workbookViewId="0">
      <selection activeCell="A47" sqref="A47"/>
    </sheetView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268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269</v>
      </c>
      <c r="H2" s="14" t="s">
        <v>270</v>
      </c>
      <c r="I2" s="14" t="s">
        <v>271</v>
      </c>
    </row>
    <row r="3" spans="1:9">
      <c r="A3" t="s">
        <v>318</v>
      </c>
      <c r="B3">
        <f>B53+B63+B73+B76</f>
        <v>1378</v>
      </c>
      <c r="C3">
        <f t="shared" ref="C3:I3" si="0">FLOOR(C53+C63+C73+C76, 1)</f>
        <v>86</v>
      </c>
      <c r="D3">
        <f t="shared" si="0"/>
        <v>83</v>
      </c>
      <c r="E3">
        <f t="shared" si="0"/>
        <v>81</v>
      </c>
      <c r="F3">
        <f t="shared" si="0"/>
        <v>83</v>
      </c>
      <c r="G3">
        <f t="shared" si="0"/>
        <v>79</v>
      </c>
      <c r="H3">
        <f t="shared" si="0"/>
        <v>79</v>
      </c>
      <c r="I3">
        <f t="shared" si="0"/>
        <v>80</v>
      </c>
    </row>
    <row r="6" spans="1:9">
      <c r="A6" s="9" t="s">
        <v>319</v>
      </c>
    </row>
    <row r="8" spans="1:9">
      <c r="A8" s="9" t="s">
        <v>320</v>
      </c>
      <c r="B8" s="14" t="s">
        <v>268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269</v>
      </c>
      <c r="H8" s="14" t="s">
        <v>270</v>
      </c>
      <c r="I8" s="14" t="s">
        <v>271</v>
      </c>
    </row>
    <row r="9" spans="1:9">
      <c r="A9" t="s">
        <v>1</v>
      </c>
      <c r="B9" t="s">
        <v>150</v>
      </c>
      <c r="C9" t="s">
        <v>150</v>
      </c>
      <c r="D9" t="s">
        <v>150</v>
      </c>
      <c r="E9" t="s">
        <v>150</v>
      </c>
      <c r="F9" t="s">
        <v>150</v>
      </c>
      <c r="G9" t="s">
        <v>150</v>
      </c>
      <c r="H9" t="s">
        <v>150</v>
      </c>
      <c r="I9" t="s">
        <v>150</v>
      </c>
    </row>
    <row r="10" spans="1:9">
      <c r="A10" t="s">
        <v>267</v>
      </c>
      <c r="B10" t="s">
        <v>321</v>
      </c>
      <c r="C10" t="s">
        <v>322</v>
      </c>
      <c r="D10" t="s">
        <v>323</v>
      </c>
      <c r="E10" t="s">
        <v>321</v>
      </c>
      <c r="F10" t="s">
        <v>324</v>
      </c>
      <c r="G10" t="s">
        <v>324</v>
      </c>
      <c r="H10" t="s">
        <v>322</v>
      </c>
      <c r="I10" t="s">
        <v>150</v>
      </c>
    </row>
    <row r="11" spans="1:9">
      <c r="A11" t="s">
        <v>192</v>
      </c>
      <c r="B11" t="s">
        <v>325</v>
      </c>
      <c r="C11" t="s">
        <v>324</v>
      </c>
      <c r="D11" t="s">
        <v>150</v>
      </c>
      <c r="E11" t="s">
        <v>323</v>
      </c>
      <c r="F11" t="s">
        <v>321</v>
      </c>
      <c r="G11" t="s">
        <v>326</v>
      </c>
      <c r="H11" t="s">
        <v>323</v>
      </c>
      <c r="I11" t="s">
        <v>150</v>
      </c>
    </row>
    <row r="12" spans="1:9">
      <c r="A12" t="s">
        <v>265</v>
      </c>
      <c r="B12" t="s">
        <v>150</v>
      </c>
      <c r="C12" t="s">
        <v>323</v>
      </c>
      <c r="D12" t="s">
        <v>326</v>
      </c>
      <c r="E12" t="s">
        <v>323</v>
      </c>
      <c r="F12" t="s">
        <v>322</v>
      </c>
      <c r="G12" t="s">
        <v>150</v>
      </c>
      <c r="H12" t="s">
        <v>323</v>
      </c>
      <c r="I12" t="s">
        <v>324</v>
      </c>
    </row>
    <row r="13" spans="1:9">
      <c r="A13" t="s">
        <v>266</v>
      </c>
      <c r="B13" t="s">
        <v>326</v>
      </c>
      <c r="C13" t="s">
        <v>321</v>
      </c>
      <c r="D13" t="s">
        <v>150</v>
      </c>
      <c r="E13" t="s">
        <v>326</v>
      </c>
      <c r="F13" t="s">
        <v>323</v>
      </c>
      <c r="G13" t="s">
        <v>323</v>
      </c>
      <c r="H13" t="s">
        <v>150</v>
      </c>
      <c r="I13" t="s">
        <v>324</v>
      </c>
    </row>
    <row r="14" spans="1:9">
      <c r="A14" t="s">
        <v>327</v>
      </c>
      <c r="B14" t="s">
        <v>150</v>
      </c>
      <c r="C14" t="s">
        <v>150</v>
      </c>
      <c r="D14" t="s">
        <v>150</v>
      </c>
      <c r="E14" t="s">
        <v>150</v>
      </c>
      <c r="F14" t="s">
        <v>324</v>
      </c>
      <c r="G14" t="s">
        <v>150</v>
      </c>
      <c r="H14" t="s">
        <v>150</v>
      </c>
      <c r="I14" t="s">
        <v>322</v>
      </c>
    </row>
    <row r="15" spans="1:9">
      <c r="A15" t="s">
        <v>328</v>
      </c>
      <c r="B15" t="s">
        <v>321</v>
      </c>
      <c r="C15" t="s">
        <v>150</v>
      </c>
      <c r="D15" t="s">
        <v>321</v>
      </c>
      <c r="E15" t="s">
        <v>150</v>
      </c>
      <c r="F15" t="s">
        <v>324</v>
      </c>
      <c r="G15" t="s">
        <v>323</v>
      </c>
      <c r="H15" t="s">
        <v>323</v>
      </c>
      <c r="I15" t="s">
        <v>326</v>
      </c>
    </row>
    <row r="16" spans="1:9">
      <c r="A16" t="s">
        <v>329</v>
      </c>
      <c r="B16" t="s">
        <v>324</v>
      </c>
      <c r="C16" t="s">
        <v>324</v>
      </c>
      <c r="D16" t="s">
        <v>321</v>
      </c>
      <c r="E16" t="s">
        <v>324</v>
      </c>
      <c r="F16" t="s">
        <v>321</v>
      </c>
      <c r="G16" t="s">
        <v>326</v>
      </c>
      <c r="H16" t="s">
        <v>323</v>
      </c>
      <c r="I16" t="s">
        <v>150</v>
      </c>
    </row>
    <row r="17" spans="1:9">
      <c r="A17" t="s">
        <v>330</v>
      </c>
      <c r="B17" t="s">
        <v>150</v>
      </c>
      <c r="C17" t="s">
        <v>323</v>
      </c>
      <c r="D17" t="s">
        <v>323</v>
      </c>
      <c r="E17" t="s">
        <v>323</v>
      </c>
      <c r="F17" t="s">
        <v>323</v>
      </c>
      <c r="G17" t="s">
        <v>323</v>
      </c>
      <c r="H17" t="s">
        <v>323</v>
      </c>
      <c r="I17" t="s">
        <v>323</v>
      </c>
    </row>
    <row r="18" spans="1:9">
      <c r="A18" t="s">
        <v>331</v>
      </c>
      <c r="B18" t="s">
        <v>150</v>
      </c>
      <c r="C18" t="s">
        <v>323</v>
      </c>
      <c r="D18" t="s">
        <v>321</v>
      </c>
      <c r="E18" t="s">
        <v>323</v>
      </c>
      <c r="F18" t="s">
        <v>322</v>
      </c>
      <c r="G18" t="s">
        <v>321</v>
      </c>
      <c r="H18" t="s">
        <v>323</v>
      </c>
      <c r="I18" t="s">
        <v>323</v>
      </c>
    </row>
    <row r="19" spans="1:9">
      <c r="A19" t="s">
        <v>332</v>
      </c>
      <c r="B19" t="s">
        <v>150</v>
      </c>
      <c r="C19" t="s">
        <v>150</v>
      </c>
      <c r="D19" t="s">
        <v>321</v>
      </c>
      <c r="E19" t="s">
        <v>323</v>
      </c>
      <c r="F19" t="s">
        <v>322</v>
      </c>
      <c r="G19" t="s">
        <v>324</v>
      </c>
      <c r="H19" t="s">
        <v>324</v>
      </c>
      <c r="I19" t="s">
        <v>322</v>
      </c>
    </row>
    <row r="20" spans="1:9">
      <c r="A20" t="s">
        <v>333</v>
      </c>
      <c r="B20" t="s">
        <v>321</v>
      </c>
      <c r="C20" t="s">
        <v>326</v>
      </c>
      <c r="D20" t="s">
        <v>321</v>
      </c>
      <c r="E20" t="s">
        <v>321</v>
      </c>
      <c r="F20" t="s">
        <v>150</v>
      </c>
      <c r="G20" t="s">
        <v>321</v>
      </c>
      <c r="H20" t="s">
        <v>325</v>
      </c>
      <c r="I20" t="s">
        <v>325</v>
      </c>
    </row>
    <row r="21" spans="1:9">
      <c r="A21" t="s">
        <v>334</v>
      </c>
      <c r="B21" t="s">
        <v>321</v>
      </c>
      <c r="C21" t="s">
        <v>322</v>
      </c>
      <c r="D21" t="s">
        <v>150</v>
      </c>
      <c r="E21" t="s">
        <v>321</v>
      </c>
      <c r="F21" t="s">
        <v>150</v>
      </c>
      <c r="G21" t="s">
        <v>324</v>
      </c>
      <c r="H21" t="s">
        <v>323</v>
      </c>
      <c r="I21" t="s">
        <v>321</v>
      </c>
    </row>
    <row r="22" spans="1:9">
      <c r="A22" t="s">
        <v>335</v>
      </c>
      <c r="B22" t="s">
        <v>326</v>
      </c>
      <c r="C22" t="s">
        <v>321</v>
      </c>
      <c r="D22" t="s">
        <v>322</v>
      </c>
      <c r="E22" t="s">
        <v>326</v>
      </c>
      <c r="F22" t="s">
        <v>324</v>
      </c>
      <c r="G22" t="s">
        <v>325</v>
      </c>
      <c r="H22" t="s">
        <v>150</v>
      </c>
      <c r="I22" t="s">
        <v>323</v>
      </c>
    </row>
    <row r="23" spans="1:9">
      <c r="A23" t="s">
        <v>336</v>
      </c>
      <c r="B23" t="s">
        <v>150</v>
      </c>
      <c r="C23" t="s">
        <v>321</v>
      </c>
      <c r="D23" t="s">
        <v>322</v>
      </c>
      <c r="E23" t="s">
        <v>321</v>
      </c>
      <c r="F23" t="s">
        <v>322</v>
      </c>
      <c r="G23" t="s">
        <v>150</v>
      </c>
      <c r="H23" t="s">
        <v>325</v>
      </c>
      <c r="I23" t="s">
        <v>324</v>
      </c>
    </row>
    <row r="24" spans="1:9">
      <c r="A24" t="s">
        <v>337</v>
      </c>
      <c r="B24" t="s">
        <v>321</v>
      </c>
      <c r="C24" t="s">
        <v>322</v>
      </c>
      <c r="D24" t="s">
        <v>323</v>
      </c>
      <c r="E24" t="s">
        <v>326</v>
      </c>
      <c r="F24" t="s">
        <v>325</v>
      </c>
      <c r="G24" t="s">
        <v>325</v>
      </c>
      <c r="H24" t="s">
        <v>321</v>
      </c>
      <c r="I24" t="s">
        <v>321</v>
      </c>
    </row>
    <row r="25" spans="1:9">
      <c r="A25" t="s">
        <v>338</v>
      </c>
      <c r="B25" t="s">
        <v>150</v>
      </c>
      <c r="C25" t="s">
        <v>323</v>
      </c>
      <c r="D25" t="s">
        <v>322</v>
      </c>
      <c r="E25" t="s">
        <v>150</v>
      </c>
      <c r="F25" t="s">
        <v>321</v>
      </c>
      <c r="G25" t="s">
        <v>323</v>
      </c>
      <c r="H25" t="s">
        <v>324</v>
      </c>
      <c r="I25" t="s">
        <v>321</v>
      </c>
    </row>
    <row r="26" spans="1:9">
      <c r="A26" t="s">
        <v>339</v>
      </c>
      <c r="B26" t="s">
        <v>323</v>
      </c>
      <c r="C26" t="s">
        <v>323</v>
      </c>
      <c r="D26" t="s">
        <v>150</v>
      </c>
      <c r="E26" t="s">
        <v>150</v>
      </c>
      <c r="F26" t="s">
        <v>326</v>
      </c>
      <c r="G26" t="s">
        <v>323</v>
      </c>
      <c r="H26" t="s">
        <v>150</v>
      </c>
      <c r="I26" t="s">
        <v>323</v>
      </c>
    </row>
    <row r="27" spans="1:9">
      <c r="A27" t="s">
        <v>340</v>
      </c>
      <c r="B27" t="s">
        <v>150</v>
      </c>
      <c r="C27" t="s">
        <v>150</v>
      </c>
      <c r="D27" t="s">
        <v>150</v>
      </c>
      <c r="E27" t="s">
        <v>323</v>
      </c>
      <c r="F27" t="s">
        <v>323</v>
      </c>
      <c r="G27" t="s">
        <v>321</v>
      </c>
      <c r="H27" t="s">
        <v>321</v>
      </c>
      <c r="I27" t="s">
        <v>150</v>
      </c>
    </row>
    <row r="28" spans="1:9">
      <c r="A28" t="s">
        <v>341</v>
      </c>
      <c r="B28" t="s">
        <v>322</v>
      </c>
      <c r="C28" t="s">
        <v>321</v>
      </c>
      <c r="D28" t="s">
        <v>321</v>
      </c>
      <c r="E28" t="s">
        <v>321</v>
      </c>
      <c r="F28" t="s">
        <v>150</v>
      </c>
      <c r="G28" t="s">
        <v>323</v>
      </c>
      <c r="H28" t="s">
        <v>323</v>
      </c>
      <c r="I28" t="s">
        <v>150</v>
      </c>
    </row>
    <row r="29" spans="1:9">
      <c r="A29" t="s">
        <v>342</v>
      </c>
      <c r="B29" t="s">
        <v>323</v>
      </c>
      <c r="C29" t="s">
        <v>324</v>
      </c>
      <c r="D29" t="s">
        <v>150</v>
      </c>
      <c r="E29" t="s">
        <v>323</v>
      </c>
      <c r="F29" t="s">
        <v>150</v>
      </c>
      <c r="G29" t="s">
        <v>322</v>
      </c>
      <c r="H29" t="s">
        <v>150</v>
      </c>
      <c r="I29" t="s">
        <v>321</v>
      </c>
    </row>
    <row r="30" spans="1:9">
      <c r="A30" t="s">
        <v>343</v>
      </c>
      <c r="B30" t="s">
        <v>325</v>
      </c>
      <c r="C30" t="s">
        <v>324</v>
      </c>
      <c r="D30" t="s">
        <v>323</v>
      </c>
      <c r="E30" t="s">
        <v>324</v>
      </c>
      <c r="F30" t="s">
        <v>150</v>
      </c>
      <c r="G30" t="s">
        <v>322</v>
      </c>
      <c r="H30" t="s">
        <v>322</v>
      </c>
      <c r="I30" t="s">
        <v>322</v>
      </c>
    </row>
    <row r="31" spans="1:9">
      <c r="A31" t="s">
        <v>344</v>
      </c>
      <c r="B31" t="s">
        <v>150</v>
      </c>
      <c r="C31" t="s">
        <v>150</v>
      </c>
      <c r="D31" t="s">
        <v>326</v>
      </c>
      <c r="E31" t="s">
        <v>150</v>
      </c>
      <c r="F31" t="s">
        <v>322</v>
      </c>
      <c r="G31" t="s">
        <v>321</v>
      </c>
      <c r="H31" t="s">
        <v>325</v>
      </c>
      <c r="I31" t="s">
        <v>325</v>
      </c>
    </row>
    <row r="32" spans="1:9">
      <c r="A32" t="s">
        <v>345</v>
      </c>
      <c r="B32" t="s">
        <v>322</v>
      </c>
      <c r="C32" t="s">
        <v>326</v>
      </c>
      <c r="D32" t="s">
        <v>321</v>
      </c>
      <c r="E32" t="s">
        <v>150</v>
      </c>
      <c r="F32" t="s">
        <v>321</v>
      </c>
      <c r="G32" t="s">
        <v>324</v>
      </c>
      <c r="H32" t="s">
        <v>324</v>
      </c>
      <c r="I32" t="s">
        <v>323</v>
      </c>
    </row>
    <row r="33" spans="1:10">
      <c r="A33" t="s">
        <v>346</v>
      </c>
      <c r="B33" t="s">
        <v>323</v>
      </c>
      <c r="C33" t="s">
        <v>150</v>
      </c>
      <c r="D33" t="s">
        <v>324</v>
      </c>
      <c r="E33" t="s">
        <v>150</v>
      </c>
      <c r="F33" t="s">
        <v>323</v>
      </c>
      <c r="G33" t="s">
        <v>323</v>
      </c>
      <c r="H33" t="s">
        <v>326</v>
      </c>
      <c r="I33" t="s">
        <v>321</v>
      </c>
    </row>
    <row r="36" spans="1:10">
      <c r="A36" s="9" t="s">
        <v>347</v>
      </c>
      <c r="B36" t="s">
        <v>348</v>
      </c>
      <c r="C36" t="s">
        <v>349</v>
      </c>
      <c r="D36" t="s">
        <v>350</v>
      </c>
      <c r="E36" t="s">
        <v>351</v>
      </c>
      <c r="F36" t="s">
        <v>352</v>
      </c>
      <c r="G36" t="s">
        <v>353</v>
      </c>
      <c r="H36" t="s">
        <v>354</v>
      </c>
      <c r="I36" t="s">
        <v>355</v>
      </c>
      <c r="J36" t="s">
        <v>356</v>
      </c>
    </row>
    <row r="37" spans="1:10">
      <c r="A37" t="s">
        <v>326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322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321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150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323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324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325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268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269</v>
      </c>
      <c r="H46" s="14" t="s">
        <v>270</v>
      </c>
      <c r="I46" s="14" t="s">
        <v>271</v>
      </c>
    </row>
    <row r="47" spans="1:10">
      <c r="A47" t="str">
        <f>Data!C1</f>
        <v>Blu</v>
      </c>
      <c r="B47" t="str">
        <f t="shared" ref="B47:I47" si="2">VLOOKUP($A47, Grades, MATCH(B$46, Stats, 0), 0)</f>
        <v>D</v>
      </c>
      <c r="C47" t="str">
        <f t="shared" si="2"/>
        <v>E</v>
      </c>
      <c r="D47" t="str">
        <f t="shared" si="2"/>
        <v>E</v>
      </c>
      <c r="E47" t="str">
        <f t="shared" si="2"/>
        <v>E</v>
      </c>
      <c r="F47" t="str">
        <f t="shared" si="2"/>
        <v>E</v>
      </c>
      <c r="G47" t="str">
        <f t="shared" si="2"/>
        <v>E</v>
      </c>
      <c r="H47" t="str">
        <f t="shared" si="2"/>
        <v>E</v>
      </c>
      <c r="I47" t="str">
        <f t="shared" si="2"/>
        <v>E</v>
      </c>
    </row>
    <row r="48" spans="1:10">
      <c r="A48" t="s">
        <v>348</v>
      </c>
      <c r="B48">
        <f>VLOOKUP(B$47, GradeRates, MATCH($A48, RateTiers, 0), 0)</f>
        <v>14</v>
      </c>
      <c r="C48" s="4">
        <f t="shared" ref="C48:I51" si="3">VLOOKUP(C$47, GradeRates, MATCH($J48, RateTiers, 0), 0)</f>
        <v>3</v>
      </c>
      <c r="D48" s="4">
        <f t="shared" si="3"/>
        <v>3</v>
      </c>
      <c r="E48" s="4">
        <f t="shared" si="3"/>
        <v>3</v>
      </c>
      <c r="F48" s="4">
        <f t="shared" si="3"/>
        <v>3</v>
      </c>
      <c r="G48" s="4">
        <f t="shared" si="3"/>
        <v>3</v>
      </c>
      <c r="H48" s="4">
        <f t="shared" si="3"/>
        <v>3</v>
      </c>
      <c r="I48" s="4">
        <f t="shared" si="3"/>
        <v>3</v>
      </c>
      <c r="J48" t="s">
        <v>353</v>
      </c>
    </row>
    <row r="49" spans="1:10">
      <c r="A49" t="s">
        <v>349</v>
      </c>
      <c r="B49">
        <f>VLOOKUP(B$47, GradeRates, MATCH($A49, RateTiers, 0), 0)</f>
        <v>6</v>
      </c>
      <c r="C49" s="4">
        <f t="shared" si="3"/>
        <v>0.3</v>
      </c>
      <c r="D49" s="4">
        <f t="shared" si="3"/>
        <v>0.3</v>
      </c>
      <c r="E49" s="4">
        <f t="shared" si="3"/>
        <v>0.3</v>
      </c>
      <c r="F49" s="4">
        <f t="shared" si="3"/>
        <v>0.3</v>
      </c>
      <c r="G49" s="4">
        <f t="shared" si="3"/>
        <v>0.3</v>
      </c>
      <c r="H49" s="4">
        <f t="shared" si="3"/>
        <v>0.3</v>
      </c>
      <c r="I49" s="4">
        <f t="shared" si="3"/>
        <v>0.3</v>
      </c>
      <c r="J49" t="s">
        <v>354</v>
      </c>
    </row>
    <row r="50" spans="1:10">
      <c r="A50" t="s">
        <v>350</v>
      </c>
      <c r="B50">
        <f>VLOOKUP(B$47, GradeRates, MATCH($A50, RateTiers, 0), 0)</f>
        <v>0</v>
      </c>
      <c r="C50" s="4">
        <f t="shared" si="3"/>
        <v>0.341796875</v>
      </c>
      <c r="D50" s="4">
        <f t="shared" si="3"/>
        <v>0.341796875</v>
      </c>
      <c r="E50" s="4">
        <f t="shared" si="3"/>
        <v>0.341796875</v>
      </c>
      <c r="F50" s="4">
        <f t="shared" si="3"/>
        <v>0.341796875</v>
      </c>
      <c r="G50" s="4">
        <f t="shared" si="3"/>
        <v>0.341796875</v>
      </c>
      <c r="H50" s="4">
        <f t="shared" si="3"/>
        <v>0.341796875</v>
      </c>
      <c r="I50" s="4">
        <f t="shared" si="3"/>
        <v>0.341796875</v>
      </c>
      <c r="J50" t="s">
        <v>355</v>
      </c>
    </row>
    <row r="51" spans="1:10">
      <c r="A51" t="s">
        <v>351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356</v>
      </c>
    </row>
    <row r="52" spans="1:10">
      <c r="A52" t="s">
        <v>352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 t="shared" ref="C53:I53" si="4">C48+FLOOR(MIN(59,$B$1-1)*C49,0.5)+FLOOR(MIN(15,MAX(0,$B$1-60))*C50,0.5)+FLOOR(MAX(0,$B$1-75)*C51,0.5)</f>
        <v>34.5</v>
      </c>
      <c r="D53">
        <f t="shared" si="4"/>
        <v>34.5</v>
      </c>
      <c r="E53">
        <f t="shared" si="4"/>
        <v>34.5</v>
      </c>
      <c r="F53">
        <f t="shared" si="4"/>
        <v>34.5</v>
      </c>
      <c r="G53">
        <f t="shared" si="4"/>
        <v>34.5</v>
      </c>
      <c r="H53">
        <f t="shared" si="4"/>
        <v>34.5</v>
      </c>
      <c r="I53">
        <f t="shared" si="4"/>
        <v>34.5</v>
      </c>
    </row>
    <row r="56" spans="1:10">
      <c r="A56" s="9" t="s">
        <v>195</v>
      </c>
      <c r="B56" s="14" t="s">
        <v>268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269</v>
      </c>
      <c r="H56" s="14" t="s">
        <v>270</v>
      </c>
      <c r="I56" s="14" t="s">
        <v>271</v>
      </c>
    </row>
    <row r="57" spans="1:10">
      <c r="A57" t="str">
        <f>Data!D1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348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353</v>
      </c>
    </row>
    <row r="59" spans="1:10">
      <c r="A59" t="s">
        <v>349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354</v>
      </c>
    </row>
    <row r="60" spans="1:10">
      <c r="A60" t="s">
        <v>350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355</v>
      </c>
    </row>
    <row r="61" spans="1:10">
      <c r="A61" t="s">
        <v>351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356</v>
      </c>
    </row>
    <row r="62" spans="1:10">
      <c r="A62" t="s">
        <v>352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 t="shared" ref="C63:I63" si="7">FLOOR((C58+FLOOR(MIN(59,$C$1-1)*C59,0.5)+FLOOR(MIN(15,MAX(0,$C$1-60))*C60,0.5)+FLOOR(MAX(0,$C$1-75)*C61,0.5))/2,0.5)</f>
        <v>14.5</v>
      </c>
      <c r="D63">
        <f t="shared" si="7"/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268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269</v>
      </c>
      <c r="H66" s="14" t="s">
        <v>270</v>
      </c>
      <c r="I66" s="14" t="s">
        <v>271</v>
      </c>
    </row>
    <row r="67" spans="1:10">
      <c r="A67" t="str">
        <f>Data!A1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348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353</v>
      </c>
    </row>
    <row r="69" spans="1:10">
      <c r="A69" t="s">
        <v>349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354</v>
      </c>
    </row>
    <row r="70" spans="1:10">
      <c r="A70" t="s">
        <v>350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355</v>
      </c>
    </row>
    <row r="71" spans="1:10">
      <c r="A71" t="s">
        <v>351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356</v>
      </c>
    </row>
    <row r="72" spans="1:10">
      <c r="A72" t="s">
        <v>352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268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269</v>
      </c>
      <c r="H75" s="14" t="s">
        <v>270</v>
      </c>
      <c r="I75" s="14" t="s">
        <v>271</v>
      </c>
    </row>
    <row r="76" spans="1:10">
      <c r="A76" t="s">
        <v>357</v>
      </c>
      <c r="B76">
        <f>MAX(0,$B$1-10)*2+MIN(10,MAX(0,$B$1-50))*2+IF(A47="Mnk",IF($B$1&gt;=15, 30,0)+IF($B$1&gt;=35, 30,0)+IF($B$1&gt;=55, 60,0)+IF($B$1&gt;=70, 60,0)+IF($B$1&gt;=86, 60,0)+IF($B$1&gt;=96, 40,0))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8"/>
  <sheetViews>
    <sheetView workbookViewId="0">
      <selection activeCell="Q42" sqref="Q42"/>
    </sheetView>
  </sheetViews>
  <sheetFormatPr defaultRowHeight="12.75"/>
  <cols>
    <col min="2" max="2" width="20.42578125" bestFit="1" customWidth="1"/>
    <col min="5" max="5" width="20.42578125" bestFit="1" customWidth="1"/>
    <col min="8" max="8" width="20.42578125" bestFit="1" customWidth="1"/>
    <col min="11" max="11" width="20.42578125" bestFit="1" customWidth="1"/>
    <col min="14" max="14" width="20.42578125" bestFit="1" customWidth="1"/>
    <col min="17" max="17" width="14.42578125" bestFit="1" customWidth="1"/>
  </cols>
  <sheetData>
    <row r="1" spans="1:17">
      <c r="A1" s="171" t="s">
        <v>1155</v>
      </c>
      <c r="B1" s="171"/>
      <c r="D1" s="171" t="s">
        <v>1157</v>
      </c>
      <c r="E1" s="171"/>
      <c r="G1" s="171" t="s">
        <v>1158</v>
      </c>
      <c r="H1" s="171"/>
      <c r="J1" s="171" t="s">
        <v>1159</v>
      </c>
      <c r="K1" s="171"/>
      <c r="M1" s="171" t="s">
        <v>1161</v>
      </c>
      <c r="N1" s="171"/>
      <c r="Q1" t="s">
        <v>854</v>
      </c>
    </row>
    <row r="2" spans="1:17">
      <c r="A2" t="s">
        <v>8</v>
      </c>
      <c r="B2" t="s">
        <v>14</v>
      </c>
      <c r="D2" t="s">
        <v>8</v>
      </c>
      <c r="E2" t="s">
        <v>14</v>
      </c>
      <c r="G2" t="s">
        <v>8</v>
      </c>
      <c r="H2" t="s">
        <v>14</v>
      </c>
      <c r="J2" t="s">
        <v>8</v>
      </c>
      <c r="K2" t="s">
        <v>14</v>
      </c>
      <c r="M2" t="s">
        <v>8</v>
      </c>
      <c r="N2" t="s">
        <v>14</v>
      </c>
    </row>
    <row r="3" spans="1:17">
      <c r="A3" s="32" t="s">
        <v>229</v>
      </c>
      <c r="B3" s="41" t="s">
        <v>850</v>
      </c>
      <c r="D3" s="32" t="s">
        <v>229</v>
      </c>
      <c r="E3" s="41" t="s">
        <v>850</v>
      </c>
      <c r="G3" s="32" t="s">
        <v>229</v>
      </c>
      <c r="H3" s="41" t="s">
        <v>850</v>
      </c>
      <c r="J3" s="32" t="s">
        <v>229</v>
      </c>
      <c r="K3" s="41" t="s">
        <v>850</v>
      </c>
      <c r="M3" s="32" t="s">
        <v>229</v>
      </c>
      <c r="N3" s="41" t="s">
        <v>850</v>
      </c>
    </row>
    <row r="4" spans="1:17">
      <c r="A4" s="32" t="s">
        <v>229</v>
      </c>
      <c r="B4" s="40" t="s">
        <v>1127</v>
      </c>
      <c r="D4" s="32" t="s">
        <v>229</v>
      </c>
      <c r="E4" s="40" t="s">
        <v>1127</v>
      </c>
      <c r="G4" s="32" t="s">
        <v>229</v>
      </c>
      <c r="H4" s="40" t="s">
        <v>1127</v>
      </c>
      <c r="J4" s="32" t="s">
        <v>229</v>
      </c>
      <c r="K4" s="40" t="s">
        <v>1127</v>
      </c>
      <c r="M4" s="32" t="s">
        <v>229</v>
      </c>
      <c r="N4" s="40" t="s">
        <v>1127</v>
      </c>
    </row>
    <row r="5" spans="1:17">
      <c r="A5" t="s">
        <v>142</v>
      </c>
      <c r="B5" s="41"/>
      <c r="D5" t="s">
        <v>142</v>
      </c>
      <c r="E5" s="41"/>
      <c r="G5" t="s">
        <v>142</v>
      </c>
      <c r="H5" s="41"/>
      <c r="J5" t="s">
        <v>142</v>
      </c>
      <c r="K5" s="41"/>
      <c r="M5" t="s">
        <v>142</v>
      </c>
      <c r="N5" s="41"/>
    </row>
    <row r="6" spans="1:17">
      <c r="A6" t="s">
        <v>15</v>
      </c>
      <c r="B6" s="32" t="s">
        <v>928</v>
      </c>
      <c r="D6" t="s">
        <v>15</v>
      </c>
      <c r="E6" s="32" t="s">
        <v>1147</v>
      </c>
      <c r="G6" t="s">
        <v>15</v>
      </c>
      <c r="H6" s="32" t="s">
        <v>1147</v>
      </c>
      <c r="J6" t="s">
        <v>15</v>
      </c>
      <c r="K6" s="32" t="s">
        <v>1147</v>
      </c>
      <c r="M6" t="s">
        <v>15</v>
      </c>
      <c r="N6" s="32" t="s">
        <v>1147</v>
      </c>
    </row>
    <row r="7" spans="1:17">
      <c r="A7" t="s">
        <v>16</v>
      </c>
      <c r="B7" s="32" t="s">
        <v>1091</v>
      </c>
      <c r="D7" t="s">
        <v>16</v>
      </c>
      <c r="E7" s="32" t="s">
        <v>1047</v>
      </c>
      <c r="G7" t="s">
        <v>16</v>
      </c>
      <c r="H7" s="32" t="s">
        <v>1047</v>
      </c>
      <c r="J7" t="s">
        <v>16</v>
      </c>
      <c r="K7" s="32" t="s">
        <v>1047</v>
      </c>
      <c r="M7" t="s">
        <v>16</v>
      </c>
      <c r="N7" s="32" t="s">
        <v>1160</v>
      </c>
    </row>
    <row r="8" spans="1:17">
      <c r="A8" t="s">
        <v>17</v>
      </c>
      <c r="B8" s="32" t="s">
        <v>770</v>
      </c>
      <c r="D8" t="s">
        <v>17</v>
      </c>
      <c r="E8" s="32" t="s">
        <v>1089</v>
      </c>
      <c r="G8" t="s">
        <v>17</v>
      </c>
      <c r="H8" s="32" t="s">
        <v>1109</v>
      </c>
      <c r="J8" t="s">
        <v>17</v>
      </c>
      <c r="K8" s="32" t="s">
        <v>1109</v>
      </c>
      <c r="M8" t="s">
        <v>17</v>
      </c>
      <c r="N8" s="32" t="s">
        <v>1109</v>
      </c>
    </row>
    <row r="9" spans="1:17">
      <c r="A9" t="s">
        <v>73</v>
      </c>
      <c r="B9" s="32" t="s">
        <v>25</v>
      </c>
      <c r="D9" t="s">
        <v>73</v>
      </c>
      <c r="E9" s="32" t="s">
        <v>25</v>
      </c>
      <c r="G9" t="s">
        <v>73</v>
      </c>
      <c r="H9" s="32" t="s">
        <v>143</v>
      </c>
      <c r="J9" t="s">
        <v>73</v>
      </c>
      <c r="K9" s="32" t="s">
        <v>143</v>
      </c>
      <c r="M9" t="s">
        <v>73</v>
      </c>
      <c r="N9" s="32" t="s">
        <v>143</v>
      </c>
    </row>
    <row r="10" spans="1:17">
      <c r="A10" t="s">
        <v>73</v>
      </c>
      <c r="B10" s="32" t="s">
        <v>143</v>
      </c>
      <c r="D10" t="s">
        <v>73</v>
      </c>
      <c r="E10" s="32" t="s">
        <v>143</v>
      </c>
      <c r="G10" t="s">
        <v>73</v>
      </c>
      <c r="H10" s="32" t="s">
        <v>1034</v>
      </c>
      <c r="J10" t="s">
        <v>73</v>
      </c>
      <c r="K10" s="32" t="s">
        <v>1034</v>
      </c>
      <c r="M10" t="s">
        <v>73</v>
      </c>
      <c r="N10" s="32" t="s">
        <v>1034</v>
      </c>
    </row>
    <row r="11" spans="1:17">
      <c r="A11" t="s">
        <v>18</v>
      </c>
      <c r="B11" s="32" t="s">
        <v>1085</v>
      </c>
      <c r="D11" t="s">
        <v>18</v>
      </c>
      <c r="E11" s="32" t="s">
        <v>1085</v>
      </c>
      <c r="G11" t="s">
        <v>18</v>
      </c>
      <c r="H11" s="32" t="s">
        <v>1125</v>
      </c>
      <c r="J11" t="s">
        <v>18</v>
      </c>
      <c r="K11" s="32" t="s">
        <v>1125</v>
      </c>
      <c r="M11" t="s">
        <v>18</v>
      </c>
      <c r="N11" s="32" t="s">
        <v>1125</v>
      </c>
    </row>
    <row r="12" spans="1:17">
      <c r="A12" t="s">
        <v>19</v>
      </c>
      <c r="B12" s="32" t="s">
        <v>1091</v>
      </c>
      <c r="D12" t="s">
        <v>19</v>
      </c>
      <c r="E12" s="32" t="s">
        <v>1091</v>
      </c>
      <c r="G12" t="s">
        <v>19</v>
      </c>
      <c r="H12" s="32" t="s">
        <v>1091</v>
      </c>
      <c r="J12" t="s">
        <v>19</v>
      </c>
      <c r="K12" s="32" t="s">
        <v>1091</v>
      </c>
      <c r="M12" t="s">
        <v>19</v>
      </c>
      <c r="N12" s="32" t="s">
        <v>1091</v>
      </c>
    </row>
    <row r="13" spans="1:17">
      <c r="A13" t="s">
        <v>74</v>
      </c>
      <c r="B13" s="32" t="s">
        <v>1117</v>
      </c>
      <c r="D13" t="s">
        <v>74</v>
      </c>
      <c r="E13" s="32" t="s">
        <v>26</v>
      </c>
      <c r="G13" t="s">
        <v>74</v>
      </c>
      <c r="H13" s="32" t="s">
        <v>26</v>
      </c>
      <c r="J13" t="s">
        <v>74</v>
      </c>
      <c r="K13" s="32" t="s">
        <v>1136</v>
      </c>
      <c r="M13" t="s">
        <v>74</v>
      </c>
      <c r="N13" s="32" t="s">
        <v>1136</v>
      </c>
    </row>
    <row r="14" spans="1:17">
      <c r="A14" t="s">
        <v>74</v>
      </c>
      <c r="B14" s="32" t="s">
        <v>669</v>
      </c>
      <c r="D14" t="s">
        <v>74</v>
      </c>
      <c r="E14" s="32" t="s">
        <v>669</v>
      </c>
      <c r="G14" t="s">
        <v>74</v>
      </c>
      <c r="H14" s="32" t="s">
        <v>669</v>
      </c>
      <c r="J14" t="s">
        <v>74</v>
      </c>
      <c r="K14" s="32" t="s">
        <v>1135</v>
      </c>
      <c r="M14" t="s">
        <v>74</v>
      </c>
      <c r="N14" s="32" t="s">
        <v>1135</v>
      </c>
    </row>
    <row r="15" spans="1:17">
      <c r="A15" t="s">
        <v>20</v>
      </c>
      <c r="B15" s="32" t="s">
        <v>1122</v>
      </c>
      <c r="D15" t="s">
        <v>20</v>
      </c>
      <c r="E15" s="32" t="s">
        <v>1122</v>
      </c>
      <c r="G15" t="s">
        <v>20</v>
      </c>
      <c r="H15" s="32" t="s">
        <v>1122</v>
      </c>
      <c r="J15" t="s">
        <v>20</v>
      </c>
      <c r="K15" s="32" t="s">
        <v>1122</v>
      </c>
      <c r="M15" t="s">
        <v>20</v>
      </c>
      <c r="N15" s="32" t="s">
        <v>1122</v>
      </c>
    </row>
    <row r="16" spans="1:17">
      <c r="A16" t="s">
        <v>21</v>
      </c>
      <c r="B16" s="32" t="s">
        <v>1115</v>
      </c>
      <c r="D16" t="s">
        <v>21</v>
      </c>
      <c r="E16" s="32" t="s">
        <v>1115</v>
      </c>
      <c r="G16" t="s">
        <v>21</v>
      </c>
      <c r="H16" s="32" t="s">
        <v>1115</v>
      </c>
      <c r="J16" t="s">
        <v>21</v>
      </c>
      <c r="K16" s="32" t="s">
        <v>1115</v>
      </c>
      <c r="M16" t="s">
        <v>21</v>
      </c>
      <c r="N16" s="32" t="s">
        <v>1115</v>
      </c>
    </row>
    <row r="17" spans="1:17">
      <c r="A17" t="s">
        <v>22</v>
      </c>
      <c r="B17" s="32" t="s">
        <v>1049</v>
      </c>
      <c r="D17" t="s">
        <v>22</v>
      </c>
      <c r="E17" s="32" t="s">
        <v>1049</v>
      </c>
      <c r="G17" t="s">
        <v>22</v>
      </c>
      <c r="H17" s="32" t="s">
        <v>1160</v>
      </c>
      <c r="J17" t="s">
        <v>22</v>
      </c>
      <c r="K17" s="32" t="s">
        <v>1160</v>
      </c>
      <c r="M17" t="s">
        <v>22</v>
      </c>
      <c r="N17" s="32" t="s">
        <v>1160</v>
      </c>
    </row>
    <row r="18" spans="1:17">
      <c r="A18" t="s">
        <v>23</v>
      </c>
      <c r="B18" s="32" t="s">
        <v>1148</v>
      </c>
      <c r="D18" t="s">
        <v>23</v>
      </c>
      <c r="E18" s="32" t="s">
        <v>1148</v>
      </c>
      <c r="G18" t="s">
        <v>23</v>
      </c>
      <c r="H18" s="32" t="s">
        <v>1148</v>
      </c>
      <c r="J18" t="s">
        <v>23</v>
      </c>
      <c r="K18" s="32" t="s">
        <v>1148</v>
      </c>
      <c r="M18" t="s">
        <v>23</v>
      </c>
      <c r="N18" s="32" t="s">
        <v>1148</v>
      </c>
    </row>
    <row r="19" spans="1:17">
      <c r="A19" t="s">
        <v>24</v>
      </c>
      <c r="B19" s="104"/>
      <c r="D19" t="s">
        <v>24</v>
      </c>
      <c r="E19" s="104"/>
      <c r="G19" t="s">
        <v>24</v>
      </c>
      <c r="H19" s="104"/>
      <c r="J19" t="s">
        <v>24</v>
      </c>
      <c r="K19" s="104"/>
      <c r="M19" t="s">
        <v>24</v>
      </c>
      <c r="N19" s="104" t="s">
        <v>1162</v>
      </c>
    </row>
    <row r="20" spans="1:17">
      <c r="A20" t="s">
        <v>1165</v>
      </c>
      <c r="B20" s="32" t="s">
        <v>1171</v>
      </c>
      <c r="D20" t="s">
        <v>1165</v>
      </c>
      <c r="E20" s="32" t="s">
        <v>1169</v>
      </c>
      <c r="G20" t="s">
        <v>1165</v>
      </c>
      <c r="H20" s="32" t="s">
        <v>1167</v>
      </c>
      <c r="J20" t="s">
        <v>1165</v>
      </c>
      <c r="M20" t="s">
        <v>1165</v>
      </c>
      <c r="N20" s="32" t="s">
        <v>1163</v>
      </c>
    </row>
    <row r="22" spans="1:17">
      <c r="A22" t="s">
        <v>7</v>
      </c>
      <c r="D22" t="s">
        <v>7</v>
      </c>
      <c r="G22" t="s">
        <v>7</v>
      </c>
      <c r="J22" t="s">
        <v>7</v>
      </c>
      <c r="M22" t="s">
        <v>7</v>
      </c>
    </row>
    <row r="23" spans="1:17">
      <c r="A23" s="9" t="s">
        <v>118</v>
      </c>
      <c r="B23" s="8">
        <v>2248</v>
      </c>
      <c r="D23" s="9" t="s">
        <v>118</v>
      </c>
      <c r="E23" s="8">
        <v>2117</v>
      </c>
      <c r="G23" s="9" t="s">
        <v>118</v>
      </c>
      <c r="H23" s="8">
        <v>1845</v>
      </c>
      <c r="J23" s="9" t="s">
        <v>118</v>
      </c>
      <c r="K23" s="8">
        <v>1316</v>
      </c>
      <c r="M23" s="9" t="s">
        <v>118</v>
      </c>
      <c r="N23" s="8">
        <v>1645</v>
      </c>
    </row>
    <row r="25" spans="1:17">
      <c r="A25" t="s">
        <v>224</v>
      </c>
      <c r="D25" t="s">
        <v>225</v>
      </c>
      <c r="G25" t="s">
        <v>225</v>
      </c>
      <c r="J25" t="s">
        <v>225</v>
      </c>
      <c r="M25" t="s">
        <v>225</v>
      </c>
    </row>
    <row r="26" spans="1:17">
      <c r="A26" t="s">
        <v>8</v>
      </c>
      <c r="B26" t="s">
        <v>14</v>
      </c>
      <c r="D26" t="s">
        <v>8</v>
      </c>
      <c r="E26" t="s">
        <v>14</v>
      </c>
      <c r="G26" t="s">
        <v>8</v>
      </c>
      <c r="H26" t="s">
        <v>14</v>
      </c>
      <c r="J26" t="s">
        <v>8</v>
      </c>
      <c r="K26" t="s">
        <v>14</v>
      </c>
      <c r="M26" t="s">
        <v>8</v>
      </c>
      <c r="N26" t="s">
        <v>14</v>
      </c>
      <c r="P26" t="s">
        <v>8</v>
      </c>
      <c r="Q26" t="s">
        <v>14</v>
      </c>
    </row>
    <row r="27" spans="1:17">
      <c r="A27" t="str">
        <f>A3</f>
        <v>Sword</v>
      </c>
      <c r="B27" t="str">
        <f>B3</f>
        <v>Tizona 119</v>
      </c>
      <c r="D27" t="str">
        <f>D3</f>
        <v>Sword</v>
      </c>
      <c r="E27" t="str">
        <f>E3</f>
        <v>Tizona 119</v>
      </c>
      <c r="G27" t="str">
        <f>G3</f>
        <v>Sword</v>
      </c>
      <c r="H27" t="str">
        <f>H3</f>
        <v>Tizona 119</v>
      </c>
      <c r="J27" t="str">
        <f>J3</f>
        <v>Sword</v>
      </c>
      <c r="K27" t="str">
        <f>K3</f>
        <v>Tizona 119</v>
      </c>
      <c r="M27" t="str">
        <f>M3</f>
        <v>Sword</v>
      </c>
      <c r="N27" t="str">
        <f>N3</f>
        <v>Tizona 119</v>
      </c>
      <c r="P27">
        <f>P3</f>
        <v>0</v>
      </c>
      <c r="Q27">
        <f>Q3</f>
        <v>0</v>
      </c>
    </row>
    <row r="28" spans="1:17">
      <c r="A28" t="str">
        <f>A4</f>
        <v>Sword</v>
      </c>
      <c r="B28" s="14" t="str">
        <f>B4</f>
        <v>Almace 119 III</v>
      </c>
      <c r="D28" t="str">
        <f>D4</f>
        <v>Sword</v>
      </c>
      <c r="E28" s="14" t="str">
        <f>E4</f>
        <v>Almace 119 III</v>
      </c>
      <c r="G28" t="str">
        <f>G4</f>
        <v>Sword</v>
      </c>
      <c r="H28" s="14" t="str">
        <f>H4</f>
        <v>Almace 119 III</v>
      </c>
      <c r="J28" t="str">
        <f>J4</f>
        <v>Sword</v>
      </c>
      <c r="K28" s="14" t="str">
        <f>K4</f>
        <v>Almace 119 III</v>
      </c>
      <c r="M28" t="str">
        <f>M4</f>
        <v>Sword</v>
      </c>
      <c r="N28" s="14" t="str">
        <f>N4</f>
        <v>Almace 119 III</v>
      </c>
      <c r="P28">
        <f>P4</f>
        <v>0</v>
      </c>
      <c r="Q28" s="14">
        <f>Q4</f>
        <v>0</v>
      </c>
    </row>
    <row r="29" spans="1:17">
      <c r="A29" t="s">
        <v>142</v>
      </c>
      <c r="B29" s="41"/>
      <c r="D29" t="s">
        <v>142</v>
      </c>
      <c r="E29" s="41"/>
      <c r="G29" t="s">
        <v>142</v>
      </c>
      <c r="H29" s="41"/>
      <c r="J29" t="s">
        <v>142</v>
      </c>
      <c r="K29" s="41"/>
      <c r="M29" t="s">
        <v>142</v>
      </c>
      <c r="N29" s="41"/>
      <c r="P29" t="s">
        <v>142</v>
      </c>
      <c r="Q29" s="41"/>
    </row>
    <row r="30" spans="1:17">
      <c r="A30" t="s">
        <v>15</v>
      </c>
      <c r="B30" s="32" t="s">
        <v>1147</v>
      </c>
      <c r="D30" t="s">
        <v>15</v>
      </c>
      <c r="E30" s="32" t="s">
        <v>1147</v>
      </c>
      <c r="G30" t="s">
        <v>15</v>
      </c>
      <c r="H30" s="32" t="s">
        <v>1147</v>
      </c>
      <c r="J30" t="s">
        <v>15</v>
      </c>
      <c r="K30" s="32" t="s">
        <v>1147</v>
      </c>
      <c r="M30" t="s">
        <v>15</v>
      </c>
      <c r="N30" s="32" t="s">
        <v>1147</v>
      </c>
      <c r="P30" t="s">
        <v>15</v>
      </c>
      <c r="Q30" s="32" t="s">
        <v>928</v>
      </c>
    </row>
    <row r="31" spans="1:17">
      <c r="A31" t="s">
        <v>16</v>
      </c>
      <c r="B31" s="32" t="s">
        <v>1092</v>
      </c>
      <c r="D31" t="s">
        <v>16</v>
      </c>
      <c r="E31" s="32" t="s">
        <v>1092</v>
      </c>
      <c r="G31" t="s">
        <v>16</v>
      </c>
      <c r="H31" s="32" t="s">
        <v>1047</v>
      </c>
      <c r="J31" t="s">
        <v>16</v>
      </c>
      <c r="K31" s="32" t="s">
        <v>1047</v>
      </c>
      <c r="M31" t="s">
        <v>16</v>
      </c>
      <c r="N31" s="32" t="s">
        <v>1160</v>
      </c>
      <c r="P31" t="s">
        <v>16</v>
      </c>
      <c r="Q31" s="32" t="s">
        <v>1153</v>
      </c>
    </row>
    <row r="32" spans="1:17">
      <c r="A32" t="s">
        <v>17</v>
      </c>
      <c r="B32" s="32" t="s">
        <v>27</v>
      </c>
      <c r="D32" t="s">
        <v>17</v>
      </c>
      <c r="E32" s="32" t="s">
        <v>27</v>
      </c>
      <c r="G32" t="s">
        <v>17</v>
      </c>
      <c r="H32" s="32" t="s">
        <v>27</v>
      </c>
      <c r="J32" t="s">
        <v>17</v>
      </c>
      <c r="K32" s="32" t="s">
        <v>27</v>
      </c>
      <c r="M32" t="s">
        <v>17</v>
      </c>
      <c r="N32" s="32" t="s">
        <v>27</v>
      </c>
      <c r="P32" t="s">
        <v>17</v>
      </c>
      <c r="Q32" s="32" t="s">
        <v>1101</v>
      </c>
    </row>
    <row r="33" spans="1:17">
      <c r="A33" t="s">
        <v>73</v>
      </c>
      <c r="B33" s="32" t="s">
        <v>25</v>
      </c>
      <c r="D33" t="s">
        <v>73</v>
      </c>
      <c r="E33" s="32" t="s">
        <v>25</v>
      </c>
      <c r="G33" t="s">
        <v>73</v>
      </c>
      <c r="H33" s="32" t="s">
        <v>1034</v>
      </c>
      <c r="J33" t="s">
        <v>73</v>
      </c>
      <c r="K33" s="32" t="s">
        <v>1034</v>
      </c>
      <c r="M33" t="s">
        <v>73</v>
      </c>
      <c r="N33" s="32" t="s">
        <v>1034</v>
      </c>
      <c r="P33" t="s">
        <v>73</v>
      </c>
      <c r="Q33" s="32" t="s">
        <v>1187</v>
      </c>
    </row>
    <row r="34" spans="1:17">
      <c r="A34" t="s">
        <v>73</v>
      </c>
      <c r="B34" s="32" t="s">
        <v>630</v>
      </c>
      <c r="D34" t="s">
        <v>73</v>
      </c>
      <c r="E34" s="32" t="s">
        <v>630</v>
      </c>
      <c r="G34" t="s">
        <v>73</v>
      </c>
      <c r="H34" s="32" t="s">
        <v>630</v>
      </c>
      <c r="J34" t="s">
        <v>73</v>
      </c>
      <c r="K34" s="32" t="s">
        <v>1139</v>
      </c>
      <c r="M34" t="s">
        <v>73</v>
      </c>
      <c r="N34" s="32" t="s">
        <v>1139</v>
      </c>
      <c r="P34" t="s">
        <v>73</v>
      </c>
      <c r="Q34" s="32" t="s">
        <v>1138</v>
      </c>
    </row>
    <row r="35" spans="1:17">
      <c r="A35" t="s">
        <v>18</v>
      </c>
      <c r="B35" s="32" t="s">
        <v>1110</v>
      </c>
      <c r="D35" t="s">
        <v>18</v>
      </c>
      <c r="E35" s="32" t="s">
        <v>1125</v>
      </c>
      <c r="G35" t="s">
        <v>18</v>
      </c>
      <c r="H35" s="32" t="s">
        <v>1125</v>
      </c>
      <c r="J35" t="s">
        <v>18</v>
      </c>
      <c r="K35" s="32" t="s">
        <v>1125</v>
      </c>
      <c r="M35" t="s">
        <v>18</v>
      </c>
      <c r="N35" s="32" t="s">
        <v>1125</v>
      </c>
      <c r="P35" t="s">
        <v>18</v>
      </c>
      <c r="Q35" s="32" t="s">
        <v>1190</v>
      </c>
    </row>
    <row r="36" spans="1:17">
      <c r="A36" t="s">
        <v>19</v>
      </c>
      <c r="B36" s="32" t="s">
        <v>1091</v>
      </c>
      <c r="D36" t="s">
        <v>19</v>
      </c>
      <c r="E36" s="32" t="s">
        <v>1091</v>
      </c>
      <c r="G36" t="s">
        <v>19</v>
      </c>
      <c r="H36" s="32" t="s">
        <v>1091</v>
      </c>
      <c r="J36" t="s">
        <v>19</v>
      </c>
      <c r="K36" s="32" t="s">
        <v>1091</v>
      </c>
      <c r="M36" t="s">
        <v>19</v>
      </c>
      <c r="N36" s="32" t="s">
        <v>1091</v>
      </c>
      <c r="P36" t="s">
        <v>19</v>
      </c>
      <c r="Q36" s="32" t="s">
        <v>1195</v>
      </c>
    </row>
    <row r="37" spans="1:17">
      <c r="A37" t="s">
        <v>74</v>
      </c>
      <c r="B37" s="32" t="s">
        <v>1194</v>
      </c>
      <c r="D37" t="s">
        <v>74</v>
      </c>
      <c r="E37" s="32" t="s">
        <v>1194</v>
      </c>
      <c r="G37" t="s">
        <v>74</v>
      </c>
      <c r="H37" s="32" t="s">
        <v>1194</v>
      </c>
      <c r="J37" t="s">
        <v>74</v>
      </c>
      <c r="K37" s="32" t="s">
        <v>1194</v>
      </c>
      <c r="M37" t="s">
        <v>74</v>
      </c>
      <c r="N37" s="32" t="s">
        <v>1194</v>
      </c>
      <c r="P37" t="s">
        <v>74</v>
      </c>
      <c r="Q37" s="32" t="s">
        <v>1144</v>
      </c>
    </row>
    <row r="38" spans="1:17">
      <c r="A38" t="s">
        <v>74</v>
      </c>
      <c r="B38" s="32" t="s">
        <v>669</v>
      </c>
      <c r="D38" t="s">
        <v>74</v>
      </c>
      <c r="E38" s="32" t="s">
        <v>669</v>
      </c>
      <c r="G38" t="s">
        <v>74</v>
      </c>
      <c r="H38" s="32" t="s">
        <v>1136</v>
      </c>
      <c r="J38" t="s">
        <v>74</v>
      </c>
      <c r="K38" s="32" t="s">
        <v>1136</v>
      </c>
      <c r="M38" t="s">
        <v>74</v>
      </c>
      <c r="N38" s="32" t="s">
        <v>1136</v>
      </c>
      <c r="P38" t="s">
        <v>74</v>
      </c>
      <c r="Q38" s="32" t="s">
        <v>1119</v>
      </c>
    </row>
    <row r="39" spans="1:17">
      <c r="A39" t="s">
        <v>20</v>
      </c>
      <c r="B39" s="32" t="s">
        <v>1121</v>
      </c>
      <c r="D39" t="s">
        <v>20</v>
      </c>
      <c r="E39" s="32" t="s">
        <v>1121</v>
      </c>
      <c r="G39" t="s">
        <v>20</v>
      </c>
      <c r="H39" s="32" t="s">
        <v>1121</v>
      </c>
      <c r="J39" t="s">
        <v>20</v>
      </c>
      <c r="K39" s="32" t="s">
        <v>1121</v>
      </c>
      <c r="M39" t="s">
        <v>20</v>
      </c>
      <c r="N39" s="32" t="s">
        <v>1121</v>
      </c>
      <c r="P39" t="s">
        <v>20</v>
      </c>
      <c r="Q39" s="32" t="s">
        <v>1145</v>
      </c>
    </row>
    <row r="40" spans="1:17">
      <c r="A40" t="s">
        <v>21</v>
      </c>
      <c r="B40" s="32" t="s">
        <v>167</v>
      </c>
      <c r="D40" t="s">
        <v>21</v>
      </c>
      <c r="E40" s="32" t="s">
        <v>167</v>
      </c>
      <c r="G40" t="s">
        <v>21</v>
      </c>
      <c r="H40" s="32" t="s">
        <v>167</v>
      </c>
      <c r="J40" t="s">
        <v>21</v>
      </c>
      <c r="K40" s="32" t="s">
        <v>167</v>
      </c>
      <c r="M40" t="s">
        <v>21</v>
      </c>
      <c r="N40" s="32" t="s">
        <v>167</v>
      </c>
      <c r="P40" t="s">
        <v>21</v>
      </c>
      <c r="Q40" s="32" t="s">
        <v>1055</v>
      </c>
    </row>
    <row r="41" spans="1:17">
      <c r="A41" t="s">
        <v>22</v>
      </c>
      <c r="B41" s="32" t="s">
        <v>1049</v>
      </c>
      <c r="D41" t="s">
        <v>22</v>
      </c>
      <c r="E41" s="32" t="s">
        <v>1146</v>
      </c>
      <c r="G41" t="s">
        <v>22</v>
      </c>
      <c r="H41" s="32" t="s">
        <v>1146</v>
      </c>
      <c r="J41" t="s">
        <v>22</v>
      </c>
      <c r="K41" s="32" t="s">
        <v>1146</v>
      </c>
      <c r="M41" t="s">
        <v>22</v>
      </c>
      <c r="N41" s="32" t="s">
        <v>1160</v>
      </c>
      <c r="P41" t="s">
        <v>22</v>
      </c>
      <c r="Q41" s="32" t="s">
        <v>1195</v>
      </c>
    </row>
    <row r="42" spans="1:17">
      <c r="A42" t="s">
        <v>23</v>
      </c>
      <c r="B42" s="32" t="s">
        <v>1104</v>
      </c>
      <c r="D42" t="s">
        <v>23</v>
      </c>
      <c r="E42" s="32" t="s">
        <v>1148</v>
      </c>
      <c r="G42" t="s">
        <v>23</v>
      </c>
      <c r="H42" s="32" t="s">
        <v>1148</v>
      </c>
      <c r="J42" t="s">
        <v>23</v>
      </c>
      <c r="K42" s="32" t="s">
        <v>1148</v>
      </c>
      <c r="M42" t="s">
        <v>23</v>
      </c>
      <c r="N42" s="32" t="s">
        <v>1148</v>
      </c>
      <c r="P42" t="s">
        <v>23</v>
      </c>
      <c r="Q42" s="32" t="s">
        <v>1195</v>
      </c>
    </row>
    <row r="43" spans="1:17">
      <c r="A43" t="s">
        <v>24</v>
      </c>
      <c r="B43" s="104"/>
      <c r="D43" t="s">
        <v>24</v>
      </c>
      <c r="E43" s="104"/>
      <c r="G43" t="s">
        <v>24</v>
      </c>
      <c r="H43" s="104"/>
      <c r="J43" t="s">
        <v>24</v>
      </c>
      <c r="K43" s="104"/>
      <c r="M43" t="s">
        <v>24</v>
      </c>
      <c r="N43" s="104" t="s">
        <v>1162</v>
      </c>
      <c r="P43" t="s">
        <v>24</v>
      </c>
      <c r="Q43" s="104"/>
    </row>
    <row r="44" spans="1:17">
      <c r="A44" t="s">
        <v>1165</v>
      </c>
      <c r="B44" s="32" t="s">
        <v>1172</v>
      </c>
      <c r="D44" t="s">
        <v>1165</v>
      </c>
      <c r="E44" s="32" t="s">
        <v>1170</v>
      </c>
      <c r="G44" t="s">
        <v>1165</v>
      </c>
      <c r="H44" s="32" t="s">
        <v>1168</v>
      </c>
      <c r="J44" t="s">
        <v>1165</v>
      </c>
      <c r="M44" t="s">
        <v>1166</v>
      </c>
      <c r="N44" s="32" t="s">
        <v>1164</v>
      </c>
      <c r="P44" t="s">
        <v>751</v>
      </c>
    </row>
    <row r="46" spans="1:17">
      <c r="D46" t="s">
        <v>7</v>
      </c>
      <c r="G46" t="s">
        <v>7</v>
      </c>
      <c r="J46" t="s">
        <v>7</v>
      </c>
      <c r="M46" t="s">
        <v>7</v>
      </c>
      <c r="P46" t="s">
        <v>7</v>
      </c>
    </row>
    <row r="47" spans="1:17">
      <c r="A47" s="9" t="s">
        <v>117</v>
      </c>
      <c r="B47" s="138">
        <v>14196</v>
      </c>
      <c r="D47" s="9" t="s">
        <v>117</v>
      </c>
      <c r="E47" s="138">
        <v>13233</v>
      </c>
      <c r="G47" s="9" t="s">
        <v>117</v>
      </c>
      <c r="H47" s="138">
        <v>12057</v>
      </c>
      <c r="J47" s="9" t="s">
        <v>117</v>
      </c>
      <c r="K47" s="138">
        <v>9639</v>
      </c>
      <c r="M47" s="9" t="s">
        <v>117</v>
      </c>
      <c r="N47" s="138">
        <v>11079</v>
      </c>
      <c r="P47" s="9" t="s">
        <v>117</v>
      </c>
      <c r="Q47" s="138">
        <v>9058</v>
      </c>
    </row>
    <row r="48" spans="1:17">
      <c r="D48" s="31"/>
      <c r="E48" s="4"/>
    </row>
  </sheetData>
  <mergeCells count="5">
    <mergeCell ref="A1:B1"/>
    <mergeCell ref="D1:E1"/>
    <mergeCell ref="G1:H1"/>
    <mergeCell ref="J1:K1"/>
    <mergeCell ref="M1:N1"/>
  </mergeCells>
  <dataValidations count="15">
    <dataValidation type="list" allowBlank="1" showInputMessage="1" showErrorMessage="1" sqref="A3 D3 G3 J3 M3">
      <formula1>Main1HSlots</formula1>
    </dataValidation>
    <dataValidation type="list" allowBlank="1" showInputMessage="1" showErrorMessage="1" sqref="A4 D4 G4 J4 M4">
      <formula1>Sub1HSlots</formula1>
    </dataValidation>
    <dataValidation type="list" allowBlank="1" showInputMessage="1" showErrorMessage="1" sqref="B29 B5 E29 E5 H29 H5 K29 K5 N29 N5 Q29">
      <formula1>RangedList</formula1>
    </dataValidation>
    <dataValidation type="list" allowBlank="1" showInputMessage="1" showErrorMessage="1" sqref="B18 B42 E42 E18 H42 H18 K42 K18 N18 N42 Q42">
      <formula1>FeetList</formula1>
    </dataValidation>
    <dataValidation type="list" allowBlank="1" showInputMessage="1" showErrorMessage="1" sqref="B41 B17 E41 E17 H41 H17 K41 K17 N17 N41 Q41">
      <formula1>LegsList</formula1>
    </dataValidation>
    <dataValidation type="list" allowBlank="1" showInputMessage="1" showErrorMessage="1" sqref="B16 B40 E40 E16 H40 H16 K40 K16 N16 N40 Q40">
      <formula1>WaistList</formula1>
    </dataValidation>
    <dataValidation type="list" allowBlank="1" showInputMessage="1" showErrorMessage="1" sqref="B39 B15 E39 E15 H39 H15 K39 K15 N15 N39 Q39">
      <formula1>BackList</formula1>
    </dataValidation>
    <dataValidation type="list" allowBlank="1" showInputMessage="1" showErrorMessage="1" sqref="B13:B14 B37:B38 Q37:Q38 E13:E14 E37:E38 H13:H14 H37:H38 K13:K14 N13:N14 K37:K38 N37:N38">
      <formula1>RingList</formula1>
    </dataValidation>
    <dataValidation type="list" allowBlank="1" showInputMessage="1" showErrorMessage="1" sqref="B12 B36 E36 E12 H36 H12 K36 K12 N12 N36 Q36">
      <formula1>HandsList</formula1>
    </dataValidation>
    <dataValidation type="list" allowBlank="1" showInputMessage="1" showErrorMessage="1" sqref="B11 B35 E35 E11 H35 H11 K35 K11 N11 N35 Q35">
      <formula1>BodyList</formula1>
    </dataValidation>
    <dataValidation type="list" allowBlank="1" showInputMessage="1" showErrorMessage="1" sqref="B9:B10 B33:B34 E33:E34 E9:E10 H33:H34 H9:H10 K33:K34 K9:K10 N9:N10 N33:N34 Q33:Q34">
      <formula1>EarringList</formula1>
    </dataValidation>
    <dataValidation type="list" allowBlank="1" showInputMessage="1" showErrorMessage="1" sqref="B8 B32 E32 E8 H32 H8 K32 K8 N8 N32 Q32">
      <formula1>NeckList</formula1>
    </dataValidation>
    <dataValidation type="list" allowBlank="1" showInputMessage="1" showErrorMessage="1" sqref="B31 B7 E31 E7 H31 H7 K31 K7 N7 N31 Q31">
      <formula1>HeadList</formula1>
    </dataValidation>
    <dataValidation type="list" allowBlank="1" showInputMessage="1" showErrorMessage="1" sqref="B30 B6 E30 E6 H30 H6 K30 K6 N6 N30 Q30">
      <formula1>AmmoList</formula1>
    </dataValidation>
    <dataValidation type="list" allowBlank="1" showInputMessage="1" showErrorMessage="1" sqref="B3:B4 E3:E4 H3:H4 K3:K4 N3:N4">
      <formula1>INDIRECT(A3&amp;"List")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AV48"/>
  <sheetViews>
    <sheetView workbookViewId="0">
      <selection activeCell="B31" sqref="B31"/>
    </sheetView>
  </sheetViews>
  <sheetFormatPr defaultRowHeight="12.75"/>
  <cols>
    <col min="1" max="1" width="13" customWidth="1"/>
    <col min="2" max="2" width="20.28515625" bestFit="1" customWidth="1"/>
    <col min="3" max="4" width="4.42578125" customWidth="1"/>
    <col min="5" max="9" width="4" customWidth="1"/>
    <col min="10" max="10" width="5" bestFit="1" customWidth="1"/>
    <col min="11" max="11" width="4" customWidth="1"/>
    <col min="12" max="12" width="4.5703125" customWidth="1"/>
    <col min="13" max="13" width="4.7109375" bestFit="1" customWidth="1"/>
    <col min="14" max="14" width="4.140625" customWidth="1"/>
    <col min="15" max="15" width="4.42578125" customWidth="1"/>
    <col min="16" max="17" width="4.85546875" customWidth="1"/>
    <col min="18" max="18" width="5.140625" customWidth="1"/>
    <col min="19" max="19" width="4.85546875" customWidth="1"/>
    <col min="20" max="20" width="4.42578125" customWidth="1"/>
    <col min="21" max="21" width="4.28515625" customWidth="1"/>
    <col min="22" max="22" width="4.5703125" customWidth="1"/>
    <col min="23" max="23" width="5.28515625" customWidth="1"/>
    <col min="24" max="24" width="4" customWidth="1"/>
    <col min="25" max="25" width="4.140625" customWidth="1"/>
    <col min="26" max="26" width="13.42578125" customWidth="1"/>
    <col min="27" max="27" width="20.28515625" bestFit="1" customWidth="1"/>
    <col min="28" max="29" width="4.5703125" customWidth="1"/>
    <col min="30" max="34" width="4" customWidth="1"/>
    <col min="35" max="35" width="6" bestFit="1" customWidth="1"/>
    <col min="36" max="36" width="4" customWidth="1"/>
    <col min="37" max="37" width="4.85546875" customWidth="1"/>
    <col min="38" max="38" width="4.7109375" bestFit="1" customWidth="1"/>
    <col min="39" max="39" width="4.28515625" customWidth="1"/>
    <col min="40" max="40" width="5.28515625" bestFit="1" customWidth="1"/>
    <col min="41" max="41" width="4.5703125" customWidth="1"/>
    <col min="42" max="42" width="5" customWidth="1"/>
    <col min="43" max="43" width="5.140625" customWidth="1"/>
    <col min="44" max="44" width="4.7109375" customWidth="1"/>
    <col min="45" max="45" width="4.42578125" customWidth="1"/>
    <col min="46" max="46" width="4" customWidth="1"/>
    <col min="47" max="47" width="4.140625" customWidth="1"/>
    <col min="48" max="48" width="4.85546875" customWidth="1"/>
  </cols>
  <sheetData>
    <row r="1" spans="1:48">
      <c r="A1" t="s">
        <v>222</v>
      </c>
      <c r="Z1" t="s">
        <v>223</v>
      </c>
    </row>
    <row r="2" spans="1:48">
      <c r="A2" t="s">
        <v>8</v>
      </c>
      <c r="B2" t="s">
        <v>14</v>
      </c>
      <c r="C2" t="s">
        <v>30</v>
      </c>
      <c r="D2" s="31" t="s">
        <v>798</v>
      </c>
      <c r="E2" t="s">
        <v>3</v>
      </c>
      <c r="F2" t="s">
        <v>4</v>
      </c>
      <c r="G2" t="s">
        <v>269</v>
      </c>
      <c r="H2" t="s">
        <v>270</v>
      </c>
      <c r="I2" t="s">
        <v>9</v>
      </c>
      <c r="J2" t="s">
        <v>10</v>
      </c>
      <c r="K2" t="s">
        <v>390</v>
      </c>
      <c r="L2" t="s">
        <v>12</v>
      </c>
      <c r="M2" t="s">
        <v>166</v>
      </c>
      <c r="N2" t="s">
        <v>311</v>
      </c>
      <c r="O2" t="s">
        <v>141</v>
      </c>
      <c r="P2" t="s">
        <v>137</v>
      </c>
      <c r="Q2" t="s">
        <v>136</v>
      </c>
      <c r="R2" t="s">
        <v>11</v>
      </c>
      <c r="S2" t="s">
        <v>240</v>
      </c>
      <c r="T2" t="s">
        <v>134</v>
      </c>
      <c r="W2" t="s">
        <v>13</v>
      </c>
      <c r="Z2" t="s">
        <v>8</v>
      </c>
      <c r="AA2" t="s">
        <v>14</v>
      </c>
      <c r="AB2" t="s">
        <v>30</v>
      </c>
      <c r="AC2" s="31" t="s">
        <v>798</v>
      </c>
      <c r="AD2" t="s">
        <v>3</v>
      </c>
      <c r="AE2" t="s">
        <v>4</v>
      </c>
      <c r="AF2" t="s">
        <v>269</v>
      </c>
      <c r="AG2" t="s">
        <v>270</v>
      </c>
      <c r="AH2" t="s">
        <v>9</v>
      </c>
      <c r="AI2" t="s">
        <v>10</v>
      </c>
      <c r="AJ2" t="s">
        <v>390</v>
      </c>
      <c r="AK2" t="s">
        <v>12</v>
      </c>
      <c r="AL2" t="s">
        <v>166</v>
      </c>
      <c r="AM2" t="s">
        <v>311</v>
      </c>
      <c r="AN2" t="s">
        <v>141</v>
      </c>
      <c r="AO2" t="s">
        <v>137</v>
      </c>
      <c r="AP2" t="s">
        <v>136</v>
      </c>
      <c r="AQ2" t="s">
        <v>11</v>
      </c>
      <c r="AR2" t="s">
        <v>240</v>
      </c>
      <c r="AS2" t="s">
        <v>134</v>
      </c>
      <c r="AV2" t="s">
        <v>13</v>
      </c>
    </row>
    <row r="3" spans="1:48">
      <c r="A3" s="32" t="s">
        <v>229</v>
      </c>
      <c r="B3" s="41" t="s">
        <v>850</v>
      </c>
      <c r="C3">
        <f t="shared" ref="C3:C18" ca="1" si="0">IF(ISBLANK($B3), 0, VLOOKUP($B3, INDIRECT($A3), MATCH(C$2, StatHeader, 0), 0))</f>
        <v>0</v>
      </c>
      <c r="D3">
        <f t="shared" ref="D3:M12" ca="1" si="1">IF(ISBLANK($B3), 0, VLOOKUP($B3, INDIRECT($A3), MATCH(D$2, StatHeader, 0), 0))</f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ref="N3:T12" ca="1" si="2">IF(ISBLANK($B3), 0, VLOOKUP($B3, INDIRECT($A3), MATCH(N$2, StatHeader, 0), 0))</f>
        <v>0</v>
      </c>
      <c r="O3" s="2">
        <f t="shared" ca="1" si="2"/>
        <v>0</v>
      </c>
      <c r="P3" s="2">
        <f t="shared" ca="1" si="2"/>
        <v>0</v>
      </c>
      <c r="Q3" s="2">
        <f t="shared" ca="1" si="2"/>
        <v>0</v>
      </c>
      <c r="R3" s="34">
        <f t="shared" ca="1" si="2"/>
        <v>0</v>
      </c>
      <c r="S3" s="34">
        <f t="shared" ca="1" si="2"/>
        <v>0</v>
      </c>
      <c r="T3" s="34">
        <f t="shared" ca="1" si="2"/>
        <v>0</v>
      </c>
      <c r="V3" s="34"/>
      <c r="W3">
        <f t="shared" ref="W3:W18" ca="1" si="3">IF(ISBLANK($B3), 0, VLOOKUP($B3, INDIRECT($A3), MATCH(W$2, StatHeader, 0), 0))</f>
        <v>0</v>
      </c>
      <c r="Z3" s="32" t="s">
        <v>229</v>
      </c>
      <c r="AA3" s="41" t="s">
        <v>1127</v>
      </c>
      <c r="AB3">
        <f ca="1">IF(ISBLANK($AA3), 0, VLOOKUP($AA3, INDIRECT($Z3), MATCH(AB$2, StatHeader, 0), 0))</f>
        <v>0</v>
      </c>
      <c r="AC3">
        <f t="shared" ref="AC3:AL12" ca="1" si="4">IF(ISBLANK($AA3), 0, VLOOKUP($AA3, INDIRECT($Z3), MATCH(AC$2, StatHeader, 0), 0))</f>
        <v>0</v>
      </c>
      <c r="AD3">
        <f t="shared" ca="1" si="4"/>
        <v>0</v>
      </c>
      <c r="AE3">
        <f t="shared" ca="1" si="4"/>
        <v>50</v>
      </c>
      <c r="AF3">
        <f t="shared" ca="1" si="4"/>
        <v>0</v>
      </c>
      <c r="AG3">
        <f t="shared" ca="1" si="4"/>
        <v>0</v>
      </c>
      <c r="AH3">
        <f t="shared" ca="1" si="4"/>
        <v>0</v>
      </c>
      <c r="AI3">
        <f t="shared" ca="1" si="4"/>
        <v>0</v>
      </c>
      <c r="AJ3" s="2">
        <f t="shared" ca="1" si="4"/>
        <v>0</v>
      </c>
      <c r="AK3" s="2">
        <f t="shared" ca="1" si="4"/>
        <v>0</v>
      </c>
      <c r="AL3" s="2">
        <f t="shared" ca="1" si="4"/>
        <v>0</v>
      </c>
      <c r="AM3" s="2">
        <f t="shared" ref="AM3:AS12" ca="1" si="5">IF(ISBLANK($AA3), 0, VLOOKUP($AA3, INDIRECT($Z3), MATCH(AM$2, StatHeader, 0), 0))</f>
        <v>0</v>
      </c>
      <c r="AN3" s="2">
        <f t="shared" ca="1" si="5"/>
        <v>0</v>
      </c>
      <c r="AO3" s="2">
        <f t="shared" ca="1" si="5"/>
        <v>0</v>
      </c>
      <c r="AP3" s="2">
        <f t="shared" ca="1" si="5"/>
        <v>0</v>
      </c>
      <c r="AQ3" s="34">
        <f t="shared" ca="1" si="5"/>
        <v>0</v>
      </c>
      <c r="AR3" s="34">
        <f t="shared" ca="1" si="5"/>
        <v>0</v>
      </c>
      <c r="AS3" s="34">
        <f t="shared" ca="1" si="5"/>
        <v>0</v>
      </c>
      <c r="AU3" s="34"/>
      <c r="AV3">
        <f ca="1">IF(ISBLANK($AA3), 0, VLOOKUP($AA3, INDIRECT($Z3), MATCH(AV$2, StatHeader, 0), 0))</f>
        <v>0</v>
      </c>
    </row>
    <row r="4" spans="1:48">
      <c r="A4" s="32" t="s">
        <v>229</v>
      </c>
      <c r="B4" s="40" t="s">
        <v>1127</v>
      </c>
      <c r="C4">
        <f t="shared" ca="1" si="0"/>
        <v>0</v>
      </c>
      <c r="D4">
        <f t="shared" ca="1" si="1"/>
        <v>0</v>
      </c>
      <c r="E4">
        <f t="shared" ca="1" si="1"/>
        <v>0</v>
      </c>
      <c r="F4">
        <f t="shared" ca="1" si="1"/>
        <v>50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2"/>
        <v>0</v>
      </c>
      <c r="O4" s="2">
        <f t="shared" ca="1" si="2"/>
        <v>0</v>
      </c>
      <c r="P4" s="2">
        <f t="shared" ca="1" si="2"/>
        <v>0</v>
      </c>
      <c r="Q4" s="2">
        <f t="shared" ca="1" si="2"/>
        <v>0</v>
      </c>
      <c r="R4">
        <f t="shared" ca="1" si="2"/>
        <v>0</v>
      </c>
      <c r="S4" s="34">
        <f t="shared" ca="1" si="2"/>
        <v>0</v>
      </c>
      <c r="T4" s="34">
        <f t="shared" ca="1" si="2"/>
        <v>0</v>
      </c>
      <c r="V4" s="34"/>
      <c r="W4">
        <f t="shared" ca="1" si="3"/>
        <v>0</v>
      </c>
      <c r="Z4" s="32" t="s">
        <v>229</v>
      </c>
      <c r="AA4" s="40" t="s">
        <v>1193</v>
      </c>
      <c r="AB4">
        <f ca="1">IF(ISBLANK($AA4), 0, VLOOKUP($AA4, INDIRECT($Z4), MATCH(AB$2, StatHeader, 0), 0))</f>
        <v>0</v>
      </c>
      <c r="AC4">
        <f t="shared" ca="1" si="4"/>
        <v>0</v>
      </c>
      <c r="AD4">
        <f t="shared" ca="1" si="4"/>
        <v>0</v>
      </c>
      <c r="AE4">
        <f t="shared" ca="1" si="4"/>
        <v>0</v>
      </c>
      <c r="AF4">
        <f t="shared" ca="1" si="4"/>
        <v>0</v>
      </c>
      <c r="AG4">
        <f t="shared" ca="1" si="4"/>
        <v>0</v>
      </c>
      <c r="AH4">
        <f t="shared" ca="1" si="4"/>
        <v>0</v>
      </c>
      <c r="AI4">
        <f t="shared" ca="1" si="4"/>
        <v>0</v>
      </c>
      <c r="AJ4" s="2">
        <f t="shared" ca="1" si="4"/>
        <v>0</v>
      </c>
      <c r="AK4" s="2">
        <f t="shared" ca="1" si="4"/>
        <v>0</v>
      </c>
      <c r="AL4" s="2">
        <f t="shared" ca="1" si="4"/>
        <v>0</v>
      </c>
      <c r="AM4" s="2">
        <f t="shared" ca="1" si="5"/>
        <v>0</v>
      </c>
      <c r="AN4" s="2">
        <f t="shared" ca="1" si="5"/>
        <v>0</v>
      </c>
      <c r="AO4" s="2">
        <f t="shared" ca="1" si="5"/>
        <v>0</v>
      </c>
      <c r="AP4" s="2">
        <f t="shared" ca="1" si="5"/>
        <v>0</v>
      </c>
      <c r="AQ4">
        <f t="shared" ca="1" si="5"/>
        <v>0</v>
      </c>
      <c r="AR4" s="34">
        <f t="shared" ca="1" si="5"/>
        <v>0</v>
      </c>
      <c r="AS4" s="34">
        <f t="shared" ca="1" si="5"/>
        <v>0</v>
      </c>
      <c r="AU4" s="34"/>
      <c r="AV4">
        <f ca="1">IF(ISBLANK($AA4), 0, VLOOKUP($AA4, INDIRECT($Z4), MATCH(AV$2, StatHeader, 0), 0))</f>
        <v>10</v>
      </c>
    </row>
    <row r="5" spans="1:48">
      <c r="A5" t="s">
        <v>142</v>
      </c>
      <c r="B5" s="41"/>
      <c r="C5">
        <f t="shared" ca="1" si="0"/>
        <v>0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2"/>
        <v>0</v>
      </c>
      <c r="O5" s="2">
        <f t="shared" ca="1" si="2"/>
        <v>0</v>
      </c>
      <c r="P5" s="2">
        <f t="shared" ca="1" si="2"/>
        <v>0</v>
      </c>
      <c r="Q5" s="2">
        <f t="shared" ca="1" si="2"/>
        <v>0</v>
      </c>
      <c r="R5">
        <f t="shared" ca="1" si="2"/>
        <v>0</v>
      </c>
      <c r="S5" s="34">
        <f t="shared" ca="1" si="2"/>
        <v>0</v>
      </c>
      <c r="T5" s="34">
        <f t="shared" ca="1" si="2"/>
        <v>0</v>
      </c>
      <c r="V5" s="34"/>
      <c r="W5">
        <f t="shared" ca="1" si="3"/>
        <v>0</v>
      </c>
      <c r="Y5" t="str">
        <f t="shared" ref="Y5:Y18" si="6">IF(AA5=B5, "=", "-")</f>
        <v>=</v>
      </c>
      <c r="Z5" t="s">
        <v>142</v>
      </c>
      <c r="AA5" s="41"/>
      <c r="AB5">
        <f ca="1">IF(ISBLANK($AA5), 0, VLOOKUP($AA5, INDIRECT($Z5), MATCH(AB$2, StatHeader, 0), 0))</f>
        <v>0</v>
      </c>
      <c r="AC5">
        <f t="shared" ca="1" si="4"/>
        <v>0</v>
      </c>
      <c r="AD5">
        <f t="shared" ca="1" si="4"/>
        <v>0</v>
      </c>
      <c r="AE5">
        <f t="shared" ca="1" si="4"/>
        <v>0</v>
      </c>
      <c r="AF5">
        <f t="shared" ca="1" si="4"/>
        <v>0</v>
      </c>
      <c r="AG5">
        <f t="shared" ca="1" si="4"/>
        <v>0</v>
      </c>
      <c r="AH5">
        <f t="shared" ca="1" si="4"/>
        <v>0</v>
      </c>
      <c r="AI5">
        <f t="shared" ca="1" si="4"/>
        <v>0</v>
      </c>
      <c r="AJ5" s="2">
        <f t="shared" ca="1" si="4"/>
        <v>0</v>
      </c>
      <c r="AK5" s="2">
        <f t="shared" ca="1" si="4"/>
        <v>0</v>
      </c>
      <c r="AL5" s="2">
        <f t="shared" ca="1" si="4"/>
        <v>0</v>
      </c>
      <c r="AM5" s="2">
        <f t="shared" ca="1" si="5"/>
        <v>0</v>
      </c>
      <c r="AN5" s="2">
        <f t="shared" ca="1" si="5"/>
        <v>0</v>
      </c>
      <c r="AO5" s="2">
        <f t="shared" ca="1" si="5"/>
        <v>0</v>
      </c>
      <c r="AP5" s="2">
        <f t="shared" ca="1" si="5"/>
        <v>0</v>
      </c>
      <c r="AQ5">
        <f t="shared" ca="1" si="5"/>
        <v>0</v>
      </c>
      <c r="AR5" s="34">
        <f t="shared" ca="1" si="5"/>
        <v>0</v>
      </c>
      <c r="AS5" s="34">
        <f t="shared" ca="1" si="5"/>
        <v>0</v>
      </c>
      <c r="AU5" s="34"/>
      <c r="AV5">
        <f ca="1">IF(ISBLANK($AA5), 0, VLOOKUP($AA5, INDIRECT($Z5), MATCH(AV$2, StatHeader, 0), 0))</f>
        <v>0</v>
      </c>
    </row>
    <row r="6" spans="1:48">
      <c r="A6" t="s">
        <v>15</v>
      </c>
      <c r="B6" s="32" t="s">
        <v>928</v>
      </c>
      <c r="C6">
        <f t="shared" ca="1" si="0"/>
        <v>0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2"/>
        <v>0</v>
      </c>
      <c r="O6" s="2">
        <f t="shared" ca="1" si="2"/>
        <v>0</v>
      </c>
      <c r="P6" s="2">
        <f t="shared" ca="1" si="2"/>
        <v>0</v>
      </c>
      <c r="Q6" s="2">
        <f t="shared" ca="1" si="2"/>
        <v>0</v>
      </c>
      <c r="R6" s="34">
        <f t="shared" ca="1" si="2"/>
        <v>0</v>
      </c>
      <c r="S6" s="34">
        <f t="shared" ca="1" si="2"/>
        <v>0</v>
      </c>
      <c r="T6" s="34">
        <f t="shared" ca="1" si="2"/>
        <v>0</v>
      </c>
      <c r="V6" s="34"/>
      <c r="W6">
        <f t="shared" ca="1" si="3"/>
        <v>3</v>
      </c>
      <c r="Y6" t="str">
        <f t="shared" si="6"/>
        <v>=</v>
      </c>
      <c r="Z6" t="s">
        <v>15</v>
      </c>
      <c r="AA6" s="32" t="s">
        <v>928</v>
      </c>
      <c r="AB6">
        <f t="shared" ref="AB6:AB18" ca="1" si="7">IF(ISBLANK($AA6), 0, VLOOKUP($AA6, INDIRECT($Z6), MATCH(AB$2, StatHeader, 0), 0))</f>
        <v>0</v>
      </c>
      <c r="AC6">
        <f t="shared" ca="1" si="4"/>
        <v>0</v>
      </c>
      <c r="AD6">
        <f t="shared" ca="1" si="4"/>
        <v>0</v>
      </c>
      <c r="AE6">
        <f t="shared" ca="1" si="4"/>
        <v>0</v>
      </c>
      <c r="AF6">
        <f t="shared" ca="1" si="4"/>
        <v>0</v>
      </c>
      <c r="AG6">
        <f t="shared" ca="1" si="4"/>
        <v>0</v>
      </c>
      <c r="AH6">
        <f t="shared" ca="1" si="4"/>
        <v>10</v>
      </c>
      <c r="AI6">
        <f t="shared" ca="1" si="4"/>
        <v>5</v>
      </c>
      <c r="AJ6" s="2">
        <f t="shared" ca="1" si="4"/>
        <v>0</v>
      </c>
      <c r="AK6" s="2">
        <f t="shared" ca="1" si="4"/>
        <v>0</v>
      </c>
      <c r="AL6" s="2">
        <f t="shared" ca="1" si="4"/>
        <v>0</v>
      </c>
      <c r="AM6" s="2">
        <f t="shared" ca="1" si="5"/>
        <v>0</v>
      </c>
      <c r="AN6" s="2">
        <f t="shared" ca="1" si="5"/>
        <v>0</v>
      </c>
      <c r="AO6" s="2">
        <f t="shared" ca="1" si="5"/>
        <v>0</v>
      </c>
      <c r="AP6" s="2">
        <f t="shared" ca="1" si="5"/>
        <v>0</v>
      </c>
      <c r="AQ6" s="34">
        <f t="shared" ca="1" si="5"/>
        <v>0</v>
      </c>
      <c r="AR6" s="34">
        <f t="shared" ca="1" si="5"/>
        <v>0</v>
      </c>
      <c r="AS6" s="34">
        <f t="shared" ca="1" si="5"/>
        <v>0</v>
      </c>
      <c r="AU6" s="34"/>
      <c r="AV6">
        <f t="shared" ref="AV6:AV18" ca="1" si="8">IF(ISBLANK($AA6), 0, VLOOKUP($AA6, INDIRECT($Z6), MATCH(AV$2, StatHeader, 0), 0))</f>
        <v>3</v>
      </c>
    </row>
    <row r="7" spans="1:48">
      <c r="A7" t="s">
        <v>16</v>
      </c>
      <c r="B7" s="32" t="s">
        <v>1188</v>
      </c>
      <c r="C7">
        <f t="shared" ca="1" si="0"/>
        <v>0</v>
      </c>
      <c r="D7">
        <f t="shared" ca="1" si="1"/>
        <v>0</v>
      </c>
      <c r="E7">
        <f t="shared" ca="1" si="1"/>
        <v>32</v>
      </c>
      <c r="F7">
        <f t="shared" ca="1" si="1"/>
        <v>28</v>
      </c>
      <c r="G7">
        <f t="shared" ca="1" si="1"/>
        <v>20</v>
      </c>
      <c r="H7">
        <f t="shared" ca="1" si="1"/>
        <v>16</v>
      </c>
      <c r="I7">
        <f t="shared" ca="1" si="1"/>
        <v>27</v>
      </c>
      <c r="J7">
        <f t="shared" ca="1" si="1"/>
        <v>0</v>
      </c>
      <c r="K7" s="2">
        <f t="shared" ca="1" si="1"/>
        <v>0</v>
      </c>
      <c r="L7" s="2">
        <f t="shared" ca="1" si="1"/>
        <v>0</v>
      </c>
      <c r="M7" s="2">
        <f t="shared" ca="1" si="1"/>
        <v>0.04</v>
      </c>
      <c r="N7" s="2">
        <f t="shared" ca="1" si="2"/>
        <v>0</v>
      </c>
      <c r="O7" s="2">
        <f t="shared" ca="1" si="2"/>
        <v>0</v>
      </c>
      <c r="P7" s="2">
        <f t="shared" ca="1" si="2"/>
        <v>0</v>
      </c>
      <c r="Q7" s="2">
        <f t="shared" ca="1" si="2"/>
        <v>0</v>
      </c>
      <c r="R7" s="34">
        <f t="shared" ca="1" si="2"/>
        <v>81</v>
      </c>
      <c r="S7" s="34">
        <f t="shared" ca="1" si="2"/>
        <v>0</v>
      </c>
      <c r="T7" s="34">
        <f t="shared" ca="1" si="2"/>
        <v>0</v>
      </c>
      <c r="V7" s="34"/>
      <c r="W7">
        <f t="shared" ca="1" si="3"/>
        <v>0</v>
      </c>
      <c r="Y7" t="str">
        <f t="shared" si="6"/>
        <v>-</v>
      </c>
      <c r="Z7" t="s">
        <v>16</v>
      </c>
      <c r="AA7" s="32" t="s">
        <v>1150</v>
      </c>
      <c r="AB7">
        <f t="shared" ca="1" si="7"/>
        <v>0</v>
      </c>
      <c r="AC7">
        <f t="shared" ca="1" si="4"/>
        <v>0</v>
      </c>
      <c r="AD7">
        <f t="shared" ca="1" si="4"/>
        <v>22</v>
      </c>
      <c r="AE7">
        <f t="shared" ca="1" si="4"/>
        <v>38</v>
      </c>
      <c r="AF7">
        <f t="shared" ca="1" si="4"/>
        <v>20</v>
      </c>
      <c r="AG7">
        <f t="shared" ca="1" si="4"/>
        <v>16</v>
      </c>
      <c r="AH7">
        <f t="shared" ca="1" si="4"/>
        <v>55</v>
      </c>
      <c r="AI7">
        <f t="shared" ca="1" si="4"/>
        <v>40</v>
      </c>
      <c r="AJ7" s="2">
        <f t="shared" ca="1" si="4"/>
        <v>0</v>
      </c>
      <c r="AK7" s="2">
        <f t="shared" ca="1" si="4"/>
        <v>0</v>
      </c>
      <c r="AL7" s="2">
        <f t="shared" ca="1" si="4"/>
        <v>0</v>
      </c>
      <c r="AM7" s="2">
        <f t="shared" ca="1" si="5"/>
        <v>0</v>
      </c>
      <c r="AN7" s="2">
        <f t="shared" ca="1" si="5"/>
        <v>0</v>
      </c>
      <c r="AO7" s="2">
        <f t="shared" ca="1" si="5"/>
        <v>0</v>
      </c>
      <c r="AP7" s="2">
        <f t="shared" ca="1" si="5"/>
        <v>0.05</v>
      </c>
      <c r="AQ7" s="34">
        <f t="shared" ca="1" si="5"/>
        <v>81</v>
      </c>
      <c r="AR7" s="34">
        <f t="shared" ca="1" si="5"/>
        <v>0</v>
      </c>
      <c r="AS7" s="34">
        <f t="shared" ca="1" si="5"/>
        <v>0</v>
      </c>
      <c r="AU7" s="34"/>
      <c r="AV7">
        <f t="shared" ca="1" si="8"/>
        <v>0</v>
      </c>
    </row>
    <row r="8" spans="1:48">
      <c r="A8" t="s">
        <v>17</v>
      </c>
      <c r="B8" s="32" t="s">
        <v>1175</v>
      </c>
      <c r="C8">
        <f t="shared" ca="1" si="0"/>
        <v>0</v>
      </c>
      <c r="D8">
        <f t="shared" ca="1" si="1"/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-10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2"/>
        <v>0</v>
      </c>
      <c r="O8" s="2">
        <f t="shared" ca="1" si="2"/>
        <v>0</v>
      </c>
      <c r="P8" s="2">
        <f t="shared" ca="1" si="2"/>
        <v>0</v>
      </c>
      <c r="Q8" s="2">
        <f t="shared" ca="1" si="2"/>
        <v>0</v>
      </c>
      <c r="R8" s="34">
        <f t="shared" ca="1" si="2"/>
        <v>0</v>
      </c>
      <c r="S8" s="34">
        <f t="shared" ca="1" si="2"/>
        <v>0</v>
      </c>
      <c r="T8" s="34">
        <f t="shared" ca="1" si="2"/>
        <v>0</v>
      </c>
      <c r="V8" s="34"/>
      <c r="W8">
        <f t="shared" ca="1" si="3"/>
        <v>8</v>
      </c>
      <c r="Y8" t="str">
        <f t="shared" si="6"/>
        <v>=</v>
      </c>
      <c r="Z8" t="s">
        <v>17</v>
      </c>
      <c r="AA8" s="32" t="s">
        <v>1175</v>
      </c>
      <c r="AB8">
        <f t="shared" ca="1" si="7"/>
        <v>0</v>
      </c>
      <c r="AC8">
        <f t="shared" ca="1" si="4"/>
        <v>0</v>
      </c>
      <c r="AD8">
        <f t="shared" ca="1" si="4"/>
        <v>0</v>
      </c>
      <c r="AE8">
        <f t="shared" ca="1" si="4"/>
        <v>0</v>
      </c>
      <c r="AF8">
        <f t="shared" ca="1" si="4"/>
        <v>0</v>
      </c>
      <c r="AG8">
        <f t="shared" ca="1" si="4"/>
        <v>0</v>
      </c>
      <c r="AH8">
        <f t="shared" ca="1" si="4"/>
        <v>0</v>
      </c>
      <c r="AI8">
        <f t="shared" ca="1" si="4"/>
        <v>-10</v>
      </c>
      <c r="AJ8" s="2">
        <f t="shared" ca="1" si="4"/>
        <v>0</v>
      </c>
      <c r="AK8" s="2">
        <f t="shared" ca="1" si="4"/>
        <v>0</v>
      </c>
      <c r="AL8" s="2">
        <f t="shared" ca="1" si="4"/>
        <v>0</v>
      </c>
      <c r="AM8" s="2">
        <f t="shared" ca="1" si="5"/>
        <v>0</v>
      </c>
      <c r="AN8" s="2">
        <f t="shared" ca="1" si="5"/>
        <v>0</v>
      </c>
      <c r="AO8" s="2">
        <f t="shared" ca="1" si="5"/>
        <v>0</v>
      </c>
      <c r="AP8" s="2">
        <f t="shared" ca="1" si="5"/>
        <v>0</v>
      </c>
      <c r="AQ8" s="34">
        <f t="shared" ca="1" si="5"/>
        <v>0</v>
      </c>
      <c r="AR8" s="34">
        <f t="shared" ca="1" si="5"/>
        <v>0</v>
      </c>
      <c r="AS8" s="34">
        <f t="shared" ca="1" si="5"/>
        <v>0</v>
      </c>
      <c r="AU8" s="34"/>
      <c r="AV8">
        <f t="shared" ca="1" si="8"/>
        <v>8</v>
      </c>
    </row>
    <row r="9" spans="1:48">
      <c r="A9" t="s">
        <v>73</v>
      </c>
      <c r="B9" s="32" t="s">
        <v>25</v>
      </c>
      <c r="C9">
        <f t="shared" ca="1" si="0"/>
        <v>0</v>
      </c>
      <c r="D9">
        <f t="shared" ca="1" si="1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0.05</v>
      </c>
      <c r="M9" s="2">
        <f t="shared" ca="1" si="1"/>
        <v>0</v>
      </c>
      <c r="N9" s="2">
        <f t="shared" ca="1" si="2"/>
        <v>0</v>
      </c>
      <c r="O9" s="2">
        <f t="shared" ca="1" si="2"/>
        <v>0</v>
      </c>
      <c r="P9" s="2">
        <f t="shared" ca="1" si="2"/>
        <v>0</v>
      </c>
      <c r="Q9" s="2">
        <f t="shared" ca="1" si="2"/>
        <v>0</v>
      </c>
      <c r="R9" s="34">
        <f t="shared" ca="1" si="2"/>
        <v>0</v>
      </c>
      <c r="S9" s="34">
        <f t="shared" ca="1" si="2"/>
        <v>0</v>
      </c>
      <c r="T9" s="34">
        <f t="shared" ca="1" si="2"/>
        <v>0</v>
      </c>
      <c r="V9" s="34"/>
      <c r="W9">
        <f t="shared" ca="1" si="3"/>
        <v>1</v>
      </c>
      <c r="Y9" t="str">
        <f t="shared" si="6"/>
        <v>-</v>
      </c>
      <c r="Z9" t="s">
        <v>73</v>
      </c>
      <c r="AA9" s="32" t="s">
        <v>143</v>
      </c>
      <c r="AB9">
        <f t="shared" ca="1" si="7"/>
        <v>5</v>
      </c>
      <c r="AC9">
        <f t="shared" ca="1" si="4"/>
        <v>0</v>
      </c>
      <c r="AD9">
        <f t="shared" ca="1" si="4"/>
        <v>0</v>
      </c>
      <c r="AE9">
        <f t="shared" ca="1" si="4"/>
        <v>0</v>
      </c>
      <c r="AF9">
        <f t="shared" ca="1" si="4"/>
        <v>0</v>
      </c>
      <c r="AG9">
        <f t="shared" ca="1" si="4"/>
        <v>0</v>
      </c>
      <c r="AH9">
        <f t="shared" ca="1" si="4"/>
        <v>0</v>
      </c>
      <c r="AI9">
        <f t="shared" ca="1" si="4"/>
        <v>0</v>
      </c>
      <c r="AJ9" s="2">
        <f t="shared" ca="1" si="4"/>
        <v>0</v>
      </c>
      <c r="AK9" s="2">
        <f t="shared" ca="1" si="4"/>
        <v>0</v>
      </c>
      <c r="AL9" s="2">
        <f t="shared" ca="1" si="4"/>
        <v>0</v>
      </c>
      <c r="AM9" s="2">
        <f t="shared" ca="1" si="5"/>
        <v>0</v>
      </c>
      <c r="AN9" s="2">
        <f t="shared" ca="1" si="5"/>
        <v>0.05</v>
      </c>
      <c r="AO9" s="2">
        <f t="shared" ca="1" si="5"/>
        <v>0</v>
      </c>
      <c r="AP9" s="2">
        <f t="shared" ca="1" si="5"/>
        <v>0</v>
      </c>
      <c r="AQ9" s="34">
        <f t="shared" ca="1" si="5"/>
        <v>0</v>
      </c>
      <c r="AR9" s="34">
        <f t="shared" ca="1" si="5"/>
        <v>0</v>
      </c>
      <c r="AS9" s="34">
        <f t="shared" ca="1" si="5"/>
        <v>0</v>
      </c>
      <c r="AU9" s="34"/>
      <c r="AV9">
        <f t="shared" ca="1" si="8"/>
        <v>0</v>
      </c>
    </row>
    <row r="10" spans="1:48">
      <c r="A10" t="s">
        <v>73</v>
      </c>
      <c r="B10" s="32" t="s">
        <v>1187</v>
      </c>
      <c r="C10">
        <f t="shared" ca="1" si="0"/>
        <v>0</v>
      </c>
      <c r="D10">
        <f t="shared" ca="1" si="1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</v>
      </c>
      <c r="L10" s="2">
        <f t="shared" ca="1" si="1"/>
        <v>0.01</v>
      </c>
      <c r="M10" s="2">
        <f t="shared" ca="1" si="1"/>
        <v>0</v>
      </c>
      <c r="N10" s="2">
        <f t="shared" ca="1" si="2"/>
        <v>0</v>
      </c>
      <c r="O10" s="2">
        <f t="shared" ca="1" si="2"/>
        <v>0</v>
      </c>
      <c r="P10" s="2">
        <f t="shared" ca="1" si="2"/>
        <v>0</v>
      </c>
      <c r="Q10" s="2">
        <f t="shared" ca="1" si="2"/>
        <v>0</v>
      </c>
      <c r="R10" s="34">
        <f t="shared" ca="1" si="2"/>
        <v>0</v>
      </c>
      <c r="S10" s="34">
        <f t="shared" ca="1" si="2"/>
        <v>0</v>
      </c>
      <c r="T10" s="34">
        <f t="shared" ca="1" si="2"/>
        <v>0</v>
      </c>
      <c r="V10" s="34"/>
      <c r="W10">
        <f t="shared" ca="1" si="3"/>
        <v>5</v>
      </c>
      <c r="Y10" t="str">
        <f t="shared" si="6"/>
        <v>=</v>
      </c>
      <c r="Z10" t="s">
        <v>73</v>
      </c>
      <c r="AA10" s="32" t="s">
        <v>1187</v>
      </c>
      <c r="AB10">
        <f t="shared" ca="1" si="7"/>
        <v>0</v>
      </c>
      <c r="AC10">
        <f t="shared" ca="1" si="4"/>
        <v>0</v>
      </c>
      <c r="AD10">
        <f t="shared" ca="1" si="4"/>
        <v>0</v>
      </c>
      <c r="AE10">
        <f t="shared" ca="1" si="4"/>
        <v>0</v>
      </c>
      <c r="AF10">
        <f t="shared" ca="1" si="4"/>
        <v>0</v>
      </c>
      <c r="AG10">
        <f t="shared" ca="1" si="4"/>
        <v>0</v>
      </c>
      <c r="AH10">
        <f t="shared" ca="1" si="4"/>
        <v>10</v>
      </c>
      <c r="AI10">
        <f t="shared" ca="1" si="4"/>
        <v>10</v>
      </c>
      <c r="AJ10" s="2">
        <f t="shared" ca="1" si="4"/>
        <v>0</v>
      </c>
      <c r="AK10" s="2">
        <f t="shared" ca="1" si="4"/>
        <v>0.01</v>
      </c>
      <c r="AL10" s="2">
        <f t="shared" ca="1" si="4"/>
        <v>0</v>
      </c>
      <c r="AM10" s="2">
        <f t="shared" ca="1" si="5"/>
        <v>0</v>
      </c>
      <c r="AN10" s="2">
        <f t="shared" ca="1" si="5"/>
        <v>0</v>
      </c>
      <c r="AO10" s="2">
        <f t="shared" ca="1" si="5"/>
        <v>0</v>
      </c>
      <c r="AP10" s="2">
        <f t="shared" ca="1" si="5"/>
        <v>0</v>
      </c>
      <c r="AQ10" s="34">
        <f t="shared" ca="1" si="5"/>
        <v>0</v>
      </c>
      <c r="AR10" s="34">
        <f t="shared" ca="1" si="5"/>
        <v>0</v>
      </c>
      <c r="AS10" s="34">
        <f t="shared" ca="1" si="5"/>
        <v>0</v>
      </c>
      <c r="AU10" s="34"/>
      <c r="AV10">
        <f t="shared" ca="1" si="8"/>
        <v>5</v>
      </c>
    </row>
    <row r="11" spans="1:48">
      <c r="A11" t="s">
        <v>18</v>
      </c>
      <c r="B11" s="32" t="s">
        <v>1085</v>
      </c>
      <c r="C11">
        <f t="shared" ca="1" si="0"/>
        <v>0</v>
      </c>
      <c r="D11">
        <f t="shared" ca="1" si="1"/>
        <v>0</v>
      </c>
      <c r="E11">
        <f t="shared" ca="1" si="1"/>
        <v>26</v>
      </c>
      <c r="F11">
        <f t="shared" ca="1" si="1"/>
        <v>43</v>
      </c>
      <c r="G11">
        <f t="shared" ca="1" si="1"/>
        <v>20</v>
      </c>
      <c r="H11">
        <f t="shared" ca="1" si="1"/>
        <v>20</v>
      </c>
      <c r="I11">
        <f t="shared" ca="1" si="1"/>
        <v>20</v>
      </c>
      <c r="J11">
        <f t="shared" ca="1" si="1"/>
        <v>35</v>
      </c>
      <c r="K11" s="2">
        <f t="shared" ca="1" si="1"/>
        <v>0</v>
      </c>
      <c r="L11" s="2">
        <f t="shared" ca="1" si="1"/>
        <v>0</v>
      </c>
      <c r="M11" s="2">
        <f t="shared" ca="1" si="1"/>
        <v>0.03</v>
      </c>
      <c r="N11" s="2">
        <f t="shared" ca="1" si="2"/>
        <v>0</v>
      </c>
      <c r="O11" s="2">
        <f t="shared" ca="1" si="2"/>
        <v>0.05</v>
      </c>
      <c r="P11" s="2">
        <f t="shared" ca="1" si="2"/>
        <v>0</v>
      </c>
      <c r="Q11" s="2">
        <f t="shared" ca="1" si="2"/>
        <v>0</v>
      </c>
      <c r="R11" s="34">
        <f t="shared" ca="1" si="2"/>
        <v>41</v>
      </c>
      <c r="S11" s="34">
        <f t="shared" ca="1" si="2"/>
        <v>0</v>
      </c>
      <c r="T11" s="34">
        <f t="shared" ca="1" si="2"/>
        <v>0</v>
      </c>
      <c r="V11" s="34"/>
      <c r="W11">
        <f t="shared" ca="1" si="3"/>
        <v>0</v>
      </c>
      <c r="Y11" t="str">
        <f t="shared" si="6"/>
        <v>-</v>
      </c>
      <c r="Z11" t="s">
        <v>18</v>
      </c>
      <c r="AA11" s="32" t="s">
        <v>1143</v>
      </c>
      <c r="AB11">
        <f t="shared" ca="1" si="7"/>
        <v>0</v>
      </c>
      <c r="AC11">
        <f t="shared" ca="1" si="4"/>
        <v>0</v>
      </c>
      <c r="AD11">
        <f t="shared" ca="1" si="4"/>
        <v>28</v>
      </c>
      <c r="AE11">
        <f t="shared" ca="1" si="4"/>
        <v>44</v>
      </c>
      <c r="AF11">
        <f t="shared" ca="1" si="4"/>
        <v>21</v>
      </c>
      <c r="AG11">
        <f t="shared" ca="1" si="4"/>
        <v>20</v>
      </c>
      <c r="AH11">
        <f t="shared" ca="1" si="4"/>
        <v>30</v>
      </c>
      <c r="AI11">
        <f t="shared" ca="1" si="4"/>
        <v>45</v>
      </c>
      <c r="AJ11" s="2">
        <f t="shared" ca="1" si="4"/>
        <v>0</v>
      </c>
      <c r="AK11" s="2">
        <f t="shared" ca="1" si="4"/>
        <v>0</v>
      </c>
      <c r="AL11" s="2">
        <f t="shared" ca="1" si="4"/>
        <v>0</v>
      </c>
      <c r="AM11" s="2">
        <f t="shared" ca="1" si="5"/>
        <v>0</v>
      </c>
      <c r="AN11" s="2">
        <f t="shared" ca="1" si="5"/>
        <v>0</v>
      </c>
      <c r="AO11" s="2">
        <f t="shared" ca="1" si="5"/>
        <v>0.03</v>
      </c>
      <c r="AP11" s="2">
        <f t="shared" ca="1" si="5"/>
        <v>0.05</v>
      </c>
      <c r="AQ11" s="34">
        <f t="shared" ca="1" si="5"/>
        <v>41</v>
      </c>
      <c r="AR11" s="34">
        <f t="shared" ca="1" si="5"/>
        <v>0</v>
      </c>
      <c r="AS11" s="34">
        <f t="shared" ca="1" si="5"/>
        <v>0</v>
      </c>
      <c r="AU11" s="34"/>
      <c r="AV11">
        <f t="shared" ca="1" si="8"/>
        <v>3</v>
      </c>
    </row>
    <row r="12" spans="1:48">
      <c r="A12" t="s">
        <v>19</v>
      </c>
      <c r="B12" s="32" t="s">
        <v>1091</v>
      </c>
      <c r="C12">
        <f t="shared" ca="1" si="0"/>
        <v>0</v>
      </c>
      <c r="D12">
        <f t="shared" ca="1" si="1"/>
        <v>0</v>
      </c>
      <c r="E12">
        <f t="shared" ca="1" si="1"/>
        <v>15</v>
      </c>
      <c r="F12">
        <f t="shared" ca="1" si="1"/>
        <v>53</v>
      </c>
      <c r="G12">
        <f t="shared" ca="1" si="1"/>
        <v>12</v>
      </c>
      <c r="H12">
        <f t="shared" ca="1" si="1"/>
        <v>30</v>
      </c>
      <c r="I12">
        <f t="shared" ca="1" si="1"/>
        <v>0</v>
      </c>
      <c r="J12">
        <f t="shared" ca="1" si="1"/>
        <v>37</v>
      </c>
      <c r="K12" s="2">
        <f t="shared" ca="1" si="1"/>
        <v>0</v>
      </c>
      <c r="L12" s="2">
        <f t="shared" ca="1" si="1"/>
        <v>0</v>
      </c>
      <c r="M12" s="2">
        <f t="shared" ca="1" si="1"/>
        <v>0.03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34">
        <f t="shared" ca="1" si="2"/>
        <v>51</v>
      </c>
      <c r="S12" s="34">
        <f t="shared" ca="1" si="2"/>
        <v>0</v>
      </c>
      <c r="T12" s="34">
        <f t="shared" ca="1" si="2"/>
        <v>0</v>
      </c>
      <c r="V12" s="34"/>
      <c r="W12">
        <f t="shared" ca="1" si="3"/>
        <v>6</v>
      </c>
      <c r="Y12" t="str">
        <f t="shared" si="6"/>
        <v>-</v>
      </c>
      <c r="Z12" t="s">
        <v>19</v>
      </c>
      <c r="AA12" s="32" t="s">
        <v>1146</v>
      </c>
      <c r="AB12">
        <f t="shared" ca="1" si="7"/>
        <v>0</v>
      </c>
      <c r="AC12">
        <f t="shared" ca="1" si="4"/>
        <v>0</v>
      </c>
      <c r="AD12">
        <f t="shared" ca="1" si="4"/>
        <v>16</v>
      </c>
      <c r="AE12">
        <f t="shared" ca="1" si="4"/>
        <v>49</v>
      </c>
      <c r="AF12">
        <f t="shared" ca="1" si="4"/>
        <v>14</v>
      </c>
      <c r="AG12">
        <f t="shared" ca="1" si="4"/>
        <v>26</v>
      </c>
      <c r="AH12">
        <f t="shared" ca="1" si="4"/>
        <v>30</v>
      </c>
      <c r="AI12">
        <f t="shared" ca="1" si="4"/>
        <v>42</v>
      </c>
      <c r="AJ12" s="2">
        <f t="shared" ca="1" si="4"/>
        <v>0</v>
      </c>
      <c r="AK12" s="2">
        <f t="shared" ca="1" si="4"/>
        <v>0</v>
      </c>
      <c r="AL12" s="2">
        <f t="shared" ca="1" si="4"/>
        <v>0.02</v>
      </c>
      <c r="AM12" s="2">
        <f t="shared" ca="1" si="5"/>
        <v>0</v>
      </c>
      <c r="AN12" s="2">
        <f t="shared" ca="1" si="5"/>
        <v>0</v>
      </c>
      <c r="AO12" s="2">
        <f t="shared" ca="1" si="5"/>
        <v>0</v>
      </c>
      <c r="AP12" s="2">
        <f t="shared" ca="1" si="5"/>
        <v>0.05</v>
      </c>
      <c r="AQ12" s="34">
        <f t="shared" ca="1" si="5"/>
        <v>51</v>
      </c>
      <c r="AR12" s="34">
        <f t="shared" ca="1" si="5"/>
        <v>0</v>
      </c>
      <c r="AS12" s="34">
        <f t="shared" ca="1" si="5"/>
        <v>0</v>
      </c>
      <c r="AU12" s="34"/>
      <c r="AV12">
        <f t="shared" ca="1" si="8"/>
        <v>0</v>
      </c>
    </row>
    <row r="13" spans="1:48">
      <c r="A13" t="s">
        <v>74</v>
      </c>
      <c r="B13" s="32" t="s">
        <v>1117</v>
      </c>
      <c r="C13">
        <f t="shared" ca="1" si="0"/>
        <v>0</v>
      </c>
      <c r="D13">
        <f t="shared" ref="D13:M18" ca="1" si="9">IF(ISBLANK($B13), 0, VLOOKUP($B13, INDIRECT($A13), MATCH(D$2, StatHeader, 0), 0))</f>
        <v>0</v>
      </c>
      <c r="E13">
        <f t="shared" ca="1" si="9"/>
        <v>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0</v>
      </c>
      <c r="J13">
        <f t="shared" ca="1" si="9"/>
        <v>0</v>
      </c>
      <c r="K13" s="2">
        <f t="shared" ca="1" si="9"/>
        <v>0</v>
      </c>
      <c r="L13" s="2">
        <f t="shared" ca="1" si="9"/>
        <v>0</v>
      </c>
      <c r="M13" s="2">
        <f t="shared" ca="1" si="9"/>
        <v>0.02</v>
      </c>
      <c r="N13" s="2">
        <f t="shared" ref="N13:T18" ca="1" si="10">IF(ISBLANK($B13), 0, VLOOKUP($B13, INDIRECT($A13), MATCH(N$2, StatHeader, 0), 0))</f>
        <v>0</v>
      </c>
      <c r="O13" s="2">
        <f t="shared" ca="1" si="10"/>
        <v>0</v>
      </c>
      <c r="P13" s="2">
        <f t="shared" ca="1" si="10"/>
        <v>0.01</v>
      </c>
      <c r="Q13" s="2">
        <f t="shared" ca="1" si="10"/>
        <v>0</v>
      </c>
      <c r="R13" s="34">
        <f t="shared" ca="1" si="10"/>
        <v>0</v>
      </c>
      <c r="S13" s="34">
        <f t="shared" ca="1" si="10"/>
        <v>0</v>
      </c>
      <c r="T13" s="34">
        <f t="shared" ca="1" si="10"/>
        <v>0</v>
      </c>
      <c r="V13" s="34"/>
      <c r="W13">
        <f t="shared" ca="1" si="3"/>
        <v>0</v>
      </c>
      <c r="Y13" t="str">
        <f t="shared" si="6"/>
        <v>=</v>
      </c>
      <c r="Z13" t="s">
        <v>74</v>
      </c>
      <c r="AA13" s="32" t="s">
        <v>1117</v>
      </c>
      <c r="AB13">
        <f t="shared" ca="1" si="7"/>
        <v>0</v>
      </c>
      <c r="AC13">
        <f t="shared" ref="AC13:AL18" ca="1" si="11">IF(ISBLANK($AA13), 0, VLOOKUP($AA13, INDIRECT($Z13), MATCH(AC$2, StatHeader, 0), 0))</f>
        <v>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0</v>
      </c>
      <c r="AH13">
        <f t="shared" ca="1" si="11"/>
        <v>0</v>
      </c>
      <c r="AI13">
        <f t="shared" ca="1" si="11"/>
        <v>0</v>
      </c>
      <c r="AJ13" s="2">
        <f t="shared" ca="1" si="11"/>
        <v>0</v>
      </c>
      <c r="AK13" s="2">
        <f t="shared" ca="1" si="11"/>
        <v>0</v>
      </c>
      <c r="AL13" s="2">
        <f t="shared" ca="1" si="11"/>
        <v>0.02</v>
      </c>
      <c r="AM13" s="2">
        <f t="shared" ref="AM13:AS18" ca="1" si="12">IF(ISBLANK($AA13), 0, VLOOKUP($AA13, INDIRECT($Z13), MATCH(AM$2, StatHeader, 0), 0))</f>
        <v>0</v>
      </c>
      <c r="AN13" s="2">
        <f t="shared" ca="1" si="12"/>
        <v>0</v>
      </c>
      <c r="AO13" s="2">
        <f t="shared" ca="1" si="12"/>
        <v>0.01</v>
      </c>
      <c r="AP13" s="2">
        <f t="shared" ca="1" si="12"/>
        <v>0</v>
      </c>
      <c r="AQ13" s="34">
        <f t="shared" ca="1" si="12"/>
        <v>0</v>
      </c>
      <c r="AR13" s="34">
        <f t="shared" ca="1" si="12"/>
        <v>0</v>
      </c>
      <c r="AS13" s="34">
        <f t="shared" ca="1" si="12"/>
        <v>0</v>
      </c>
      <c r="AU13" s="34"/>
      <c r="AV13">
        <f t="shared" ca="1" si="8"/>
        <v>0</v>
      </c>
    </row>
    <row r="14" spans="1:48">
      <c r="A14" t="s">
        <v>74</v>
      </c>
      <c r="B14" s="32" t="s">
        <v>669</v>
      </c>
      <c r="C14">
        <f t="shared" ca="1" si="0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0.03</v>
      </c>
      <c r="M14" s="2">
        <f t="shared" ca="1" si="9"/>
        <v>0.03</v>
      </c>
      <c r="N14" s="2">
        <f t="shared" ca="1" si="10"/>
        <v>0</v>
      </c>
      <c r="O14" s="2">
        <f t="shared" ca="1" si="10"/>
        <v>0</v>
      </c>
      <c r="P14" s="2">
        <f t="shared" ca="1" si="10"/>
        <v>0</v>
      </c>
      <c r="Q14" s="2">
        <f t="shared" ca="1" si="10"/>
        <v>0</v>
      </c>
      <c r="R14" s="34">
        <f t="shared" ca="1" si="10"/>
        <v>0</v>
      </c>
      <c r="S14" s="34">
        <f t="shared" ca="1" si="10"/>
        <v>0</v>
      </c>
      <c r="T14" s="34">
        <f t="shared" ca="1" si="10"/>
        <v>0</v>
      </c>
      <c r="V14" s="34"/>
      <c r="W14">
        <f t="shared" ca="1" si="3"/>
        <v>0</v>
      </c>
      <c r="Y14" t="str">
        <f t="shared" si="6"/>
        <v>-</v>
      </c>
      <c r="Z14" t="s">
        <v>74</v>
      </c>
      <c r="AA14" s="32" t="s">
        <v>1118</v>
      </c>
      <c r="AB14">
        <f t="shared" ca="1" si="7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7</v>
      </c>
      <c r="AI14">
        <f t="shared" ca="1" si="11"/>
        <v>7</v>
      </c>
      <c r="AJ14" s="2">
        <f t="shared" ca="1" si="11"/>
        <v>0</v>
      </c>
      <c r="AK14" s="2">
        <f t="shared" ca="1" si="11"/>
        <v>0</v>
      </c>
      <c r="AL14" s="2">
        <f t="shared" ca="1" si="11"/>
        <v>0</v>
      </c>
      <c r="AM14" s="2">
        <f t="shared" ca="1" si="12"/>
        <v>0</v>
      </c>
      <c r="AN14" s="2">
        <f t="shared" ca="1" si="12"/>
        <v>0</v>
      </c>
      <c r="AO14" s="2">
        <f t="shared" ca="1" si="12"/>
        <v>0.05</v>
      </c>
      <c r="AP14" s="2">
        <f t="shared" ca="1" si="12"/>
        <v>0</v>
      </c>
      <c r="AQ14" s="34">
        <f t="shared" ca="1" si="12"/>
        <v>0</v>
      </c>
      <c r="AR14" s="34">
        <f t="shared" ca="1" si="12"/>
        <v>0</v>
      </c>
      <c r="AS14" s="34">
        <f t="shared" ca="1" si="12"/>
        <v>0</v>
      </c>
      <c r="AU14" s="34"/>
      <c r="AV14">
        <f t="shared" ca="1" si="8"/>
        <v>0</v>
      </c>
    </row>
    <row r="15" spans="1:48">
      <c r="A15" t="s">
        <v>20</v>
      </c>
      <c r="B15" s="32" t="s">
        <v>1122</v>
      </c>
      <c r="C15">
        <f t="shared" ca="1" si="0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10"/>
        <v>0</v>
      </c>
      <c r="O15" s="2">
        <f t="shared" ca="1" si="10"/>
        <v>0</v>
      </c>
      <c r="P15" s="2">
        <f t="shared" ca="1" si="10"/>
        <v>0</v>
      </c>
      <c r="Q15" s="2">
        <f t="shared" ca="1" si="10"/>
        <v>0</v>
      </c>
      <c r="R15" s="34">
        <f t="shared" ca="1" si="10"/>
        <v>0</v>
      </c>
      <c r="S15" s="34">
        <f t="shared" ca="1" si="10"/>
        <v>0</v>
      </c>
      <c r="T15" s="34">
        <f t="shared" ca="1" si="10"/>
        <v>0</v>
      </c>
      <c r="V15" s="34"/>
      <c r="W15">
        <f t="shared" ca="1" si="3"/>
        <v>10</v>
      </c>
      <c r="Y15" t="str">
        <f t="shared" si="6"/>
        <v>-</v>
      </c>
      <c r="Z15" t="s">
        <v>20</v>
      </c>
      <c r="AA15" s="32" t="s">
        <v>1121</v>
      </c>
      <c r="AB15">
        <f t="shared" ca="1" si="7"/>
        <v>0</v>
      </c>
      <c r="AC15">
        <f t="shared" ca="1" si="11"/>
        <v>0</v>
      </c>
      <c r="AD15">
        <f t="shared" ca="1" si="11"/>
        <v>0</v>
      </c>
      <c r="AE15">
        <f t="shared" ca="1" si="11"/>
        <v>30</v>
      </c>
      <c r="AF15">
        <f t="shared" ca="1" si="11"/>
        <v>0</v>
      </c>
      <c r="AG15">
        <f t="shared" ca="1" si="11"/>
        <v>0</v>
      </c>
      <c r="AH15">
        <f t="shared" ca="1" si="11"/>
        <v>20</v>
      </c>
      <c r="AI15">
        <f t="shared" ca="1" si="11"/>
        <v>20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2"/>
        <v>0</v>
      </c>
      <c r="AN15" s="2">
        <f t="shared" ca="1" si="12"/>
        <v>0</v>
      </c>
      <c r="AO15" s="2">
        <f t="shared" ca="1" si="12"/>
        <v>0.1</v>
      </c>
      <c r="AP15" s="2">
        <f t="shared" ca="1" si="12"/>
        <v>0</v>
      </c>
      <c r="AQ15" s="34">
        <f t="shared" ca="1" si="12"/>
        <v>0</v>
      </c>
      <c r="AR15" s="34">
        <f t="shared" ca="1" si="12"/>
        <v>0</v>
      </c>
      <c r="AS15" s="34">
        <f t="shared" ca="1" si="12"/>
        <v>0</v>
      </c>
      <c r="AU15" s="34"/>
      <c r="AV15">
        <f t="shared" ca="1" si="8"/>
        <v>0</v>
      </c>
    </row>
    <row r="16" spans="1:48">
      <c r="A16" t="s">
        <v>21</v>
      </c>
      <c r="B16" s="32" t="s">
        <v>1054</v>
      </c>
      <c r="C16">
        <f t="shared" ca="1" si="0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10"/>
        <v>0</v>
      </c>
      <c r="O16" s="2">
        <f t="shared" ca="1" si="10"/>
        <v>0.06</v>
      </c>
      <c r="P16" s="2">
        <f t="shared" ca="1" si="10"/>
        <v>0</v>
      </c>
      <c r="Q16" s="2">
        <f t="shared" ca="1" si="10"/>
        <v>0</v>
      </c>
      <c r="R16" s="34">
        <f t="shared" ca="1" si="10"/>
        <v>0</v>
      </c>
      <c r="S16" s="34">
        <f t="shared" ca="1" si="10"/>
        <v>0</v>
      </c>
      <c r="T16" s="34">
        <f t="shared" ca="1" si="10"/>
        <v>0</v>
      </c>
      <c r="V16" s="34"/>
      <c r="W16">
        <f t="shared" ca="1" si="3"/>
        <v>0</v>
      </c>
      <c r="Y16" t="str">
        <f t="shared" si="6"/>
        <v>=</v>
      </c>
      <c r="Z16" t="s">
        <v>21</v>
      </c>
      <c r="AA16" s="32" t="s">
        <v>1054</v>
      </c>
      <c r="AB16">
        <f t="shared" ca="1" si="7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0</v>
      </c>
      <c r="AM16" s="2">
        <f t="shared" ca="1" si="12"/>
        <v>0</v>
      </c>
      <c r="AN16" s="2">
        <f t="shared" ca="1" si="12"/>
        <v>0.06</v>
      </c>
      <c r="AO16" s="2">
        <f t="shared" ca="1" si="12"/>
        <v>0</v>
      </c>
      <c r="AP16" s="2">
        <f t="shared" ca="1" si="12"/>
        <v>0</v>
      </c>
      <c r="AQ16" s="34">
        <f t="shared" ca="1" si="12"/>
        <v>0</v>
      </c>
      <c r="AR16" s="34">
        <f t="shared" ca="1" si="12"/>
        <v>0</v>
      </c>
      <c r="AS16" s="34">
        <f t="shared" ca="1" si="12"/>
        <v>0</v>
      </c>
      <c r="AU16" s="34"/>
      <c r="AV16">
        <f t="shared" ca="1" si="8"/>
        <v>0</v>
      </c>
    </row>
    <row r="17" spans="1:48">
      <c r="A17" t="s">
        <v>22</v>
      </c>
      <c r="B17" s="32" t="s">
        <v>1049</v>
      </c>
      <c r="C17">
        <f t="shared" ca="1" si="0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28</v>
      </c>
      <c r="H17">
        <f t="shared" ca="1" si="9"/>
        <v>16</v>
      </c>
      <c r="I17">
        <f t="shared" ca="1" si="9"/>
        <v>0</v>
      </c>
      <c r="J17">
        <f t="shared" ca="1" si="9"/>
        <v>15</v>
      </c>
      <c r="K17" s="2">
        <f t="shared" ca="1" si="9"/>
        <v>0</v>
      </c>
      <c r="L17" s="2">
        <f t="shared" ca="1" si="9"/>
        <v>0.03</v>
      </c>
      <c r="M17" s="2">
        <f t="shared" ca="1" si="9"/>
        <v>0.03</v>
      </c>
      <c r="N17" s="2">
        <f t="shared" ca="1" si="10"/>
        <v>0</v>
      </c>
      <c r="O17" s="2">
        <f t="shared" ca="1" si="10"/>
        <v>0</v>
      </c>
      <c r="P17" s="2">
        <f t="shared" ca="1" si="10"/>
        <v>0</v>
      </c>
      <c r="Q17" s="2">
        <f t="shared" ca="1" si="10"/>
        <v>0</v>
      </c>
      <c r="R17" s="34">
        <f t="shared" ca="1" si="10"/>
        <v>61</v>
      </c>
      <c r="S17" s="34">
        <f t="shared" ca="1" si="10"/>
        <v>0</v>
      </c>
      <c r="T17" s="34">
        <f t="shared" ca="1" si="10"/>
        <v>0</v>
      </c>
      <c r="V17" s="34"/>
      <c r="W17">
        <f t="shared" ca="1" si="3"/>
        <v>7</v>
      </c>
      <c r="Y17" t="str">
        <f t="shared" si="6"/>
        <v>-</v>
      </c>
      <c r="Z17" t="s">
        <v>22</v>
      </c>
      <c r="AA17" s="32" t="s">
        <v>1150</v>
      </c>
      <c r="AB17">
        <f t="shared" ca="1" si="7"/>
        <v>0</v>
      </c>
      <c r="AC17">
        <f t="shared" ca="1" si="11"/>
        <v>0</v>
      </c>
      <c r="AD17">
        <f t="shared" ca="1" si="11"/>
        <v>33</v>
      </c>
      <c r="AE17">
        <f t="shared" ca="1" si="11"/>
        <v>10</v>
      </c>
      <c r="AF17">
        <f t="shared" ca="1" si="11"/>
        <v>29</v>
      </c>
      <c r="AG17">
        <f t="shared" ca="1" si="11"/>
        <v>15</v>
      </c>
      <c r="AH17">
        <f t="shared" ca="1" si="11"/>
        <v>55</v>
      </c>
      <c r="AI17">
        <f t="shared" ca="1" si="11"/>
        <v>40</v>
      </c>
      <c r="AJ17" s="2">
        <f t="shared" ca="1" si="11"/>
        <v>0</v>
      </c>
      <c r="AK17" s="2">
        <f t="shared" ca="1" si="11"/>
        <v>0</v>
      </c>
      <c r="AL17" s="2">
        <f t="shared" ca="1" si="11"/>
        <v>0</v>
      </c>
      <c r="AM17" s="2">
        <f t="shared" ca="1" si="12"/>
        <v>0</v>
      </c>
      <c r="AN17" s="2">
        <f t="shared" ca="1" si="12"/>
        <v>0</v>
      </c>
      <c r="AO17" s="2">
        <f t="shared" ca="1" si="12"/>
        <v>0</v>
      </c>
      <c r="AP17" s="2">
        <f t="shared" ca="1" si="12"/>
        <v>0.05</v>
      </c>
      <c r="AQ17" s="34">
        <f t="shared" ca="1" si="12"/>
        <v>61</v>
      </c>
      <c r="AR17" s="34">
        <f t="shared" ca="1" si="12"/>
        <v>0</v>
      </c>
      <c r="AS17" s="34">
        <f t="shared" ca="1" si="12"/>
        <v>0</v>
      </c>
      <c r="AU17" s="34"/>
      <c r="AV17">
        <f t="shared" ca="1" si="8"/>
        <v>4</v>
      </c>
    </row>
    <row r="18" spans="1:48">
      <c r="A18" t="s">
        <v>23</v>
      </c>
      <c r="B18" s="32" t="s">
        <v>1149</v>
      </c>
      <c r="C18">
        <f t="shared" ca="1" si="0"/>
        <v>0</v>
      </c>
      <c r="D18">
        <f t="shared" ca="1" si="9"/>
        <v>0</v>
      </c>
      <c r="E18">
        <f t="shared" ca="1" si="9"/>
        <v>26</v>
      </c>
      <c r="F18">
        <f t="shared" ca="1" si="9"/>
        <v>34</v>
      </c>
      <c r="G18">
        <f t="shared" ca="1" si="9"/>
        <v>0</v>
      </c>
      <c r="H18">
        <f t="shared" ca="1" si="9"/>
        <v>11</v>
      </c>
      <c r="I18">
        <f t="shared" ca="1" si="9"/>
        <v>50</v>
      </c>
      <c r="J18">
        <f t="shared" ca="1" si="9"/>
        <v>50</v>
      </c>
      <c r="K18" s="2">
        <f t="shared" ca="1" si="9"/>
        <v>0</v>
      </c>
      <c r="L18" s="2">
        <f t="shared" ca="1" si="9"/>
        <v>0</v>
      </c>
      <c r="M18" s="2">
        <f t="shared" ca="1" si="9"/>
        <v>0.06</v>
      </c>
      <c r="N18" s="2">
        <f t="shared" ca="1" si="10"/>
        <v>0</v>
      </c>
      <c r="O18" s="2">
        <f t="shared" ca="1" si="10"/>
        <v>0</v>
      </c>
      <c r="P18" s="2">
        <f t="shared" ca="1" si="10"/>
        <v>0</v>
      </c>
      <c r="Q18" s="2">
        <f t="shared" ca="1" si="10"/>
        <v>0</v>
      </c>
      <c r="R18" s="34">
        <f t="shared" ca="1" si="10"/>
        <v>41</v>
      </c>
      <c r="S18" s="34">
        <f t="shared" ca="1" si="10"/>
        <v>0</v>
      </c>
      <c r="T18" s="34">
        <f t="shared" ca="1" si="10"/>
        <v>0</v>
      </c>
      <c r="V18" s="34"/>
      <c r="W18">
        <f t="shared" ca="1" si="3"/>
        <v>0</v>
      </c>
      <c r="Y18" t="str">
        <f t="shared" si="6"/>
        <v>-</v>
      </c>
      <c r="Z18" t="s">
        <v>23</v>
      </c>
      <c r="AA18" s="32" t="s">
        <v>1104</v>
      </c>
      <c r="AB18">
        <f t="shared" ca="1" si="7"/>
        <v>0</v>
      </c>
      <c r="AC18">
        <f t="shared" ca="1" si="11"/>
        <v>0</v>
      </c>
      <c r="AD18">
        <f t="shared" ca="1" si="11"/>
        <v>13</v>
      </c>
      <c r="AE18">
        <f t="shared" ca="1" si="11"/>
        <v>28</v>
      </c>
      <c r="AF18">
        <f t="shared" ca="1" si="11"/>
        <v>1</v>
      </c>
      <c r="AG18">
        <f t="shared" ca="1" si="11"/>
        <v>13</v>
      </c>
      <c r="AH18">
        <f t="shared" ca="1" si="11"/>
        <v>25</v>
      </c>
      <c r="AI18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</v>
      </c>
      <c r="AM18" s="2">
        <f t="shared" ca="1" si="12"/>
        <v>0</v>
      </c>
      <c r="AN18" s="2">
        <f t="shared" ca="1" si="12"/>
        <v>0</v>
      </c>
      <c r="AO18" s="2">
        <f t="shared" ca="1" si="12"/>
        <v>0.04</v>
      </c>
      <c r="AP18" s="2">
        <f t="shared" ca="1" si="12"/>
        <v>0.05</v>
      </c>
      <c r="AQ18" s="34">
        <f t="shared" ca="1" si="12"/>
        <v>41</v>
      </c>
      <c r="AR18" s="34">
        <f t="shared" ca="1" si="12"/>
        <v>0</v>
      </c>
      <c r="AS18" s="34">
        <f t="shared" ca="1" si="12"/>
        <v>0</v>
      </c>
      <c r="AU18" s="34"/>
      <c r="AV18">
        <f t="shared" ca="1" si="8"/>
        <v>0</v>
      </c>
    </row>
    <row r="19" spans="1:48">
      <c r="A19" t="s">
        <v>24</v>
      </c>
      <c r="B19" s="104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T19" ca="1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si="13"/>
        <v>0</v>
      </c>
      <c r="H19">
        <f t="shared" ca="1" si="13"/>
        <v>0</v>
      </c>
      <c r="I19">
        <f t="shared" ca="1" si="13"/>
        <v>0</v>
      </c>
      <c r="J19">
        <f t="shared" ca="1" si="13"/>
        <v>0</v>
      </c>
      <c r="K19" s="94">
        <f t="shared" si="13"/>
        <v>0</v>
      </c>
      <c r="L19" s="94">
        <f t="shared" ca="1" si="13"/>
        <v>0</v>
      </c>
      <c r="M19" s="94">
        <f t="shared" ca="1" si="13"/>
        <v>0</v>
      </c>
      <c r="N19" s="94">
        <f t="shared" si="13"/>
        <v>0</v>
      </c>
      <c r="O19" s="94">
        <f t="shared" ca="1" si="13"/>
        <v>0</v>
      </c>
      <c r="P19" s="94">
        <f t="shared" ca="1" si="13"/>
        <v>0</v>
      </c>
      <c r="Q19" s="94">
        <f t="shared" si="13"/>
        <v>0</v>
      </c>
      <c r="R19">
        <f t="shared" si="13"/>
        <v>0</v>
      </c>
      <c r="S19">
        <f t="shared" si="13"/>
        <v>0</v>
      </c>
      <c r="T19">
        <f t="shared" si="13"/>
        <v>0</v>
      </c>
      <c r="W19">
        <f ca="1">SUMIF(INDEX(SetBonusLookup, 0, 1), "="&amp;W2, INDEX(SetBonusLookup, 0, MATCH("TPSet1Gear", INDEX(SetBonusLookup, 1, 0), 0)))</f>
        <v>0</v>
      </c>
      <c r="Y19" t="str">
        <f ca="1">IF(AND(C19=AB19, D19=AC19, E19=AD19, F19=AE19, G19=AF19, H19=AG19, I19=AH19, J19=AI19, K19=AJ19, L19=AK19, M19=AL19, N19=AM19, O19=AN19, P19=AO19, Q19=AP19, R19=AQ19, S19=AR19, T19=AS19, W19=AV19), "=", "-")</f>
        <v>=</v>
      </c>
      <c r="Z19" t="s">
        <v>24</v>
      </c>
      <c r="AA19" s="104"/>
      <c r="AB19">
        <f>SUMIF(INDEX(SetBonusLookup, 0, 1), "="&amp;AB2, INDEX(SetBonusLookup, 0, MATCH("TPSet2Gear", INDEX(SetBonusLookup, 1, 0), 0)))</f>
        <v>0</v>
      </c>
      <c r="AC19">
        <f>SUMIF(INDEX(SetBonusLookup, 0, 1), "="&amp;AC2, INDEX(SetBonusLookup, 0, MATCH("TPSet2Gear", INDEX(SetBonusLookup, 1, 0), 0)))</f>
        <v>0</v>
      </c>
      <c r="AD19">
        <f t="shared" ref="AD19:AS19" ca="1" si="14">SUMIF(INDEX(SetBonusLookup, 0, 1), "="&amp;AD2, INDEX(SetBonusLookup, 0, MATCH("TPSet2Gear", INDEX(SetBonusLookup, 1, 0), 0)))</f>
        <v>0</v>
      </c>
      <c r="AE19">
        <f t="shared" ca="1" si="14"/>
        <v>0</v>
      </c>
      <c r="AF19">
        <f t="shared" si="14"/>
        <v>0</v>
      </c>
      <c r="AG19">
        <f t="shared" ca="1" si="14"/>
        <v>0</v>
      </c>
      <c r="AH19">
        <f t="shared" ca="1" si="14"/>
        <v>0</v>
      </c>
      <c r="AI19">
        <f t="shared" ca="1" si="14"/>
        <v>0</v>
      </c>
      <c r="AJ19" s="94">
        <f t="shared" si="14"/>
        <v>0</v>
      </c>
      <c r="AK19" s="94">
        <f t="shared" ca="1" si="14"/>
        <v>0</v>
      </c>
      <c r="AL19" s="94">
        <f t="shared" ca="1" si="14"/>
        <v>0</v>
      </c>
      <c r="AM19" s="94">
        <f t="shared" si="14"/>
        <v>0</v>
      </c>
      <c r="AN19" s="94">
        <f t="shared" ca="1" si="14"/>
        <v>0</v>
      </c>
      <c r="AO19" s="94">
        <f t="shared" ca="1" si="14"/>
        <v>0</v>
      </c>
      <c r="AP19" s="94">
        <f t="shared" si="14"/>
        <v>0</v>
      </c>
      <c r="AQ19">
        <f t="shared" si="14"/>
        <v>0</v>
      </c>
      <c r="AR19">
        <f t="shared" si="14"/>
        <v>0</v>
      </c>
      <c r="AS19">
        <f t="shared" si="14"/>
        <v>0</v>
      </c>
      <c r="AU19" s="34"/>
      <c r="AV19">
        <f ca="1">SUMIF(INDEX(SetBonusLookup, 0, 1), "="&amp;AV2, INDEX(SetBonusLookup, 0, MATCH("TPSet2Gear", INDEX(SetBonusLookup, 1, 0), 0)))</f>
        <v>0</v>
      </c>
    </row>
    <row r="20" spans="1:48">
      <c r="A20" t="s">
        <v>751</v>
      </c>
      <c r="C20" s="32"/>
      <c r="D20" s="32"/>
      <c r="E20" s="32"/>
      <c r="F20" s="32"/>
      <c r="G20" s="32"/>
      <c r="H20" s="32"/>
      <c r="I20" s="32"/>
      <c r="J20" s="32"/>
      <c r="K20" s="32"/>
      <c r="L20" s="33"/>
      <c r="M20" s="33"/>
      <c r="N20" s="33"/>
      <c r="O20" s="33"/>
      <c r="P20" s="33"/>
      <c r="Q20" s="33"/>
      <c r="R20" s="35"/>
      <c r="S20" s="35"/>
      <c r="T20" s="35"/>
      <c r="U20" s="35"/>
      <c r="V20" s="35"/>
      <c r="W20" s="32"/>
      <c r="Y20" t="str">
        <f>IF(AND(C20=AB20, D20=AC20, E20=AD20, F20=AE20, G20=AF20, H20=AG20, I20=AH20, J20=AI20, K20=AJ20, L20=AK20, M20=AL20, N20=AM20, O20=AN20, P20=AO20, Q20=AP20, R20=AQ20, S20=AR20, T20=AS20, W20=AV20), "=", "-")</f>
        <v>=</v>
      </c>
      <c r="Z20" t="s">
        <v>751</v>
      </c>
      <c r="AB20" s="32"/>
      <c r="AC20" s="32"/>
      <c r="AD20" s="32"/>
      <c r="AE20" s="32"/>
      <c r="AF20" s="32"/>
      <c r="AG20" s="32"/>
      <c r="AH20" s="32"/>
      <c r="AI20" s="32"/>
      <c r="AJ20" s="32"/>
      <c r="AK20" s="33"/>
      <c r="AL20" s="33"/>
      <c r="AM20" s="33"/>
      <c r="AN20" s="33"/>
      <c r="AO20" s="33"/>
      <c r="AP20" s="33"/>
      <c r="AQ20" s="35"/>
      <c r="AR20" s="35"/>
      <c r="AS20" s="35"/>
      <c r="AT20" s="35"/>
      <c r="AU20" s="35"/>
      <c r="AV20" s="32"/>
    </row>
    <row r="21" spans="1:48">
      <c r="L21" s="2"/>
      <c r="M21" s="2"/>
      <c r="N21" s="2"/>
      <c r="O21" s="2"/>
      <c r="P21" s="2"/>
      <c r="Q21" s="2"/>
      <c r="R21" s="2"/>
      <c r="S21" s="2"/>
      <c r="T21" s="2"/>
      <c r="V21" s="2"/>
      <c r="AI21">
        <f ca="1">AI22-J22+(AE22-F22)*0.75</f>
        <v>33.25</v>
      </c>
      <c r="AK21" s="2"/>
      <c r="AL21" s="2"/>
      <c r="AM21" s="2"/>
      <c r="AN21" s="2"/>
      <c r="AO21" s="2"/>
      <c r="AP21" s="2"/>
      <c r="AQ21" s="2"/>
      <c r="AR21" s="2"/>
      <c r="AS21" s="2"/>
      <c r="AU21" s="2"/>
    </row>
    <row r="22" spans="1:48">
      <c r="A22" t="s">
        <v>7</v>
      </c>
      <c r="C22">
        <f t="shared" ref="C22:Q22" ca="1" si="15">SUM(C3:C20)</f>
        <v>0</v>
      </c>
      <c r="D22">
        <f t="shared" ca="1" si="15"/>
        <v>0</v>
      </c>
      <c r="E22" s="20">
        <f t="shared" ca="1" si="15"/>
        <v>147</v>
      </c>
      <c r="F22">
        <f t="shared" ca="1" si="15"/>
        <v>254</v>
      </c>
      <c r="G22">
        <f t="shared" ca="1" si="15"/>
        <v>80</v>
      </c>
      <c r="H22">
        <f t="shared" ca="1" si="15"/>
        <v>93</v>
      </c>
      <c r="I22">
        <f t="shared" ca="1" si="15"/>
        <v>147</v>
      </c>
      <c r="J22">
        <f t="shared" ca="1" si="15"/>
        <v>162</v>
      </c>
      <c r="K22" s="2">
        <f t="shared" ca="1" si="15"/>
        <v>0</v>
      </c>
      <c r="L22" s="2">
        <f t="shared" ca="1" si="15"/>
        <v>0.12</v>
      </c>
      <c r="M22" s="2">
        <f t="shared" ca="1" si="15"/>
        <v>0.24000000000000002</v>
      </c>
      <c r="N22" s="2">
        <f t="shared" ca="1" si="15"/>
        <v>0</v>
      </c>
      <c r="O22" s="2">
        <f t="shared" ca="1" si="15"/>
        <v>0.11</v>
      </c>
      <c r="P22" s="2">
        <f t="shared" ca="1" si="15"/>
        <v>0.01</v>
      </c>
      <c r="Q22" s="2">
        <f t="shared" ca="1" si="15"/>
        <v>0</v>
      </c>
      <c r="R22" s="2">
        <f ca="1">SUM(R3:R20)/1024</f>
        <v>0.2685546875</v>
      </c>
      <c r="S22">
        <f ca="1">SUM(S3:S20)</f>
        <v>0</v>
      </c>
      <c r="T22">
        <f ca="1">SUM(T3:T20)</f>
        <v>0</v>
      </c>
      <c r="W22">
        <f ca="1">SUM(W3:W20)</f>
        <v>40</v>
      </c>
      <c r="Z22" t="s">
        <v>7</v>
      </c>
      <c r="AB22">
        <f t="shared" ref="AB22:AP22" ca="1" si="16">SUM(AB3:AB20)</f>
        <v>5</v>
      </c>
      <c r="AC22">
        <f t="shared" ca="1" si="16"/>
        <v>0</v>
      </c>
      <c r="AD22">
        <f t="shared" ca="1" si="16"/>
        <v>112</v>
      </c>
      <c r="AE22" s="20">
        <f t="shared" ca="1" si="16"/>
        <v>249</v>
      </c>
      <c r="AF22">
        <f t="shared" ca="1" si="16"/>
        <v>85</v>
      </c>
      <c r="AG22">
        <f t="shared" ca="1" si="16"/>
        <v>90</v>
      </c>
      <c r="AH22">
        <f t="shared" ca="1" si="16"/>
        <v>252</v>
      </c>
      <c r="AI22">
        <f t="shared" ca="1" si="16"/>
        <v>199</v>
      </c>
      <c r="AJ22" s="2">
        <f t="shared" ca="1" si="16"/>
        <v>0</v>
      </c>
      <c r="AK22" s="2">
        <f t="shared" ca="1" si="16"/>
        <v>0.01</v>
      </c>
      <c r="AL22" s="2">
        <f t="shared" ca="1" si="16"/>
        <v>0.04</v>
      </c>
      <c r="AM22" s="2">
        <f t="shared" ca="1" si="16"/>
        <v>0</v>
      </c>
      <c r="AN22" s="2">
        <f t="shared" ca="1" si="16"/>
        <v>0.11</v>
      </c>
      <c r="AO22" s="2">
        <f t="shared" ca="1" si="16"/>
        <v>0.23</v>
      </c>
      <c r="AP22" s="2">
        <f t="shared" ca="1" si="16"/>
        <v>0.25</v>
      </c>
      <c r="AQ22" s="2">
        <f ca="1">SUM(AQ3:AQ20)/1024</f>
        <v>0.2685546875</v>
      </c>
      <c r="AR22">
        <f ca="1">SUM(AR3:AR20)</f>
        <v>0</v>
      </c>
      <c r="AS22">
        <f ca="1">SUM(AS3:AS20)</f>
        <v>0</v>
      </c>
      <c r="AV22">
        <f ca="1">SUM(AV3:AV20)</f>
        <v>33</v>
      </c>
    </row>
    <row r="23" spans="1:48">
      <c r="A23" s="9" t="s">
        <v>118</v>
      </c>
      <c r="B23" s="8">
        <f ca="1">Data!D227</f>
        <v>4626.8952924244104</v>
      </c>
      <c r="J23" s="2">
        <f ca="1">Data!B105</f>
        <v>0.99</v>
      </c>
      <c r="Z23" s="9" t="s">
        <v>118</v>
      </c>
      <c r="AA23" s="8">
        <f ca="1">Data!E227</f>
        <v>5709.3128525735901</v>
      </c>
      <c r="AI23" s="2">
        <f ca="1">Data!C105</f>
        <v>0.99</v>
      </c>
    </row>
    <row r="24" spans="1:48">
      <c r="J24" s="34">
        <f ca="1">Data!B130</f>
        <v>1303</v>
      </c>
      <c r="AI24" s="34">
        <f ca="1">Data!D130</f>
        <v>1365</v>
      </c>
    </row>
    <row r="25" spans="1:48">
      <c r="A25" t="s">
        <v>224</v>
      </c>
      <c r="Z25" t="s">
        <v>225</v>
      </c>
    </row>
    <row r="26" spans="1:48">
      <c r="A26" t="s">
        <v>8</v>
      </c>
      <c r="B26" t="s">
        <v>14</v>
      </c>
      <c r="C26" t="s">
        <v>30</v>
      </c>
      <c r="D26" s="31" t="s">
        <v>798</v>
      </c>
      <c r="E26" t="s">
        <v>3</v>
      </c>
      <c r="F26" t="s">
        <v>4</v>
      </c>
      <c r="G26" t="s">
        <v>269</v>
      </c>
      <c r="H26" t="s">
        <v>270</v>
      </c>
      <c r="I26" t="s">
        <v>9</v>
      </c>
      <c r="J26" t="s">
        <v>10</v>
      </c>
      <c r="K26" t="s">
        <v>390</v>
      </c>
      <c r="L26" t="s">
        <v>12</v>
      </c>
      <c r="M26" t="s">
        <v>166</v>
      </c>
      <c r="N26" t="s">
        <v>311</v>
      </c>
      <c r="O26" t="s">
        <v>141</v>
      </c>
      <c r="P26" t="s">
        <v>137</v>
      </c>
      <c r="Q26" t="s">
        <v>136</v>
      </c>
      <c r="R26" t="s">
        <v>312</v>
      </c>
      <c r="S26" t="s">
        <v>240</v>
      </c>
      <c r="T26" t="s">
        <v>173</v>
      </c>
      <c r="U26" t="s">
        <v>620</v>
      </c>
      <c r="V26" t="s">
        <v>718</v>
      </c>
      <c r="W26" t="s">
        <v>13</v>
      </c>
      <c r="Z26" t="s">
        <v>8</v>
      </c>
      <c r="AA26" t="s">
        <v>14</v>
      </c>
      <c r="AB26" t="s">
        <v>30</v>
      </c>
      <c r="AC26" s="31" t="s">
        <v>798</v>
      </c>
      <c r="AD26" t="s">
        <v>3</v>
      </c>
      <c r="AE26" t="s">
        <v>4</v>
      </c>
      <c r="AF26" t="s">
        <v>269</v>
      </c>
      <c r="AG26" t="s">
        <v>270</v>
      </c>
      <c r="AH26" t="s">
        <v>9</v>
      </c>
      <c r="AI26" t="s">
        <v>10</v>
      </c>
      <c r="AJ26" t="s">
        <v>390</v>
      </c>
      <c r="AK26" t="s">
        <v>12</v>
      </c>
      <c r="AL26" t="s">
        <v>166</v>
      </c>
      <c r="AM26" t="s">
        <v>311</v>
      </c>
      <c r="AN26" t="s">
        <v>141</v>
      </c>
      <c r="AO26" t="s">
        <v>137</v>
      </c>
      <c r="AP26" t="s">
        <v>136</v>
      </c>
      <c r="AQ26" t="s">
        <v>312</v>
      </c>
      <c r="AR26" t="s">
        <v>240</v>
      </c>
      <c r="AS26" t="s">
        <v>173</v>
      </c>
      <c r="AT26" t="s">
        <v>620</v>
      </c>
      <c r="AU26" t="s">
        <v>718</v>
      </c>
      <c r="AV26" t="s">
        <v>13</v>
      </c>
    </row>
    <row r="27" spans="1:48">
      <c r="A27" t="str">
        <f>A3</f>
        <v>Sword</v>
      </c>
      <c r="B27" t="str">
        <f>B3</f>
        <v>Tizona 119</v>
      </c>
      <c r="C27">
        <f t="shared" ref="C27:N42" ca="1" si="17">IF(ISBLANK($B27), 0, VLOOKUP($B27, INDIRECT($A27), MATCH(C$26, StatHeader, 0), 0))</f>
        <v>0</v>
      </c>
      <c r="D27">
        <f t="shared" ca="1" si="17"/>
        <v>0</v>
      </c>
      <c r="E27">
        <f t="shared" ca="1" si="17"/>
        <v>0</v>
      </c>
      <c r="F27">
        <f t="shared" ca="1" si="17"/>
        <v>0</v>
      </c>
      <c r="G27">
        <f t="shared" ca="1" si="17"/>
        <v>0</v>
      </c>
      <c r="H27">
        <f t="shared" ca="1" si="17"/>
        <v>0</v>
      </c>
      <c r="I27">
        <f t="shared" ca="1" si="17"/>
        <v>0</v>
      </c>
      <c r="J27">
        <f t="shared" ca="1" si="17"/>
        <v>0</v>
      </c>
      <c r="K27" s="2">
        <f t="shared" ca="1" si="17"/>
        <v>0</v>
      </c>
      <c r="L27" s="2">
        <f t="shared" ca="1" si="17"/>
        <v>0</v>
      </c>
      <c r="M27" s="2">
        <f t="shared" ca="1" si="17"/>
        <v>0</v>
      </c>
      <c r="N27" s="2">
        <f t="shared" ca="1" si="17"/>
        <v>0</v>
      </c>
      <c r="O27" s="2">
        <f t="shared" ref="O27:W42" ca="1" si="18">IF(ISBLANK($B27), 0, VLOOKUP($B27, INDIRECT($A27), MATCH(O$26, StatHeader, 0), 0))</f>
        <v>0</v>
      </c>
      <c r="P27" s="2">
        <f t="shared" ca="1" si="18"/>
        <v>0</v>
      </c>
      <c r="Q27" s="2">
        <f t="shared" ca="1" si="18"/>
        <v>0</v>
      </c>
      <c r="R27" s="2">
        <f t="shared" ca="1" si="18"/>
        <v>0</v>
      </c>
      <c r="S27" s="34">
        <f t="shared" ca="1" si="18"/>
        <v>0</v>
      </c>
      <c r="T27" s="2">
        <f t="shared" ca="1" si="18"/>
        <v>0</v>
      </c>
      <c r="U27">
        <f t="shared" ca="1" si="18"/>
        <v>0</v>
      </c>
      <c r="V27" s="34">
        <f ca="1">IF(ISBLANK($B27), 0, IF(ISNUMBER(VLOOKUP($B27, INDIRECT($A27), MATCH("D"&amp;V$26, StatHeader, 0), 0)), IF(Setup!$F$40=1, VLOOKUP($B27, INDIRECT($A27), MATCH("D"&amp;V$26, StatHeader, 0), 0), 0), VLOOKUP($B27, INDIRECT($A27), MATCH(V$26, StatHeader, 0), 0)))</f>
        <v>0</v>
      </c>
      <c r="W27">
        <f t="shared" ca="1" si="18"/>
        <v>0</v>
      </c>
      <c r="Z27" t="str">
        <f>Z3</f>
        <v>Sword</v>
      </c>
      <c r="AA27" t="str">
        <f>AA3</f>
        <v>Almace 119 III</v>
      </c>
      <c r="AB27">
        <f t="shared" ref="AB27:AM42" ca="1" si="19">IF(ISBLANK($AA27), 0, VLOOKUP($AA27, INDIRECT($Z27), MATCH(AB$26, StatHeader, 0), 0))</f>
        <v>0</v>
      </c>
      <c r="AC27">
        <f t="shared" ca="1" si="19"/>
        <v>0</v>
      </c>
      <c r="AD27">
        <f t="shared" ca="1" si="19"/>
        <v>0</v>
      </c>
      <c r="AE27">
        <f t="shared" ca="1" si="19"/>
        <v>50</v>
      </c>
      <c r="AF27">
        <f t="shared" ca="1" si="19"/>
        <v>0</v>
      </c>
      <c r="AG27">
        <f t="shared" ca="1" si="19"/>
        <v>0</v>
      </c>
      <c r="AH27">
        <f t="shared" ca="1" si="19"/>
        <v>0</v>
      </c>
      <c r="AI27">
        <f t="shared" ca="1" si="19"/>
        <v>0</v>
      </c>
      <c r="AJ27" s="2">
        <f t="shared" ca="1" si="19"/>
        <v>0</v>
      </c>
      <c r="AK27" s="2">
        <f t="shared" ca="1" si="19"/>
        <v>0</v>
      </c>
      <c r="AL27" s="2">
        <f t="shared" ca="1" si="19"/>
        <v>0</v>
      </c>
      <c r="AM27" s="2">
        <f t="shared" ca="1" si="19"/>
        <v>0</v>
      </c>
      <c r="AN27" s="2">
        <f t="shared" ref="AN27:AV42" ca="1" si="20">IF(ISBLANK($AA27), 0, VLOOKUP($AA27, INDIRECT($Z27), MATCH(AN$26, StatHeader, 0), 0))</f>
        <v>0</v>
      </c>
      <c r="AO27" s="2">
        <f t="shared" ca="1" si="20"/>
        <v>0</v>
      </c>
      <c r="AP27" s="2">
        <f t="shared" ca="1" si="20"/>
        <v>0</v>
      </c>
      <c r="AQ27" s="2">
        <f t="shared" ca="1" si="20"/>
        <v>0</v>
      </c>
      <c r="AR27" s="34">
        <f t="shared" ca="1" si="20"/>
        <v>0</v>
      </c>
      <c r="AS27" s="2">
        <f t="shared" ca="1" si="20"/>
        <v>0</v>
      </c>
      <c r="AT27">
        <f t="shared" ca="1" si="20"/>
        <v>0</v>
      </c>
      <c r="AU27" s="34">
        <f ca="1">IF(ISBLANK($AA27), 0, IF(ISNUMBER(VLOOKUP($AA27, INDIRECT($Z27), MATCH("D"&amp;AU$26, StatHeader, 0), 0)), IF(Setup!$G$40=1, VLOOKUP($AA27, INDIRECT($Z27), MATCH("D"&amp;AU$26, StatHeader, 0), 0), 0), VLOOKUP($AA27, INDIRECT($Z27), MATCH(AU$26, StatHeader, 0), 0)))</f>
        <v>0</v>
      </c>
      <c r="AV27">
        <f t="shared" ca="1" si="20"/>
        <v>0</v>
      </c>
    </row>
    <row r="28" spans="1:48">
      <c r="A28" t="str">
        <f>A4</f>
        <v>Sword</v>
      </c>
      <c r="B28" s="14" t="str">
        <f>B4</f>
        <v>Almace 119 III</v>
      </c>
      <c r="C28">
        <f t="shared" ca="1" si="17"/>
        <v>0</v>
      </c>
      <c r="D28">
        <f t="shared" ca="1" si="17"/>
        <v>0</v>
      </c>
      <c r="E28">
        <f t="shared" ca="1" si="17"/>
        <v>0</v>
      </c>
      <c r="F28">
        <f t="shared" ca="1" si="17"/>
        <v>50</v>
      </c>
      <c r="G28">
        <f t="shared" ca="1" si="17"/>
        <v>0</v>
      </c>
      <c r="H28">
        <f t="shared" ca="1" si="17"/>
        <v>0</v>
      </c>
      <c r="I28">
        <f t="shared" ca="1" si="17"/>
        <v>0</v>
      </c>
      <c r="J28">
        <f t="shared" ca="1" si="17"/>
        <v>0</v>
      </c>
      <c r="K28" s="2">
        <f t="shared" ca="1" si="17"/>
        <v>0</v>
      </c>
      <c r="L28" s="2">
        <f t="shared" ca="1" si="17"/>
        <v>0</v>
      </c>
      <c r="M28" s="2">
        <f t="shared" ca="1" si="17"/>
        <v>0</v>
      </c>
      <c r="N28" s="2">
        <f t="shared" ca="1" si="17"/>
        <v>0</v>
      </c>
      <c r="O28" s="2">
        <f t="shared" ca="1" si="18"/>
        <v>0</v>
      </c>
      <c r="P28" s="2">
        <f t="shared" ca="1" si="18"/>
        <v>0</v>
      </c>
      <c r="Q28" s="2">
        <f t="shared" ca="1" si="18"/>
        <v>0</v>
      </c>
      <c r="R28" s="2">
        <f t="shared" ca="1" si="18"/>
        <v>0</v>
      </c>
      <c r="S28" s="34">
        <f t="shared" ca="1" si="18"/>
        <v>0</v>
      </c>
      <c r="T28" s="2">
        <f t="shared" ca="1" si="18"/>
        <v>0</v>
      </c>
      <c r="U28">
        <f t="shared" ca="1" si="18"/>
        <v>0</v>
      </c>
      <c r="V28" s="34">
        <f ca="1">IF(ISBLANK($B28), 0, IF(ISNUMBER(VLOOKUP($B28, INDIRECT($A28), MATCH("D"&amp;V$26, StatHeader, 0), 0)), IF(Setup!$F$40=1, VLOOKUP($B28, INDIRECT($A28), MATCH("D"&amp;V$26, StatHeader, 0), 0), 0), VLOOKUP($B28, INDIRECT($A28), MATCH(V$26, StatHeader, 0), 0)))</f>
        <v>0</v>
      </c>
      <c r="W28">
        <f t="shared" ca="1" si="18"/>
        <v>0</v>
      </c>
      <c r="Z28" t="str">
        <f>Z4</f>
        <v>Sword</v>
      </c>
      <c r="AA28" s="14" t="str">
        <f>AA4</f>
        <v>Sequence</v>
      </c>
      <c r="AB28">
        <f t="shared" ca="1" si="19"/>
        <v>0</v>
      </c>
      <c r="AC28">
        <f t="shared" ca="1" si="19"/>
        <v>0</v>
      </c>
      <c r="AD28">
        <f t="shared" ca="1" si="19"/>
        <v>0</v>
      </c>
      <c r="AE28">
        <f t="shared" ca="1" si="19"/>
        <v>0</v>
      </c>
      <c r="AF28">
        <f t="shared" ca="1" si="19"/>
        <v>0</v>
      </c>
      <c r="AG28">
        <f t="shared" ca="1" si="19"/>
        <v>0</v>
      </c>
      <c r="AH28">
        <f t="shared" ca="1" si="19"/>
        <v>0</v>
      </c>
      <c r="AI28">
        <f t="shared" ca="1" si="19"/>
        <v>0</v>
      </c>
      <c r="AJ28" s="2">
        <f t="shared" ca="1" si="19"/>
        <v>0</v>
      </c>
      <c r="AK28" s="2">
        <f t="shared" ca="1" si="19"/>
        <v>0</v>
      </c>
      <c r="AL28" s="2">
        <f t="shared" ca="1" si="19"/>
        <v>0</v>
      </c>
      <c r="AM28" s="2">
        <f t="shared" ca="1" si="19"/>
        <v>0</v>
      </c>
      <c r="AN28" s="2">
        <f t="shared" ca="1" si="20"/>
        <v>0</v>
      </c>
      <c r="AO28" s="2">
        <f t="shared" ca="1" si="20"/>
        <v>0</v>
      </c>
      <c r="AP28" s="2">
        <f t="shared" ca="1" si="20"/>
        <v>0</v>
      </c>
      <c r="AQ28" s="2">
        <f t="shared" ca="1" si="20"/>
        <v>0</v>
      </c>
      <c r="AR28" s="34">
        <f t="shared" ca="1" si="20"/>
        <v>0</v>
      </c>
      <c r="AS28" s="2">
        <f t="shared" ca="1" si="20"/>
        <v>0</v>
      </c>
      <c r="AT28">
        <f t="shared" ca="1" si="20"/>
        <v>0</v>
      </c>
      <c r="AU28" s="34">
        <f ca="1">IF(ISBLANK($AA28), 0, IF(ISNUMBER(VLOOKUP($AA28, INDIRECT($Z28), MATCH("D"&amp;AU$26, StatHeader, 0), 0)), IF(Setup!$G$40=1, VLOOKUP($AA28, INDIRECT($Z28), MATCH("D"&amp;AU$26, StatHeader, 0), 0), 0), VLOOKUP($AA28, INDIRECT($Z28), MATCH(AU$26, StatHeader, 0), 0)))</f>
        <v>0</v>
      </c>
      <c r="AV28">
        <f t="shared" ca="1" si="20"/>
        <v>10</v>
      </c>
    </row>
    <row r="29" spans="1:48">
      <c r="A29" t="s">
        <v>142</v>
      </c>
      <c r="B29" s="41"/>
      <c r="C29">
        <f t="shared" ca="1" si="17"/>
        <v>0</v>
      </c>
      <c r="D29">
        <f t="shared" ca="1" si="17"/>
        <v>0</v>
      </c>
      <c r="E29">
        <f t="shared" ca="1" si="17"/>
        <v>0</v>
      </c>
      <c r="F29">
        <f t="shared" ca="1" si="17"/>
        <v>0</v>
      </c>
      <c r="G29">
        <f t="shared" ca="1" si="17"/>
        <v>0</v>
      </c>
      <c r="H29">
        <f t="shared" ca="1" si="17"/>
        <v>0</v>
      </c>
      <c r="I29">
        <f t="shared" ca="1" si="17"/>
        <v>0</v>
      </c>
      <c r="J29">
        <f t="shared" ca="1" si="17"/>
        <v>0</v>
      </c>
      <c r="K29" s="2">
        <f t="shared" ca="1" si="17"/>
        <v>0</v>
      </c>
      <c r="L29" s="2">
        <f t="shared" ca="1" si="17"/>
        <v>0</v>
      </c>
      <c r="M29" s="2">
        <f t="shared" ca="1" si="17"/>
        <v>0</v>
      </c>
      <c r="N29" s="2">
        <f t="shared" ca="1" si="17"/>
        <v>0</v>
      </c>
      <c r="O29" s="2">
        <f t="shared" ca="1" si="18"/>
        <v>0</v>
      </c>
      <c r="P29" s="2">
        <f t="shared" ca="1" si="18"/>
        <v>0</v>
      </c>
      <c r="Q29" s="2">
        <f t="shared" ca="1" si="18"/>
        <v>0</v>
      </c>
      <c r="R29" s="2">
        <f t="shared" ca="1" si="18"/>
        <v>0</v>
      </c>
      <c r="S29" s="34">
        <f t="shared" ca="1" si="18"/>
        <v>0</v>
      </c>
      <c r="T29" s="2">
        <f t="shared" ca="1" si="18"/>
        <v>0</v>
      </c>
      <c r="U29">
        <f t="shared" ca="1" si="18"/>
        <v>0</v>
      </c>
      <c r="V29" s="34">
        <f ca="1">IF(ISBLANK($B29), 0, IF(ISNUMBER(VLOOKUP($B29, INDIRECT($A29), MATCH("D"&amp;V$26, StatHeader, 0), 0)), IF(Setup!$F$40=1, VLOOKUP($B29, INDIRECT($A29), MATCH("D"&amp;V$26, StatHeader, 0), 0), 0), VLOOKUP($B29, INDIRECT($A29), MATCH(V$26, StatHeader, 0), 0)))</f>
        <v>0</v>
      </c>
      <c r="W29">
        <f t="shared" ca="1" si="18"/>
        <v>0</v>
      </c>
      <c r="Y29" t="str">
        <f>IF(AA29=B29, "=", "-")</f>
        <v>=</v>
      </c>
      <c r="Z29" t="s">
        <v>142</v>
      </c>
      <c r="AA29" s="41"/>
      <c r="AB29">
        <f t="shared" ref="AB29:AT29" ca="1" si="21">IF(ISBLANK($AA29), 0, VLOOKUP($AA29, INDIRECT($Z29), MATCH(AB$26, StatHeader, 0), 0))</f>
        <v>0</v>
      </c>
      <c r="AC29">
        <f t="shared" ca="1" si="21"/>
        <v>0</v>
      </c>
      <c r="AD29">
        <f t="shared" ca="1" si="21"/>
        <v>0</v>
      </c>
      <c r="AE29">
        <f t="shared" ca="1" si="21"/>
        <v>0</v>
      </c>
      <c r="AF29">
        <f t="shared" ca="1" si="21"/>
        <v>0</v>
      </c>
      <c r="AG29">
        <f t="shared" ca="1" si="21"/>
        <v>0</v>
      </c>
      <c r="AH29">
        <f t="shared" ca="1" si="21"/>
        <v>0</v>
      </c>
      <c r="AI29">
        <f t="shared" ca="1" si="21"/>
        <v>0</v>
      </c>
      <c r="AJ29" s="2">
        <f t="shared" ca="1" si="21"/>
        <v>0</v>
      </c>
      <c r="AK29" s="2">
        <f t="shared" ca="1" si="21"/>
        <v>0</v>
      </c>
      <c r="AL29" s="2">
        <f t="shared" ca="1" si="21"/>
        <v>0</v>
      </c>
      <c r="AM29" s="2">
        <f t="shared" ca="1" si="21"/>
        <v>0</v>
      </c>
      <c r="AN29" s="2">
        <f t="shared" ca="1" si="21"/>
        <v>0</v>
      </c>
      <c r="AO29" s="2">
        <f t="shared" ca="1" si="21"/>
        <v>0</v>
      </c>
      <c r="AP29" s="2">
        <f t="shared" ca="1" si="21"/>
        <v>0</v>
      </c>
      <c r="AQ29" s="2">
        <f t="shared" ca="1" si="21"/>
        <v>0</v>
      </c>
      <c r="AR29" s="34">
        <f t="shared" ca="1" si="21"/>
        <v>0</v>
      </c>
      <c r="AS29" s="2">
        <f t="shared" ca="1" si="21"/>
        <v>0</v>
      </c>
      <c r="AT29">
        <f t="shared" ca="1" si="21"/>
        <v>0</v>
      </c>
      <c r="AU29" s="34">
        <f ca="1">IF(ISBLANK($AA29), 0, IF(ISNUMBER(VLOOKUP($AA29, INDIRECT($Z29), MATCH("D"&amp;AU$26, StatHeader, 0), 0)), IF(Setup!$G$40=1, VLOOKUP($AA29, INDIRECT($Z29), MATCH("D"&amp;AU$26, StatHeader, 0), 0), 0), VLOOKUP($AA29, INDIRECT($Z29), MATCH(AU$26, StatHeader, 0), 0)))</f>
        <v>0</v>
      </c>
      <c r="AV29">
        <f ca="1">IF(ISBLANK($AA29), 0, VLOOKUP($AA29, INDIRECT($Z29), MATCH(AV$26, StatHeader, 0), 0))</f>
        <v>0</v>
      </c>
    </row>
    <row r="30" spans="1:48">
      <c r="A30" t="s">
        <v>15</v>
      </c>
      <c r="B30" s="32" t="s">
        <v>928</v>
      </c>
      <c r="C30">
        <f t="shared" ca="1" si="17"/>
        <v>0</v>
      </c>
      <c r="D30">
        <f t="shared" ca="1" si="17"/>
        <v>0</v>
      </c>
      <c r="E30">
        <f t="shared" ca="1" si="17"/>
        <v>0</v>
      </c>
      <c r="F30">
        <f t="shared" ca="1" si="17"/>
        <v>0</v>
      </c>
      <c r="G30">
        <f t="shared" ca="1" si="17"/>
        <v>0</v>
      </c>
      <c r="H30">
        <f t="shared" ca="1" si="17"/>
        <v>0</v>
      </c>
      <c r="I30">
        <f t="shared" ca="1" si="17"/>
        <v>10</v>
      </c>
      <c r="J30">
        <f t="shared" ca="1" si="17"/>
        <v>5</v>
      </c>
      <c r="K30" s="2">
        <f t="shared" ca="1" si="17"/>
        <v>0</v>
      </c>
      <c r="L30" s="2">
        <f t="shared" ca="1" si="17"/>
        <v>0</v>
      </c>
      <c r="M30" s="2">
        <f t="shared" ca="1" si="17"/>
        <v>0</v>
      </c>
      <c r="N30" s="2">
        <f t="shared" ca="1" si="17"/>
        <v>0</v>
      </c>
      <c r="O30" s="2">
        <f t="shared" ca="1" si="18"/>
        <v>0</v>
      </c>
      <c r="P30" s="2">
        <f t="shared" ca="1" si="18"/>
        <v>0</v>
      </c>
      <c r="Q30" s="2">
        <f t="shared" ca="1" si="18"/>
        <v>0</v>
      </c>
      <c r="R30" s="2">
        <f t="shared" ca="1" si="18"/>
        <v>0</v>
      </c>
      <c r="S30" s="34">
        <f t="shared" ca="1" si="18"/>
        <v>0</v>
      </c>
      <c r="T30" s="2">
        <f t="shared" ca="1" si="18"/>
        <v>0</v>
      </c>
      <c r="U30">
        <f t="shared" ca="1" si="18"/>
        <v>0</v>
      </c>
      <c r="V30" s="34">
        <f ca="1">IF(ISBLANK($B30), 0, IF(ISNUMBER(VLOOKUP($B30, INDIRECT($A30), MATCH("D"&amp;V$26, StatHeader, 0), 0)), IF(Setup!$F$40=1, VLOOKUP($B30, INDIRECT($A30), MATCH("D"&amp;V$26, StatHeader, 0), 0), 0), VLOOKUP($B30, INDIRECT($A30), MATCH(V$26, StatHeader, 0), 0)))</f>
        <v>0</v>
      </c>
      <c r="W30">
        <f t="shared" ca="1" si="18"/>
        <v>3</v>
      </c>
      <c r="Y30" t="str">
        <f t="shared" ref="Y30:Y42" si="22">IF(AA30=B30, "=", "-")</f>
        <v>-</v>
      </c>
      <c r="Z30" t="s">
        <v>15</v>
      </c>
      <c r="AA30" s="32" t="s">
        <v>1147</v>
      </c>
      <c r="AB30">
        <f t="shared" ca="1" si="19"/>
        <v>0</v>
      </c>
      <c r="AC30">
        <f t="shared" ca="1" si="19"/>
        <v>0</v>
      </c>
      <c r="AD30">
        <f t="shared" ca="1" si="19"/>
        <v>0</v>
      </c>
      <c r="AE30">
        <f t="shared" ca="1" si="19"/>
        <v>3</v>
      </c>
      <c r="AF30">
        <f t="shared" ca="1" si="19"/>
        <v>0</v>
      </c>
      <c r="AG30">
        <f t="shared" ca="1" si="19"/>
        <v>0</v>
      </c>
      <c r="AH30">
        <f t="shared" ca="1" si="19"/>
        <v>0</v>
      </c>
      <c r="AI30">
        <f t="shared" ca="1" si="19"/>
        <v>13</v>
      </c>
      <c r="AJ30" s="2">
        <f t="shared" ca="1" si="19"/>
        <v>0</v>
      </c>
      <c r="AK30" s="2">
        <f t="shared" ca="1" si="19"/>
        <v>0</v>
      </c>
      <c r="AL30" s="2">
        <f t="shared" ca="1" si="19"/>
        <v>0</v>
      </c>
      <c r="AM30" s="2">
        <f t="shared" ca="1" si="19"/>
        <v>0</v>
      </c>
      <c r="AN30" s="2">
        <f t="shared" ca="1" si="20"/>
        <v>0</v>
      </c>
      <c r="AO30" s="2">
        <f t="shared" ca="1" si="20"/>
        <v>0</v>
      </c>
      <c r="AP30" s="2">
        <f t="shared" ca="1" si="20"/>
        <v>0</v>
      </c>
      <c r="AQ30" s="2">
        <f t="shared" ca="1" si="20"/>
        <v>0</v>
      </c>
      <c r="AR30" s="34">
        <f t="shared" ca="1" si="20"/>
        <v>0</v>
      </c>
      <c r="AS30" s="2">
        <f t="shared" ca="1" si="20"/>
        <v>0</v>
      </c>
      <c r="AT30">
        <f t="shared" ca="1" si="20"/>
        <v>0</v>
      </c>
      <c r="AU30" s="34">
        <f ca="1">IF(ISBLANK($AA30), 0, IF(ISNUMBER(VLOOKUP($AA30, INDIRECT($Z30), MATCH("D"&amp;AU$26, StatHeader, 0), 0)), IF(Setup!$G$40=1, VLOOKUP($AA30, INDIRECT($Z30), MATCH("D"&amp;AU$26, StatHeader, 0), 0), 0), VLOOKUP($AA30, INDIRECT($Z30), MATCH(AU$26, StatHeader, 0), 0)))</f>
        <v>0</v>
      </c>
      <c r="AV30">
        <f t="shared" ca="1" si="20"/>
        <v>0</v>
      </c>
    </row>
    <row r="31" spans="1:48">
      <c r="A31" t="s">
        <v>16</v>
      </c>
      <c r="B31" s="32" t="s">
        <v>1195</v>
      </c>
      <c r="C31">
        <f t="shared" ca="1" si="17"/>
        <v>0</v>
      </c>
      <c r="D31">
        <f t="shared" ca="1" si="17"/>
        <v>0</v>
      </c>
      <c r="E31">
        <f t="shared" ca="1" si="17"/>
        <v>31</v>
      </c>
      <c r="F31">
        <f t="shared" ca="1" si="17"/>
        <v>27</v>
      </c>
      <c r="G31">
        <f t="shared" ca="1" si="17"/>
        <v>36</v>
      </c>
      <c r="H31">
        <f t="shared" ca="1" si="17"/>
        <v>21</v>
      </c>
      <c r="I31">
        <f t="shared" ca="1" si="17"/>
        <v>44</v>
      </c>
      <c r="J31">
        <f t="shared" ca="1" si="17"/>
        <v>44</v>
      </c>
      <c r="K31" s="2">
        <f t="shared" ca="1" si="17"/>
        <v>0</v>
      </c>
      <c r="L31" s="2">
        <f t="shared" ca="1" si="17"/>
        <v>0</v>
      </c>
      <c r="M31" s="2">
        <f t="shared" ca="1" si="17"/>
        <v>0</v>
      </c>
      <c r="N31" s="2">
        <f t="shared" ca="1" si="17"/>
        <v>0</v>
      </c>
      <c r="O31" s="2">
        <f t="shared" ca="1" si="18"/>
        <v>0</v>
      </c>
      <c r="P31" s="2">
        <f t="shared" ca="1" si="18"/>
        <v>0</v>
      </c>
      <c r="Q31" s="2">
        <f t="shared" ca="1" si="18"/>
        <v>0</v>
      </c>
      <c r="R31" s="2">
        <f t="shared" ca="1" si="18"/>
        <v>0</v>
      </c>
      <c r="S31" s="34">
        <f t="shared" ca="1" si="18"/>
        <v>0</v>
      </c>
      <c r="T31" s="2">
        <f t="shared" ca="1" si="18"/>
        <v>0</v>
      </c>
      <c r="U31">
        <f t="shared" ca="1" si="18"/>
        <v>41</v>
      </c>
      <c r="V31" s="34">
        <f ca="1">IF(ISBLANK($B31), 0, IF(ISNUMBER(VLOOKUP($B31, INDIRECT($A31), MATCH("D"&amp;V$26, StatHeader, 0), 0)), IF(Setup!$F$40=1, VLOOKUP($B31, INDIRECT($A31), MATCH("D"&amp;V$26, StatHeader, 0), 0), 0), VLOOKUP($B31, INDIRECT($A31), MATCH(V$26, StatHeader, 0), 0)))</f>
        <v>0</v>
      </c>
      <c r="W31">
        <f t="shared" ca="1" si="18"/>
        <v>0</v>
      </c>
      <c r="Y31" t="str">
        <f t="shared" si="22"/>
        <v>-</v>
      </c>
      <c r="Z31" t="s">
        <v>16</v>
      </c>
      <c r="AA31" s="32" t="s">
        <v>1047</v>
      </c>
      <c r="AB31">
        <f t="shared" ca="1" si="19"/>
        <v>0</v>
      </c>
      <c r="AC31">
        <f t="shared" ca="1" si="19"/>
        <v>0</v>
      </c>
      <c r="AD31">
        <f t="shared" ca="1" si="19"/>
        <v>18</v>
      </c>
      <c r="AE31">
        <f t="shared" ca="1" si="19"/>
        <v>34</v>
      </c>
      <c r="AF31">
        <f t="shared" ca="1" si="19"/>
        <v>18</v>
      </c>
      <c r="AG31">
        <f t="shared" ca="1" si="19"/>
        <v>22</v>
      </c>
      <c r="AH31">
        <f t="shared" ca="1" si="19"/>
        <v>0</v>
      </c>
      <c r="AI31">
        <f t="shared" ca="1" si="19"/>
        <v>35</v>
      </c>
      <c r="AJ31" s="2">
        <f t="shared" ca="1" si="19"/>
        <v>0</v>
      </c>
      <c r="AK31" s="2">
        <f t="shared" ca="1" si="19"/>
        <v>0</v>
      </c>
      <c r="AL31" s="2">
        <f t="shared" ca="1" si="19"/>
        <v>0</v>
      </c>
      <c r="AM31" s="2">
        <f t="shared" ca="1" si="19"/>
        <v>0.03</v>
      </c>
      <c r="AN31" s="2">
        <f t="shared" ca="1" si="20"/>
        <v>0</v>
      </c>
      <c r="AO31" s="2">
        <f t="shared" ca="1" si="20"/>
        <v>0</v>
      </c>
      <c r="AP31" s="2">
        <f t="shared" ca="1" si="20"/>
        <v>0</v>
      </c>
      <c r="AQ31" s="2">
        <f t="shared" ca="1" si="20"/>
        <v>0</v>
      </c>
      <c r="AR31" s="34">
        <f t="shared" ca="1" si="20"/>
        <v>0</v>
      </c>
      <c r="AS31" s="2">
        <f t="shared" ca="1" si="20"/>
        <v>0</v>
      </c>
      <c r="AT31">
        <f t="shared" ca="1" si="20"/>
        <v>0</v>
      </c>
      <c r="AU31" s="34">
        <f ca="1">IF(ISBLANK($AA31), 0, IF(ISNUMBER(VLOOKUP($AA31, INDIRECT($Z31), MATCH("D"&amp;AU$26, StatHeader, 0), 0)), IF(Setup!$G$40=1, VLOOKUP($AA31, INDIRECT($Z31), MATCH("D"&amp;AU$26, StatHeader, 0), 0), 0), VLOOKUP($AA31, INDIRECT($Z31), MATCH(AU$26, StatHeader, 0), 0)))</f>
        <v>0</v>
      </c>
      <c r="AV31">
        <f t="shared" ca="1" si="20"/>
        <v>0</v>
      </c>
    </row>
    <row r="32" spans="1:48">
      <c r="A32" t="s">
        <v>17</v>
      </c>
      <c r="B32" s="32" t="s">
        <v>1101</v>
      </c>
      <c r="C32">
        <f t="shared" ca="1" si="17"/>
        <v>0</v>
      </c>
      <c r="D32">
        <f t="shared" ca="1" si="17"/>
        <v>0</v>
      </c>
      <c r="E32">
        <f t="shared" ca="1" si="17"/>
        <v>6</v>
      </c>
      <c r="F32">
        <f t="shared" ca="1" si="17"/>
        <v>6</v>
      </c>
      <c r="G32">
        <f t="shared" ca="1" si="17"/>
        <v>0</v>
      </c>
      <c r="H32">
        <f t="shared" ca="1" si="17"/>
        <v>0</v>
      </c>
      <c r="I32">
        <f t="shared" ca="1" si="17"/>
        <v>10</v>
      </c>
      <c r="J32">
        <f t="shared" ca="1" si="17"/>
        <v>0</v>
      </c>
      <c r="K32" s="2">
        <f t="shared" ca="1" si="17"/>
        <v>0</v>
      </c>
      <c r="L32" s="2">
        <f t="shared" ca="1" si="17"/>
        <v>0</v>
      </c>
      <c r="M32" s="2">
        <f t="shared" ca="1" si="17"/>
        <v>0</v>
      </c>
      <c r="N32" s="2">
        <f t="shared" ca="1" si="17"/>
        <v>0</v>
      </c>
      <c r="O32" s="2">
        <f t="shared" ca="1" si="18"/>
        <v>0</v>
      </c>
      <c r="P32" s="2">
        <f t="shared" ca="1" si="18"/>
        <v>0</v>
      </c>
      <c r="Q32" s="2">
        <f t="shared" ca="1" si="18"/>
        <v>0</v>
      </c>
      <c r="R32" s="2">
        <f t="shared" ca="1" si="18"/>
        <v>0</v>
      </c>
      <c r="S32" s="34">
        <f t="shared" ca="1" si="18"/>
        <v>0</v>
      </c>
      <c r="T32" s="2">
        <f t="shared" ca="1" si="18"/>
        <v>0</v>
      </c>
      <c r="U32">
        <f t="shared" ca="1" si="18"/>
        <v>0</v>
      </c>
      <c r="V32" s="34">
        <f ca="1">IF(ISBLANK($B32), 0, IF(ISNUMBER(VLOOKUP($B32, INDIRECT($A32), MATCH("D"&amp;V$26, StatHeader, 0), 0)), IF(Setup!$F$40=1, VLOOKUP($B32, INDIRECT($A32), MATCH("D"&amp;V$26, StatHeader, 0), 0), 0), VLOOKUP($B32, INDIRECT($A32), MATCH(V$26, StatHeader, 0), 0)))</f>
        <v>0</v>
      </c>
      <c r="W32">
        <f t="shared" ca="1" si="18"/>
        <v>0</v>
      </c>
      <c r="Y32" t="str">
        <f t="shared" si="22"/>
        <v>-</v>
      </c>
      <c r="Z32" t="s">
        <v>17</v>
      </c>
      <c r="AA32" s="32" t="s">
        <v>27</v>
      </c>
      <c r="AB32">
        <f t="shared" ca="1" si="19"/>
        <v>0</v>
      </c>
      <c r="AC32">
        <f t="shared" ca="1" si="19"/>
        <v>0</v>
      </c>
      <c r="AD32">
        <f t="shared" ca="1" si="19"/>
        <v>0</v>
      </c>
      <c r="AE32">
        <f t="shared" ca="1" si="19"/>
        <v>0</v>
      </c>
      <c r="AF32">
        <f t="shared" ca="1" si="19"/>
        <v>0</v>
      </c>
      <c r="AG32">
        <f t="shared" ca="1" si="19"/>
        <v>0</v>
      </c>
      <c r="AH32">
        <f t="shared" ca="1" si="19"/>
        <v>0</v>
      </c>
      <c r="AI32">
        <f t="shared" ca="1" si="19"/>
        <v>10</v>
      </c>
      <c r="AJ32" s="2">
        <f t="shared" ca="1" si="19"/>
        <v>0</v>
      </c>
      <c r="AK32" s="2">
        <f t="shared" ca="1" si="19"/>
        <v>0</v>
      </c>
      <c r="AL32" s="2">
        <f t="shared" ca="1" si="19"/>
        <v>0</v>
      </c>
      <c r="AM32" s="2">
        <f t="shared" ca="1" si="19"/>
        <v>0</v>
      </c>
      <c r="AN32" s="2">
        <f t="shared" ca="1" si="20"/>
        <v>0</v>
      </c>
      <c r="AO32" s="2">
        <f t="shared" ca="1" si="20"/>
        <v>0</v>
      </c>
      <c r="AP32" s="2">
        <f t="shared" ca="1" si="20"/>
        <v>0</v>
      </c>
      <c r="AQ32" s="2">
        <f t="shared" ca="1" si="20"/>
        <v>0</v>
      </c>
      <c r="AR32" s="34">
        <f t="shared" ca="1" si="20"/>
        <v>0</v>
      </c>
      <c r="AS32" s="2">
        <f t="shared" ca="1" si="20"/>
        <v>0</v>
      </c>
      <c r="AT32">
        <f t="shared" ca="1" si="20"/>
        <v>0</v>
      </c>
      <c r="AU32" s="34">
        <f ca="1">IF(ISBLANK($AA32), 0, IF(ISNUMBER(VLOOKUP($AA32, INDIRECT($Z32), MATCH("D"&amp;AU$26, StatHeader, 0), 0)), IF(Setup!$G$40=1, VLOOKUP($AA32, INDIRECT($Z32), MATCH("D"&amp;AU$26, StatHeader, 0), 0), 0), VLOOKUP($AA32, INDIRECT($Z32), MATCH(AU$26, StatHeader, 0), 0)))</f>
        <v>100</v>
      </c>
      <c r="AV32">
        <f t="shared" ca="1" si="20"/>
        <v>0</v>
      </c>
    </row>
    <row r="33" spans="1:48">
      <c r="A33" t="s">
        <v>73</v>
      </c>
      <c r="B33" s="32" t="s">
        <v>1187</v>
      </c>
      <c r="C33">
        <f t="shared" ca="1" si="17"/>
        <v>0</v>
      </c>
      <c r="D33">
        <f t="shared" ca="1" si="17"/>
        <v>0</v>
      </c>
      <c r="E33">
        <f t="shared" ca="1" si="17"/>
        <v>0</v>
      </c>
      <c r="F33">
        <f t="shared" ca="1" si="17"/>
        <v>0</v>
      </c>
      <c r="G33">
        <f t="shared" ca="1" si="17"/>
        <v>0</v>
      </c>
      <c r="H33">
        <f t="shared" ca="1" si="17"/>
        <v>0</v>
      </c>
      <c r="I33">
        <f t="shared" ca="1" si="17"/>
        <v>10</v>
      </c>
      <c r="J33">
        <f t="shared" ca="1" si="17"/>
        <v>10</v>
      </c>
      <c r="K33" s="2">
        <f t="shared" ca="1" si="17"/>
        <v>0</v>
      </c>
      <c r="L33" s="2">
        <f t="shared" ca="1" si="17"/>
        <v>0.01</v>
      </c>
      <c r="M33" s="2">
        <f t="shared" ca="1" si="17"/>
        <v>0</v>
      </c>
      <c r="N33" s="2">
        <f t="shared" ca="1" si="17"/>
        <v>0</v>
      </c>
      <c r="O33" s="2">
        <f t="shared" ca="1" si="18"/>
        <v>0</v>
      </c>
      <c r="P33" s="2">
        <f t="shared" ca="1" si="18"/>
        <v>0</v>
      </c>
      <c r="Q33" s="2">
        <f t="shared" ca="1" si="18"/>
        <v>0</v>
      </c>
      <c r="R33" s="2">
        <f t="shared" ca="1" si="18"/>
        <v>0</v>
      </c>
      <c r="S33" s="34">
        <f t="shared" ca="1" si="18"/>
        <v>0</v>
      </c>
      <c r="T33" s="2">
        <f t="shared" ca="1" si="18"/>
        <v>0</v>
      </c>
      <c r="U33">
        <f t="shared" ca="1" si="18"/>
        <v>0</v>
      </c>
      <c r="V33" s="34">
        <f ca="1">IF(ISBLANK($B33), 0, IF(ISNUMBER(VLOOKUP($B33, INDIRECT($A33), MATCH("D"&amp;V$26, StatHeader, 0), 0)), IF(Setup!$F$40=1, VLOOKUP($B33, INDIRECT($A33), MATCH("D"&amp;V$26, StatHeader, 0), 0), 0), VLOOKUP($B33, INDIRECT($A33), MATCH(V$26, StatHeader, 0), 0)))</f>
        <v>0</v>
      </c>
      <c r="W33">
        <f t="shared" ca="1" si="18"/>
        <v>5</v>
      </c>
      <c r="Y33" t="str">
        <f t="shared" si="22"/>
        <v>=</v>
      </c>
      <c r="Z33" t="s">
        <v>73</v>
      </c>
      <c r="AA33" s="32" t="s">
        <v>1187</v>
      </c>
      <c r="AB33">
        <f t="shared" ca="1" si="19"/>
        <v>0</v>
      </c>
      <c r="AC33">
        <f t="shared" ca="1" si="19"/>
        <v>0</v>
      </c>
      <c r="AD33">
        <f t="shared" ca="1" si="19"/>
        <v>0</v>
      </c>
      <c r="AE33">
        <f t="shared" ca="1" si="19"/>
        <v>0</v>
      </c>
      <c r="AF33">
        <f t="shared" ca="1" si="19"/>
        <v>0</v>
      </c>
      <c r="AG33">
        <f t="shared" ca="1" si="19"/>
        <v>0</v>
      </c>
      <c r="AH33">
        <f t="shared" ca="1" si="19"/>
        <v>10</v>
      </c>
      <c r="AI33">
        <f t="shared" ca="1" si="19"/>
        <v>10</v>
      </c>
      <c r="AJ33" s="2">
        <f t="shared" ca="1" si="19"/>
        <v>0</v>
      </c>
      <c r="AK33" s="2">
        <f t="shared" ca="1" si="19"/>
        <v>0.01</v>
      </c>
      <c r="AL33" s="2">
        <f t="shared" ca="1" si="19"/>
        <v>0</v>
      </c>
      <c r="AM33" s="2">
        <f t="shared" ca="1" si="19"/>
        <v>0</v>
      </c>
      <c r="AN33" s="2">
        <f t="shared" ca="1" si="20"/>
        <v>0</v>
      </c>
      <c r="AO33" s="2">
        <f t="shared" ca="1" si="20"/>
        <v>0</v>
      </c>
      <c r="AP33" s="2">
        <f t="shared" ca="1" si="20"/>
        <v>0</v>
      </c>
      <c r="AQ33" s="2">
        <f t="shared" ca="1" si="20"/>
        <v>0</v>
      </c>
      <c r="AR33" s="34">
        <f t="shared" ca="1" si="20"/>
        <v>0</v>
      </c>
      <c r="AS33" s="2">
        <f t="shared" ca="1" si="20"/>
        <v>0</v>
      </c>
      <c r="AT33">
        <f t="shared" ca="1" si="20"/>
        <v>0</v>
      </c>
      <c r="AU33" s="34">
        <f ca="1">IF(ISBLANK($AA33), 0, IF(ISNUMBER(VLOOKUP($AA33, INDIRECT($Z33), MATCH("D"&amp;AU$26, StatHeader, 0), 0)), IF(Setup!$G$40=1, VLOOKUP($AA33, INDIRECT($Z33), MATCH("D"&amp;AU$26, StatHeader, 0), 0), 0), VLOOKUP($AA33, INDIRECT($Z33), MATCH(AU$26, StatHeader, 0), 0)))</f>
        <v>0</v>
      </c>
      <c r="AV33">
        <f t="shared" ca="1" si="20"/>
        <v>5</v>
      </c>
    </row>
    <row r="34" spans="1:48">
      <c r="A34" t="s">
        <v>73</v>
      </c>
      <c r="B34" s="32" t="s">
        <v>1138</v>
      </c>
      <c r="C34">
        <f t="shared" ca="1" si="17"/>
        <v>0</v>
      </c>
      <c r="D34">
        <f t="shared" ca="1" si="17"/>
        <v>0</v>
      </c>
      <c r="E34">
        <f t="shared" ca="1" si="17"/>
        <v>0</v>
      </c>
      <c r="F34">
        <f t="shared" ca="1" si="17"/>
        <v>0</v>
      </c>
      <c r="G34">
        <f t="shared" ca="1" si="17"/>
        <v>0</v>
      </c>
      <c r="H34">
        <f t="shared" ca="1" si="17"/>
        <v>0</v>
      </c>
      <c r="I34">
        <f t="shared" ca="1" si="17"/>
        <v>0</v>
      </c>
      <c r="J34">
        <f t="shared" ca="1" si="17"/>
        <v>0</v>
      </c>
      <c r="K34" s="2">
        <f t="shared" ca="1" si="17"/>
        <v>0</v>
      </c>
      <c r="L34" s="2">
        <f t="shared" ca="1" si="17"/>
        <v>0</v>
      </c>
      <c r="M34" s="2">
        <f t="shared" ca="1" si="17"/>
        <v>0</v>
      </c>
      <c r="N34" s="2">
        <f t="shared" ca="1" si="17"/>
        <v>0</v>
      </c>
      <c r="O34" s="2">
        <f t="shared" ca="1" si="18"/>
        <v>0</v>
      </c>
      <c r="P34" s="2">
        <f t="shared" ca="1" si="18"/>
        <v>0</v>
      </c>
      <c r="Q34" s="2">
        <f t="shared" ca="1" si="18"/>
        <v>0</v>
      </c>
      <c r="R34" s="2">
        <f t="shared" ca="1" si="18"/>
        <v>0</v>
      </c>
      <c r="S34" s="34">
        <f t="shared" ca="1" si="18"/>
        <v>0</v>
      </c>
      <c r="T34" s="2">
        <f t="shared" ca="1" si="18"/>
        <v>0.02</v>
      </c>
      <c r="U34">
        <f t="shared" ca="1" si="18"/>
        <v>0</v>
      </c>
      <c r="V34" s="34">
        <f ca="1">IF(ISBLANK($B34), 0, IF(ISNUMBER(VLOOKUP($B34, INDIRECT($A34), MATCH("D"&amp;V$26, StatHeader, 0), 0)), IF(Setup!$F$40=1, VLOOKUP($B34, INDIRECT($A34), MATCH("D"&amp;V$26, StatHeader, 0), 0), 0), VLOOKUP($B34, INDIRECT($A34), MATCH(V$26, StatHeader, 0), 0)))</f>
        <v>0</v>
      </c>
      <c r="W34">
        <f t="shared" ca="1" si="18"/>
        <v>0</v>
      </c>
      <c r="Y34" t="str">
        <f t="shared" si="22"/>
        <v>-</v>
      </c>
      <c r="Z34" t="s">
        <v>73</v>
      </c>
      <c r="AA34" s="32" t="s">
        <v>630</v>
      </c>
      <c r="AB34">
        <f t="shared" ca="1" si="19"/>
        <v>0</v>
      </c>
      <c r="AC34">
        <f t="shared" ca="1" si="19"/>
        <v>0</v>
      </c>
      <c r="AD34">
        <f t="shared" ca="1" si="19"/>
        <v>0</v>
      </c>
      <c r="AE34">
        <f t="shared" ca="1" si="19"/>
        <v>0</v>
      </c>
      <c r="AF34">
        <f t="shared" ca="1" si="19"/>
        <v>0</v>
      </c>
      <c r="AG34">
        <f t="shared" ca="1" si="19"/>
        <v>0</v>
      </c>
      <c r="AH34">
        <f t="shared" ca="1" si="19"/>
        <v>4</v>
      </c>
      <c r="AI34">
        <f t="shared" ca="1" si="19"/>
        <v>0</v>
      </c>
      <c r="AJ34" s="2">
        <f t="shared" ca="1" si="19"/>
        <v>0</v>
      </c>
      <c r="AK34" s="2">
        <f t="shared" ca="1" si="19"/>
        <v>0</v>
      </c>
      <c r="AL34" s="2">
        <f t="shared" ca="1" si="19"/>
        <v>0</v>
      </c>
      <c r="AM34" s="2">
        <f t="shared" ca="1" si="19"/>
        <v>0</v>
      </c>
      <c r="AN34" s="2">
        <f t="shared" ca="1" si="20"/>
        <v>0</v>
      </c>
      <c r="AO34" s="2">
        <f t="shared" ca="1" si="20"/>
        <v>0</v>
      </c>
      <c r="AP34" s="2">
        <f t="shared" ca="1" si="20"/>
        <v>0</v>
      </c>
      <c r="AQ34" s="2">
        <f t="shared" ca="1" si="20"/>
        <v>0</v>
      </c>
      <c r="AR34" s="34">
        <f t="shared" ca="1" si="20"/>
        <v>250</v>
      </c>
      <c r="AS34" s="2">
        <f t="shared" ca="1" si="20"/>
        <v>0</v>
      </c>
      <c r="AT34">
        <f t="shared" ca="1" si="20"/>
        <v>0</v>
      </c>
      <c r="AU34" s="34">
        <f ca="1">IF(ISBLANK($AA34), 0, IF(ISNUMBER(VLOOKUP($AA34, INDIRECT($Z34), MATCH("D"&amp;AU$26, StatHeader, 0), 0)), IF(Setup!$G$40=1, VLOOKUP($AA34, INDIRECT($Z34), MATCH("D"&amp;AU$26, StatHeader, 0), 0), 0), VLOOKUP($AA34, INDIRECT($Z34), MATCH(AU$26, StatHeader, 0), 0)))</f>
        <v>0</v>
      </c>
      <c r="AV34">
        <f t="shared" ca="1" si="20"/>
        <v>0</v>
      </c>
    </row>
    <row r="35" spans="1:48">
      <c r="A35" t="s">
        <v>18</v>
      </c>
      <c r="B35" s="32" t="s">
        <v>1190</v>
      </c>
      <c r="C35">
        <f t="shared" ca="1" si="17"/>
        <v>0</v>
      </c>
      <c r="D35">
        <f t="shared" ca="1" si="17"/>
        <v>0</v>
      </c>
      <c r="E35">
        <f t="shared" ca="1" si="17"/>
        <v>39</v>
      </c>
      <c r="F35">
        <f t="shared" ca="1" si="17"/>
        <v>44</v>
      </c>
      <c r="G35">
        <f t="shared" ca="1" si="17"/>
        <v>33</v>
      </c>
      <c r="H35">
        <f t="shared" ca="1" si="17"/>
        <v>33</v>
      </c>
      <c r="I35">
        <f t="shared" ca="1" si="17"/>
        <v>0</v>
      </c>
      <c r="J35">
        <f t="shared" ca="1" si="17"/>
        <v>50</v>
      </c>
      <c r="K35" s="2">
        <f t="shared" ca="1" si="17"/>
        <v>0</v>
      </c>
      <c r="L35" s="2">
        <f t="shared" ca="1" si="17"/>
        <v>0</v>
      </c>
      <c r="M35" s="2">
        <f t="shared" ca="1" si="17"/>
        <v>0</v>
      </c>
      <c r="N35" s="2">
        <f t="shared" ca="1" si="17"/>
        <v>0</v>
      </c>
      <c r="O35" s="2">
        <f t="shared" ca="1" si="18"/>
        <v>0</v>
      </c>
      <c r="P35" s="2">
        <f t="shared" ca="1" si="18"/>
        <v>0</v>
      </c>
      <c r="Q35" s="2">
        <f t="shared" ca="1" si="18"/>
        <v>0</v>
      </c>
      <c r="R35" s="2">
        <f t="shared" ca="1" si="18"/>
        <v>0</v>
      </c>
      <c r="S35" s="34">
        <f t="shared" ca="1" si="18"/>
        <v>0</v>
      </c>
      <c r="T35" s="2">
        <f t="shared" ca="1" si="18"/>
        <v>0.1</v>
      </c>
      <c r="U35">
        <f t="shared" ca="1" si="18"/>
        <v>0</v>
      </c>
      <c r="V35" s="34">
        <f ca="1">IF(ISBLANK($B35), 0, IF(ISNUMBER(VLOOKUP($B35, INDIRECT($A35), MATCH("D"&amp;V$26, StatHeader, 0), 0)), IF(Setup!$F$40=1, VLOOKUP($B35, INDIRECT($A35), MATCH("D"&amp;V$26, StatHeader, 0), 0), 0), VLOOKUP($B35, INDIRECT($A35), MATCH(V$26, StatHeader, 0), 0)))</f>
        <v>0</v>
      </c>
      <c r="W35">
        <f t="shared" ca="1" si="18"/>
        <v>0</v>
      </c>
      <c r="Y35" t="str">
        <f t="shared" si="22"/>
        <v>-</v>
      </c>
      <c r="Z35" t="s">
        <v>18</v>
      </c>
      <c r="AA35" s="32" t="s">
        <v>1110</v>
      </c>
      <c r="AB35">
        <f t="shared" ca="1" si="19"/>
        <v>0</v>
      </c>
      <c r="AC35">
        <f t="shared" ca="1" si="19"/>
        <v>0</v>
      </c>
      <c r="AD35">
        <f t="shared" ca="1" si="19"/>
        <v>25</v>
      </c>
      <c r="AE35">
        <f t="shared" ca="1" si="19"/>
        <v>38</v>
      </c>
      <c r="AF35">
        <f t="shared" ca="1" si="19"/>
        <v>21</v>
      </c>
      <c r="AG35">
        <f t="shared" ca="1" si="19"/>
        <v>21</v>
      </c>
      <c r="AH35">
        <f t="shared" ca="1" si="19"/>
        <v>22</v>
      </c>
      <c r="AI35">
        <f t="shared" ca="1" si="19"/>
        <v>22</v>
      </c>
      <c r="AJ35" s="2">
        <f t="shared" ca="1" si="19"/>
        <v>0</v>
      </c>
      <c r="AK35" s="2">
        <f t="shared" ca="1" si="19"/>
        <v>0</v>
      </c>
      <c r="AL35" s="2">
        <f t="shared" ca="1" si="19"/>
        <v>0</v>
      </c>
      <c r="AM35" s="2">
        <f t="shared" ca="1" si="19"/>
        <v>0</v>
      </c>
      <c r="AN35" s="2">
        <f t="shared" ca="1" si="20"/>
        <v>0</v>
      </c>
      <c r="AO35" s="2">
        <f t="shared" ca="1" si="20"/>
        <v>0.05</v>
      </c>
      <c r="AP35" s="2">
        <f t="shared" ca="1" si="20"/>
        <v>0.05</v>
      </c>
      <c r="AQ35" s="2">
        <f t="shared" ca="1" si="20"/>
        <v>0</v>
      </c>
      <c r="AR35" s="34">
        <f t="shared" ca="1" si="20"/>
        <v>0</v>
      </c>
      <c r="AS35" s="2">
        <f t="shared" ca="1" si="20"/>
        <v>0</v>
      </c>
      <c r="AT35">
        <f t="shared" ca="1" si="20"/>
        <v>0</v>
      </c>
      <c r="AU35" s="34">
        <f ca="1">IF(ISBLANK($AA35), 0, IF(ISNUMBER(VLOOKUP($AA35, INDIRECT($Z35), MATCH("D"&amp;AU$26, StatHeader, 0), 0)), IF(Setup!$G$40=1, VLOOKUP($AA35, INDIRECT($Z35), MATCH("D"&amp;AU$26, StatHeader, 0), 0), 0), VLOOKUP($AA35, INDIRECT($Z35), MATCH(AU$26, StatHeader, 0), 0)))</f>
        <v>0</v>
      </c>
      <c r="AV35">
        <f t="shared" ca="1" si="20"/>
        <v>0</v>
      </c>
    </row>
    <row r="36" spans="1:48">
      <c r="A36" t="s">
        <v>19</v>
      </c>
      <c r="B36" s="32" t="s">
        <v>1195</v>
      </c>
      <c r="C36">
        <f t="shared" ca="1" si="17"/>
        <v>0</v>
      </c>
      <c r="D36">
        <f t="shared" ca="1" si="17"/>
        <v>0</v>
      </c>
      <c r="E36">
        <f t="shared" ca="1" si="17"/>
        <v>18</v>
      </c>
      <c r="F36">
        <f t="shared" ca="1" si="17"/>
        <v>41</v>
      </c>
      <c r="G36">
        <f t="shared" ca="1" si="17"/>
        <v>36</v>
      </c>
      <c r="H36">
        <f t="shared" ca="1" si="17"/>
        <v>35</v>
      </c>
      <c r="I36">
        <f t="shared" ca="1" si="17"/>
        <v>43</v>
      </c>
      <c r="J36">
        <f t="shared" ca="1" si="17"/>
        <v>43</v>
      </c>
      <c r="K36" s="2">
        <f t="shared" ca="1" si="17"/>
        <v>0</v>
      </c>
      <c r="L36" s="2">
        <f t="shared" ca="1" si="17"/>
        <v>0</v>
      </c>
      <c r="M36" s="2">
        <f t="shared" ca="1" si="17"/>
        <v>0</v>
      </c>
      <c r="N36" s="2">
        <f t="shared" ca="1" si="17"/>
        <v>0</v>
      </c>
      <c r="O36" s="2">
        <f t="shared" ca="1" si="18"/>
        <v>0</v>
      </c>
      <c r="P36" s="2">
        <f t="shared" ca="1" si="18"/>
        <v>0</v>
      </c>
      <c r="Q36" s="2">
        <f t="shared" ca="1" si="18"/>
        <v>0</v>
      </c>
      <c r="R36" s="2">
        <f t="shared" ca="1" si="18"/>
        <v>0</v>
      </c>
      <c r="S36" s="34">
        <f t="shared" ca="1" si="18"/>
        <v>0</v>
      </c>
      <c r="T36" s="2">
        <f t="shared" ca="1" si="18"/>
        <v>7.0000000000000007E-2</v>
      </c>
      <c r="U36">
        <f t="shared" ca="1" si="18"/>
        <v>40</v>
      </c>
      <c r="V36" s="34">
        <f ca="1">IF(ISBLANK($B36), 0, IF(ISNUMBER(VLOOKUP($B36, INDIRECT($A36), MATCH("D"&amp;V$26, StatHeader, 0), 0)), IF(Setup!$F$40=1, VLOOKUP($B36, INDIRECT($A36), MATCH("D"&amp;V$26, StatHeader, 0), 0), 0), VLOOKUP($B36, INDIRECT($A36), MATCH(V$26, StatHeader, 0), 0)))</f>
        <v>0</v>
      </c>
      <c r="W36">
        <f t="shared" ca="1" si="18"/>
        <v>0</v>
      </c>
      <c r="Y36" t="str">
        <f t="shared" si="22"/>
        <v>-</v>
      </c>
      <c r="Z36" t="s">
        <v>19</v>
      </c>
      <c r="AA36" s="32" t="s">
        <v>1091</v>
      </c>
      <c r="AB36">
        <f t="shared" ca="1" si="19"/>
        <v>0</v>
      </c>
      <c r="AC36">
        <f t="shared" ca="1" si="19"/>
        <v>0</v>
      </c>
      <c r="AD36">
        <f t="shared" ca="1" si="19"/>
        <v>15</v>
      </c>
      <c r="AE36">
        <f t="shared" ca="1" si="19"/>
        <v>53</v>
      </c>
      <c r="AF36">
        <f t="shared" ca="1" si="19"/>
        <v>12</v>
      </c>
      <c r="AG36">
        <f t="shared" ca="1" si="19"/>
        <v>30</v>
      </c>
      <c r="AH36">
        <f t="shared" ca="1" si="19"/>
        <v>0</v>
      </c>
      <c r="AI36">
        <f t="shared" ca="1" si="19"/>
        <v>37</v>
      </c>
      <c r="AJ36" s="2">
        <f t="shared" ca="1" si="19"/>
        <v>0</v>
      </c>
      <c r="AK36" s="2">
        <f t="shared" ca="1" si="19"/>
        <v>0</v>
      </c>
      <c r="AL36" s="2">
        <f t="shared" ca="1" si="19"/>
        <v>0.03</v>
      </c>
      <c r="AM36" s="2">
        <f t="shared" ca="1" si="19"/>
        <v>0</v>
      </c>
      <c r="AN36" s="2">
        <f t="shared" ca="1" si="20"/>
        <v>0</v>
      </c>
      <c r="AO36" s="2">
        <f t="shared" ca="1" si="20"/>
        <v>0</v>
      </c>
      <c r="AP36" s="2">
        <f t="shared" ca="1" si="20"/>
        <v>0</v>
      </c>
      <c r="AQ36" s="2">
        <f t="shared" ca="1" si="20"/>
        <v>0</v>
      </c>
      <c r="AR36" s="34">
        <f t="shared" ca="1" si="20"/>
        <v>0</v>
      </c>
      <c r="AS36" s="2">
        <f t="shared" ca="1" si="20"/>
        <v>0</v>
      </c>
      <c r="AT36">
        <f t="shared" ca="1" si="20"/>
        <v>0</v>
      </c>
      <c r="AU36" s="34">
        <f ca="1">IF(ISBLANK($AA36), 0, IF(ISNUMBER(VLOOKUP($AA36, INDIRECT($Z36), MATCH("D"&amp;AU$26, StatHeader, 0), 0)), IF(Setup!$G$40=1, VLOOKUP($AA36, INDIRECT($Z36), MATCH("D"&amp;AU$26, StatHeader, 0), 0), 0), VLOOKUP($AA36, INDIRECT($Z36), MATCH(AU$26, StatHeader, 0), 0)))</f>
        <v>0</v>
      </c>
      <c r="AV36">
        <f t="shared" ca="1" si="20"/>
        <v>6</v>
      </c>
    </row>
    <row r="37" spans="1:48">
      <c r="A37" t="s">
        <v>74</v>
      </c>
      <c r="B37" s="32" t="s">
        <v>1144</v>
      </c>
      <c r="C37">
        <f t="shared" ref="C37:N42" ca="1" si="23">IF(ISBLANK($B37), 0, VLOOKUP($B37, INDIRECT($A37), MATCH(C$26, StatHeader, 0), 0))</f>
        <v>0</v>
      </c>
      <c r="D37">
        <f t="shared" ca="1" si="23"/>
        <v>0</v>
      </c>
      <c r="E37">
        <f t="shared" ca="1" si="23"/>
        <v>7</v>
      </c>
      <c r="F37">
        <f t="shared" ca="1" si="23"/>
        <v>0</v>
      </c>
      <c r="G37">
        <f t="shared" ca="1" si="17"/>
        <v>0</v>
      </c>
      <c r="H37">
        <f t="shared" ca="1" si="23"/>
        <v>0</v>
      </c>
      <c r="I37">
        <f t="shared" ca="1" si="23"/>
        <v>15</v>
      </c>
      <c r="J37">
        <f t="shared" ca="1" si="23"/>
        <v>0</v>
      </c>
      <c r="K37" s="2">
        <f t="shared" ca="1" si="17"/>
        <v>0</v>
      </c>
      <c r="L37" s="2">
        <f t="shared" ca="1" si="23"/>
        <v>0</v>
      </c>
      <c r="M37" s="2">
        <f t="shared" ca="1" si="23"/>
        <v>0</v>
      </c>
      <c r="N37" s="2">
        <f t="shared" ca="1" si="23"/>
        <v>0</v>
      </c>
      <c r="O37" s="2">
        <f t="shared" ref="O37:W42" ca="1" si="24">IF(ISBLANK($B37), 0, VLOOKUP($B37, INDIRECT($A37), MATCH(O$26, StatHeader, 0), 0))</f>
        <v>0</v>
      </c>
      <c r="P37" s="2">
        <f t="shared" ca="1" si="24"/>
        <v>0</v>
      </c>
      <c r="Q37" s="2">
        <f t="shared" ca="1" si="24"/>
        <v>0</v>
      </c>
      <c r="R37" s="2">
        <f t="shared" ca="1" si="24"/>
        <v>0</v>
      </c>
      <c r="S37" s="34">
        <f t="shared" ca="1" si="24"/>
        <v>0</v>
      </c>
      <c r="T37" s="2">
        <f t="shared" ca="1" si="24"/>
        <v>0</v>
      </c>
      <c r="U37">
        <f t="shared" ca="1" si="18"/>
        <v>0</v>
      </c>
      <c r="V37" s="34">
        <f ca="1">IF(ISBLANK($B37), 0, IF(ISNUMBER(VLOOKUP($B37, INDIRECT($A37), MATCH("D"&amp;V$26, StatHeader, 0), 0)), IF(Setup!$F$40=1, VLOOKUP($B37, INDIRECT($A37), MATCH("D"&amp;V$26, StatHeader, 0), 0), 0), VLOOKUP($B37, INDIRECT($A37), MATCH(V$26, StatHeader, 0), 0)))</f>
        <v>0</v>
      </c>
      <c r="W37">
        <f t="shared" ca="1" si="24"/>
        <v>0</v>
      </c>
      <c r="Y37" t="str">
        <f t="shared" si="22"/>
        <v>-</v>
      </c>
      <c r="Z37" t="s">
        <v>74</v>
      </c>
      <c r="AA37" s="32" t="s">
        <v>1194</v>
      </c>
      <c r="AB37">
        <f t="shared" ref="AB37:AM42" ca="1" si="25">IF(ISBLANK($AA37), 0, VLOOKUP($AA37, INDIRECT($Z37), MATCH(AB$26, StatHeader, 0), 0))</f>
        <v>0</v>
      </c>
      <c r="AC37">
        <f t="shared" ca="1" si="25"/>
        <v>0</v>
      </c>
      <c r="AD37">
        <f t="shared" ca="1" si="25"/>
        <v>0</v>
      </c>
      <c r="AE37">
        <f t="shared" ca="1" si="25"/>
        <v>10</v>
      </c>
      <c r="AF37">
        <f t="shared" ca="1" si="19"/>
        <v>0</v>
      </c>
      <c r="AG37">
        <f t="shared" ca="1" si="25"/>
        <v>0</v>
      </c>
      <c r="AH37">
        <f t="shared" ca="1" si="25"/>
        <v>25</v>
      </c>
      <c r="AI37">
        <f t="shared" ca="1" si="25"/>
        <v>0</v>
      </c>
      <c r="AJ37" s="2">
        <f t="shared" ca="1" si="25"/>
        <v>0</v>
      </c>
      <c r="AK37" s="2">
        <f t="shared" ca="1" si="25"/>
        <v>0</v>
      </c>
      <c r="AL37" s="2">
        <f t="shared" ca="1" si="25"/>
        <v>0</v>
      </c>
      <c r="AM37" s="2">
        <f t="shared" ca="1" si="25"/>
        <v>0</v>
      </c>
      <c r="AN37" s="2">
        <f t="shared" ref="AN37:AV42" ca="1" si="26">IF(ISBLANK($AA37), 0, VLOOKUP($AA37, INDIRECT($Z37), MATCH(AN$26, StatHeader, 0), 0))</f>
        <v>0</v>
      </c>
      <c r="AO37" s="2">
        <f t="shared" ca="1" si="26"/>
        <v>0</v>
      </c>
      <c r="AP37" s="2">
        <f t="shared" ca="1" si="26"/>
        <v>0</v>
      </c>
      <c r="AQ37" s="2">
        <f t="shared" ca="1" si="26"/>
        <v>0</v>
      </c>
      <c r="AR37" s="34">
        <f t="shared" ca="1" si="26"/>
        <v>0</v>
      </c>
      <c r="AS37" s="2">
        <f t="shared" ca="1" si="26"/>
        <v>0</v>
      </c>
      <c r="AT37">
        <f t="shared" ca="1" si="20"/>
        <v>0</v>
      </c>
      <c r="AU37" s="34">
        <f ca="1">IF(ISBLANK($AA37), 0, IF(ISNUMBER(VLOOKUP($AA37, INDIRECT($Z37), MATCH("D"&amp;AU$26, StatHeader, 0), 0)), IF(Setup!$G$40=1, VLOOKUP($AA37, INDIRECT($Z37), MATCH("D"&amp;AU$26, StatHeader, 0), 0), 0), VLOOKUP($AA37, INDIRECT($Z37), MATCH(AU$26, StatHeader, 0), 0)))</f>
        <v>0</v>
      </c>
      <c r="AV37">
        <f t="shared" ca="1" si="26"/>
        <v>5</v>
      </c>
    </row>
    <row r="38" spans="1:48">
      <c r="A38" t="s">
        <v>74</v>
      </c>
      <c r="B38" s="32" t="s">
        <v>1119</v>
      </c>
      <c r="C38">
        <f t="shared" ca="1" si="23"/>
        <v>0</v>
      </c>
      <c r="D38">
        <f t="shared" ca="1" si="23"/>
        <v>0</v>
      </c>
      <c r="E38">
        <f t="shared" ca="1" si="23"/>
        <v>6</v>
      </c>
      <c r="F38">
        <f t="shared" ca="1" si="23"/>
        <v>6</v>
      </c>
      <c r="G38">
        <f t="shared" ca="1" si="17"/>
        <v>0</v>
      </c>
      <c r="H38">
        <f t="shared" ca="1" si="23"/>
        <v>0</v>
      </c>
      <c r="I38">
        <f t="shared" ca="1" si="23"/>
        <v>0</v>
      </c>
      <c r="J38">
        <f t="shared" ca="1" si="23"/>
        <v>0</v>
      </c>
      <c r="K38" s="2">
        <f t="shared" ca="1" si="17"/>
        <v>0</v>
      </c>
      <c r="L38" s="2">
        <f t="shared" ca="1" si="23"/>
        <v>0</v>
      </c>
      <c r="M38" s="2">
        <f t="shared" ca="1" si="23"/>
        <v>0</v>
      </c>
      <c r="N38" s="2">
        <f t="shared" ca="1" si="23"/>
        <v>0</v>
      </c>
      <c r="O38" s="2">
        <f t="shared" ca="1" si="24"/>
        <v>0</v>
      </c>
      <c r="P38" s="2">
        <f t="shared" ca="1" si="24"/>
        <v>0</v>
      </c>
      <c r="Q38" s="2">
        <f t="shared" ca="1" si="24"/>
        <v>0</v>
      </c>
      <c r="R38" s="2">
        <f t="shared" ca="1" si="24"/>
        <v>0</v>
      </c>
      <c r="S38" s="34">
        <f t="shared" ca="1" si="24"/>
        <v>0</v>
      </c>
      <c r="T38" s="2">
        <f t="shared" ca="1" si="24"/>
        <v>0</v>
      </c>
      <c r="U38">
        <f t="shared" ca="1" si="18"/>
        <v>0</v>
      </c>
      <c r="V38" s="34">
        <f ca="1">IF(ISBLANK($B38), 0, IF(ISNUMBER(VLOOKUP($B38, INDIRECT($A38), MATCH("D"&amp;V$26, StatHeader, 0), 0)), IF(Setup!$F$40=1, VLOOKUP($B38, INDIRECT($A38), MATCH("D"&amp;V$26, StatHeader, 0), 0), 0), VLOOKUP($B38, INDIRECT($A38), MATCH(V$26, StatHeader, 0), 0)))</f>
        <v>0</v>
      </c>
      <c r="W38">
        <f t="shared" ca="1" si="24"/>
        <v>3</v>
      </c>
      <c r="Y38" t="str">
        <f t="shared" si="22"/>
        <v>-</v>
      </c>
      <c r="Z38" t="s">
        <v>74</v>
      </c>
      <c r="AA38" s="32" t="s">
        <v>669</v>
      </c>
      <c r="AB38">
        <f t="shared" ca="1" si="25"/>
        <v>0</v>
      </c>
      <c r="AC38">
        <f t="shared" ca="1" si="25"/>
        <v>0</v>
      </c>
      <c r="AD38">
        <f t="shared" ca="1" si="25"/>
        <v>0</v>
      </c>
      <c r="AE38">
        <f t="shared" ca="1" si="25"/>
        <v>0</v>
      </c>
      <c r="AF38">
        <f t="shared" ca="1" si="19"/>
        <v>0</v>
      </c>
      <c r="AG38">
        <f t="shared" ca="1" si="25"/>
        <v>0</v>
      </c>
      <c r="AH38">
        <f t="shared" ca="1" si="25"/>
        <v>0</v>
      </c>
      <c r="AI38">
        <f t="shared" ca="1" si="25"/>
        <v>0</v>
      </c>
      <c r="AJ38" s="2">
        <f t="shared" ca="1" si="25"/>
        <v>0</v>
      </c>
      <c r="AK38" s="2">
        <f t="shared" ca="1" si="25"/>
        <v>0.03</v>
      </c>
      <c r="AL38" s="2">
        <f t="shared" ca="1" si="25"/>
        <v>0.03</v>
      </c>
      <c r="AM38" s="2">
        <f t="shared" ca="1" si="25"/>
        <v>0</v>
      </c>
      <c r="AN38" s="2">
        <f t="shared" ca="1" si="26"/>
        <v>0</v>
      </c>
      <c r="AO38" s="2">
        <f t="shared" ca="1" si="26"/>
        <v>0</v>
      </c>
      <c r="AP38" s="2">
        <f t="shared" ca="1" si="26"/>
        <v>0</v>
      </c>
      <c r="AQ38" s="2">
        <f t="shared" ca="1" si="26"/>
        <v>0</v>
      </c>
      <c r="AR38" s="34">
        <f t="shared" ca="1" si="26"/>
        <v>0</v>
      </c>
      <c r="AS38" s="2">
        <f t="shared" ca="1" si="26"/>
        <v>0</v>
      </c>
      <c r="AT38">
        <f t="shared" ca="1" si="20"/>
        <v>0</v>
      </c>
      <c r="AU38" s="34">
        <f ca="1">IF(ISBLANK($AA38), 0, IF(ISNUMBER(VLOOKUP($AA38, INDIRECT($Z38), MATCH("D"&amp;AU$26, StatHeader, 0), 0)), IF(Setup!$G$40=1, VLOOKUP($AA38, INDIRECT($Z38), MATCH("D"&amp;AU$26, StatHeader, 0), 0), 0), VLOOKUP($AA38, INDIRECT($Z38), MATCH(AU$26, StatHeader, 0), 0)))</f>
        <v>0</v>
      </c>
      <c r="AV38">
        <f t="shared" ca="1" si="26"/>
        <v>0</v>
      </c>
    </row>
    <row r="39" spans="1:48">
      <c r="A39" t="s">
        <v>20</v>
      </c>
      <c r="B39" s="32" t="s">
        <v>1145</v>
      </c>
      <c r="C39">
        <f t="shared" ca="1" si="23"/>
        <v>0</v>
      </c>
      <c r="D39">
        <f t="shared" ca="1" si="23"/>
        <v>0</v>
      </c>
      <c r="E39">
        <f t="shared" ca="1" si="23"/>
        <v>30</v>
      </c>
      <c r="F39">
        <f t="shared" ca="1" si="23"/>
        <v>0</v>
      </c>
      <c r="G39">
        <f t="shared" ca="1" si="17"/>
        <v>0</v>
      </c>
      <c r="H39">
        <f t="shared" ca="1" si="23"/>
        <v>0</v>
      </c>
      <c r="I39">
        <f t="shared" ca="1" si="23"/>
        <v>20</v>
      </c>
      <c r="J39">
        <f t="shared" ca="1" si="23"/>
        <v>20</v>
      </c>
      <c r="K39" s="2">
        <f t="shared" ca="1" si="17"/>
        <v>0</v>
      </c>
      <c r="L39" s="2">
        <f t="shared" ca="1" si="23"/>
        <v>0</v>
      </c>
      <c r="M39" s="2">
        <f t="shared" ca="1" si="23"/>
        <v>0</v>
      </c>
      <c r="N39" s="2">
        <f t="shared" ca="1" si="23"/>
        <v>0</v>
      </c>
      <c r="O39" s="2">
        <f t="shared" ca="1" si="24"/>
        <v>0</v>
      </c>
      <c r="P39" s="2">
        <f t="shared" ca="1" si="24"/>
        <v>0</v>
      </c>
      <c r="Q39" s="2">
        <f t="shared" ca="1" si="24"/>
        <v>0</v>
      </c>
      <c r="R39" s="2">
        <f t="shared" ca="1" si="24"/>
        <v>0</v>
      </c>
      <c r="S39" s="34">
        <f t="shared" ca="1" si="24"/>
        <v>0</v>
      </c>
      <c r="T39" s="2">
        <f t="shared" ca="1" si="24"/>
        <v>0.1</v>
      </c>
      <c r="U39">
        <f t="shared" ca="1" si="18"/>
        <v>0</v>
      </c>
      <c r="V39" s="34">
        <f ca="1">IF(ISBLANK($B39), 0, IF(ISNUMBER(VLOOKUP($B39, INDIRECT($A39), MATCH("D"&amp;V$26, StatHeader, 0), 0)), IF(Setup!$F$40=1, VLOOKUP($B39, INDIRECT($A39), MATCH("D"&amp;V$26, StatHeader, 0), 0), 0), VLOOKUP($B39, INDIRECT($A39), MATCH(V$26, StatHeader, 0), 0)))</f>
        <v>0</v>
      </c>
      <c r="W39">
        <f t="shared" ca="1" si="24"/>
        <v>0</v>
      </c>
      <c r="Y39" t="str">
        <f t="shared" si="22"/>
        <v>-</v>
      </c>
      <c r="Z39" t="s">
        <v>20</v>
      </c>
      <c r="AA39" s="32" t="s">
        <v>1121</v>
      </c>
      <c r="AB39">
        <f t="shared" ca="1" si="25"/>
        <v>0</v>
      </c>
      <c r="AC39">
        <f t="shared" ca="1" si="25"/>
        <v>0</v>
      </c>
      <c r="AD39">
        <f t="shared" ca="1" si="25"/>
        <v>0</v>
      </c>
      <c r="AE39">
        <f t="shared" ca="1" si="25"/>
        <v>30</v>
      </c>
      <c r="AF39">
        <f t="shared" ca="1" si="19"/>
        <v>0</v>
      </c>
      <c r="AG39">
        <f t="shared" ca="1" si="25"/>
        <v>0</v>
      </c>
      <c r="AH39">
        <f t="shared" ca="1" si="25"/>
        <v>20</v>
      </c>
      <c r="AI39">
        <f t="shared" ca="1" si="25"/>
        <v>20</v>
      </c>
      <c r="AJ39" s="2">
        <f t="shared" ca="1" si="25"/>
        <v>0</v>
      </c>
      <c r="AK39" s="2">
        <f t="shared" ca="1" si="25"/>
        <v>0</v>
      </c>
      <c r="AL39" s="2">
        <f t="shared" ca="1" si="25"/>
        <v>0</v>
      </c>
      <c r="AM39" s="2">
        <f t="shared" ca="1" si="25"/>
        <v>0</v>
      </c>
      <c r="AN39" s="2">
        <f t="shared" ca="1" si="26"/>
        <v>0</v>
      </c>
      <c r="AO39" s="2">
        <f t="shared" ca="1" si="26"/>
        <v>0.1</v>
      </c>
      <c r="AP39" s="2">
        <f t="shared" ca="1" si="26"/>
        <v>0</v>
      </c>
      <c r="AQ39" s="2">
        <f t="shared" ca="1" si="26"/>
        <v>0</v>
      </c>
      <c r="AR39" s="34">
        <f t="shared" ca="1" si="26"/>
        <v>0</v>
      </c>
      <c r="AS39" s="2">
        <f t="shared" ca="1" si="26"/>
        <v>0</v>
      </c>
      <c r="AT39">
        <f t="shared" ca="1" si="20"/>
        <v>0</v>
      </c>
      <c r="AU39" s="34">
        <f ca="1">IF(ISBLANK($AA39), 0, IF(ISNUMBER(VLOOKUP($AA39, INDIRECT($Z39), MATCH("D"&amp;AU$26, StatHeader, 0), 0)), IF(Setup!$G$40=1, VLOOKUP($AA39, INDIRECT($Z39), MATCH("D"&amp;AU$26, StatHeader, 0), 0), 0), VLOOKUP($AA39, INDIRECT($Z39), MATCH(AU$26, StatHeader, 0), 0)))</f>
        <v>0</v>
      </c>
      <c r="AV39">
        <f t="shared" ca="1" si="26"/>
        <v>0</v>
      </c>
    </row>
    <row r="40" spans="1:48">
      <c r="A40" t="s">
        <v>21</v>
      </c>
      <c r="B40" s="32" t="s">
        <v>1055</v>
      </c>
      <c r="C40">
        <f t="shared" ca="1" si="23"/>
        <v>0</v>
      </c>
      <c r="D40">
        <f t="shared" ca="1" si="23"/>
        <v>0</v>
      </c>
      <c r="E40">
        <f t="shared" ca="1" si="23"/>
        <v>7</v>
      </c>
      <c r="F40">
        <f t="shared" ca="1" si="23"/>
        <v>5</v>
      </c>
      <c r="G40">
        <f t="shared" ca="1" si="17"/>
        <v>7</v>
      </c>
      <c r="H40">
        <f t="shared" ca="1" si="23"/>
        <v>5</v>
      </c>
      <c r="I40">
        <f t="shared" ca="1" si="23"/>
        <v>0</v>
      </c>
      <c r="J40">
        <f t="shared" ca="1" si="23"/>
        <v>0</v>
      </c>
      <c r="K40" s="2">
        <f t="shared" ca="1" si="17"/>
        <v>0</v>
      </c>
      <c r="L40" s="2">
        <f t="shared" ca="1" si="23"/>
        <v>0</v>
      </c>
      <c r="M40" s="2">
        <f t="shared" ca="1" si="23"/>
        <v>0</v>
      </c>
      <c r="N40" s="2">
        <f t="shared" ca="1" si="23"/>
        <v>0</v>
      </c>
      <c r="O40" s="2">
        <f t="shared" ca="1" si="24"/>
        <v>0</v>
      </c>
      <c r="P40" s="2">
        <f t="shared" ca="1" si="24"/>
        <v>0</v>
      </c>
      <c r="Q40" s="2">
        <f t="shared" ca="1" si="24"/>
        <v>0</v>
      </c>
      <c r="R40" s="2">
        <f t="shared" ca="1" si="24"/>
        <v>0</v>
      </c>
      <c r="S40" s="34">
        <f t="shared" ca="1" si="24"/>
        <v>0</v>
      </c>
      <c r="T40" s="2">
        <f t="shared" ca="1" si="24"/>
        <v>0</v>
      </c>
      <c r="U40">
        <f t="shared" ca="1" si="18"/>
        <v>0</v>
      </c>
      <c r="V40" s="34">
        <f ca="1">IF(ISBLANK($B40), 0, IF(ISNUMBER(VLOOKUP($B40, INDIRECT($A40), MATCH("D"&amp;V$26, StatHeader, 0), 0)), IF(Setup!$F$40=1, VLOOKUP($B40, INDIRECT($A40), MATCH("D"&amp;V$26, StatHeader, 0), 0), 0), VLOOKUP($B40, INDIRECT($A40), MATCH(V$26, StatHeader, 0), 0)))</f>
        <v>0</v>
      </c>
      <c r="W40">
        <f t="shared" ca="1" si="24"/>
        <v>0</v>
      </c>
      <c r="Y40" t="str">
        <f t="shared" si="22"/>
        <v>-</v>
      </c>
      <c r="Z40" t="s">
        <v>21</v>
      </c>
      <c r="AA40" s="32" t="s">
        <v>167</v>
      </c>
      <c r="AB40">
        <f t="shared" ca="1" si="25"/>
        <v>0</v>
      </c>
      <c r="AC40">
        <f t="shared" ca="1" si="25"/>
        <v>0</v>
      </c>
      <c r="AD40">
        <f t="shared" ca="1" si="25"/>
        <v>0</v>
      </c>
      <c r="AE40">
        <f t="shared" ca="1" si="25"/>
        <v>0</v>
      </c>
      <c r="AF40">
        <f t="shared" ca="1" si="19"/>
        <v>0</v>
      </c>
      <c r="AG40">
        <f t="shared" ca="1" si="25"/>
        <v>0</v>
      </c>
      <c r="AH40">
        <f t="shared" ca="1" si="25"/>
        <v>0</v>
      </c>
      <c r="AI40">
        <f t="shared" ca="1" si="25"/>
        <v>10</v>
      </c>
      <c r="AJ40" s="2">
        <f t="shared" ca="1" si="25"/>
        <v>0</v>
      </c>
      <c r="AK40" s="2">
        <f t="shared" ca="1" si="25"/>
        <v>0</v>
      </c>
      <c r="AL40" s="2">
        <f t="shared" ca="1" si="25"/>
        <v>0</v>
      </c>
      <c r="AM40" s="2">
        <f t="shared" ca="1" si="25"/>
        <v>0</v>
      </c>
      <c r="AN40" s="2">
        <f t="shared" ca="1" si="26"/>
        <v>0</v>
      </c>
      <c r="AO40" s="2">
        <f t="shared" ca="1" si="26"/>
        <v>0</v>
      </c>
      <c r="AP40" s="2">
        <f t="shared" ca="1" si="26"/>
        <v>0</v>
      </c>
      <c r="AQ40" s="2">
        <f t="shared" ca="1" si="26"/>
        <v>7.0000000000000007E-2</v>
      </c>
      <c r="AR40" s="34">
        <f t="shared" ca="1" si="26"/>
        <v>0</v>
      </c>
      <c r="AS40" s="2">
        <f t="shared" ca="1" si="26"/>
        <v>0</v>
      </c>
      <c r="AT40">
        <f t="shared" ca="1" si="20"/>
        <v>0</v>
      </c>
      <c r="AU40" s="34">
        <f ca="1">IF(ISBLANK($AA40), 0, IF(ISNUMBER(VLOOKUP($AA40, INDIRECT($Z40), MATCH("D"&amp;AU$26, StatHeader, 0), 0)), IF(Setup!$G$40=1, VLOOKUP($AA40, INDIRECT($Z40), MATCH("D"&amp;AU$26, StatHeader, 0), 0), 0), VLOOKUP($AA40, INDIRECT($Z40), MATCH(AU$26, StatHeader, 0), 0)))</f>
        <v>100</v>
      </c>
      <c r="AV40">
        <f t="shared" ca="1" si="26"/>
        <v>0</v>
      </c>
    </row>
    <row r="41" spans="1:48">
      <c r="A41" t="s">
        <v>22</v>
      </c>
      <c r="B41" s="32" t="s">
        <v>1195</v>
      </c>
      <c r="C41">
        <f t="shared" ca="1" si="23"/>
        <v>0</v>
      </c>
      <c r="D41">
        <f t="shared" ca="1" si="23"/>
        <v>0</v>
      </c>
      <c r="E41">
        <f t="shared" ca="1" si="23"/>
        <v>47</v>
      </c>
      <c r="F41">
        <f t="shared" ca="1" si="23"/>
        <v>0</v>
      </c>
      <c r="G41">
        <f t="shared" ca="1" si="17"/>
        <v>52</v>
      </c>
      <c r="H41">
        <f t="shared" ca="1" si="23"/>
        <v>26</v>
      </c>
      <c r="I41">
        <f t="shared" ca="1" si="23"/>
        <v>45</v>
      </c>
      <c r="J41">
        <f t="shared" ca="1" si="23"/>
        <v>45</v>
      </c>
      <c r="K41" s="2">
        <f t="shared" ca="1" si="17"/>
        <v>0</v>
      </c>
      <c r="L41" s="2">
        <f t="shared" ca="1" si="23"/>
        <v>0</v>
      </c>
      <c r="M41" s="2">
        <f t="shared" ca="1" si="23"/>
        <v>0</v>
      </c>
      <c r="N41" s="2">
        <f t="shared" ca="1" si="23"/>
        <v>0</v>
      </c>
      <c r="O41" s="2">
        <f t="shared" ca="1" si="24"/>
        <v>0</v>
      </c>
      <c r="P41" s="2">
        <f t="shared" ca="1" si="24"/>
        <v>0</v>
      </c>
      <c r="Q41" s="2">
        <f t="shared" ca="1" si="24"/>
        <v>0</v>
      </c>
      <c r="R41" s="2">
        <f t="shared" ca="1" si="24"/>
        <v>0</v>
      </c>
      <c r="S41" s="34">
        <f t="shared" ca="1" si="24"/>
        <v>0</v>
      </c>
      <c r="T41" s="2">
        <f t="shared" ca="1" si="24"/>
        <v>0</v>
      </c>
      <c r="U41">
        <f t="shared" ca="1" si="18"/>
        <v>42</v>
      </c>
      <c r="V41" s="34">
        <f ca="1">IF(ISBLANK($B41), 0, IF(ISNUMBER(VLOOKUP($B41, INDIRECT($A41), MATCH("D"&amp;V$26, StatHeader, 0), 0)), IF(Setup!$F$40=1, VLOOKUP($B41, INDIRECT($A41), MATCH("D"&amp;V$26, StatHeader, 0), 0), 0), VLOOKUP($B41, INDIRECT($A41), MATCH(V$26, StatHeader, 0), 0)))</f>
        <v>0</v>
      </c>
      <c r="W41">
        <f t="shared" ca="1" si="24"/>
        <v>9</v>
      </c>
      <c r="Y41" t="str">
        <f t="shared" si="22"/>
        <v>-</v>
      </c>
      <c r="Z41" t="s">
        <v>22</v>
      </c>
      <c r="AA41" s="32" t="s">
        <v>1049</v>
      </c>
      <c r="AB41">
        <f t="shared" ca="1" si="25"/>
        <v>0</v>
      </c>
      <c r="AC41">
        <f t="shared" ca="1" si="25"/>
        <v>0</v>
      </c>
      <c r="AD41">
        <f t="shared" ca="1" si="25"/>
        <v>48</v>
      </c>
      <c r="AE41">
        <f t="shared" ca="1" si="25"/>
        <v>16</v>
      </c>
      <c r="AF41">
        <f t="shared" ca="1" si="19"/>
        <v>28</v>
      </c>
      <c r="AG41">
        <f t="shared" ca="1" si="25"/>
        <v>16</v>
      </c>
      <c r="AH41">
        <f t="shared" ca="1" si="25"/>
        <v>0</v>
      </c>
      <c r="AI41">
        <f t="shared" ca="1" si="25"/>
        <v>15</v>
      </c>
      <c r="AJ41" s="2">
        <f t="shared" ca="1" si="25"/>
        <v>0</v>
      </c>
      <c r="AK41" s="2">
        <f t="shared" ca="1" si="25"/>
        <v>0.03</v>
      </c>
      <c r="AL41" s="2">
        <f t="shared" ca="1" si="25"/>
        <v>0.03</v>
      </c>
      <c r="AM41" s="2">
        <f t="shared" ca="1" si="25"/>
        <v>0</v>
      </c>
      <c r="AN41" s="2">
        <f t="shared" ca="1" si="26"/>
        <v>0</v>
      </c>
      <c r="AO41" s="2">
        <f t="shared" ca="1" si="26"/>
        <v>0</v>
      </c>
      <c r="AP41" s="2">
        <f t="shared" ca="1" si="26"/>
        <v>0</v>
      </c>
      <c r="AQ41" s="2">
        <f t="shared" ca="1" si="26"/>
        <v>0</v>
      </c>
      <c r="AR41" s="34">
        <f t="shared" ca="1" si="26"/>
        <v>0</v>
      </c>
      <c r="AS41" s="2">
        <f t="shared" ca="1" si="26"/>
        <v>0</v>
      </c>
      <c r="AT41">
        <f t="shared" ca="1" si="20"/>
        <v>0</v>
      </c>
      <c r="AU41" s="34">
        <f ca="1">IF(ISBLANK($AA41), 0, IF(ISNUMBER(VLOOKUP($AA41, INDIRECT($Z41), MATCH("D"&amp;AU$26, StatHeader, 0), 0)), IF(Setup!$G$40=1, VLOOKUP($AA41, INDIRECT($Z41), MATCH("D"&amp;AU$26, StatHeader, 0), 0), 0), VLOOKUP($AA41, INDIRECT($Z41), MATCH(AU$26, StatHeader, 0), 0)))</f>
        <v>0</v>
      </c>
      <c r="AV41">
        <f t="shared" ca="1" si="26"/>
        <v>7</v>
      </c>
    </row>
    <row r="42" spans="1:48">
      <c r="A42" t="s">
        <v>23</v>
      </c>
      <c r="B42" s="32" t="s">
        <v>1195</v>
      </c>
      <c r="C42">
        <f t="shared" ca="1" si="23"/>
        <v>0</v>
      </c>
      <c r="D42">
        <f t="shared" ca="1" si="23"/>
        <v>0</v>
      </c>
      <c r="E42">
        <f t="shared" ca="1" si="23"/>
        <v>25</v>
      </c>
      <c r="F42">
        <f t="shared" ca="1" si="23"/>
        <v>28</v>
      </c>
      <c r="G42">
        <f t="shared" ca="1" si="17"/>
        <v>33</v>
      </c>
      <c r="H42">
        <f t="shared" ca="1" si="23"/>
        <v>21</v>
      </c>
      <c r="I42">
        <f t="shared" ca="1" si="23"/>
        <v>42</v>
      </c>
      <c r="J42">
        <f t="shared" ca="1" si="23"/>
        <v>42</v>
      </c>
      <c r="K42" s="2">
        <f t="shared" ca="1" si="17"/>
        <v>0</v>
      </c>
      <c r="L42" s="2">
        <f t="shared" ca="1" si="23"/>
        <v>0</v>
      </c>
      <c r="M42" s="2">
        <f t="shared" ca="1" si="23"/>
        <v>0</v>
      </c>
      <c r="N42" s="2">
        <f t="shared" ca="1" si="23"/>
        <v>0</v>
      </c>
      <c r="O42" s="2">
        <f t="shared" ca="1" si="24"/>
        <v>0</v>
      </c>
      <c r="P42" s="2">
        <f t="shared" ca="1" si="24"/>
        <v>0</v>
      </c>
      <c r="Q42" s="2">
        <f t="shared" ca="1" si="24"/>
        <v>0</v>
      </c>
      <c r="R42" s="2">
        <f t="shared" ca="1" si="24"/>
        <v>0</v>
      </c>
      <c r="S42" s="34">
        <f t="shared" ca="1" si="24"/>
        <v>0</v>
      </c>
      <c r="T42" s="2">
        <f t="shared" ca="1" si="24"/>
        <v>0</v>
      </c>
      <c r="U42">
        <f t="shared" ca="1" si="18"/>
        <v>39</v>
      </c>
      <c r="V42" s="34">
        <f ca="1">IF(ISBLANK($B42), 0, IF(ISNUMBER(VLOOKUP($B42, INDIRECT($A42), MATCH("D"&amp;V$26, StatHeader, 0), 0)), IF(Setup!$F$40=1, VLOOKUP($B42, INDIRECT($A42), MATCH("D"&amp;V$26, StatHeader, 0), 0), 0), VLOOKUP($B42, INDIRECT($A42), MATCH(V$26, StatHeader, 0), 0)))</f>
        <v>0</v>
      </c>
      <c r="W42">
        <f t="shared" ca="1" si="24"/>
        <v>0</v>
      </c>
      <c r="Y42" t="str">
        <f t="shared" si="22"/>
        <v>-</v>
      </c>
      <c r="Z42" t="s">
        <v>23</v>
      </c>
      <c r="AA42" s="32" t="s">
        <v>1104</v>
      </c>
      <c r="AB42">
        <f t="shared" ca="1" si="25"/>
        <v>0</v>
      </c>
      <c r="AC42">
        <f t="shared" ca="1" si="25"/>
        <v>0</v>
      </c>
      <c r="AD42">
        <f t="shared" ca="1" si="25"/>
        <v>13</v>
      </c>
      <c r="AE42">
        <f t="shared" ca="1" si="25"/>
        <v>28</v>
      </c>
      <c r="AF42">
        <f t="shared" ca="1" si="19"/>
        <v>1</v>
      </c>
      <c r="AG42">
        <f t="shared" ca="1" si="25"/>
        <v>13</v>
      </c>
      <c r="AH42">
        <f t="shared" ca="1" si="25"/>
        <v>25</v>
      </c>
      <c r="AI42">
        <f t="shared" ca="1" si="25"/>
        <v>0</v>
      </c>
      <c r="AJ42" s="2">
        <f t="shared" ca="1" si="25"/>
        <v>0</v>
      </c>
      <c r="AK42" s="2">
        <f t="shared" ca="1" si="25"/>
        <v>0</v>
      </c>
      <c r="AL42" s="2">
        <f t="shared" ca="1" si="25"/>
        <v>0</v>
      </c>
      <c r="AM42" s="2">
        <f t="shared" ca="1" si="25"/>
        <v>0</v>
      </c>
      <c r="AN42" s="2">
        <f t="shared" ca="1" si="26"/>
        <v>0</v>
      </c>
      <c r="AO42" s="2">
        <f t="shared" ca="1" si="26"/>
        <v>0.04</v>
      </c>
      <c r="AP42" s="2">
        <f t="shared" ca="1" si="26"/>
        <v>0.05</v>
      </c>
      <c r="AQ42" s="2">
        <f t="shared" ca="1" si="26"/>
        <v>0</v>
      </c>
      <c r="AR42" s="34">
        <f t="shared" ca="1" si="26"/>
        <v>0</v>
      </c>
      <c r="AS42" s="2">
        <f t="shared" ca="1" si="26"/>
        <v>0</v>
      </c>
      <c r="AT42">
        <f t="shared" ca="1" si="20"/>
        <v>0</v>
      </c>
      <c r="AU42" s="34">
        <f ca="1">IF(ISBLANK($AA42), 0, IF(ISNUMBER(VLOOKUP($AA42, INDIRECT($Z42), MATCH("D"&amp;AU$26, StatHeader, 0), 0)), IF(Setup!$G$40=1, VLOOKUP($AA42, INDIRECT($Z42), MATCH("D"&amp;AU$26, StatHeader, 0), 0), 0), VLOOKUP($AA42, INDIRECT($Z42), MATCH(AU$26, StatHeader, 0), 0)))</f>
        <v>0</v>
      </c>
      <c r="AV42">
        <f t="shared" ca="1" si="26"/>
        <v>0</v>
      </c>
    </row>
    <row r="43" spans="1:48">
      <c r="A43" t="s">
        <v>24</v>
      </c>
      <c r="B43" s="104"/>
      <c r="C43">
        <f t="shared" ref="C43:W43" si="27">SUMIF(INDEX(SetBonusLookup, 0, 1), "="&amp;C26, INDEX(SetBonusLookup, 0, MATCH("WSSet1Gear", INDEX(SetBonusLookup, 1, 0), 0)))</f>
        <v>0</v>
      </c>
      <c r="D43">
        <f>SUMIF(INDEX(SetBonusLookup, 0, 1), "="&amp;D26, INDEX(SetBonusLookup, 0, MATCH("WSSet1Gear", INDEX(SetBonusLookup, 1, 0), 0)))</f>
        <v>0</v>
      </c>
      <c r="E43">
        <f t="shared" ca="1" si="27"/>
        <v>0</v>
      </c>
      <c r="F43">
        <f t="shared" ca="1" si="27"/>
        <v>0</v>
      </c>
      <c r="G43">
        <f t="shared" si="27"/>
        <v>0</v>
      </c>
      <c r="H43">
        <f t="shared" ca="1" si="27"/>
        <v>0</v>
      </c>
      <c r="I43">
        <f t="shared" ca="1" si="27"/>
        <v>0</v>
      </c>
      <c r="J43">
        <f t="shared" ca="1" si="27"/>
        <v>0</v>
      </c>
      <c r="K43" s="94">
        <f t="shared" si="27"/>
        <v>0</v>
      </c>
      <c r="L43" s="94">
        <f t="shared" ca="1" si="27"/>
        <v>0</v>
      </c>
      <c r="M43" s="94">
        <f t="shared" ca="1" si="27"/>
        <v>0</v>
      </c>
      <c r="N43" s="94">
        <f t="shared" si="27"/>
        <v>0</v>
      </c>
      <c r="O43" s="94">
        <f t="shared" ca="1" si="27"/>
        <v>0</v>
      </c>
      <c r="P43" s="94">
        <f t="shared" ca="1" si="27"/>
        <v>0</v>
      </c>
      <c r="Q43" s="94">
        <f t="shared" si="27"/>
        <v>0</v>
      </c>
      <c r="R43" s="94">
        <f t="shared" si="27"/>
        <v>0</v>
      </c>
      <c r="S43">
        <f t="shared" si="27"/>
        <v>0</v>
      </c>
      <c r="T43" s="94">
        <f t="shared" si="27"/>
        <v>0</v>
      </c>
      <c r="U43">
        <f t="shared" ca="1" si="27"/>
        <v>0</v>
      </c>
      <c r="V43">
        <f t="shared" si="27"/>
        <v>0</v>
      </c>
      <c r="W43">
        <f t="shared" ca="1" si="27"/>
        <v>0</v>
      </c>
      <c r="Y43" t="str">
        <f ca="1">IF(AND(C43=AB43, D43=AC43, E43=AD43, F43=AE43, G43=AF43, H43=AG43, I43=AH43, J43=AI43, K43=AJ43, L43=AK43, M43=AL43, N43=AM43, O43=AN43, P43=AO43, Q43=AP43, R43=AQ43, S43=AR43, T43=AS43, W43=AV43), "=", "-")</f>
        <v>=</v>
      </c>
      <c r="Z43" t="s">
        <v>24</v>
      </c>
      <c r="AA43" s="104"/>
      <c r="AB43">
        <f t="shared" ref="AB43:AV43" si="28">SUMIF(INDEX(SetBonusLookup, 0, 1), "="&amp;AB26, INDEX(SetBonusLookup, 0, MATCH("WSSet2Gear", INDEX(SetBonusLookup, 1, 0), 0)))</f>
        <v>0</v>
      </c>
      <c r="AC43">
        <f>SUMIF(INDEX(SetBonusLookup, 0, 1), "="&amp;AC26, INDEX(SetBonusLookup, 0, MATCH("WSSet2Gear", INDEX(SetBonusLookup, 1, 0), 0)))</f>
        <v>0</v>
      </c>
      <c r="AD43">
        <f t="shared" ca="1" si="28"/>
        <v>0</v>
      </c>
      <c r="AE43">
        <f t="shared" ca="1" si="28"/>
        <v>0</v>
      </c>
      <c r="AF43">
        <f t="shared" si="28"/>
        <v>0</v>
      </c>
      <c r="AG43">
        <f t="shared" ca="1" si="28"/>
        <v>0</v>
      </c>
      <c r="AH43">
        <f t="shared" ca="1" si="28"/>
        <v>0</v>
      </c>
      <c r="AI43">
        <f t="shared" ca="1" si="28"/>
        <v>0</v>
      </c>
      <c r="AJ43" s="94">
        <f t="shared" si="28"/>
        <v>0</v>
      </c>
      <c r="AK43" s="94">
        <f t="shared" ca="1" si="28"/>
        <v>0</v>
      </c>
      <c r="AL43" s="94">
        <f t="shared" ca="1" si="28"/>
        <v>0</v>
      </c>
      <c r="AM43" s="94">
        <f t="shared" si="28"/>
        <v>0</v>
      </c>
      <c r="AN43" s="94">
        <f t="shared" ca="1" si="28"/>
        <v>0</v>
      </c>
      <c r="AO43" s="94">
        <f t="shared" ca="1" si="28"/>
        <v>0</v>
      </c>
      <c r="AP43" s="94">
        <f t="shared" si="28"/>
        <v>0</v>
      </c>
      <c r="AQ43" s="94">
        <f t="shared" si="28"/>
        <v>0</v>
      </c>
      <c r="AR43">
        <f t="shared" si="28"/>
        <v>0</v>
      </c>
      <c r="AS43" s="94">
        <f t="shared" si="28"/>
        <v>0</v>
      </c>
      <c r="AT43">
        <f t="shared" ca="1" si="28"/>
        <v>0</v>
      </c>
      <c r="AU43">
        <f t="shared" si="28"/>
        <v>0</v>
      </c>
      <c r="AV43">
        <f t="shared" ca="1" si="28"/>
        <v>0</v>
      </c>
    </row>
    <row r="44" spans="1:48">
      <c r="A44" t="s">
        <v>751</v>
      </c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/>
      <c r="P44" s="33"/>
      <c r="Q44" s="33"/>
      <c r="R44" s="35"/>
      <c r="S44" s="35"/>
      <c r="T44" s="33"/>
      <c r="U44" s="35"/>
      <c r="V44" s="35"/>
      <c r="W44" s="32"/>
      <c r="Y44" t="str">
        <f>IF(AND(C44=AB44, D44=AC44, E44=AD44, F44=AE44, G44=AF44, H44=AG44, I44=AH44, J44=AI44, K44=AJ44, L44=AK44, M44=AL44, N44=AM44, O44=AN44, P44=AO44, Q44=AP44, R44=AQ44, S44=AR44, T44=AS44, W44=AV44), "=", "-")</f>
        <v>=</v>
      </c>
      <c r="Z44" t="s">
        <v>751</v>
      </c>
      <c r="AB44" s="32"/>
      <c r="AC44" s="32"/>
      <c r="AD44" s="32"/>
      <c r="AE44" s="32"/>
      <c r="AF44" s="32"/>
      <c r="AG44" s="32"/>
      <c r="AH44" s="32"/>
      <c r="AI44" s="32"/>
      <c r="AJ44" s="32"/>
      <c r="AK44" s="33"/>
      <c r="AL44" s="33"/>
      <c r="AM44" s="33"/>
      <c r="AN44" s="33"/>
      <c r="AO44" s="33"/>
      <c r="AP44" s="33"/>
      <c r="AQ44" s="35"/>
      <c r="AR44" s="35"/>
      <c r="AS44" s="33"/>
      <c r="AT44" s="35"/>
      <c r="AU44" s="35"/>
      <c r="AV44" s="32"/>
    </row>
    <row r="45" spans="1:48">
      <c r="L45" s="2"/>
      <c r="M45" s="2"/>
      <c r="N45" s="2"/>
      <c r="O45" s="2"/>
      <c r="P45" s="2"/>
      <c r="Q45" s="2"/>
      <c r="R45" s="2"/>
      <c r="S45" s="2"/>
      <c r="T45" s="2"/>
      <c r="U45" s="2"/>
      <c r="V45" s="34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34"/>
    </row>
    <row r="46" spans="1:48">
      <c r="A46" t="s">
        <v>7</v>
      </c>
      <c r="C46">
        <f ca="1">SUM(C27:C44)</f>
        <v>0</v>
      </c>
      <c r="D46">
        <f ca="1">SUM(D27:D44)</f>
        <v>0</v>
      </c>
      <c r="E46">
        <f ca="1">SUM(E27:E44)</f>
        <v>216</v>
      </c>
      <c r="F46">
        <f t="shared" ref="F46:W46" ca="1" si="29">SUM(F27:F44)</f>
        <v>207</v>
      </c>
      <c r="G46" s="20">
        <f t="shared" ca="1" si="29"/>
        <v>197</v>
      </c>
      <c r="H46">
        <f ca="1">SUM(H27:H44)</f>
        <v>141</v>
      </c>
      <c r="I46">
        <f t="shared" ca="1" si="29"/>
        <v>239</v>
      </c>
      <c r="J46">
        <f t="shared" ca="1" si="29"/>
        <v>259</v>
      </c>
      <c r="K46" s="2">
        <f t="shared" ca="1" si="29"/>
        <v>0</v>
      </c>
      <c r="L46" s="2">
        <f t="shared" ca="1" si="29"/>
        <v>0.01</v>
      </c>
      <c r="M46" s="2">
        <f t="shared" ca="1" si="29"/>
        <v>0</v>
      </c>
      <c r="N46" s="2">
        <f t="shared" ca="1" si="29"/>
        <v>0</v>
      </c>
      <c r="O46" s="2">
        <f t="shared" ca="1" si="29"/>
        <v>0</v>
      </c>
      <c r="P46" s="2">
        <f t="shared" ca="1" si="29"/>
        <v>0</v>
      </c>
      <c r="Q46" s="2">
        <f t="shared" ca="1" si="29"/>
        <v>0</v>
      </c>
      <c r="R46" s="2">
        <f t="shared" ca="1" si="29"/>
        <v>0</v>
      </c>
      <c r="S46">
        <f ca="1">SUM(S27:S44)</f>
        <v>0</v>
      </c>
      <c r="T46" s="2">
        <f ca="1">SUM(T27:T44)</f>
        <v>0.29000000000000004</v>
      </c>
      <c r="U46">
        <f t="shared" ca="1" si="29"/>
        <v>162</v>
      </c>
      <c r="V46">
        <f ca="1">SUM(V27:V44)/1024</f>
        <v>0</v>
      </c>
      <c r="W46">
        <f t="shared" ca="1" si="29"/>
        <v>20</v>
      </c>
      <c r="Z46" t="s">
        <v>7</v>
      </c>
      <c r="AB46">
        <f ca="1">SUM(AB27:AB44)</f>
        <v>0</v>
      </c>
      <c r="AC46">
        <f ca="1">SUM(AC27:AC44)</f>
        <v>0</v>
      </c>
      <c r="AD46">
        <f ca="1">SUM(AD27:AD44)</f>
        <v>119</v>
      </c>
      <c r="AE46">
        <f t="shared" ref="AE46:AV46" ca="1" si="30">SUM(AE27:AE44)</f>
        <v>262</v>
      </c>
      <c r="AF46">
        <f t="shared" ca="1" si="30"/>
        <v>80</v>
      </c>
      <c r="AG46" s="20">
        <f ca="1">SUM(AG27:AG44)</f>
        <v>102</v>
      </c>
      <c r="AH46">
        <f t="shared" ca="1" si="30"/>
        <v>106</v>
      </c>
      <c r="AI46">
        <f t="shared" ca="1" si="30"/>
        <v>172</v>
      </c>
      <c r="AJ46" s="2">
        <f t="shared" ca="1" si="30"/>
        <v>0</v>
      </c>
      <c r="AK46" s="2">
        <f t="shared" ca="1" si="30"/>
        <v>7.0000000000000007E-2</v>
      </c>
      <c r="AL46" s="2">
        <f t="shared" ca="1" si="30"/>
        <v>0.09</v>
      </c>
      <c r="AM46" s="2">
        <f t="shared" ca="1" si="30"/>
        <v>0.03</v>
      </c>
      <c r="AN46" s="2">
        <f t="shared" ca="1" si="30"/>
        <v>0</v>
      </c>
      <c r="AO46" s="2">
        <f t="shared" ca="1" si="30"/>
        <v>0.19000000000000003</v>
      </c>
      <c r="AP46" s="2">
        <f t="shared" ca="1" si="30"/>
        <v>0.1</v>
      </c>
      <c r="AQ46" s="2">
        <f t="shared" ca="1" si="30"/>
        <v>7.0000000000000007E-2</v>
      </c>
      <c r="AR46">
        <f ca="1">SUM(AR27:AR44)</f>
        <v>250</v>
      </c>
      <c r="AS46" s="2">
        <f ca="1">SUM(AS27:AS44)</f>
        <v>0</v>
      </c>
      <c r="AT46">
        <f t="shared" ca="1" si="30"/>
        <v>0</v>
      </c>
      <c r="AU46">
        <f ca="1">SUM(AU27:AU44)/1024</f>
        <v>0.1953125</v>
      </c>
      <c r="AV46">
        <f t="shared" ca="1" si="30"/>
        <v>33</v>
      </c>
    </row>
    <row r="47" spans="1:48">
      <c r="A47" s="9" t="s">
        <v>117</v>
      </c>
      <c r="B47" s="138">
        <f ca="1">Data!D222</f>
        <v>21457.248736407411</v>
      </c>
      <c r="J47" s="2">
        <f ca="1">Set1WSHitRate</f>
        <v>0.99</v>
      </c>
      <c r="Z47" s="9" t="s">
        <v>117</v>
      </c>
      <c r="AA47" s="138">
        <f ca="1">Data!E222</f>
        <v>29892.880138264591</v>
      </c>
      <c r="AI47" s="2">
        <f ca="1">Set2WSHitRate</f>
        <v>0.99</v>
      </c>
    </row>
    <row r="48" spans="1:48">
      <c r="A48" s="31" t="s">
        <v>836</v>
      </c>
      <c r="B48" s="4">
        <f ca="1">Data!D223</f>
        <v>2.5061208107128059</v>
      </c>
      <c r="J48" s="7">
        <f ca="1">Data!D130</f>
        <v>1365</v>
      </c>
      <c r="Z48" s="31" t="s">
        <v>836</v>
      </c>
      <c r="AA48" s="4">
        <f ca="1">Data!E223</f>
        <v>3.2053788452189336</v>
      </c>
      <c r="AI48" s="7">
        <f ca="1">Data!E130</f>
        <v>1319</v>
      </c>
    </row>
  </sheetData>
  <phoneticPr fontId="2" type="noConversion"/>
  <conditionalFormatting sqref="Y29:Y44 Y5:Y20">
    <cfRule type="cellIs" dxfId="10" priority="1" stopIfTrue="1" operator="equal">
      <formula>"="</formula>
    </cfRule>
    <cfRule type="cellIs" dxfId="9" priority="2" stopIfTrue="1" operator="equal">
      <formula>"-"</formula>
    </cfRule>
  </conditionalFormatting>
  <dataValidations count="15">
    <dataValidation type="list" allowBlank="1" showInputMessage="1" showErrorMessage="1" sqref="B3:B4 AA3:AA4">
      <formula1>INDIRECT(A3&amp;"List")</formula1>
    </dataValidation>
    <dataValidation type="list" allowBlank="1" showInputMessage="1" showErrorMessage="1" sqref="AA30 AA6 B6 B30">
      <formula1>AmmoList</formula1>
    </dataValidation>
    <dataValidation type="list" allowBlank="1" showInputMessage="1" showErrorMessage="1" sqref="AA31 B7 AA7 B31">
      <formula1>HeadList</formula1>
    </dataValidation>
    <dataValidation type="list" allowBlank="1" showInputMessage="1" showErrorMessage="1" sqref="AA8 B8 AA32 B32">
      <formula1>NeckList</formula1>
    </dataValidation>
    <dataValidation type="list" allowBlank="1" showInputMessage="1" showErrorMessage="1" sqref="AA9:AA10 B9:B10 AA33:AA34 B33:B34">
      <formula1>EarringList</formula1>
    </dataValidation>
    <dataValidation type="list" allowBlank="1" showInputMessage="1" showErrorMessage="1" sqref="AA11 B11 AA35 B35">
      <formula1>BodyList</formula1>
    </dataValidation>
    <dataValidation type="list" allowBlank="1" showInputMessage="1" showErrorMessage="1" sqref="AA12 B12 AA36 B36">
      <formula1>HandsList</formula1>
    </dataValidation>
    <dataValidation type="list" allowBlank="1" showInputMessage="1" showErrorMessage="1" sqref="AA13:AA14 B13:B14 AA37:AA38 B37:B38">
      <formula1>RingList</formula1>
    </dataValidation>
    <dataValidation type="list" allowBlank="1" showInputMessage="1" showErrorMessage="1" sqref="AA39 B15 AA15 B39">
      <formula1>BackList</formula1>
    </dataValidation>
    <dataValidation type="list" allowBlank="1" showInputMessage="1" showErrorMessage="1" sqref="AA16 B16 AA40 B40">
      <formula1>WaistList</formula1>
    </dataValidation>
    <dataValidation type="list" allowBlank="1" showInputMessage="1" showErrorMessage="1" sqref="AA41 B17 AA17 B41">
      <formula1>LegsList</formula1>
    </dataValidation>
    <dataValidation type="list" allowBlank="1" showInputMessage="1" showErrorMessage="1" sqref="B18 AA42 AA18 B42">
      <formula1>FeetList</formula1>
    </dataValidation>
    <dataValidation type="list" allowBlank="1" showInputMessage="1" showErrorMessage="1" sqref="B29 AA29 B5 AA5">
      <formula1>RangedList</formula1>
    </dataValidation>
    <dataValidation type="list" allowBlank="1" showInputMessage="1" showErrorMessage="1" sqref="Z4 A4">
      <formula1>Sub1HSlots</formula1>
    </dataValidation>
    <dataValidation type="list" allowBlank="1" showInputMessage="1" showErrorMessage="1" sqref="A3 Z3">
      <formula1>Main1HSlots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2"/>
  </sheetPr>
  <dimension ref="A1:AH58"/>
  <sheetViews>
    <sheetView workbookViewId="0">
      <selection activeCell="B22" sqref="B22"/>
    </sheetView>
  </sheetViews>
  <sheetFormatPr defaultRowHeight="12.75"/>
  <cols>
    <col min="1" max="1" width="7.7109375" customWidth="1"/>
    <col min="2" max="2" width="18.7109375" customWidth="1"/>
    <col min="3" max="9" width="7.7109375" customWidth="1"/>
    <col min="10" max="16" width="5.7109375" customWidth="1"/>
    <col min="19" max="19" width="18.7109375" customWidth="1"/>
    <col min="20" max="26" width="7.7109375" customWidth="1"/>
    <col min="27" max="33" width="5.7109375" customWidth="1"/>
  </cols>
  <sheetData>
    <row r="1" spans="2:34">
      <c r="B1" s="9" t="s">
        <v>163</v>
      </c>
      <c r="S1" s="9" t="s">
        <v>165</v>
      </c>
    </row>
    <row r="2" spans="2:34">
      <c r="B2" s="109" t="s">
        <v>425</v>
      </c>
      <c r="C2" s="14" t="s">
        <v>431</v>
      </c>
      <c r="D2" s="14" t="s">
        <v>968</v>
      </c>
      <c r="E2" s="25" t="s">
        <v>969</v>
      </c>
      <c r="F2" s="25" t="s">
        <v>966</v>
      </c>
      <c r="G2" s="25" t="s">
        <v>967</v>
      </c>
      <c r="H2" s="159" t="s">
        <v>1039</v>
      </c>
      <c r="I2" s="25" t="s">
        <v>970</v>
      </c>
      <c r="J2" s="25" t="s">
        <v>3</v>
      </c>
      <c r="K2" s="25" t="s">
        <v>4</v>
      </c>
      <c r="L2" s="25" t="s">
        <v>5</v>
      </c>
      <c r="M2" s="25" t="s">
        <v>42</v>
      </c>
      <c r="N2" s="25" t="s">
        <v>269</v>
      </c>
      <c r="O2" s="25" t="s">
        <v>270</v>
      </c>
      <c r="P2" s="25" t="s">
        <v>271</v>
      </c>
      <c r="Q2" s="25" t="s">
        <v>268</v>
      </c>
      <c r="R2" s="43"/>
      <c r="S2" s="109" t="s">
        <v>425</v>
      </c>
      <c r="T2" s="14" t="s">
        <v>431</v>
      </c>
      <c r="U2" s="14" t="s">
        <v>968</v>
      </c>
      <c r="V2" s="25" t="s">
        <v>969</v>
      </c>
      <c r="W2" s="25" t="s">
        <v>966</v>
      </c>
      <c r="X2" s="25" t="s">
        <v>967</v>
      </c>
      <c r="Y2" s="159" t="s">
        <v>1039</v>
      </c>
      <c r="Z2" s="25" t="s">
        <v>970</v>
      </c>
      <c r="AA2" s="25" t="s">
        <v>3</v>
      </c>
      <c r="AB2" s="25" t="s">
        <v>4</v>
      </c>
      <c r="AC2" s="25" t="s">
        <v>5</v>
      </c>
      <c r="AD2" s="25" t="s">
        <v>42</v>
      </c>
      <c r="AE2" s="25" t="s">
        <v>269</v>
      </c>
      <c r="AF2" s="25" t="s">
        <v>270</v>
      </c>
      <c r="AG2" s="25" t="s">
        <v>271</v>
      </c>
      <c r="AH2" s="25" t="s">
        <v>268</v>
      </c>
    </row>
    <row r="3" spans="2:34">
      <c r="B3" s="107" t="s">
        <v>586</v>
      </c>
      <c r="C3">
        <f t="shared" ref="C3:Q5" si="0">IF(ISBLANK($B3), 0, VLOOKUP($B3, MasterSpellList, MATCH(C$2, MasterListColumns, 0), FALSE))</f>
        <v>2</v>
      </c>
      <c r="D3">
        <f t="shared" si="0"/>
        <v>4</v>
      </c>
      <c r="E3">
        <f t="shared" si="0"/>
        <v>0</v>
      </c>
      <c r="F3">
        <f t="shared" si="0"/>
        <v>0</v>
      </c>
      <c r="G3">
        <f t="shared" si="0"/>
        <v>0</v>
      </c>
      <c r="H3">
        <f>IF(ISBLANK($B3), 0, VLOOKUP($B3, MasterSpellList, MATCH(H$2, MasterListColumns, 0), FALSE))</f>
        <v>0</v>
      </c>
      <c r="I3">
        <f t="shared" si="0"/>
        <v>0</v>
      </c>
      <c r="J3">
        <f t="shared" si="0"/>
        <v>-3</v>
      </c>
      <c r="K3">
        <f t="shared" si="0"/>
        <v>4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 s="160" t="str">
        <f>IF(S3=B3, "=", "-")</f>
        <v>=</v>
      </c>
      <c r="S3" s="107" t="s">
        <v>586</v>
      </c>
      <c r="T3">
        <f t="shared" ref="T3:AH18" si="1">IF(ISBLANK($S3), 0, VLOOKUP($S3, MasterSpellList, MATCH(T$2, MasterListColumns, 0), FALSE))</f>
        <v>2</v>
      </c>
      <c r="U3">
        <f t="shared" si="1"/>
        <v>4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-3</v>
      </c>
      <c r="AB3">
        <f t="shared" si="1"/>
        <v>4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</row>
    <row r="4" spans="2:34">
      <c r="B4" s="107" t="s">
        <v>570</v>
      </c>
      <c r="C4">
        <f t="shared" si="0"/>
        <v>2</v>
      </c>
      <c r="D4">
        <f t="shared" si="0"/>
        <v>4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-1</v>
      </c>
      <c r="O4">
        <f t="shared" si="0"/>
        <v>0</v>
      </c>
      <c r="P4">
        <f t="shared" si="0"/>
        <v>0</v>
      </c>
      <c r="Q4">
        <f t="shared" si="0"/>
        <v>15</v>
      </c>
      <c r="R4" s="160" t="str">
        <f t="shared" ref="R4:R22" si="2">IF(S4=B4, "=", "-")</f>
        <v>=</v>
      </c>
      <c r="S4" s="107" t="s">
        <v>570</v>
      </c>
      <c r="T4">
        <f t="shared" si="1"/>
        <v>2</v>
      </c>
      <c r="U4">
        <f t="shared" si="1"/>
        <v>4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-1</v>
      </c>
      <c r="AF4">
        <f t="shared" si="1"/>
        <v>0</v>
      </c>
      <c r="AG4">
        <f t="shared" si="1"/>
        <v>0</v>
      </c>
      <c r="AH4">
        <f t="shared" si="1"/>
        <v>15</v>
      </c>
    </row>
    <row r="5" spans="2:34">
      <c r="B5" s="107"/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 s="160" t="str">
        <f t="shared" si="2"/>
        <v>=</v>
      </c>
      <c r="S5" s="107"/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6" spans="2:34">
      <c r="B6" s="107" t="s">
        <v>961</v>
      </c>
      <c r="C6">
        <f t="shared" ref="C6:Q20" si="3">IF(ISBLANK($B6), 0, VLOOKUP($B6, MasterSpellList, MATCH(C$2, MasterListColumns, 0), FALSE))</f>
        <v>6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8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6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 s="160" t="str">
        <f t="shared" ref="R6:R20" si="4">IF(S6=B6, "=", "-")</f>
        <v>=</v>
      </c>
      <c r="S6" s="107" t="s">
        <v>961</v>
      </c>
      <c r="T6">
        <f t="shared" si="1"/>
        <v>6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8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6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</row>
    <row r="7" spans="2:34">
      <c r="B7" s="107" t="s">
        <v>563</v>
      </c>
      <c r="C7">
        <f t="shared" si="3"/>
        <v>1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4</v>
      </c>
      <c r="J7">
        <f t="shared" si="3"/>
        <v>0</v>
      </c>
      <c r="K7">
        <f t="shared" si="3"/>
        <v>2</v>
      </c>
      <c r="L7">
        <f t="shared" si="3"/>
        <v>0</v>
      </c>
      <c r="M7">
        <f t="shared" si="3"/>
        <v>2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-10</v>
      </c>
      <c r="R7" s="160" t="str">
        <f t="shared" si="4"/>
        <v>=</v>
      </c>
      <c r="S7" s="107" t="s">
        <v>563</v>
      </c>
      <c r="T7">
        <f t="shared" si="1"/>
        <v>1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4</v>
      </c>
      <c r="AA7">
        <f t="shared" si="1"/>
        <v>0</v>
      </c>
      <c r="AB7">
        <f t="shared" si="1"/>
        <v>2</v>
      </c>
      <c r="AC7">
        <f t="shared" si="1"/>
        <v>0</v>
      </c>
      <c r="AD7">
        <f t="shared" si="1"/>
        <v>2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-10</v>
      </c>
    </row>
    <row r="8" spans="2:34">
      <c r="B8" s="107" t="s">
        <v>579</v>
      </c>
      <c r="C8">
        <f t="shared" si="3"/>
        <v>4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4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1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-5</v>
      </c>
      <c r="R8" s="160" t="str">
        <f t="shared" si="4"/>
        <v>=</v>
      </c>
      <c r="S8" s="107" t="s">
        <v>579</v>
      </c>
      <c r="T8">
        <f t="shared" si="1"/>
        <v>4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4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1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-5</v>
      </c>
    </row>
    <row r="9" spans="2:34">
      <c r="B9" s="107" t="s">
        <v>975</v>
      </c>
      <c r="C9">
        <f t="shared" si="3"/>
        <v>7</v>
      </c>
      <c r="D9">
        <f t="shared" si="3"/>
        <v>0</v>
      </c>
      <c r="E9">
        <f t="shared" si="3"/>
        <v>8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8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20</v>
      </c>
      <c r="R9" s="160" t="str">
        <f t="shared" si="4"/>
        <v>=</v>
      </c>
      <c r="S9" s="107" t="s">
        <v>975</v>
      </c>
      <c r="T9">
        <f t="shared" si="1"/>
        <v>7</v>
      </c>
      <c r="U9">
        <f t="shared" si="1"/>
        <v>0</v>
      </c>
      <c r="V9">
        <f t="shared" si="1"/>
        <v>8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8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20</v>
      </c>
    </row>
    <row r="10" spans="2:34">
      <c r="B10" s="107" t="s">
        <v>575</v>
      </c>
      <c r="C10">
        <f t="shared" si="3"/>
        <v>2</v>
      </c>
      <c r="D10">
        <f t="shared" si="3"/>
        <v>0</v>
      </c>
      <c r="E10">
        <f t="shared" si="3"/>
        <v>4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2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 s="160" t="str">
        <f t="shared" si="4"/>
        <v>=</v>
      </c>
      <c r="S10" s="107" t="s">
        <v>575</v>
      </c>
      <c r="T10">
        <f t="shared" si="1"/>
        <v>2</v>
      </c>
      <c r="U10">
        <f t="shared" si="1"/>
        <v>0</v>
      </c>
      <c r="V10">
        <f t="shared" si="1"/>
        <v>4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2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</row>
    <row r="11" spans="2:34">
      <c r="B11" s="107" t="s">
        <v>565</v>
      </c>
      <c r="C11">
        <f t="shared" si="3"/>
        <v>3</v>
      </c>
      <c r="D11">
        <f t="shared" si="3"/>
        <v>0</v>
      </c>
      <c r="E11">
        <f t="shared" si="3"/>
        <v>4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3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-2</v>
      </c>
      <c r="Q11">
        <f t="shared" si="3"/>
        <v>0</v>
      </c>
      <c r="R11" s="160" t="str">
        <f t="shared" si="4"/>
        <v>=</v>
      </c>
      <c r="S11" s="107" t="s">
        <v>565</v>
      </c>
      <c r="T11">
        <f t="shared" si="1"/>
        <v>3</v>
      </c>
      <c r="U11">
        <f t="shared" si="1"/>
        <v>0</v>
      </c>
      <c r="V11">
        <f t="shared" si="1"/>
        <v>4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3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-2</v>
      </c>
      <c r="AH11">
        <f t="shared" si="1"/>
        <v>0</v>
      </c>
    </row>
    <row r="12" spans="2:34">
      <c r="B12" s="107" t="s">
        <v>1035</v>
      </c>
      <c r="C12">
        <f t="shared" si="3"/>
        <v>6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8</v>
      </c>
      <c r="I12">
        <f t="shared" si="3"/>
        <v>0</v>
      </c>
      <c r="J12">
        <f t="shared" si="3"/>
        <v>4</v>
      </c>
      <c r="K12">
        <f t="shared" si="3"/>
        <v>4</v>
      </c>
      <c r="L12">
        <f t="shared" si="3"/>
        <v>4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 s="160" t="str">
        <f t="shared" si="4"/>
        <v>=</v>
      </c>
      <c r="S12" s="107" t="s">
        <v>1035</v>
      </c>
      <c r="T12">
        <f t="shared" si="1"/>
        <v>6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8</v>
      </c>
      <c r="Z12">
        <f t="shared" si="1"/>
        <v>0</v>
      </c>
      <c r="AA12">
        <f t="shared" si="1"/>
        <v>4</v>
      </c>
      <c r="AB12">
        <f t="shared" si="1"/>
        <v>4</v>
      </c>
      <c r="AC12">
        <f t="shared" si="1"/>
        <v>4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</row>
    <row r="13" spans="2:34">
      <c r="B13" s="107" t="s">
        <v>1038</v>
      </c>
      <c r="C13">
        <f t="shared" si="3"/>
        <v>6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8</v>
      </c>
      <c r="J13">
        <f t="shared" si="3"/>
        <v>5</v>
      </c>
      <c r="K13">
        <f t="shared" si="3"/>
        <v>0</v>
      </c>
      <c r="L13">
        <f t="shared" si="3"/>
        <v>7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 s="160" t="str">
        <f t="shared" si="4"/>
        <v>=</v>
      </c>
      <c r="S13" s="107" t="s">
        <v>1038</v>
      </c>
      <c r="T13">
        <f t="shared" ref="T13:AH22" si="5">IF(ISBLANK($S13), 0, VLOOKUP($S13, MasterSpellList, MATCH(T$2, MasterListColumns, 0), FALSE))</f>
        <v>6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1"/>
        <v>0</v>
      </c>
      <c r="Z13">
        <f t="shared" si="5"/>
        <v>8</v>
      </c>
      <c r="AA13">
        <f t="shared" si="5"/>
        <v>5</v>
      </c>
      <c r="AB13">
        <f t="shared" si="5"/>
        <v>0</v>
      </c>
      <c r="AC13">
        <f t="shared" si="5"/>
        <v>7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1"/>
        <v>0</v>
      </c>
    </row>
    <row r="14" spans="2:34">
      <c r="B14" s="107" t="s">
        <v>964</v>
      </c>
      <c r="C14">
        <f t="shared" si="3"/>
        <v>5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3</v>
      </c>
      <c r="O14">
        <f t="shared" si="3"/>
        <v>0</v>
      </c>
      <c r="P14">
        <f t="shared" si="3"/>
        <v>0</v>
      </c>
      <c r="Q14">
        <f t="shared" si="3"/>
        <v>0</v>
      </c>
      <c r="R14" s="160" t="str">
        <f t="shared" si="4"/>
        <v>=</v>
      </c>
      <c r="S14" s="107" t="s">
        <v>964</v>
      </c>
      <c r="T14">
        <f t="shared" si="5"/>
        <v>5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1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3</v>
      </c>
      <c r="AF14">
        <f t="shared" si="5"/>
        <v>0</v>
      </c>
      <c r="AG14">
        <f t="shared" si="5"/>
        <v>0</v>
      </c>
      <c r="AH14">
        <f t="shared" si="1"/>
        <v>0</v>
      </c>
    </row>
    <row r="15" spans="2:34">
      <c r="B15" s="107" t="s">
        <v>1061</v>
      </c>
      <c r="C15">
        <f t="shared" si="3"/>
        <v>8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8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8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 s="160" t="str">
        <f t="shared" si="4"/>
        <v>=</v>
      </c>
      <c r="S15" s="107" t="s">
        <v>1061</v>
      </c>
      <c r="T15">
        <f t="shared" si="5"/>
        <v>8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8</v>
      </c>
      <c r="Y15">
        <f t="shared" si="1"/>
        <v>0</v>
      </c>
      <c r="Z15">
        <f t="shared" si="5"/>
        <v>0</v>
      </c>
      <c r="AA15">
        <f t="shared" si="5"/>
        <v>0</v>
      </c>
      <c r="AB15">
        <f t="shared" si="5"/>
        <v>8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1"/>
        <v>0</v>
      </c>
    </row>
    <row r="16" spans="2:34">
      <c r="B16" s="107" t="s">
        <v>962</v>
      </c>
      <c r="C16">
        <f t="shared" si="3"/>
        <v>6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4</v>
      </c>
      <c r="K16">
        <f t="shared" si="3"/>
        <v>4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-10</v>
      </c>
      <c r="R16" s="160" t="str">
        <f t="shared" si="4"/>
        <v>=</v>
      </c>
      <c r="S16" s="107" t="s">
        <v>962</v>
      </c>
      <c r="T16">
        <f t="shared" si="5"/>
        <v>6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1"/>
        <v>0</v>
      </c>
      <c r="Z16">
        <f t="shared" si="5"/>
        <v>0</v>
      </c>
      <c r="AA16">
        <f t="shared" si="5"/>
        <v>4</v>
      </c>
      <c r="AB16">
        <f t="shared" si="5"/>
        <v>4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1"/>
        <v>-10</v>
      </c>
    </row>
    <row r="17" spans="1:34">
      <c r="B17" s="107" t="s">
        <v>960</v>
      </c>
      <c r="C17">
        <f t="shared" si="3"/>
        <v>2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3</v>
      </c>
      <c r="K17">
        <f t="shared" si="3"/>
        <v>3</v>
      </c>
      <c r="L17">
        <f t="shared" si="3"/>
        <v>0</v>
      </c>
      <c r="M17">
        <f t="shared" si="3"/>
        <v>0</v>
      </c>
      <c r="N17">
        <f t="shared" si="3"/>
        <v>-3</v>
      </c>
      <c r="O17">
        <f t="shared" si="3"/>
        <v>0</v>
      </c>
      <c r="P17">
        <f t="shared" si="3"/>
        <v>0</v>
      </c>
      <c r="Q17">
        <f t="shared" si="3"/>
        <v>15</v>
      </c>
      <c r="R17" s="160" t="str">
        <f t="shared" si="4"/>
        <v>=</v>
      </c>
      <c r="S17" s="107" t="s">
        <v>960</v>
      </c>
      <c r="T17">
        <f t="shared" si="5"/>
        <v>2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1"/>
        <v>0</v>
      </c>
      <c r="Z17">
        <f t="shared" si="5"/>
        <v>0</v>
      </c>
      <c r="AA17">
        <f t="shared" si="5"/>
        <v>3</v>
      </c>
      <c r="AB17">
        <f t="shared" si="5"/>
        <v>3</v>
      </c>
      <c r="AC17">
        <f t="shared" si="5"/>
        <v>0</v>
      </c>
      <c r="AD17">
        <f t="shared" si="5"/>
        <v>0</v>
      </c>
      <c r="AE17">
        <f t="shared" si="5"/>
        <v>-3</v>
      </c>
      <c r="AF17">
        <f t="shared" si="5"/>
        <v>0</v>
      </c>
      <c r="AG17">
        <f t="shared" si="5"/>
        <v>0</v>
      </c>
      <c r="AH17">
        <f t="shared" si="1"/>
        <v>15</v>
      </c>
    </row>
    <row r="18" spans="1:34">
      <c r="B18" s="107" t="s">
        <v>573</v>
      </c>
      <c r="C18">
        <f t="shared" si="3"/>
        <v>3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3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15</v>
      </c>
      <c r="R18" s="160" t="str">
        <f t="shared" si="4"/>
        <v>=</v>
      </c>
      <c r="S18" s="107" t="s">
        <v>573</v>
      </c>
      <c r="T18">
        <f t="shared" si="5"/>
        <v>3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1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3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1"/>
        <v>15</v>
      </c>
    </row>
    <row r="19" spans="1:34">
      <c r="B19" s="107" t="s">
        <v>976</v>
      </c>
      <c r="C19">
        <f t="shared" si="3"/>
        <v>6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5</v>
      </c>
      <c r="N19">
        <f t="shared" si="3"/>
        <v>0</v>
      </c>
      <c r="O19">
        <f t="shared" si="3"/>
        <v>0</v>
      </c>
      <c r="P19">
        <f t="shared" si="3"/>
        <v>5</v>
      </c>
      <c r="Q19">
        <f t="shared" si="3"/>
        <v>15</v>
      </c>
      <c r="R19" s="160" t="str">
        <f t="shared" si="4"/>
        <v>=</v>
      </c>
      <c r="S19" s="107" t="s">
        <v>976</v>
      </c>
      <c r="T19">
        <f t="shared" si="5"/>
        <v>6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5</v>
      </c>
      <c r="AE19">
        <f t="shared" si="5"/>
        <v>0</v>
      </c>
      <c r="AF19">
        <f t="shared" si="5"/>
        <v>0</v>
      </c>
      <c r="AG19">
        <f t="shared" si="5"/>
        <v>5</v>
      </c>
      <c r="AH19">
        <f t="shared" si="5"/>
        <v>15</v>
      </c>
    </row>
    <row r="20" spans="1:34">
      <c r="B20" s="107" t="s">
        <v>495</v>
      </c>
      <c r="C20">
        <f t="shared" si="3"/>
        <v>3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</v>
      </c>
      <c r="Q20">
        <f t="shared" si="3"/>
        <v>5</v>
      </c>
      <c r="R20" s="160" t="str">
        <f t="shared" si="4"/>
        <v>=</v>
      </c>
      <c r="S20" s="107" t="s">
        <v>495</v>
      </c>
      <c r="T20">
        <f t="shared" si="5"/>
        <v>3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1</v>
      </c>
      <c r="AH20">
        <f t="shared" si="5"/>
        <v>5</v>
      </c>
    </row>
    <row r="21" spans="1:34">
      <c r="B21" s="107" t="s">
        <v>535</v>
      </c>
      <c r="C21">
        <f t="shared" ref="C21:Q22" si="6">IF(ISBLANK($B21), 0, VLOOKUP($B21, MasterSpellList, MATCH(C$2, MasterListColumns, 0), FALSE))</f>
        <v>3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2</v>
      </c>
      <c r="M21">
        <f t="shared" si="6"/>
        <v>2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 s="160" t="str">
        <f t="shared" si="2"/>
        <v>=</v>
      </c>
      <c r="S21" s="107" t="s">
        <v>535</v>
      </c>
      <c r="T21">
        <f t="shared" si="5"/>
        <v>3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2</v>
      </c>
      <c r="AD21">
        <f t="shared" si="5"/>
        <v>2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</row>
    <row r="22" spans="1:34">
      <c r="B22" s="107" t="s">
        <v>567</v>
      </c>
      <c r="C22">
        <f t="shared" si="6"/>
        <v>3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3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-2</v>
      </c>
      <c r="Q22">
        <f t="shared" si="6"/>
        <v>0</v>
      </c>
      <c r="R22" s="160" t="str">
        <f t="shared" si="2"/>
        <v>=</v>
      </c>
      <c r="S22" s="107" t="s">
        <v>567</v>
      </c>
      <c r="T22">
        <f t="shared" si="5"/>
        <v>3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3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-2</v>
      </c>
      <c r="AH22">
        <f t="shared" si="5"/>
        <v>0</v>
      </c>
    </row>
    <row r="23" spans="1:34"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</row>
    <row r="24" spans="1:34">
      <c r="B24" t="s">
        <v>972</v>
      </c>
      <c r="C24">
        <f t="shared" ref="C24:I24" si="7">SUM(C3:C22)</f>
        <v>78</v>
      </c>
      <c r="D24" s="110">
        <f t="shared" si="7"/>
        <v>8</v>
      </c>
      <c r="E24" s="110">
        <f t="shared" si="7"/>
        <v>16</v>
      </c>
      <c r="F24" s="110">
        <f t="shared" si="7"/>
        <v>0</v>
      </c>
      <c r="G24" s="110">
        <f t="shared" si="7"/>
        <v>16</v>
      </c>
      <c r="H24" s="110">
        <f t="shared" ref="H24" si="8">SUM(H3:H22)</f>
        <v>8</v>
      </c>
      <c r="I24" s="110">
        <f t="shared" si="7"/>
        <v>16</v>
      </c>
      <c r="J24" s="110">
        <f t="shared" ref="J24:O24" si="9">SUM(J3:J22)</f>
        <v>18</v>
      </c>
      <c r="K24" s="110">
        <f t="shared" si="9"/>
        <v>40</v>
      </c>
      <c r="L24" s="110">
        <f t="shared" si="9"/>
        <v>19</v>
      </c>
      <c r="M24" s="110">
        <f t="shared" si="9"/>
        <v>10</v>
      </c>
      <c r="N24" s="110">
        <f t="shared" si="9"/>
        <v>-1</v>
      </c>
      <c r="O24" s="110">
        <f t="shared" si="9"/>
        <v>0</v>
      </c>
      <c r="P24" s="110">
        <f>SUM(P3:P22)</f>
        <v>2</v>
      </c>
      <c r="Q24" s="110">
        <f>SUM(Q3:Q22)</f>
        <v>60</v>
      </c>
      <c r="S24" t="s">
        <v>972</v>
      </c>
      <c r="T24">
        <f t="shared" ref="T24:Z24" si="10">SUM(T3:T22)</f>
        <v>78</v>
      </c>
      <c r="U24" s="110">
        <f t="shared" si="10"/>
        <v>8</v>
      </c>
      <c r="V24" s="110">
        <f t="shared" si="10"/>
        <v>16</v>
      </c>
      <c r="W24" s="110">
        <f t="shared" si="10"/>
        <v>0</v>
      </c>
      <c r="X24" s="110">
        <f t="shared" si="10"/>
        <v>16</v>
      </c>
      <c r="Y24" s="110">
        <f t="shared" ref="Y24" si="11">SUM(Y3:Y22)</f>
        <v>8</v>
      </c>
      <c r="Z24" s="110">
        <f t="shared" si="10"/>
        <v>16</v>
      </c>
      <c r="AA24" s="110">
        <f t="shared" ref="AA24:AH24" si="12">SUM(AA3:AA22)</f>
        <v>18</v>
      </c>
      <c r="AB24" s="110">
        <f t="shared" si="12"/>
        <v>40</v>
      </c>
      <c r="AC24" s="110">
        <f t="shared" si="12"/>
        <v>19</v>
      </c>
      <c r="AD24" s="110">
        <f t="shared" si="12"/>
        <v>10</v>
      </c>
      <c r="AE24" s="110">
        <f t="shared" si="12"/>
        <v>-1</v>
      </c>
      <c r="AF24" s="110">
        <f t="shared" si="12"/>
        <v>0</v>
      </c>
      <c r="AG24" s="110">
        <f t="shared" si="12"/>
        <v>2</v>
      </c>
      <c r="AH24" s="110">
        <f t="shared" si="12"/>
        <v>60</v>
      </c>
    </row>
    <row r="25" spans="1:34">
      <c r="B25" s="31" t="s">
        <v>1040</v>
      </c>
      <c r="C25">
        <f>IF(Setup!B5&gt;90, 55, IF(Setup!B5&gt;80, 50, 45)) + Setup!B13 + Setup!B14</f>
        <v>80</v>
      </c>
      <c r="D25">
        <f>TRUNC(D24/8)</f>
        <v>1</v>
      </c>
      <c r="E25">
        <f t="shared" ref="E25:I25" si="13">TRUNC(E24/8)</f>
        <v>2</v>
      </c>
      <c r="F25">
        <f t="shared" si="13"/>
        <v>0</v>
      </c>
      <c r="G25">
        <f t="shared" si="13"/>
        <v>2</v>
      </c>
      <c r="H25">
        <f t="shared" ref="H25" si="14">TRUNC(H24/8)</f>
        <v>1</v>
      </c>
      <c r="I25">
        <f t="shared" si="13"/>
        <v>2</v>
      </c>
      <c r="S25" t="s">
        <v>433</v>
      </c>
      <c r="T25">
        <f>IF(Setup!B5&gt;90, 55, IF(Setup!B5&gt;80, 50, 45)) + Setup!B13 + Setup!B14</f>
        <v>80</v>
      </c>
      <c r="U25">
        <f>TRUNC(U24/8)</f>
        <v>1</v>
      </c>
      <c r="V25">
        <f t="shared" ref="V25" si="15">TRUNC(V24/8)</f>
        <v>2</v>
      </c>
      <c r="W25">
        <f t="shared" ref="W25" si="16">TRUNC(W24/8)</f>
        <v>0</v>
      </c>
      <c r="X25">
        <f t="shared" ref="X25:Y25" si="17">TRUNC(X24/8)</f>
        <v>2</v>
      </c>
      <c r="Y25">
        <f t="shared" si="17"/>
        <v>1</v>
      </c>
      <c r="Z25">
        <f t="shared" ref="Z25" si="18">TRUNC(Z24/8)</f>
        <v>2</v>
      </c>
    </row>
    <row r="26" spans="1:34">
      <c r="B26" t="s">
        <v>974</v>
      </c>
      <c r="D26" s="94">
        <f>VLOOKUP(D$2, TraitValues, MATCH(D25, TraitValueCols, 0), FALSE)</f>
        <v>0.25</v>
      </c>
      <c r="E26" s="155" t="str">
        <f>IF(E25=1, "DA", IF(E25=2, "TA", "None"))</f>
        <v>TA</v>
      </c>
      <c r="F26" s="154">
        <f>VLOOKUP(F$2, TraitValues, MATCH(F25, TraitValueCols, 0), FALSE)</f>
        <v>0</v>
      </c>
      <c r="G26" s="154">
        <f>VLOOKUP(G$2, TraitValues, MATCH(G25, TraitValueCols, 0), FALSE)</f>
        <v>48</v>
      </c>
      <c r="H26" s="94">
        <f>VLOOKUP(H$2, TraitValues, MATCH(H25, TraitValueCols, 0), FALSE)</f>
        <v>0.11</v>
      </c>
      <c r="I26" s="154">
        <f>VLOOKUP(I$2, TraitValues, MATCH(I25, TraitValueCols, 0), FALSE)</f>
        <v>25</v>
      </c>
      <c r="J26" s="154"/>
      <c r="K26" s="154"/>
      <c r="L26" s="154"/>
      <c r="M26" s="154"/>
      <c r="N26" s="154"/>
      <c r="O26" s="154"/>
      <c r="P26" s="154"/>
      <c r="S26" t="s">
        <v>974</v>
      </c>
      <c r="U26" s="94">
        <f>VLOOKUP(U$2, TraitValues, MATCH(U25, TraitValueCols, 0), FALSE)</f>
        <v>0.25</v>
      </c>
      <c r="V26" s="155" t="str">
        <f>IF(V25=1, "DA", IF(V25=2, "TA", "None"))</f>
        <v>TA</v>
      </c>
      <c r="W26" s="154">
        <f>VLOOKUP(W$2, TraitValues, MATCH(W25, TraitValueCols, 0), FALSE)</f>
        <v>0</v>
      </c>
      <c r="X26" s="154">
        <f>VLOOKUP(X$2, TraitValues, MATCH(X25, TraitValueCols, 0), FALSE)</f>
        <v>48</v>
      </c>
      <c r="Y26" s="94">
        <f>VLOOKUP(Y$2, TraitValues, MATCH(Y25, TraitValueCols, 0), FALSE)</f>
        <v>0.11</v>
      </c>
      <c r="Z26" s="154">
        <f>VLOOKUP(Z$2, TraitValues, MATCH(Z25, TraitValueCols, 0), FALSE)</f>
        <v>25</v>
      </c>
    </row>
    <row r="31" spans="1:34">
      <c r="A31" s="27" t="s">
        <v>1070</v>
      </c>
      <c r="B31" s="14">
        <v>0</v>
      </c>
      <c r="C31" s="14">
        <v>1</v>
      </c>
      <c r="D31" s="14">
        <v>2</v>
      </c>
      <c r="E31" s="14">
        <v>3</v>
      </c>
      <c r="F31" s="14">
        <v>4</v>
      </c>
      <c r="G31" s="25">
        <v>5</v>
      </c>
    </row>
    <row r="32" spans="1:34">
      <c r="A32" t="s">
        <v>966</v>
      </c>
      <c r="B32">
        <v>0</v>
      </c>
      <c r="C32">
        <v>35</v>
      </c>
      <c r="D32">
        <v>48</v>
      </c>
      <c r="E32">
        <v>60</v>
      </c>
      <c r="F32">
        <v>72</v>
      </c>
      <c r="G32">
        <v>80</v>
      </c>
    </row>
    <row r="33" spans="1:7">
      <c r="A33" t="s">
        <v>967</v>
      </c>
      <c r="B33">
        <v>0</v>
      </c>
      <c r="C33">
        <v>35</v>
      </c>
      <c r="D33">
        <v>48</v>
      </c>
      <c r="E33">
        <v>60</v>
      </c>
      <c r="F33">
        <v>72</v>
      </c>
      <c r="G33">
        <v>80</v>
      </c>
    </row>
    <row r="34" spans="1:7">
      <c r="A34" s="31" t="s">
        <v>1039</v>
      </c>
      <c r="B34" s="2">
        <v>0</v>
      </c>
      <c r="C34" s="2">
        <v>0.11</v>
      </c>
      <c r="D34" s="2">
        <v>0.14000000000000001</v>
      </c>
      <c r="E34" s="2">
        <v>0.14000000000000001</v>
      </c>
      <c r="F34" s="2">
        <v>0.14000000000000001</v>
      </c>
      <c r="G34" s="2">
        <v>0.14000000000000001</v>
      </c>
    </row>
    <row r="35" spans="1:7">
      <c r="A35" t="s">
        <v>968</v>
      </c>
      <c r="B35" s="2">
        <v>0</v>
      </c>
      <c r="C35" s="2">
        <v>0.25</v>
      </c>
      <c r="D35" s="2">
        <v>0.3</v>
      </c>
      <c r="E35" s="2">
        <v>0.35</v>
      </c>
      <c r="F35" s="2">
        <v>0.4</v>
      </c>
      <c r="G35" s="2">
        <v>0.45</v>
      </c>
    </row>
    <row r="36" spans="1:7">
      <c r="A36" t="s">
        <v>970</v>
      </c>
      <c r="B36">
        <v>0</v>
      </c>
      <c r="C36">
        <v>20</v>
      </c>
      <c r="D36">
        <v>25</v>
      </c>
      <c r="E36">
        <v>30</v>
      </c>
      <c r="F36">
        <v>35</v>
      </c>
      <c r="G36">
        <v>40</v>
      </c>
    </row>
    <row r="39" spans="1:7">
      <c r="A39" s="27" t="s">
        <v>608</v>
      </c>
      <c r="B39" s="14">
        <v>0</v>
      </c>
      <c r="C39" s="14">
        <v>1</v>
      </c>
      <c r="D39" s="14">
        <v>2</v>
      </c>
      <c r="E39" s="14">
        <v>3</v>
      </c>
      <c r="F39" s="14">
        <v>4</v>
      </c>
      <c r="G39" s="25">
        <v>5</v>
      </c>
    </row>
    <row r="40" spans="1:7">
      <c r="A40" t="s">
        <v>966</v>
      </c>
      <c r="B40">
        <v>0</v>
      </c>
      <c r="C40">
        <v>10</v>
      </c>
      <c r="D40">
        <v>22</v>
      </c>
      <c r="E40">
        <v>35</v>
      </c>
      <c r="F40">
        <v>48</v>
      </c>
      <c r="G40">
        <v>60</v>
      </c>
    </row>
    <row r="41" spans="1:7">
      <c r="A41" t="s">
        <v>967</v>
      </c>
      <c r="B41">
        <v>0</v>
      </c>
      <c r="C41">
        <v>10</v>
      </c>
      <c r="D41">
        <v>22</v>
      </c>
      <c r="E41">
        <v>35</v>
      </c>
      <c r="F41">
        <v>48</v>
      </c>
      <c r="G41">
        <v>60</v>
      </c>
    </row>
    <row r="42" spans="1:7">
      <c r="A42" s="31" t="s">
        <v>1039</v>
      </c>
      <c r="B42" s="2">
        <v>0</v>
      </c>
      <c r="C42" s="2">
        <v>0.05</v>
      </c>
      <c r="D42" s="2">
        <v>0.08</v>
      </c>
      <c r="E42" s="2">
        <v>0.11</v>
      </c>
      <c r="F42" s="2">
        <v>0.14000000000000001</v>
      </c>
      <c r="G42" s="2">
        <v>0.14000000000000001</v>
      </c>
    </row>
    <row r="43" spans="1:7">
      <c r="A43" t="s">
        <v>968</v>
      </c>
      <c r="B43" s="2">
        <v>0</v>
      </c>
      <c r="C43" s="2">
        <v>0.1</v>
      </c>
      <c r="D43" s="2">
        <v>0.15</v>
      </c>
      <c r="E43" s="2">
        <v>0.25</v>
      </c>
      <c r="F43" s="2">
        <v>0.3</v>
      </c>
      <c r="G43" s="2">
        <v>0.35</v>
      </c>
    </row>
    <row r="44" spans="1:7">
      <c r="A44" t="s">
        <v>970</v>
      </c>
      <c r="B44">
        <v>0</v>
      </c>
      <c r="C44">
        <v>10</v>
      </c>
      <c r="D44">
        <v>15</v>
      </c>
      <c r="E44">
        <v>20</v>
      </c>
      <c r="F44">
        <v>25</v>
      </c>
      <c r="G44">
        <v>30</v>
      </c>
    </row>
    <row r="46" spans="1:7">
      <c r="A46" s="27" t="s">
        <v>1069</v>
      </c>
      <c r="B46" s="14">
        <v>0</v>
      </c>
      <c r="C46" s="14">
        <v>1</v>
      </c>
      <c r="D46" s="14">
        <v>2</v>
      </c>
      <c r="E46" s="14">
        <v>3</v>
      </c>
      <c r="F46" s="14">
        <v>4</v>
      </c>
      <c r="G46" s="25">
        <v>5</v>
      </c>
    </row>
    <row r="47" spans="1:7">
      <c r="A47" t="s">
        <v>966</v>
      </c>
      <c r="B47">
        <v>0</v>
      </c>
      <c r="C47">
        <v>22</v>
      </c>
      <c r="D47">
        <v>35</v>
      </c>
      <c r="E47">
        <v>48</v>
      </c>
      <c r="F47">
        <v>60</v>
      </c>
      <c r="G47">
        <v>72</v>
      </c>
    </row>
    <row r="48" spans="1:7">
      <c r="A48" t="s">
        <v>967</v>
      </c>
      <c r="B48">
        <v>0</v>
      </c>
      <c r="C48">
        <v>22</v>
      </c>
      <c r="D48">
        <v>35</v>
      </c>
      <c r="E48">
        <v>48</v>
      </c>
      <c r="F48">
        <v>60</v>
      </c>
      <c r="G48">
        <v>72</v>
      </c>
    </row>
    <row r="49" spans="1:7">
      <c r="A49" s="31" t="s">
        <v>1039</v>
      </c>
      <c r="B49" s="2">
        <v>0</v>
      </c>
      <c r="C49" s="2">
        <v>0.08</v>
      </c>
      <c r="D49" s="2">
        <v>0.11</v>
      </c>
      <c r="E49" s="2">
        <v>0.14000000000000001</v>
      </c>
      <c r="F49" s="2">
        <v>0.14000000000000001</v>
      </c>
      <c r="G49" s="2">
        <v>0.14000000000000001</v>
      </c>
    </row>
    <row r="50" spans="1:7">
      <c r="A50" t="s">
        <v>968</v>
      </c>
      <c r="B50" s="2">
        <v>0</v>
      </c>
      <c r="C50" s="2">
        <v>0.15</v>
      </c>
      <c r="D50" s="2">
        <v>0.25</v>
      </c>
      <c r="E50" s="2">
        <v>0.3</v>
      </c>
      <c r="F50" s="2">
        <v>0.35</v>
      </c>
      <c r="G50" s="2">
        <v>0.4</v>
      </c>
    </row>
    <row r="51" spans="1:7">
      <c r="A51" t="s">
        <v>970</v>
      </c>
      <c r="B51">
        <v>0</v>
      </c>
      <c r="C51">
        <v>15</v>
      </c>
      <c r="D51">
        <v>20</v>
      </c>
      <c r="E51">
        <v>25</v>
      </c>
      <c r="F51">
        <v>30</v>
      </c>
      <c r="G51">
        <v>35</v>
      </c>
    </row>
    <row r="53" spans="1:7">
      <c r="A53" s="27" t="s">
        <v>1070</v>
      </c>
      <c r="B53" s="14">
        <v>0</v>
      </c>
      <c r="C53" s="14">
        <v>1</v>
      </c>
      <c r="D53" s="14">
        <v>2</v>
      </c>
      <c r="E53" s="14">
        <v>3</v>
      </c>
      <c r="F53" s="14">
        <v>4</v>
      </c>
      <c r="G53" s="25">
        <v>5</v>
      </c>
    </row>
    <row r="54" spans="1:7">
      <c r="A54" t="s">
        <v>966</v>
      </c>
      <c r="B54">
        <v>0</v>
      </c>
      <c r="C54">
        <v>35</v>
      </c>
      <c r="D54">
        <v>48</v>
      </c>
      <c r="E54">
        <v>60</v>
      </c>
      <c r="F54">
        <v>72</v>
      </c>
      <c r="G54">
        <v>80</v>
      </c>
    </row>
    <row r="55" spans="1:7">
      <c r="A55" t="s">
        <v>967</v>
      </c>
      <c r="B55">
        <v>0</v>
      </c>
      <c r="C55">
        <v>35</v>
      </c>
      <c r="D55">
        <v>48</v>
      </c>
      <c r="E55">
        <v>60</v>
      </c>
      <c r="F55">
        <v>72</v>
      </c>
      <c r="G55">
        <v>80</v>
      </c>
    </row>
    <row r="56" spans="1:7">
      <c r="A56" s="31" t="s">
        <v>1039</v>
      </c>
      <c r="B56" s="2">
        <v>0</v>
      </c>
      <c r="C56" s="2">
        <v>0.11</v>
      </c>
      <c r="D56" s="2">
        <v>0.14000000000000001</v>
      </c>
      <c r="E56" s="2">
        <v>0.14000000000000001</v>
      </c>
      <c r="F56" s="2">
        <v>0.14000000000000001</v>
      </c>
      <c r="G56" s="2">
        <v>0.14000000000000001</v>
      </c>
    </row>
    <row r="57" spans="1:7">
      <c r="A57" t="s">
        <v>968</v>
      </c>
      <c r="B57" s="2">
        <v>0</v>
      </c>
      <c r="C57" s="2">
        <v>0.25</v>
      </c>
      <c r="D57" s="2">
        <v>0.3</v>
      </c>
      <c r="E57" s="2">
        <v>0.35</v>
      </c>
      <c r="F57" s="2">
        <v>0.4</v>
      </c>
      <c r="G57" s="2">
        <v>0.45</v>
      </c>
    </row>
    <row r="58" spans="1:7">
      <c r="A58" t="s">
        <v>970</v>
      </c>
      <c r="B58">
        <v>0</v>
      </c>
      <c r="C58">
        <v>20</v>
      </c>
      <c r="D58">
        <v>25</v>
      </c>
      <c r="E58">
        <v>30</v>
      </c>
      <c r="F58">
        <v>35</v>
      </c>
      <c r="G58">
        <v>40</v>
      </c>
    </row>
  </sheetData>
  <phoneticPr fontId="2" type="noConversion"/>
  <conditionalFormatting sqref="B3:B23 S3:S23">
    <cfRule type="cellIs" dxfId="8" priority="6" stopIfTrue="1" operator="equal">
      <formula>"None"</formula>
    </cfRule>
  </conditionalFormatting>
  <conditionalFormatting sqref="U24:AG24 C24:R24">
    <cfRule type="cellIs" dxfId="7" priority="7" stopIfTrue="1" operator="greaterThan">
      <formula>$C$25</formula>
    </cfRule>
  </conditionalFormatting>
  <conditionalFormatting sqref="T24">
    <cfRule type="cellIs" dxfId="6" priority="8" stopIfTrue="1" operator="greaterThan">
      <formula>$T$25</formula>
    </cfRule>
  </conditionalFormatting>
  <conditionalFormatting sqref="AH24">
    <cfRule type="cellIs" dxfId="5" priority="3" stopIfTrue="1" operator="greaterThan">
      <formula>$C$25</formula>
    </cfRule>
  </conditionalFormatting>
  <conditionalFormatting sqref="R3:R22">
    <cfRule type="cellIs" dxfId="4" priority="1" stopIfTrue="1" operator="equal">
      <formula>"="</formula>
    </cfRule>
    <cfRule type="cellIs" dxfId="3" priority="2" stopIfTrue="1" operator="equal">
      <formula>"-"</formula>
    </cfRule>
  </conditionalFormatting>
  <dataValidations count="1">
    <dataValidation type="list" allowBlank="1" showInputMessage="1" showErrorMessage="1" sqref="B3:B22 S3:S22">
      <formula1>SpellList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AR49"/>
  <sheetViews>
    <sheetView workbookViewId="0">
      <selection activeCell="B12" sqref="B12"/>
    </sheetView>
  </sheetViews>
  <sheetFormatPr defaultRowHeight="12.75"/>
  <cols>
    <col min="1" max="1" width="13" customWidth="1"/>
    <col min="2" max="2" width="14" customWidth="1"/>
    <col min="3" max="4" width="4.42578125" customWidth="1"/>
    <col min="5" max="11" width="4" customWidth="1"/>
    <col min="12" max="12" width="4.5703125" customWidth="1"/>
    <col min="13" max="14" width="4.140625" customWidth="1"/>
    <col min="15" max="15" width="4.42578125" customWidth="1"/>
    <col min="16" max="17" width="4.85546875" customWidth="1"/>
    <col min="18" max="18" width="5.140625" customWidth="1"/>
    <col min="19" max="20" width="4.28515625" customWidth="1"/>
    <col min="21" max="21" width="5.28515625" customWidth="1"/>
    <col min="22" max="22" width="4" customWidth="1"/>
    <col min="23" max="23" width="4.140625" customWidth="1"/>
    <col min="24" max="24" width="14.42578125" customWidth="1"/>
    <col min="25" max="25" width="14" customWidth="1"/>
    <col min="26" max="27" width="4.5703125" customWidth="1"/>
    <col min="28" max="34" width="4" customWidth="1"/>
    <col min="35" max="35" width="4.85546875" customWidth="1"/>
    <col min="36" max="38" width="4.28515625" customWidth="1"/>
    <col min="39" max="39" width="4.5703125" customWidth="1"/>
    <col min="40" max="40" width="5" customWidth="1"/>
    <col min="41" max="41" width="5.140625" customWidth="1"/>
    <col min="42" max="43" width="4" customWidth="1"/>
    <col min="44" max="44" width="4.85546875" customWidth="1"/>
  </cols>
  <sheetData>
    <row r="1" spans="1:44">
      <c r="A1" t="s">
        <v>434</v>
      </c>
      <c r="X1" t="s">
        <v>435</v>
      </c>
    </row>
    <row r="2" spans="1:44">
      <c r="A2" t="s">
        <v>8</v>
      </c>
      <c r="B2" t="s">
        <v>14</v>
      </c>
      <c r="C2" t="s">
        <v>30</v>
      </c>
      <c r="D2" t="s">
        <v>616</v>
      </c>
      <c r="E2" s="166" t="s">
        <v>3</v>
      </c>
      <c r="F2" t="s">
        <v>4</v>
      </c>
      <c r="G2" t="s">
        <v>5</v>
      </c>
      <c r="H2" t="s">
        <v>270</v>
      </c>
      <c r="I2" t="s">
        <v>9</v>
      </c>
      <c r="J2" t="s">
        <v>10</v>
      </c>
      <c r="K2" t="s">
        <v>390</v>
      </c>
      <c r="L2" t="s">
        <v>12</v>
      </c>
      <c r="M2" t="s">
        <v>166</v>
      </c>
      <c r="N2" t="s">
        <v>311</v>
      </c>
      <c r="O2" t="s">
        <v>141</v>
      </c>
      <c r="P2" t="s">
        <v>137</v>
      </c>
      <c r="Q2" t="s">
        <v>136</v>
      </c>
      <c r="R2" t="s">
        <v>11</v>
      </c>
      <c r="S2" t="s">
        <v>240</v>
      </c>
      <c r="T2" t="s">
        <v>134</v>
      </c>
      <c r="U2" t="s">
        <v>13</v>
      </c>
      <c r="X2" t="s">
        <v>8</v>
      </c>
      <c r="Y2" t="s">
        <v>14</v>
      </c>
      <c r="Z2" t="s">
        <v>30</v>
      </c>
      <c r="AA2" t="s">
        <v>616</v>
      </c>
      <c r="AB2" t="s">
        <v>3</v>
      </c>
      <c r="AC2" s="166" t="s">
        <v>4</v>
      </c>
      <c r="AD2" t="s">
        <v>5</v>
      </c>
      <c r="AE2" t="s">
        <v>270</v>
      </c>
      <c r="AF2" t="s">
        <v>9</v>
      </c>
      <c r="AG2" t="s">
        <v>10</v>
      </c>
      <c r="AH2" t="s">
        <v>390</v>
      </c>
      <c r="AI2" t="s">
        <v>12</v>
      </c>
      <c r="AJ2" t="s">
        <v>166</v>
      </c>
      <c r="AK2" t="s">
        <v>311</v>
      </c>
      <c r="AL2" t="s">
        <v>141</v>
      </c>
      <c r="AM2" t="s">
        <v>137</v>
      </c>
      <c r="AN2" t="s">
        <v>136</v>
      </c>
      <c r="AO2" t="s">
        <v>11</v>
      </c>
      <c r="AP2" t="s">
        <v>240</v>
      </c>
      <c r="AQ2" t="s">
        <v>134</v>
      </c>
      <c r="AR2" t="s">
        <v>13</v>
      </c>
    </row>
    <row r="3" spans="1:44">
      <c r="A3" s="104" t="s">
        <v>229</v>
      </c>
      <c r="B3" s="105" t="str">
        <f>Gear!B3</f>
        <v>Tizona 119</v>
      </c>
      <c r="C3">
        <f t="shared" ref="C3:L18" ca="1" si="0">IF(ISBLANK($B3), 0, VLOOKUP($B3, INDIRECT($A3), MATCH(C$2, StatHeader, 0), 0))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 s="2">
        <f t="shared" ca="1" si="0"/>
        <v>0</v>
      </c>
      <c r="L3" s="2">
        <f t="shared" ca="1" si="0"/>
        <v>0</v>
      </c>
      <c r="M3" s="2">
        <f t="shared" ref="M3:U12" ca="1" si="1">IF(ISBLANK($B3), 0, VLOOKUP($B3, INDIRECT($A3), MATCH(M$2, StatHeader, 0), 0))</f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2">
        <f t="shared" ca="1" si="1"/>
        <v>0</v>
      </c>
      <c r="R3" s="34">
        <f t="shared" ca="1" si="1"/>
        <v>0</v>
      </c>
      <c r="S3" s="34">
        <f t="shared" ca="1" si="1"/>
        <v>0</v>
      </c>
      <c r="T3" s="34">
        <f t="shared" ca="1" si="1"/>
        <v>0</v>
      </c>
      <c r="U3">
        <f t="shared" ca="1" si="1"/>
        <v>0</v>
      </c>
      <c r="X3" s="104" t="s">
        <v>229</v>
      </c>
      <c r="Y3" s="105" t="str">
        <f>Gear!AA3</f>
        <v>Almace 119 III</v>
      </c>
      <c r="Z3">
        <f t="shared" ref="Z3:AI18" ca="1" si="2">IF(ISBLANK($Y3), 0, VLOOKUP($Y3, INDIRECT($X3), MATCH(Z$2, StatHeader, 0), 0))</f>
        <v>0</v>
      </c>
      <c r="AA3">
        <f t="shared" ca="1" si="2"/>
        <v>0</v>
      </c>
      <c r="AB3">
        <f t="shared" ca="1" si="2"/>
        <v>0</v>
      </c>
      <c r="AC3">
        <f t="shared" ca="1" si="2"/>
        <v>50</v>
      </c>
      <c r="AD3">
        <f t="shared" ca="1" si="2"/>
        <v>0</v>
      </c>
      <c r="AE3">
        <f t="shared" ca="1" si="2"/>
        <v>0</v>
      </c>
      <c r="AF3">
        <f t="shared" ca="1" si="2"/>
        <v>0</v>
      </c>
      <c r="AG3">
        <f t="shared" ca="1" si="2"/>
        <v>0</v>
      </c>
      <c r="AH3" s="2">
        <f t="shared" ca="1" si="2"/>
        <v>0</v>
      </c>
      <c r="AI3" s="2">
        <f t="shared" ca="1" si="2"/>
        <v>0</v>
      </c>
      <c r="AJ3" s="2">
        <f t="shared" ref="AJ3:AR12" ca="1" si="3">IF(ISBLANK($Y3), 0, VLOOKUP($Y3, INDIRECT($X3), MATCH(AJ$2, StatHeader, 0), 0))</f>
        <v>0</v>
      </c>
      <c r="AK3" s="2">
        <f t="shared" ca="1" si="3"/>
        <v>0</v>
      </c>
      <c r="AL3" s="2">
        <f t="shared" ca="1" si="3"/>
        <v>0</v>
      </c>
      <c r="AM3" s="2">
        <f t="shared" ca="1" si="3"/>
        <v>0</v>
      </c>
      <c r="AN3" s="2">
        <f t="shared" ca="1" si="3"/>
        <v>0</v>
      </c>
      <c r="AO3" s="34">
        <f t="shared" ca="1" si="3"/>
        <v>0</v>
      </c>
      <c r="AP3" s="34">
        <f t="shared" ca="1" si="3"/>
        <v>0</v>
      </c>
      <c r="AQ3" s="34">
        <f t="shared" ca="1" si="3"/>
        <v>0</v>
      </c>
      <c r="AR3">
        <f t="shared" ca="1" si="3"/>
        <v>0</v>
      </c>
    </row>
    <row r="4" spans="1:44">
      <c r="A4" s="104" t="str">
        <f>Gear!A4</f>
        <v>Sword</v>
      </c>
      <c r="B4" s="106" t="str">
        <f>Gear!B4</f>
        <v>Almace 119 III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50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 s="2">
        <f t="shared" ca="1" si="0"/>
        <v>0</v>
      </c>
      <c r="L4" s="2">
        <f t="shared" ca="1" si="0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 s="2">
        <f t="shared" ca="1" si="1"/>
        <v>0</v>
      </c>
      <c r="R4">
        <f t="shared" ca="1" si="1"/>
        <v>0</v>
      </c>
      <c r="S4" s="34">
        <f t="shared" ca="1" si="1"/>
        <v>0</v>
      </c>
      <c r="T4" s="34">
        <f t="shared" ca="1" si="1"/>
        <v>0</v>
      </c>
      <c r="U4">
        <f t="shared" ca="1" si="1"/>
        <v>0</v>
      </c>
      <c r="X4" s="104" t="str">
        <f>Gear!Z4</f>
        <v>Sword</v>
      </c>
      <c r="Y4" s="106" t="str">
        <f>Gear!AA4</f>
        <v>Sequence</v>
      </c>
      <c r="Z4">
        <f t="shared" ca="1" si="2"/>
        <v>0</v>
      </c>
      <c r="AA4">
        <f t="shared" ca="1" si="2"/>
        <v>0</v>
      </c>
      <c r="AB4">
        <f t="shared" ca="1" si="2"/>
        <v>0</v>
      </c>
      <c r="AC4">
        <f t="shared" ca="1" si="2"/>
        <v>0</v>
      </c>
      <c r="AD4">
        <f t="shared" ca="1" si="2"/>
        <v>0</v>
      </c>
      <c r="AE4">
        <f t="shared" ca="1" si="2"/>
        <v>0</v>
      </c>
      <c r="AF4">
        <f t="shared" ca="1" si="2"/>
        <v>0</v>
      </c>
      <c r="AG4">
        <f t="shared" ca="1" si="2"/>
        <v>0</v>
      </c>
      <c r="AH4" s="2">
        <f t="shared" ca="1" si="2"/>
        <v>0</v>
      </c>
      <c r="AI4" s="2">
        <f t="shared" ca="1" si="2"/>
        <v>0</v>
      </c>
      <c r="AJ4" s="2">
        <f t="shared" ca="1" si="3"/>
        <v>0</v>
      </c>
      <c r="AK4" s="2">
        <f t="shared" ca="1" si="3"/>
        <v>0</v>
      </c>
      <c r="AL4" s="2">
        <f t="shared" ca="1" si="3"/>
        <v>0</v>
      </c>
      <c r="AM4" s="2">
        <f t="shared" ca="1" si="3"/>
        <v>0</v>
      </c>
      <c r="AN4" s="2">
        <f t="shared" ca="1" si="3"/>
        <v>0</v>
      </c>
      <c r="AO4">
        <f t="shared" ca="1" si="3"/>
        <v>0</v>
      </c>
      <c r="AP4" s="34">
        <f t="shared" ca="1" si="3"/>
        <v>0</v>
      </c>
      <c r="AQ4" s="34">
        <f t="shared" ca="1" si="3"/>
        <v>0</v>
      </c>
      <c r="AR4">
        <f t="shared" ca="1" si="3"/>
        <v>10</v>
      </c>
    </row>
    <row r="5" spans="1:44">
      <c r="A5" t="s">
        <v>142</v>
      </c>
      <c r="B5" s="41"/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 s="2">
        <f t="shared" ca="1" si="1"/>
        <v>0</v>
      </c>
      <c r="R5">
        <f t="shared" ca="1" si="1"/>
        <v>0</v>
      </c>
      <c r="S5" s="34">
        <f t="shared" ca="1" si="1"/>
        <v>0</v>
      </c>
      <c r="T5" s="34">
        <f t="shared" ca="1" si="1"/>
        <v>0</v>
      </c>
      <c r="U5">
        <f t="shared" ca="1" si="1"/>
        <v>0</v>
      </c>
      <c r="W5" t="str">
        <f t="shared" ref="W5:W18" si="4">IF(Y5=B5, "=", "-")</f>
        <v>=</v>
      </c>
      <c r="X5" t="s">
        <v>142</v>
      </c>
      <c r="Y5" s="41"/>
      <c r="Z5">
        <f t="shared" ca="1" si="2"/>
        <v>0</v>
      </c>
      <c r="AA5">
        <f t="shared" ca="1" si="2"/>
        <v>0</v>
      </c>
      <c r="AB5">
        <f t="shared" ca="1" si="2"/>
        <v>0</v>
      </c>
      <c r="AC5">
        <f t="shared" ca="1" si="2"/>
        <v>0</v>
      </c>
      <c r="AD5">
        <f t="shared" ca="1" si="2"/>
        <v>0</v>
      </c>
      <c r="AE5">
        <f t="shared" ca="1" si="2"/>
        <v>0</v>
      </c>
      <c r="AF5">
        <f t="shared" ca="1" si="2"/>
        <v>0</v>
      </c>
      <c r="AG5">
        <f t="shared" ca="1" si="2"/>
        <v>0</v>
      </c>
      <c r="AH5" s="2">
        <f t="shared" ca="1" si="2"/>
        <v>0</v>
      </c>
      <c r="AI5" s="2">
        <f t="shared" ca="1" si="2"/>
        <v>0</v>
      </c>
      <c r="AJ5" s="2">
        <f t="shared" ca="1" si="3"/>
        <v>0</v>
      </c>
      <c r="AK5" s="2">
        <f t="shared" ca="1" si="3"/>
        <v>0</v>
      </c>
      <c r="AL5" s="2">
        <f t="shared" ca="1" si="3"/>
        <v>0</v>
      </c>
      <c r="AM5" s="2">
        <f t="shared" ca="1" si="3"/>
        <v>0</v>
      </c>
      <c r="AN5" s="2">
        <f t="shared" ca="1" si="3"/>
        <v>0</v>
      </c>
      <c r="AO5">
        <f t="shared" ca="1" si="3"/>
        <v>0</v>
      </c>
      <c r="AP5" s="34">
        <f t="shared" ca="1" si="3"/>
        <v>0</v>
      </c>
      <c r="AQ5" s="34">
        <f t="shared" ca="1" si="3"/>
        <v>0</v>
      </c>
      <c r="AR5">
        <f t="shared" ca="1" si="3"/>
        <v>0</v>
      </c>
    </row>
    <row r="6" spans="1:44">
      <c r="A6" t="s">
        <v>15</v>
      </c>
      <c r="B6" s="32" t="s">
        <v>168</v>
      </c>
      <c r="C6">
        <f t="shared" ca="1" si="0"/>
        <v>0</v>
      </c>
      <c r="D6">
        <f t="shared" ca="1" si="0"/>
        <v>0</v>
      </c>
      <c r="E6">
        <f t="shared" ca="1" si="0"/>
        <v>2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 s="2">
        <f t="shared" ca="1" si="0"/>
        <v>0</v>
      </c>
      <c r="L6" s="2">
        <f t="shared" ca="1" si="0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1"/>
        <v>0</v>
      </c>
      <c r="R6" s="34">
        <f t="shared" ca="1" si="1"/>
        <v>0</v>
      </c>
      <c r="S6" s="34">
        <f t="shared" ca="1" si="1"/>
        <v>0</v>
      </c>
      <c r="T6" s="34">
        <f t="shared" ca="1" si="1"/>
        <v>0</v>
      </c>
      <c r="U6">
        <f t="shared" ca="1" si="1"/>
        <v>0</v>
      </c>
      <c r="W6" t="str">
        <f t="shared" si="4"/>
        <v>=</v>
      </c>
      <c r="X6" t="s">
        <v>15</v>
      </c>
      <c r="Y6" s="32" t="s">
        <v>168</v>
      </c>
      <c r="Z6">
        <f t="shared" ca="1" si="2"/>
        <v>0</v>
      </c>
      <c r="AA6">
        <f t="shared" ca="1" si="2"/>
        <v>0</v>
      </c>
      <c r="AB6">
        <f t="shared" ca="1" si="2"/>
        <v>2</v>
      </c>
      <c r="AC6">
        <f t="shared" ca="1" si="2"/>
        <v>0</v>
      </c>
      <c r="AD6">
        <f t="shared" ca="1" si="2"/>
        <v>0</v>
      </c>
      <c r="AE6">
        <f t="shared" ca="1" si="2"/>
        <v>0</v>
      </c>
      <c r="AF6">
        <f t="shared" ca="1" si="2"/>
        <v>0</v>
      </c>
      <c r="AG6">
        <f t="shared" ca="1" si="2"/>
        <v>0</v>
      </c>
      <c r="AH6" s="2">
        <f t="shared" ca="1" si="2"/>
        <v>0</v>
      </c>
      <c r="AI6" s="2">
        <f t="shared" ca="1" si="2"/>
        <v>0</v>
      </c>
      <c r="AJ6" s="2">
        <f t="shared" ca="1" si="3"/>
        <v>0</v>
      </c>
      <c r="AK6" s="2">
        <f t="shared" ca="1" si="3"/>
        <v>0</v>
      </c>
      <c r="AL6" s="2">
        <f t="shared" ca="1" si="3"/>
        <v>0</v>
      </c>
      <c r="AM6" s="2">
        <f t="shared" ca="1" si="3"/>
        <v>0</v>
      </c>
      <c r="AN6" s="2">
        <f t="shared" ca="1" si="3"/>
        <v>0</v>
      </c>
      <c r="AO6" s="34">
        <f t="shared" ca="1" si="3"/>
        <v>0</v>
      </c>
      <c r="AP6" s="34">
        <f t="shared" ca="1" si="3"/>
        <v>0</v>
      </c>
      <c r="AQ6" s="34">
        <f t="shared" ca="1" si="3"/>
        <v>0</v>
      </c>
      <c r="AR6">
        <f t="shared" ca="1" si="3"/>
        <v>0</v>
      </c>
    </row>
    <row r="7" spans="1:44">
      <c r="A7" t="s">
        <v>16</v>
      </c>
      <c r="B7" s="32" t="s">
        <v>1083</v>
      </c>
      <c r="C7">
        <f t="shared" ca="1" si="0"/>
        <v>0</v>
      </c>
      <c r="D7">
        <f t="shared" ca="1" si="0"/>
        <v>0</v>
      </c>
      <c r="E7">
        <f t="shared" ca="1" si="0"/>
        <v>25</v>
      </c>
      <c r="F7">
        <f t="shared" ca="1" si="0"/>
        <v>36</v>
      </c>
      <c r="G7">
        <f t="shared" ca="1" si="0"/>
        <v>18</v>
      </c>
      <c r="H7">
        <f t="shared" ca="1" si="0"/>
        <v>18</v>
      </c>
      <c r="I7">
        <f t="shared" ca="1" si="0"/>
        <v>18</v>
      </c>
      <c r="J7">
        <f t="shared" ca="1" si="0"/>
        <v>0</v>
      </c>
      <c r="K7" s="2">
        <f t="shared" ca="1" si="0"/>
        <v>0</v>
      </c>
      <c r="L7" s="2">
        <f t="shared" ca="1" si="0"/>
        <v>0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</v>
      </c>
      <c r="Q7" s="2">
        <f t="shared" ca="1" si="1"/>
        <v>0</v>
      </c>
      <c r="R7" s="34">
        <f t="shared" ca="1" si="1"/>
        <v>81</v>
      </c>
      <c r="S7" s="34">
        <f t="shared" ca="1" si="1"/>
        <v>0</v>
      </c>
      <c r="T7" s="34">
        <f t="shared" ca="1" si="1"/>
        <v>0</v>
      </c>
      <c r="U7">
        <f t="shared" ca="1" si="1"/>
        <v>0</v>
      </c>
      <c r="W7" t="str">
        <f t="shared" si="4"/>
        <v>=</v>
      </c>
      <c r="X7" t="s">
        <v>16</v>
      </c>
      <c r="Y7" s="32" t="s">
        <v>1083</v>
      </c>
      <c r="Z7">
        <f t="shared" ca="1" si="2"/>
        <v>0</v>
      </c>
      <c r="AA7">
        <f t="shared" ca="1" si="2"/>
        <v>0</v>
      </c>
      <c r="AB7">
        <f t="shared" ca="1" si="2"/>
        <v>25</v>
      </c>
      <c r="AC7">
        <f t="shared" ca="1" si="2"/>
        <v>36</v>
      </c>
      <c r="AD7">
        <f t="shared" ca="1" si="2"/>
        <v>18</v>
      </c>
      <c r="AE7">
        <f t="shared" ca="1" si="2"/>
        <v>18</v>
      </c>
      <c r="AF7">
        <f t="shared" ca="1" si="2"/>
        <v>18</v>
      </c>
      <c r="AG7">
        <f t="shared" ca="1" si="2"/>
        <v>0</v>
      </c>
      <c r="AH7" s="2">
        <f t="shared" ca="1" si="2"/>
        <v>0</v>
      </c>
      <c r="AI7" s="2">
        <f t="shared" ca="1" si="2"/>
        <v>0</v>
      </c>
      <c r="AJ7" s="2">
        <f t="shared" ca="1" si="3"/>
        <v>0</v>
      </c>
      <c r="AK7" s="2">
        <f t="shared" ca="1" si="3"/>
        <v>0</v>
      </c>
      <c r="AL7" s="2">
        <f t="shared" ca="1" si="3"/>
        <v>0</v>
      </c>
      <c r="AM7" s="2">
        <f t="shared" ca="1" si="3"/>
        <v>0</v>
      </c>
      <c r="AN7" s="2">
        <f t="shared" ca="1" si="3"/>
        <v>0</v>
      </c>
      <c r="AO7" s="34">
        <f t="shared" ca="1" si="3"/>
        <v>81</v>
      </c>
      <c r="AP7" s="34">
        <f t="shared" ca="1" si="3"/>
        <v>0</v>
      </c>
      <c r="AQ7" s="34">
        <f t="shared" ca="1" si="3"/>
        <v>0</v>
      </c>
      <c r="AR7">
        <f t="shared" ca="1" si="3"/>
        <v>0</v>
      </c>
    </row>
    <row r="8" spans="1:44">
      <c r="A8" t="s">
        <v>17</v>
      </c>
      <c r="B8" s="32" t="s">
        <v>1101</v>
      </c>
      <c r="C8">
        <f t="shared" ca="1" si="0"/>
        <v>0</v>
      </c>
      <c r="D8">
        <f t="shared" ca="1" si="0"/>
        <v>0</v>
      </c>
      <c r="E8">
        <f t="shared" ca="1" si="0"/>
        <v>6</v>
      </c>
      <c r="F8">
        <f t="shared" ca="1" si="0"/>
        <v>6</v>
      </c>
      <c r="G8">
        <f t="shared" ca="1" si="0"/>
        <v>0</v>
      </c>
      <c r="H8">
        <f t="shared" ca="1" si="0"/>
        <v>0</v>
      </c>
      <c r="I8">
        <f t="shared" ca="1" si="0"/>
        <v>10</v>
      </c>
      <c r="J8">
        <f t="shared" ca="1" si="0"/>
        <v>0</v>
      </c>
      <c r="K8" s="2">
        <f t="shared" ca="1" si="0"/>
        <v>0</v>
      </c>
      <c r="L8" s="2">
        <f t="shared" ca="1" si="0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2">
        <f t="shared" ca="1" si="1"/>
        <v>0</v>
      </c>
      <c r="R8" s="34">
        <f t="shared" ca="1" si="1"/>
        <v>0</v>
      </c>
      <c r="S8" s="34">
        <f t="shared" ca="1" si="1"/>
        <v>0</v>
      </c>
      <c r="T8" s="34">
        <f t="shared" ca="1" si="1"/>
        <v>0</v>
      </c>
      <c r="U8">
        <f t="shared" ca="1" si="1"/>
        <v>0</v>
      </c>
      <c r="W8" t="str">
        <f t="shared" si="4"/>
        <v>=</v>
      </c>
      <c r="X8" t="s">
        <v>17</v>
      </c>
      <c r="Y8" s="32" t="s">
        <v>1101</v>
      </c>
      <c r="Z8">
        <f t="shared" ca="1" si="2"/>
        <v>0</v>
      </c>
      <c r="AA8">
        <f t="shared" ca="1" si="2"/>
        <v>0</v>
      </c>
      <c r="AB8">
        <f t="shared" ca="1" si="2"/>
        <v>6</v>
      </c>
      <c r="AC8">
        <f t="shared" ca="1" si="2"/>
        <v>6</v>
      </c>
      <c r="AD8">
        <f t="shared" ca="1" si="2"/>
        <v>0</v>
      </c>
      <c r="AE8">
        <f t="shared" ca="1" si="2"/>
        <v>0</v>
      </c>
      <c r="AF8">
        <f t="shared" ca="1" si="2"/>
        <v>10</v>
      </c>
      <c r="AG8">
        <f t="shared" ca="1" si="2"/>
        <v>0</v>
      </c>
      <c r="AH8" s="2">
        <f t="shared" ca="1" si="2"/>
        <v>0</v>
      </c>
      <c r="AI8" s="2">
        <f t="shared" ca="1" si="2"/>
        <v>0</v>
      </c>
      <c r="AJ8" s="2">
        <f t="shared" ca="1" si="3"/>
        <v>0</v>
      </c>
      <c r="AK8" s="2">
        <f t="shared" ca="1" si="3"/>
        <v>0</v>
      </c>
      <c r="AL8" s="2">
        <f t="shared" ca="1" si="3"/>
        <v>0</v>
      </c>
      <c r="AM8" s="2">
        <f t="shared" ca="1" si="3"/>
        <v>0</v>
      </c>
      <c r="AN8" s="2">
        <f t="shared" ca="1" si="3"/>
        <v>0</v>
      </c>
      <c r="AO8" s="34">
        <f t="shared" ca="1" si="3"/>
        <v>0</v>
      </c>
      <c r="AP8" s="34">
        <f t="shared" ca="1" si="3"/>
        <v>0</v>
      </c>
      <c r="AQ8" s="34">
        <f t="shared" ca="1" si="3"/>
        <v>0</v>
      </c>
      <c r="AR8">
        <f t="shared" ca="1" si="3"/>
        <v>0</v>
      </c>
    </row>
    <row r="9" spans="1:44">
      <c r="A9" t="s">
        <v>73</v>
      </c>
      <c r="B9" s="32" t="s">
        <v>25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 s="2">
        <f t="shared" ca="1" si="0"/>
        <v>0</v>
      </c>
      <c r="L9" s="2">
        <f t="shared" ca="1" si="0"/>
        <v>0.05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2">
        <f t="shared" ca="1" si="1"/>
        <v>0</v>
      </c>
      <c r="R9" s="34">
        <f t="shared" ca="1" si="1"/>
        <v>0</v>
      </c>
      <c r="S9" s="34">
        <f t="shared" ca="1" si="1"/>
        <v>0</v>
      </c>
      <c r="T9" s="34">
        <f t="shared" ca="1" si="1"/>
        <v>0</v>
      </c>
      <c r="U9">
        <f t="shared" ca="1" si="1"/>
        <v>1</v>
      </c>
      <c r="W9" t="str">
        <f t="shared" si="4"/>
        <v>=</v>
      </c>
      <c r="X9" t="s">
        <v>73</v>
      </c>
      <c r="Y9" s="32" t="s">
        <v>25</v>
      </c>
      <c r="Z9">
        <f t="shared" ca="1" si="2"/>
        <v>0</v>
      </c>
      <c r="AA9">
        <f t="shared" ca="1" si="2"/>
        <v>0</v>
      </c>
      <c r="AB9">
        <f t="shared" ca="1" si="2"/>
        <v>0</v>
      </c>
      <c r="AC9">
        <f t="shared" ca="1" si="2"/>
        <v>0</v>
      </c>
      <c r="AD9">
        <f t="shared" ca="1" si="2"/>
        <v>0</v>
      </c>
      <c r="AE9">
        <f t="shared" ca="1" si="2"/>
        <v>0</v>
      </c>
      <c r="AF9">
        <f t="shared" ca="1" si="2"/>
        <v>0</v>
      </c>
      <c r="AG9">
        <f t="shared" ca="1" si="2"/>
        <v>0</v>
      </c>
      <c r="AH9" s="2">
        <f t="shared" ca="1" si="2"/>
        <v>0</v>
      </c>
      <c r="AI9" s="2">
        <f t="shared" ca="1" si="2"/>
        <v>0.05</v>
      </c>
      <c r="AJ9" s="2">
        <f t="shared" ca="1" si="3"/>
        <v>0</v>
      </c>
      <c r="AK9" s="2">
        <f t="shared" ca="1" si="3"/>
        <v>0</v>
      </c>
      <c r="AL9" s="2">
        <f t="shared" ca="1" si="3"/>
        <v>0</v>
      </c>
      <c r="AM9" s="2">
        <f t="shared" ca="1" si="3"/>
        <v>0</v>
      </c>
      <c r="AN9" s="2">
        <f t="shared" ca="1" si="3"/>
        <v>0</v>
      </c>
      <c r="AO9" s="34">
        <f t="shared" ca="1" si="3"/>
        <v>0</v>
      </c>
      <c r="AP9" s="34">
        <f t="shared" ca="1" si="3"/>
        <v>0</v>
      </c>
      <c r="AQ9" s="34">
        <f t="shared" ca="1" si="3"/>
        <v>0</v>
      </c>
      <c r="AR9">
        <f t="shared" ca="1" si="3"/>
        <v>1</v>
      </c>
    </row>
    <row r="10" spans="1:44">
      <c r="A10" t="s">
        <v>73</v>
      </c>
      <c r="B10" s="32" t="s">
        <v>143</v>
      </c>
      <c r="C10">
        <f t="shared" ca="1" si="0"/>
        <v>5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 s="2">
        <f t="shared" ca="1" si="0"/>
        <v>0</v>
      </c>
      <c r="L10" s="2">
        <f t="shared" ca="1" si="0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0.05</v>
      </c>
      <c r="P10" s="2">
        <f t="shared" ca="1" si="1"/>
        <v>0</v>
      </c>
      <c r="Q10" s="2">
        <f t="shared" ca="1" si="1"/>
        <v>0</v>
      </c>
      <c r="R10" s="34">
        <f t="shared" ca="1" si="1"/>
        <v>0</v>
      </c>
      <c r="S10" s="34">
        <f t="shared" ca="1" si="1"/>
        <v>0</v>
      </c>
      <c r="T10" s="34">
        <f t="shared" ca="1" si="1"/>
        <v>0</v>
      </c>
      <c r="U10">
        <f t="shared" ca="1" si="1"/>
        <v>0</v>
      </c>
      <c r="W10" t="str">
        <f t="shared" si="4"/>
        <v>=</v>
      </c>
      <c r="X10" t="s">
        <v>73</v>
      </c>
      <c r="Y10" s="32" t="s">
        <v>143</v>
      </c>
      <c r="Z10">
        <f t="shared" ca="1" si="2"/>
        <v>5</v>
      </c>
      <c r="AA10">
        <f t="shared" ca="1" si="2"/>
        <v>0</v>
      </c>
      <c r="AB10">
        <f t="shared" ca="1" si="2"/>
        <v>0</v>
      </c>
      <c r="AC10">
        <f t="shared" ca="1" si="2"/>
        <v>0</v>
      </c>
      <c r="AD10">
        <f t="shared" ca="1" si="2"/>
        <v>0</v>
      </c>
      <c r="AE10">
        <f t="shared" ca="1" si="2"/>
        <v>0</v>
      </c>
      <c r="AF10">
        <f t="shared" ca="1" si="2"/>
        <v>0</v>
      </c>
      <c r="AG10">
        <f t="shared" ca="1" si="2"/>
        <v>0</v>
      </c>
      <c r="AH10" s="2">
        <f t="shared" ca="1" si="2"/>
        <v>0</v>
      </c>
      <c r="AI10" s="2">
        <f t="shared" ca="1" si="2"/>
        <v>0</v>
      </c>
      <c r="AJ10" s="2">
        <f t="shared" ca="1" si="3"/>
        <v>0</v>
      </c>
      <c r="AK10" s="2">
        <f t="shared" ca="1" si="3"/>
        <v>0</v>
      </c>
      <c r="AL10" s="2">
        <f t="shared" ca="1" si="3"/>
        <v>0.05</v>
      </c>
      <c r="AM10" s="2">
        <f t="shared" ca="1" si="3"/>
        <v>0</v>
      </c>
      <c r="AN10" s="2">
        <f t="shared" ca="1" si="3"/>
        <v>0</v>
      </c>
      <c r="AO10" s="34">
        <f t="shared" ca="1" si="3"/>
        <v>0</v>
      </c>
      <c r="AP10" s="34">
        <f t="shared" ca="1" si="3"/>
        <v>0</v>
      </c>
      <c r="AQ10" s="34">
        <f t="shared" ca="1" si="3"/>
        <v>0</v>
      </c>
      <c r="AR10">
        <f t="shared" ca="1" si="3"/>
        <v>0</v>
      </c>
    </row>
    <row r="11" spans="1:44">
      <c r="A11" t="s">
        <v>18</v>
      </c>
      <c r="B11" s="32" t="s">
        <v>1088</v>
      </c>
      <c r="C11">
        <f t="shared" ca="1" si="0"/>
        <v>0</v>
      </c>
      <c r="D11">
        <f t="shared" ca="1" si="0"/>
        <v>0</v>
      </c>
      <c r="E11">
        <f t="shared" ca="1" si="0"/>
        <v>37</v>
      </c>
      <c r="F11">
        <f t="shared" ca="1" si="0"/>
        <v>45</v>
      </c>
      <c r="G11">
        <f t="shared" ca="1" si="0"/>
        <v>26</v>
      </c>
      <c r="H11">
        <f t="shared" ca="1" si="0"/>
        <v>25</v>
      </c>
      <c r="I11">
        <f t="shared" ca="1" si="0"/>
        <v>15</v>
      </c>
      <c r="J11">
        <f t="shared" ca="1" si="0"/>
        <v>15</v>
      </c>
      <c r="K11" s="2">
        <f t="shared" ca="1" si="0"/>
        <v>0</v>
      </c>
      <c r="L11" s="2">
        <f t="shared" ca="1" si="0"/>
        <v>0</v>
      </c>
      <c r="M11" s="2">
        <f t="shared" ca="1" si="1"/>
        <v>0.02</v>
      </c>
      <c r="N11" s="2">
        <f t="shared" ca="1" si="1"/>
        <v>0</v>
      </c>
      <c r="O11" s="2">
        <f t="shared" ca="1" si="1"/>
        <v>0</v>
      </c>
      <c r="P11" s="2">
        <f t="shared" ca="1" si="1"/>
        <v>0</v>
      </c>
      <c r="Q11" s="2">
        <f t="shared" ca="1" si="1"/>
        <v>0</v>
      </c>
      <c r="R11" s="34">
        <f t="shared" ca="1" si="1"/>
        <v>41</v>
      </c>
      <c r="S11" s="34">
        <f t="shared" ca="1" si="1"/>
        <v>0</v>
      </c>
      <c r="T11" s="34">
        <f t="shared" ca="1" si="1"/>
        <v>0</v>
      </c>
      <c r="U11">
        <f t="shared" ca="1" si="1"/>
        <v>0</v>
      </c>
      <c r="W11" t="str">
        <f t="shared" si="4"/>
        <v>=</v>
      </c>
      <c r="X11" t="s">
        <v>18</v>
      </c>
      <c r="Y11" s="32" t="s">
        <v>1088</v>
      </c>
      <c r="Z11">
        <f t="shared" ca="1" si="2"/>
        <v>0</v>
      </c>
      <c r="AA11">
        <f t="shared" ca="1" si="2"/>
        <v>0</v>
      </c>
      <c r="AB11">
        <f t="shared" ca="1" si="2"/>
        <v>37</v>
      </c>
      <c r="AC11">
        <f t="shared" ca="1" si="2"/>
        <v>45</v>
      </c>
      <c r="AD11">
        <f t="shared" ca="1" si="2"/>
        <v>26</v>
      </c>
      <c r="AE11">
        <f t="shared" ca="1" si="2"/>
        <v>25</v>
      </c>
      <c r="AF11">
        <f t="shared" ca="1" si="2"/>
        <v>15</v>
      </c>
      <c r="AG11">
        <f t="shared" ca="1" si="2"/>
        <v>15</v>
      </c>
      <c r="AH11" s="2">
        <f t="shared" ca="1" si="2"/>
        <v>0</v>
      </c>
      <c r="AI11" s="2">
        <f t="shared" ca="1" si="2"/>
        <v>0</v>
      </c>
      <c r="AJ11" s="2">
        <f t="shared" ca="1" si="3"/>
        <v>0.02</v>
      </c>
      <c r="AK11" s="2">
        <f t="shared" ca="1" si="3"/>
        <v>0</v>
      </c>
      <c r="AL11" s="2">
        <f t="shared" ca="1" si="3"/>
        <v>0</v>
      </c>
      <c r="AM11" s="2">
        <f t="shared" ca="1" si="3"/>
        <v>0</v>
      </c>
      <c r="AN11" s="2">
        <f t="shared" ca="1" si="3"/>
        <v>0</v>
      </c>
      <c r="AO11" s="34">
        <f t="shared" ca="1" si="3"/>
        <v>41</v>
      </c>
      <c r="AP11" s="34">
        <f t="shared" ca="1" si="3"/>
        <v>0</v>
      </c>
      <c r="AQ11" s="34">
        <f t="shared" ca="1" si="3"/>
        <v>0</v>
      </c>
      <c r="AR11">
        <f t="shared" ca="1" si="3"/>
        <v>0</v>
      </c>
    </row>
    <row r="12" spans="1:44">
      <c r="A12" t="s">
        <v>19</v>
      </c>
      <c r="B12" s="32" t="s">
        <v>1083</v>
      </c>
      <c r="C12">
        <f t="shared" ca="1" si="0"/>
        <v>0</v>
      </c>
      <c r="D12">
        <f t="shared" ca="1" si="0"/>
        <v>10</v>
      </c>
      <c r="E12">
        <f t="shared" ca="1" si="0"/>
        <v>20</v>
      </c>
      <c r="F12">
        <f t="shared" ca="1" si="0"/>
        <v>51</v>
      </c>
      <c r="G12">
        <f t="shared" ca="1" si="0"/>
        <v>34</v>
      </c>
      <c r="H12">
        <f t="shared" ca="1" si="0"/>
        <v>32</v>
      </c>
      <c r="I12">
        <f t="shared" ca="1" si="0"/>
        <v>0</v>
      </c>
      <c r="J12">
        <f t="shared" ca="1" si="0"/>
        <v>20</v>
      </c>
      <c r="K12" s="2">
        <f t="shared" ca="1" si="0"/>
        <v>0</v>
      </c>
      <c r="L12" s="2">
        <f t="shared" ca="1" si="0"/>
        <v>0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2">
        <f t="shared" ca="1" si="1"/>
        <v>0</v>
      </c>
      <c r="R12" s="34">
        <f t="shared" ca="1" si="1"/>
        <v>51</v>
      </c>
      <c r="S12" s="34">
        <f t="shared" ca="1" si="1"/>
        <v>0</v>
      </c>
      <c r="T12" s="34">
        <f t="shared" ca="1" si="1"/>
        <v>0</v>
      </c>
      <c r="U12">
        <f t="shared" ca="1" si="1"/>
        <v>0</v>
      </c>
      <c r="W12" t="str">
        <f t="shared" si="4"/>
        <v>=</v>
      </c>
      <c r="X12" t="s">
        <v>19</v>
      </c>
      <c r="Y12" s="32" t="s">
        <v>1083</v>
      </c>
      <c r="Z12">
        <f t="shared" ca="1" si="2"/>
        <v>0</v>
      </c>
      <c r="AA12">
        <f t="shared" ca="1" si="2"/>
        <v>10</v>
      </c>
      <c r="AB12">
        <f t="shared" ca="1" si="2"/>
        <v>20</v>
      </c>
      <c r="AC12">
        <f t="shared" ca="1" si="2"/>
        <v>51</v>
      </c>
      <c r="AD12">
        <f t="shared" ca="1" si="2"/>
        <v>34</v>
      </c>
      <c r="AE12">
        <f t="shared" ca="1" si="2"/>
        <v>32</v>
      </c>
      <c r="AF12">
        <f t="shared" ca="1" si="2"/>
        <v>0</v>
      </c>
      <c r="AG12">
        <f t="shared" ca="1" si="2"/>
        <v>20</v>
      </c>
      <c r="AH12" s="2">
        <f t="shared" ca="1" si="2"/>
        <v>0</v>
      </c>
      <c r="AI12" s="2">
        <f t="shared" ca="1" si="2"/>
        <v>0</v>
      </c>
      <c r="AJ12" s="2">
        <f t="shared" ca="1" si="3"/>
        <v>0</v>
      </c>
      <c r="AK12" s="2">
        <f t="shared" ca="1" si="3"/>
        <v>0</v>
      </c>
      <c r="AL12" s="2">
        <f t="shared" ca="1" si="3"/>
        <v>0</v>
      </c>
      <c r="AM12" s="2">
        <f t="shared" ca="1" si="3"/>
        <v>0</v>
      </c>
      <c r="AN12" s="2">
        <f t="shared" ca="1" si="3"/>
        <v>0</v>
      </c>
      <c r="AO12" s="34">
        <f t="shared" ca="1" si="3"/>
        <v>51</v>
      </c>
      <c r="AP12" s="34">
        <f t="shared" ca="1" si="3"/>
        <v>0</v>
      </c>
      <c r="AQ12" s="34">
        <f t="shared" ca="1" si="3"/>
        <v>0</v>
      </c>
      <c r="AR12">
        <f t="shared" ca="1" si="3"/>
        <v>0</v>
      </c>
    </row>
    <row r="13" spans="1:44">
      <c r="A13" t="s">
        <v>74</v>
      </c>
      <c r="B13" s="32" t="s">
        <v>26</v>
      </c>
      <c r="C13">
        <f t="shared" ref="C13:L18" ca="1" si="5">IF(ISBLANK($B13), 0, VLOOKUP($B13, INDIRECT($A13), MATCH(C$2, StatHeader, 0), 0))</f>
        <v>0</v>
      </c>
      <c r="D13">
        <f t="shared" ca="1" si="0"/>
        <v>0</v>
      </c>
      <c r="E13">
        <f t="shared" ca="1" si="5"/>
        <v>5</v>
      </c>
      <c r="F13">
        <f t="shared" ca="1" si="5"/>
        <v>5</v>
      </c>
      <c r="G13">
        <f t="shared" ca="1" si="5"/>
        <v>0</v>
      </c>
      <c r="H13">
        <f t="shared" ca="1" si="5"/>
        <v>0</v>
      </c>
      <c r="I13">
        <f t="shared" ca="1" si="5"/>
        <v>0</v>
      </c>
      <c r="J13">
        <f t="shared" ca="1" si="5"/>
        <v>0</v>
      </c>
      <c r="K13" s="2">
        <f t="shared" ca="1" si="5"/>
        <v>0</v>
      </c>
      <c r="L13" s="2">
        <f t="shared" ca="1" si="5"/>
        <v>0</v>
      </c>
      <c r="M13" s="2">
        <f t="shared" ref="M13:U18" ca="1" si="6">IF(ISBLANK($B13), 0, VLOOKUP($B13, INDIRECT($A13), MATCH(M$2, StatHeader, 0), 0))</f>
        <v>0</v>
      </c>
      <c r="N13" s="2">
        <f t="shared" ca="1" si="6"/>
        <v>0</v>
      </c>
      <c r="O13" s="2">
        <f t="shared" ca="1" si="6"/>
        <v>0</v>
      </c>
      <c r="P13" s="2">
        <f t="shared" ca="1" si="6"/>
        <v>0</v>
      </c>
      <c r="Q13" s="2">
        <f t="shared" ca="1" si="6"/>
        <v>0</v>
      </c>
      <c r="R13" s="34">
        <f t="shared" ca="1" si="6"/>
        <v>0</v>
      </c>
      <c r="S13" s="34">
        <f t="shared" ca="1" si="6"/>
        <v>0</v>
      </c>
      <c r="T13" s="34">
        <f t="shared" ca="1" si="6"/>
        <v>0</v>
      </c>
      <c r="U13">
        <f t="shared" ca="1" si="6"/>
        <v>5</v>
      </c>
      <c r="W13" t="str">
        <f t="shared" si="4"/>
        <v>=</v>
      </c>
      <c r="X13" t="s">
        <v>74</v>
      </c>
      <c r="Y13" s="32" t="s">
        <v>26</v>
      </c>
      <c r="Z13">
        <f t="shared" ref="Z13:AI18" ca="1" si="7">IF(ISBLANK($Y13), 0, VLOOKUP($Y13, INDIRECT($X13), MATCH(Z$2, StatHeader, 0), 0))</f>
        <v>0</v>
      </c>
      <c r="AA13">
        <f t="shared" ca="1" si="2"/>
        <v>0</v>
      </c>
      <c r="AB13">
        <f t="shared" ca="1" si="7"/>
        <v>5</v>
      </c>
      <c r="AC13">
        <f t="shared" ca="1" si="7"/>
        <v>5</v>
      </c>
      <c r="AD13">
        <f t="shared" ca="1" si="7"/>
        <v>0</v>
      </c>
      <c r="AE13">
        <f t="shared" ca="1" si="7"/>
        <v>0</v>
      </c>
      <c r="AF13">
        <f t="shared" ca="1" si="7"/>
        <v>0</v>
      </c>
      <c r="AG13">
        <f t="shared" ca="1" si="7"/>
        <v>0</v>
      </c>
      <c r="AH13" s="2">
        <f t="shared" ca="1" si="7"/>
        <v>0</v>
      </c>
      <c r="AI13" s="2">
        <f t="shared" ca="1" si="7"/>
        <v>0</v>
      </c>
      <c r="AJ13" s="2">
        <f t="shared" ref="AJ13:AR18" ca="1" si="8">IF(ISBLANK($Y13), 0, VLOOKUP($Y13, INDIRECT($X13), MATCH(AJ$2, StatHeader, 0), 0))</f>
        <v>0</v>
      </c>
      <c r="AK13" s="2">
        <f t="shared" ca="1" si="8"/>
        <v>0</v>
      </c>
      <c r="AL13" s="2">
        <f t="shared" ca="1" si="8"/>
        <v>0</v>
      </c>
      <c r="AM13" s="2">
        <f t="shared" ca="1" si="8"/>
        <v>0</v>
      </c>
      <c r="AN13" s="2">
        <f t="shared" ca="1" si="8"/>
        <v>0</v>
      </c>
      <c r="AO13" s="34">
        <f t="shared" ca="1" si="8"/>
        <v>0</v>
      </c>
      <c r="AP13" s="34">
        <f t="shared" ca="1" si="8"/>
        <v>0</v>
      </c>
      <c r="AQ13" s="34">
        <f t="shared" ca="1" si="8"/>
        <v>0</v>
      </c>
      <c r="AR13">
        <f t="shared" ca="1" si="8"/>
        <v>5</v>
      </c>
    </row>
    <row r="14" spans="1:44">
      <c r="A14" t="s">
        <v>74</v>
      </c>
      <c r="B14" s="32" t="s">
        <v>985</v>
      </c>
      <c r="C14">
        <f t="shared" ca="1" si="5"/>
        <v>0</v>
      </c>
      <c r="D14">
        <f t="shared" ca="1" si="0"/>
        <v>0</v>
      </c>
      <c r="E14">
        <f t="shared" ca="1" si="5"/>
        <v>8</v>
      </c>
      <c r="F14">
        <f t="shared" ca="1" si="5"/>
        <v>0</v>
      </c>
      <c r="G14">
        <f t="shared" ca="1" si="5"/>
        <v>0</v>
      </c>
      <c r="H14">
        <f t="shared" ca="1" si="5"/>
        <v>0</v>
      </c>
      <c r="I14">
        <f t="shared" ca="1" si="5"/>
        <v>0</v>
      </c>
      <c r="J14">
        <f t="shared" ca="1" si="5"/>
        <v>0</v>
      </c>
      <c r="K14" s="2">
        <f t="shared" ca="1" si="5"/>
        <v>0</v>
      </c>
      <c r="L14" s="2">
        <f t="shared" ca="1" si="5"/>
        <v>0</v>
      </c>
      <c r="M14" s="2">
        <f t="shared" ca="1" si="6"/>
        <v>0</v>
      </c>
      <c r="N14" s="2">
        <f t="shared" ca="1" si="6"/>
        <v>0</v>
      </c>
      <c r="O14" s="2">
        <f t="shared" ca="1" si="6"/>
        <v>0</v>
      </c>
      <c r="P14" s="2">
        <f t="shared" ca="1" si="6"/>
        <v>0</v>
      </c>
      <c r="Q14" s="2">
        <f t="shared" ca="1" si="6"/>
        <v>0</v>
      </c>
      <c r="R14" s="34">
        <f t="shared" ca="1" si="6"/>
        <v>0</v>
      </c>
      <c r="S14" s="34">
        <f t="shared" ca="1" si="6"/>
        <v>0</v>
      </c>
      <c r="T14" s="34">
        <f t="shared" ca="1" si="6"/>
        <v>0</v>
      </c>
      <c r="U14">
        <f t="shared" ca="1" si="6"/>
        <v>0</v>
      </c>
      <c r="W14" t="str">
        <f t="shared" si="4"/>
        <v>-</v>
      </c>
      <c r="X14" t="s">
        <v>74</v>
      </c>
      <c r="Y14" s="32" t="s">
        <v>989</v>
      </c>
      <c r="Z14">
        <f t="shared" ca="1" si="7"/>
        <v>0</v>
      </c>
      <c r="AA14">
        <f t="shared" ca="1" si="2"/>
        <v>0</v>
      </c>
      <c r="AB14">
        <f t="shared" ca="1" si="7"/>
        <v>0</v>
      </c>
      <c r="AC14">
        <f t="shared" ca="1" si="7"/>
        <v>8</v>
      </c>
      <c r="AD14">
        <f t="shared" ca="1" si="7"/>
        <v>0</v>
      </c>
      <c r="AE14">
        <f t="shared" ca="1" si="7"/>
        <v>0</v>
      </c>
      <c r="AF14">
        <f t="shared" ca="1" si="7"/>
        <v>0</v>
      </c>
      <c r="AG14">
        <f t="shared" ca="1" si="7"/>
        <v>0</v>
      </c>
      <c r="AH14" s="2">
        <f t="shared" ca="1" si="7"/>
        <v>0</v>
      </c>
      <c r="AI14" s="2">
        <f t="shared" ca="1" si="7"/>
        <v>0</v>
      </c>
      <c r="AJ14" s="2">
        <f t="shared" ca="1" si="8"/>
        <v>0</v>
      </c>
      <c r="AK14" s="2">
        <f t="shared" ca="1" si="8"/>
        <v>0</v>
      </c>
      <c r="AL14" s="2">
        <f t="shared" ca="1" si="8"/>
        <v>0</v>
      </c>
      <c r="AM14" s="2">
        <f t="shared" ca="1" si="8"/>
        <v>0</v>
      </c>
      <c r="AN14" s="2">
        <f t="shared" ca="1" si="8"/>
        <v>0</v>
      </c>
      <c r="AO14" s="34">
        <f t="shared" ca="1" si="8"/>
        <v>0</v>
      </c>
      <c r="AP14" s="34">
        <f t="shared" ca="1" si="8"/>
        <v>0</v>
      </c>
      <c r="AQ14" s="34">
        <f t="shared" ca="1" si="8"/>
        <v>0</v>
      </c>
      <c r="AR14">
        <f t="shared" ca="1" si="8"/>
        <v>0</v>
      </c>
    </row>
    <row r="15" spans="1:44">
      <c r="A15" t="s">
        <v>20</v>
      </c>
      <c r="B15" s="32" t="s">
        <v>822</v>
      </c>
      <c r="C15">
        <f t="shared" ca="1" si="5"/>
        <v>0</v>
      </c>
      <c r="D15">
        <f t="shared" ca="1" si="0"/>
        <v>15</v>
      </c>
      <c r="E15">
        <f t="shared" ca="1" si="5"/>
        <v>5</v>
      </c>
      <c r="F15">
        <f t="shared" ca="1" si="5"/>
        <v>3</v>
      </c>
      <c r="G15">
        <f t="shared" ca="1" si="5"/>
        <v>0</v>
      </c>
      <c r="H15">
        <f t="shared" ca="1" si="5"/>
        <v>5</v>
      </c>
      <c r="I15">
        <f t="shared" ca="1" si="5"/>
        <v>0</v>
      </c>
      <c r="J15">
        <f t="shared" ca="1" si="5"/>
        <v>0</v>
      </c>
      <c r="K15" s="2">
        <f t="shared" ca="1" si="5"/>
        <v>0</v>
      </c>
      <c r="L15" s="2">
        <f t="shared" ca="1" si="5"/>
        <v>0</v>
      </c>
      <c r="M15" s="2">
        <f t="shared" ca="1" si="6"/>
        <v>0</v>
      </c>
      <c r="N15" s="2">
        <f t="shared" ca="1" si="6"/>
        <v>0</v>
      </c>
      <c r="O15" s="2">
        <f t="shared" ca="1" si="6"/>
        <v>0</v>
      </c>
      <c r="P15" s="2">
        <f t="shared" ca="1" si="6"/>
        <v>0</v>
      </c>
      <c r="Q15" s="2">
        <f t="shared" ca="1" si="6"/>
        <v>0</v>
      </c>
      <c r="R15" s="34">
        <f t="shared" ca="1" si="6"/>
        <v>0</v>
      </c>
      <c r="S15" s="34">
        <f t="shared" ca="1" si="6"/>
        <v>0</v>
      </c>
      <c r="T15" s="34">
        <f t="shared" ca="1" si="6"/>
        <v>0</v>
      </c>
      <c r="U15">
        <f t="shared" ca="1" si="6"/>
        <v>0</v>
      </c>
      <c r="W15" t="str">
        <f t="shared" si="4"/>
        <v>-</v>
      </c>
      <c r="X15" t="s">
        <v>20</v>
      </c>
      <c r="Y15" s="32" t="s">
        <v>1098</v>
      </c>
      <c r="Z15">
        <f t="shared" ca="1" si="7"/>
        <v>0</v>
      </c>
      <c r="AA15">
        <f t="shared" ca="1" si="2"/>
        <v>0</v>
      </c>
      <c r="AB15">
        <f t="shared" ca="1" si="7"/>
        <v>0</v>
      </c>
      <c r="AC15">
        <f t="shared" ca="1" si="7"/>
        <v>7</v>
      </c>
      <c r="AD15">
        <f t="shared" ca="1" si="7"/>
        <v>0</v>
      </c>
      <c r="AE15">
        <f t="shared" ca="1" si="7"/>
        <v>0</v>
      </c>
      <c r="AF15">
        <f t="shared" ca="1" si="7"/>
        <v>0</v>
      </c>
      <c r="AG15">
        <f t="shared" ca="1" si="7"/>
        <v>21</v>
      </c>
      <c r="AH15" s="2">
        <f t="shared" ca="1" si="7"/>
        <v>0</v>
      </c>
      <c r="AI15" s="2">
        <f t="shared" ca="1" si="7"/>
        <v>0</v>
      </c>
      <c r="AJ15" s="2">
        <f t="shared" ca="1" si="8"/>
        <v>0</v>
      </c>
      <c r="AK15" s="2">
        <f t="shared" ca="1" si="8"/>
        <v>0</v>
      </c>
      <c r="AL15" s="2">
        <f t="shared" ca="1" si="8"/>
        <v>0</v>
      </c>
      <c r="AM15" s="2">
        <f t="shared" ca="1" si="8"/>
        <v>0</v>
      </c>
      <c r="AN15" s="2">
        <f t="shared" ca="1" si="8"/>
        <v>0</v>
      </c>
      <c r="AO15" s="34">
        <f t="shared" ca="1" si="8"/>
        <v>0</v>
      </c>
      <c r="AP15" s="34">
        <f t="shared" ca="1" si="8"/>
        <v>0</v>
      </c>
      <c r="AQ15" s="34">
        <f t="shared" ca="1" si="8"/>
        <v>0</v>
      </c>
      <c r="AR15">
        <f t="shared" ca="1" si="8"/>
        <v>0</v>
      </c>
    </row>
    <row r="16" spans="1:44">
      <c r="A16" t="s">
        <v>21</v>
      </c>
      <c r="B16" s="32" t="s">
        <v>1055</v>
      </c>
      <c r="C16">
        <f t="shared" ca="1" si="5"/>
        <v>0</v>
      </c>
      <c r="D16">
        <f t="shared" ca="1" si="0"/>
        <v>0</v>
      </c>
      <c r="E16">
        <f t="shared" ca="1" si="5"/>
        <v>7</v>
      </c>
      <c r="F16">
        <f t="shared" ca="1" si="5"/>
        <v>5</v>
      </c>
      <c r="G16">
        <f t="shared" ca="1" si="5"/>
        <v>7</v>
      </c>
      <c r="H16">
        <f t="shared" ca="1" si="5"/>
        <v>5</v>
      </c>
      <c r="I16">
        <f t="shared" ca="1" si="5"/>
        <v>0</v>
      </c>
      <c r="J16">
        <f t="shared" ca="1" si="5"/>
        <v>0</v>
      </c>
      <c r="K16" s="2">
        <f t="shared" ca="1" si="5"/>
        <v>0</v>
      </c>
      <c r="L16" s="2">
        <f t="shared" ca="1" si="5"/>
        <v>0</v>
      </c>
      <c r="M16" s="2">
        <f t="shared" ca="1" si="6"/>
        <v>0</v>
      </c>
      <c r="N16" s="2">
        <f t="shared" ca="1" si="6"/>
        <v>0</v>
      </c>
      <c r="O16" s="2">
        <f t="shared" ca="1" si="6"/>
        <v>0</v>
      </c>
      <c r="P16" s="2">
        <f t="shared" ca="1" si="6"/>
        <v>0</v>
      </c>
      <c r="Q16" s="2">
        <f t="shared" ca="1" si="6"/>
        <v>0</v>
      </c>
      <c r="R16" s="34">
        <f t="shared" ca="1" si="6"/>
        <v>0</v>
      </c>
      <c r="S16" s="34">
        <f t="shared" ca="1" si="6"/>
        <v>0</v>
      </c>
      <c r="T16" s="34">
        <f t="shared" ca="1" si="6"/>
        <v>0</v>
      </c>
      <c r="U16">
        <f t="shared" ca="1" si="6"/>
        <v>0</v>
      </c>
      <c r="W16" t="str">
        <f t="shared" si="4"/>
        <v>=</v>
      </c>
      <c r="X16" t="s">
        <v>21</v>
      </c>
      <c r="Y16" s="32" t="s">
        <v>1055</v>
      </c>
      <c r="Z16">
        <f t="shared" ca="1" si="7"/>
        <v>0</v>
      </c>
      <c r="AA16">
        <f t="shared" ca="1" si="2"/>
        <v>0</v>
      </c>
      <c r="AB16">
        <f t="shared" ca="1" si="7"/>
        <v>7</v>
      </c>
      <c r="AC16">
        <f t="shared" ca="1" si="7"/>
        <v>5</v>
      </c>
      <c r="AD16">
        <f t="shared" ca="1" si="7"/>
        <v>7</v>
      </c>
      <c r="AE16">
        <f t="shared" ca="1" si="7"/>
        <v>5</v>
      </c>
      <c r="AF16">
        <f t="shared" ca="1" si="7"/>
        <v>0</v>
      </c>
      <c r="AG16">
        <f t="shared" ca="1" si="7"/>
        <v>0</v>
      </c>
      <c r="AH16" s="2">
        <f t="shared" ca="1" si="7"/>
        <v>0</v>
      </c>
      <c r="AI16" s="2">
        <f t="shared" ca="1" si="7"/>
        <v>0</v>
      </c>
      <c r="AJ16" s="2">
        <f t="shared" ca="1" si="8"/>
        <v>0</v>
      </c>
      <c r="AK16" s="2">
        <f t="shared" ca="1" si="8"/>
        <v>0</v>
      </c>
      <c r="AL16" s="2">
        <f t="shared" ca="1" si="8"/>
        <v>0</v>
      </c>
      <c r="AM16" s="2">
        <f t="shared" ca="1" si="8"/>
        <v>0</v>
      </c>
      <c r="AN16" s="2">
        <f t="shared" ca="1" si="8"/>
        <v>0</v>
      </c>
      <c r="AO16" s="34">
        <f t="shared" ca="1" si="8"/>
        <v>0</v>
      </c>
      <c r="AP16" s="34">
        <f t="shared" ca="1" si="8"/>
        <v>0</v>
      </c>
      <c r="AQ16" s="34">
        <f t="shared" ca="1" si="8"/>
        <v>0</v>
      </c>
      <c r="AR16">
        <f t="shared" ca="1" si="8"/>
        <v>0</v>
      </c>
    </row>
    <row r="17" spans="1:44">
      <c r="A17" t="s">
        <v>22</v>
      </c>
      <c r="B17" s="32" t="s">
        <v>1049</v>
      </c>
      <c r="C17">
        <f t="shared" ca="1" si="5"/>
        <v>0</v>
      </c>
      <c r="D17">
        <f t="shared" ca="1" si="0"/>
        <v>0</v>
      </c>
      <c r="E17">
        <f t="shared" ca="1" si="5"/>
        <v>48</v>
      </c>
      <c r="F17">
        <f t="shared" ca="1" si="5"/>
        <v>16</v>
      </c>
      <c r="G17">
        <f t="shared" ca="1" si="5"/>
        <v>15</v>
      </c>
      <c r="H17">
        <f t="shared" ca="1" si="5"/>
        <v>16</v>
      </c>
      <c r="I17">
        <f t="shared" ca="1" si="5"/>
        <v>0</v>
      </c>
      <c r="J17">
        <f t="shared" ca="1" si="5"/>
        <v>15</v>
      </c>
      <c r="K17" s="2">
        <f t="shared" ca="1" si="5"/>
        <v>0</v>
      </c>
      <c r="L17" s="2">
        <f t="shared" ca="1" si="5"/>
        <v>0.03</v>
      </c>
      <c r="M17" s="2">
        <f t="shared" ca="1" si="6"/>
        <v>0.03</v>
      </c>
      <c r="N17" s="2">
        <f t="shared" ca="1" si="6"/>
        <v>0</v>
      </c>
      <c r="O17" s="2">
        <f t="shared" ca="1" si="6"/>
        <v>0</v>
      </c>
      <c r="P17" s="2">
        <f t="shared" ca="1" si="6"/>
        <v>0</v>
      </c>
      <c r="Q17" s="2">
        <f t="shared" ca="1" si="6"/>
        <v>0</v>
      </c>
      <c r="R17" s="34">
        <f t="shared" ca="1" si="6"/>
        <v>61</v>
      </c>
      <c r="S17" s="34">
        <f t="shared" ca="1" si="6"/>
        <v>0</v>
      </c>
      <c r="T17" s="34">
        <f t="shared" ca="1" si="6"/>
        <v>0</v>
      </c>
      <c r="U17">
        <f t="shared" ca="1" si="6"/>
        <v>7</v>
      </c>
      <c r="W17" t="str">
        <f t="shared" si="4"/>
        <v>=</v>
      </c>
      <c r="X17" t="s">
        <v>22</v>
      </c>
      <c r="Y17" s="32" t="s">
        <v>1049</v>
      </c>
      <c r="Z17">
        <f t="shared" ca="1" si="7"/>
        <v>0</v>
      </c>
      <c r="AA17">
        <f t="shared" ca="1" si="2"/>
        <v>0</v>
      </c>
      <c r="AB17">
        <f t="shared" ca="1" si="7"/>
        <v>48</v>
      </c>
      <c r="AC17">
        <f t="shared" ca="1" si="7"/>
        <v>16</v>
      </c>
      <c r="AD17">
        <f t="shared" ca="1" si="7"/>
        <v>15</v>
      </c>
      <c r="AE17">
        <f t="shared" ca="1" si="7"/>
        <v>16</v>
      </c>
      <c r="AF17">
        <f t="shared" ca="1" si="7"/>
        <v>0</v>
      </c>
      <c r="AG17">
        <f t="shared" ca="1" si="7"/>
        <v>15</v>
      </c>
      <c r="AH17" s="2">
        <f t="shared" ca="1" si="7"/>
        <v>0</v>
      </c>
      <c r="AI17" s="2">
        <f t="shared" ca="1" si="7"/>
        <v>0.03</v>
      </c>
      <c r="AJ17" s="2">
        <f t="shared" ca="1" si="8"/>
        <v>0.03</v>
      </c>
      <c r="AK17" s="2">
        <f t="shared" ca="1" si="8"/>
        <v>0</v>
      </c>
      <c r="AL17" s="2">
        <f t="shared" ca="1" si="8"/>
        <v>0</v>
      </c>
      <c r="AM17" s="2">
        <f t="shared" ca="1" si="8"/>
        <v>0</v>
      </c>
      <c r="AN17" s="2">
        <f t="shared" ca="1" si="8"/>
        <v>0</v>
      </c>
      <c r="AO17" s="34">
        <f t="shared" ca="1" si="8"/>
        <v>61</v>
      </c>
      <c r="AP17" s="34">
        <f t="shared" ca="1" si="8"/>
        <v>0</v>
      </c>
      <c r="AQ17" s="34">
        <f t="shared" ca="1" si="8"/>
        <v>0</v>
      </c>
      <c r="AR17">
        <f t="shared" ca="1" si="8"/>
        <v>7</v>
      </c>
    </row>
    <row r="18" spans="1:44">
      <c r="A18" t="s">
        <v>23</v>
      </c>
      <c r="B18" s="32" t="s">
        <v>1083</v>
      </c>
      <c r="C18">
        <f t="shared" ca="1" si="5"/>
        <v>0</v>
      </c>
      <c r="D18">
        <f t="shared" ca="1" si="0"/>
        <v>0</v>
      </c>
      <c r="E18">
        <f t="shared" ca="1" si="5"/>
        <v>25</v>
      </c>
      <c r="F18">
        <f t="shared" ca="1" si="5"/>
        <v>34</v>
      </c>
      <c r="G18">
        <f t="shared" ca="1" si="5"/>
        <v>12</v>
      </c>
      <c r="H18">
        <f t="shared" ca="1" si="5"/>
        <v>18</v>
      </c>
      <c r="I18">
        <f t="shared" ca="1" si="5"/>
        <v>0</v>
      </c>
      <c r="J18">
        <f t="shared" ca="1" si="5"/>
        <v>23</v>
      </c>
      <c r="K18" s="2">
        <f t="shared" ca="1" si="5"/>
        <v>0</v>
      </c>
      <c r="L18" s="2">
        <f t="shared" ca="1" si="5"/>
        <v>0</v>
      </c>
      <c r="M18" s="2">
        <f t="shared" ca="1" si="6"/>
        <v>0</v>
      </c>
      <c r="N18" s="2">
        <f t="shared" ca="1" si="6"/>
        <v>0</v>
      </c>
      <c r="O18" s="2">
        <f t="shared" ca="1" si="6"/>
        <v>0.03</v>
      </c>
      <c r="P18" s="2">
        <f t="shared" ca="1" si="6"/>
        <v>0</v>
      </c>
      <c r="Q18" s="2">
        <f t="shared" ca="1" si="6"/>
        <v>0</v>
      </c>
      <c r="R18" s="34">
        <f t="shared" ca="1" si="6"/>
        <v>41</v>
      </c>
      <c r="S18" s="34">
        <f t="shared" ca="1" si="6"/>
        <v>0</v>
      </c>
      <c r="T18" s="34">
        <f t="shared" ca="1" si="6"/>
        <v>0</v>
      </c>
      <c r="U18">
        <f t="shared" ca="1" si="6"/>
        <v>5</v>
      </c>
      <c r="W18" t="str">
        <f t="shared" si="4"/>
        <v>=</v>
      </c>
      <c r="X18" t="s">
        <v>23</v>
      </c>
      <c r="Y18" s="32" t="s">
        <v>1083</v>
      </c>
      <c r="Z18">
        <f t="shared" ca="1" si="7"/>
        <v>0</v>
      </c>
      <c r="AA18">
        <f t="shared" ca="1" si="2"/>
        <v>0</v>
      </c>
      <c r="AB18">
        <f t="shared" ca="1" si="7"/>
        <v>25</v>
      </c>
      <c r="AC18">
        <f t="shared" ca="1" si="7"/>
        <v>34</v>
      </c>
      <c r="AD18">
        <f t="shared" ca="1" si="7"/>
        <v>12</v>
      </c>
      <c r="AE18">
        <f t="shared" ca="1" si="7"/>
        <v>18</v>
      </c>
      <c r="AF18">
        <f t="shared" ca="1" si="7"/>
        <v>0</v>
      </c>
      <c r="AG18">
        <f t="shared" ca="1" si="7"/>
        <v>23</v>
      </c>
      <c r="AH18" s="2">
        <f t="shared" ca="1" si="7"/>
        <v>0</v>
      </c>
      <c r="AI18" s="2">
        <f t="shared" ca="1" si="7"/>
        <v>0</v>
      </c>
      <c r="AJ18" s="2">
        <f t="shared" ca="1" si="8"/>
        <v>0</v>
      </c>
      <c r="AK18" s="2">
        <f t="shared" ca="1" si="8"/>
        <v>0</v>
      </c>
      <c r="AL18" s="2">
        <f t="shared" ca="1" si="8"/>
        <v>0.03</v>
      </c>
      <c r="AM18" s="2">
        <f t="shared" ca="1" si="8"/>
        <v>0</v>
      </c>
      <c r="AN18" s="2">
        <f t="shared" ca="1" si="8"/>
        <v>0</v>
      </c>
      <c r="AO18" s="34">
        <f t="shared" ca="1" si="8"/>
        <v>41</v>
      </c>
      <c r="AP18" s="34">
        <f t="shared" ca="1" si="8"/>
        <v>0</v>
      </c>
      <c r="AQ18" s="34">
        <f t="shared" ca="1" si="8"/>
        <v>0</v>
      </c>
      <c r="AR18">
        <f t="shared" ca="1" si="8"/>
        <v>5</v>
      </c>
    </row>
    <row r="19" spans="1:44">
      <c r="A19" t="s">
        <v>24</v>
      </c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33"/>
      <c r="N19" s="33"/>
      <c r="O19" s="33"/>
      <c r="P19" s="33"/>
      <c r="Q19" s="33"/>
      <c r="R19" s="35"/>
      <c r="S19" s="35"/>
      <c r="T19" s="35"/>
      <c r="U19" s="32"/>
      <c r="W19" t="str">
        <f>IF(AND(C19=Z19, E19=AB19, F19=AC19, G19=AD19, H19=AE19, I19=AF19, J19=AG19, K19=AH19, L19=AI19, M19=AJ19, N19=AK19, O19=AL19,P19=AM19, Q19=AN19, R19=AO19, S19=AP19, T19=AQ19, U19=AR19), "=", "-")</f>
        <v>=</v>
      </c>
      <c r="X19" t="s">
        <v>24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3"/>
      <c r="AJ19" s="33"/>
      <c r="AK19" s="33"/>
      <c r="AL19" s="33"/>
      <c r="AM19" s="33"/>
      <c r="AN19" s="33"/>
      <c r="AO19" s="35"/>
      <c r="AP19" s="35"/>
      <c r="AQ19" s="35"/>
      <c r="AR19" s="32"/>
    </row>
    <row r="20" spans="1:44">
      <c r="L20" s="2"/>
      <c r="M20" s="2"/>
      <c r="N20" s="2"/>
      <c r="O20" s="2"/>
      <c r="P20" s="2"/>
      <c r="Q20" s="2"/>
      <c r="R20" s="2"/>
      <c r="S20" s="2"/>
      <c r="T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4">
      <c r="A21" t="s">
        <v>7</v>
      </c>
      <c r="C21">
        <f t="shared" ref="C21:Q21" ca="1" si="9">SUM(C3:C19)</f>
        <v>5</v>
      </c>
      <c r="D21">
        <f t="shared" ca="1" si="9"/>
        <v>25</v>
      </c>
      <c r="E21" s="166">
        <f t="shared" ca="1" si="9"/>
        <v>188</v>
      </c>
      <c r="F21">
        <f t="shared" ca="1" si="9"/>
        <v>251</v>
      </c>
      <c r="G21">
        <f t="shared" ca="1" si="9"/>
        <v>112</v>
      </c>
      <c r="H21">
        <f t="shared" ca="1" si="9"/>
        <v>119</v>
      </c>
      <c r="I21">
        <f t="shared" ca="1" si="9"/>
        <v>43</v>
      </c>
      <c r="J21">
        <f t="shared" ca="1" si="9"/>
        <v>73</v>
      </c>
      <c r="K21" s="2">
        <f t="shared" ca="1" si="9"/>
        <v>0</v>
      </c>
      <c r="L21" s="2">
        <f t="shared" ca="1" si="9"/>
        <v>0.08</v>
      </c>
      <c r="M21" s="2">
        <f t="shared" ca="1" si="9"/>
        <v>0.05</v>
      </c>
      <c r="N21" s="2">
        <f t="shared" ca="1" si="9"/>
        <v>0</v>
      </c>
      <c r="O21" s="2">
        <f t="shared" ca="1" si="9"/>
        <v>0.08</v>
      </c>
      <c r="P21" s="2">
        <f t="shared" ca="1" si="9"/>
        <v>0</v>
      </c>
      <c r="Q21" s="2">
        <f t="shared" ca="1" si="9"/>
        <v>0</v>
      </c>
      <c r="R21" s="2">
        <f ca="1">SUM(R3:R19)/1024</f>
        <v>0.2685546875</v>
      </c>
      <c r="S21">
        <f ca="1">SUM(S3:S19)</f>
        <v>0</v>
      </c>
      <c r="T21">
        <f ca="1">SUM(T3:T19)</f>
        <v>0</v>
      </c>
      <c r="U21">
        <f ca="1">SUM(U3:U19)</f>
        <v>18</v>
      </c>
      <c r="X21" t="s">
        <v>7</v>
      </c>
      <c r="Z21">
        <f t="shared" ref="Z21:AN21" ca="1" si="10">SUM(Z3:Z19)</f>
        <v>5</v>
      </c>
      <c r="AA21">
        <f t="shared" ca="1" si="10"/>
        <v>10</v>
      </c>
      <c r="AB21">
        <f t="shared" ca="1" si="10"/>
        <v>175</v>
      </c>
      <c r="AC21" s="166">
        <f t="shared" ca="1" si="10"/>
        <v>263</v>
      </c>
      <c r="AD21">
        <f t="shared" ca="1" si="10"/>
        <v>112</v>
      </c>
      <c r="AE21">
        <f t="shared" ca="1" si="10"/>
        <v>114</v>
      </c>
      <c r="AF21">
        <f t="shared" ca="1" si="10"/>
        <v>43</v>
      </c>
      <c r="AG21">
        <f t="shared" ca="1" si="10"/>
        <v>94</v>
      </c>
      <c r="AH21" s="2">
        <f t="shared" ca="1" si="10"/>
        <v>0</v>
      </c>
      <c r="AI21" s="2">
        <f t="shared" ca="1" si="10"/>
        <v>0.08</v>
      </c>
      <c r="AJ21" s="2">
        <f t="shared" ca="1" si="10"/>
        <v>0.05</v>
      </c>
      <c r="AK21" s="2">
        <f t="shared" ca="1" si="10"/>
        <v>0</v>
      </c>
      <c r="AL21" s="2">
        <f t="shared" ca="1" si="10"/>
        <v>0.08</v>
      </c>
      <c r="AM21" s="2">
        <f t="shared" ca="1" si="10"/>
        <v>0</v>
      </c>
      <c r="AN21" s="2">
        <f t="shared" ca="1" si="10"/>
        <v>0</v>
      </c>
      <c r="AO21" s="2">
        <f ca="1">SUM(AO3:AO19)/1024</f>
        <v>0.2685546875</v>
      </c>
      <c r="AP21">
        <f ca="1">SUM(AP3:AP19)</f>
        <v>0</v>
      </c>
      <c r="AQ21">
        <f ca="1">SUM(AQ3:AQ19)</f>
        <v>0</v>
      </c>
      <c r="AR21">
        <f ca="1">SUM(AR3:AR19)</f>
        <v>28</v>
      </c>
    </row>
    <row r="24" spans="1:44">
      <c r="A24" t="s">
        <v>436</v>
      </c>
      <c r="X24" t="s">
        <v>437</v>
      </c>
    </row>
    <row r="25" spans="1:44">
      <c r="A25" t="s">
        <v>8</v>
      </c>
      <c r="B25" t="s">
        <v>14</v>
      </c>
      <c r="C25" t="s">
        <v>30</v>
      </c>
      <c r="D25" t="s">
        <v>616</v>
      </c>
      <c r="E25" t="s">
        <v>3</v>
      </c>
      <c r="F25" t="s">
        <v>4</v>
      </c>
      <c r="G25" s="166" t="s">
        <v>5</v>
      </c>
      <c r="H25" t="s">
        <v>270</v>
      </c>
      <c r="I25" t="s">
        <v>9</v>
      </c>
      <c r="J25" t="s">
        <v>10</v>
      </c>
      <c r="K25" t="s">
        <v>390</v>
      </c>
      <c r="L25" t="s">
        <v>12</v>
      </c>
      <c r="M25" t="s">
        <v>166</v>
      </c>
      <c r="N25" t="s">
        <v>311</v>
      </c>
      <c r="O25" t="s">
        <v>141</v>
      </c>
      <c r="P25" t="s">
        <v>137</v>
      </c>
      <c r="Q25" t="s">
        <v>136</v>
      </c>
      <c r="R25" t="s">
        <v>312</v>
      </c>
      <c r="S25" t="s">
        <v>240</v>
      </c>
      <c r="T25" t="s">
        <v>173</v>
      </c>
      <c r="U25" t="s">
        <v>13</v>
      </c>
      <c r="X25" t="s">
        <v>8</v>
      </c>
      <c r="Y25" t="s">
        <v>14</v>
      </c>
      <c r="Z25" t="s">
        <v>30</v>
      </c>
      <c r="AA25" t="s">
        <v>616</v>
      </c>
      <c r="AB25" t="s">
        <v>3</v>
      </c>
      <c r="AC25" t="s">
        <v>4</v>
      </c>
      <c r="AD25" t="s">
        <v>5</v>
      </c>
      <c r="AE25" s="20" t="s">
        <v>270</v>
      </c>
      <c r="AF25" t="s">
        <v>9</v>
      </c>
      <c r="AG25" t="s">
        <v>10</v>
      </c>
      <c r="AH25" t="s">
        <v>390</v>
      </c>
      <c r="AI25" t="s">
        <v>12</v>
      </c>
      <c r="AJ25" t="s">
        <v>166</v>
      </c>
      <c r="AK25" t="s">
        <v>311</v>
      </c>
      <c r="AL25" t="s">
        <v>141</v>
      </c>
      <c r="AM25" t="s">
        <v>137</v>
      </c>
      <c r="AN25" t="s">
        <v>136</v>
      </c>
      <c r="AO25" t="s">
        <v>312</v>
      </c>
      <c r="AP25" t="s">
        <v>240</v>
      </c>
      <c r="AQ25" t="s">
        <v>173</v>
      </c>
      <c r="AR25" t="s">
        <v>13</v>
      </c>
    </row>
    <row r="26" spans="1:44">
      <c r="A26" t="str">
        <f>A3</f>
        <v>Sword</v>
      </c>
      <c r="B26" t="str">
        <f>B3</f>
        <v>Tizona 119</v>
      </c>
      <c r="C26">
        <f t="shared" ref="C26:L41" ca="1" si="11">IF(ISBLANK($B26), 0, VLOOKUP($B26, INDIRECT($A26), MATCH(C$25, StatHeader, 0), 0))</f>
        <v>0</v>
      </c>
      <c r="D26">
        <f t="shared" ca="1" si="11"/>
        <v>0</v>
      </c>
      <c r="E26">
        <f t="shared" ca="1" si="11"/>
        <v>0</v>
      </c>
      <c r="F26">
        <f t="shared" ca="1" si="11"/>
        <v>0</v>
      </c>
      <c r="G26">
        <f t="shared" ca="1" si="11"/>
        <v>0</v>
      </c>
      <c r="H26">
        <f t="shared" ca="1" si="11"/>
        <v>0</v>
      </c>
      <c r="I26">
        <f t="shared" ca="1" si="11"/>
        <v>0</v>
      </c>
      <c r="J26">
        <f t="shared" ca="1" si="11"/>
        <v>0</v>
      </c>
      <c r="K26" s="2">
        <f t="shared" ca="1" si="11"/>
        <v>0</v>
      </c>
      <c r="L26" s="2">
        <f t="shared" ca="1" si="11"/>
        <v>0</v>
      </c>
      <c r="M26" s="2">
        <f t="shared" ref="M26:U35" ca="1" si="12">IF(ISBLANK($B26), 0, VLOOKUP($B26, INDIRECT($A26), MATCH(M$25, StatHeader, 0), 0))</f>
        <v>0</v>
      </c>
      <c r="N26" s="2">
        <f t="shared" ca="1" si="12"/>
        <v>0</v>
      </c>
      <c r="O26" s="2">
        <f t="shared" ca="1" si="12"/>
        <v>0</v>
      </c>
      <c r="P26" s="2">
        <f t="shared" ca="1" si="12"/>
        <v>0</v>
      </c>
      <c r="Q26" s="2">
        <f t="shared" ca="1" si="12"/>
        <v>0</v>
      </c>
      <c r="R26" s="2">
        <f t="shared" ca="1" si="12"/>
        <v>0</v>
      </c>
      <c r="S26" s="34">
        <f t="shared" ca="1" si="12"/>
        <v>0</v>
      </c>
      <c r="T26" s="2">
        <f t="shared" ca="1" si="12"/>
        <v>0</v>
      </c>
      <c r="U26">
        <f t="shared" ca="1" si="12"/>
        <v>0</v>
      </c>
      <c r="X26" t="str">
        <f>X3</f>
        <v>Sword</v>
      </c>
      <c r="Y26" t="str">
        <f>Y3</f>
        <v>Almace 119 III</v>
      </c>
      <c r="Z26">
        <f t="shared" ref="Z26:AI41" ca="1" si="13">IF(ISBLANK($Y26), 0, VLOOKUP($Y26, INDIRECT($X26), MATCH(Z$25, StatHeader, 0), 0))</f>
        <v>0</v>
      </c>
      <c r="AA26">
        <f t="shared" ca="1" si="13"/>
        <v>0</v>
      </c>
      <c r="AB26">
        <f t="shared" ca="1" si="13"/>
        <v>0</v>
      </c>
      <c r="AC26">
        <f t="shared" ca="1" si="13"/>
        <v>50</v>
      </c>
      <c r="AD26">
        <f t="shared" ca="1" si="13"/>
        <v>0</v>
      </c>
      <c r="AE26">
        <f t="shared" ca="1" si="13"/>
        <v>0</v>
      </c>
      <c r="AF26">
        <f t="shared" ca="1" si="13"/>
        <v>0</v>
      </c>
      <c r="AG26">
        <f t="shared" ca="1" si="13"/>
        <v>0</v>
      </c>
      <c r="AH26" s="2">
        <f t="shared" ca="1" si="13"/>
        <v>0</v>
      </c>
      <c r="AI26" s="2">
        <f t="shared" ca="1" si="13"/>
        <v>0</v>
      </c>
      <c r="AJ26" s="2">
        <f t="shared" ref="AJ26:AR35" ca="1" si="14">IF(ISBLANK($Y26), 0, VLOOKUP($Y26, INDIRECT($X26), MATCH(AJ$25, StatHeader, 0), 0))</f>
        <v>0</v>
      </c>
      <c r="AK26" s="2">
        <f t="shared" ca="1" si="14"/>
        <v>0</v>
      </c>
      <c r="AL26" s="2">
        <f t="shared" ca="1" si="14"/>
        <v>0</v>
      </c>
      <c r="AM26" s="2">
        <f t="shared" ca="1" si="14"/>
        <v>0</v>
      </c>
      <c r="AN26" s="2">
        <f t="shared" ca="1" si="14"/>
        <v>0</v>
      </c>
      <c r="AO26" s="2">
        <f t="shared" ca="1" si="14"/>
        <v>0</v>
      </c>
      <c r="AP26" s="34">
        <f t="shared" ca="1" si="14"/>
        <v>0</v>
      </c>
      <c r="AQ26" s="2">
        <f t="shared" ca="1" si="14"/>
        <v>0</v>
      </c>
      <c r="AR26">
        <f t="shared" ca="1" si="14"/>
        <v>0</v>
      </c>
    </row>
    <row r="27" spans="1:44">
      <c r="A27" t="str">
        <f>A4</f>
        <v>Sword</v>
      </c>
      <c r="B27" s="14" t="str">
        <f>B4</f>
        <v>Almace 119 III</v>
      </c>
      <c r="C27">
        <f t="shared" ca="1" si="11"/>
        <v>0</v>
      </c>
      <c r="D27">
        <f t="shared" ca="1" si="11"/>
        <v>0</v>
      </c>
      <c r="E27">
        <f t="shared" ca="1" si="11"/>
        <v>0</v>
      </c>
      <c r="F27">
        <f t="shared" ca="1" si="11"/>
        <v>50</v>
      </c>
      <c r="G27">
        <f t="shared" ca="1" si="11"/>
        <v>0</v>
      </c>
      <c r="H27">
        <f t="shared" ca="1" si="11"/>
        <v>0</v>
      </c>
      <c r="I27">
        <f t="shared" ca="1" si="11"/>
        <v>0</v>
      </c>
      <c r="J27">
        <f t="shared" ca="1" si="11"/>
        <v>0</v>
      </c>
      <c r="K27" s="2">
        <f t="shared" ca="1" si="11"/>
        <v>0</v>
      </c>
      <c r="L27" s="2">
        <f t="shared" ca="1" si="11"/>
        <v>0</v>
      </c>
      <c r="M27" s="2">
        <f t="shared" ca="1" si="12"/>
        <v>0</v>
      </c>
      <c r="N27" s="2">
        <f t="shared" ca="1" si="12"/>
        <v>0</v>
      </c>
      <c r="O27" s="2">
        <f t="shared" ca="1" si="12"/>
        <v>0</v>
      </c>
      <c r="P27" s="2">
        <f t="shared" ca="1" si="12"/>
        <v>0</v>
      </c>
      <c r="Q27" s="2">
        <f t="shared" ca="1" si="12"/>
        <v>0</v>
      </c>
      <c r="R27" s="2">
        <f t="shared" ca="1" si="12"/>
        <v>0</v>
      </c>
      <c r="S27" s="34">
        <f t="shared" ca="1" si="12"/>
        <v>0</v>
      </c>
      <c r="T27" s="2">
        <f t="shared" ca="1" si="12"/>
        <v>0</v>
      </c>
      <c r="U27">
        <f t="shared" ca="1" si="12"/>
        <v>0</v>
      </c>
      <c r="X27" t="str">
        <f>X4</f>
        <v>Sword</v>
      </c>
      <c r="Y27" s="14" t="str">
        <f>Y4</f>
        <v>Sequence</v>
      </c>
      <c r="Z27">
        <f t="shared" ca="1" si="13"/>
        <v>0</v>
      </c>
      <c r="AA27">
        <f t="shared" ca="1" si="13"/>
        <v>0</v>
      </c>
      <c r="AB27">
        <f t="shared" ca="1" si="13"/>
        <v>0</v>
      </c>
      <c r="AC27">
        <f t="shared" ca="1" si="13"/>
        <v>0</v>
      </c>
      <c r="AD27">
        <f t="shared" ca="1" si="13"/>
        <v>0</v>
      </c>
      <c r="AE27">
        <f t="shared" ca="1" si="13"/>
        <v>0</v>
      </c>
      <c r="AF27">
        <f t="shared" ca="1" si="13"/>
        <v>0</v>
      </c>
      <c r="AG27">
        <f t="shared" ca="1" si="13"/>
        <v>0</v>
      </c>
      <c r="AH27" s="2">
        <f t="shared" ca="1" si="13"/>
        <v>0</v>
      </c>
      <c r="AI27" s="2">
        <f t="shared" ca="1" si="13"/>
        <v>0</v>
      </c>
      <c r="AJ27" s="2">
        <f t="shared" ca="1" si="14"/>
        <v>0</v>
      </c>
      <c r="AK27" s="2">
        <f t="shared" ca="1" si="14"/>
        <v>0</v>
      </c>
      <c r="AL27" s="2">
        <f t="shared" ca="1" si="14"/>
        <v>0</v>
      </c>
      <c r="AM27" s="2">
        <f t="shared" ca="1" si="14"/>
        <v>0</v>
      </c>
      <c r="AN27" s="2">
        <f t="shared" ca="1" si="14"/>
        <v>0</v>
      </c>
      <c r="AO27" s="2">
        <f t="shared" ca="1" si="14"/>
        <v>0</v>
      </c>
      <c r="AP27" s="34">
        <f t="shared" ca="1" si="14"/>
        <v>0</v>
      </c>
      <c r="AQ27" s="2">
        <f t="shared" ca="1" si="14"/>
        <v>0</v>
      </c>
      <c r="AR27">
        <f t="shared" ca="1" si="14"/>
        <v>10</v>
      </c>
    </row>
    <row r="28" spans="1:44">
      <c r="A28" t="s">
        <v>142</v>
      </c>
      <c r="B28" s="41"/>
      <c r="C28">
        <f t="shared" ca="1" si="11"/>
        <v>0</v>
      </c>
      <c r="D28">
        <f t="shared" ca="1" si="11"/>
        <v>0</v>
      </c>
      <c r="E28">
        <f t="shared" ca="1" si="11"/>
        <v>0</v>
      </c>
      <c r="F28">
        <f t="shared" ca="1" si="11"/>
        <v>0</v>
      </c>
      <c r="G28">
        <f t="shared" ca="1" si="11"/>
        <v>0</v>
      </c>
      <c r="H28">
        <f t="shared" ca="1" si="11"/>
        <v>0</v>
      </c>
      <c r="I28">
        <f t="shared" ca="1" si="11"/>
        <v>0</v>
      </c>
      <c r="J28">
        <f t="shared" ca="1" si="11"/>
        <v>0</v>
      </c>
      <c r="K28" s="2">
        <f t="shared" ca="1" si="11"/>
        <v>0</v>
      </c>
      <c r="L28" s="2">
        <f t="shared" ca="1" si="11"/>
        <v>0</v>
      </c>
      <c r="M28" s="2">
        <f t="shared" ca="1" si="12"/>
        <v>0</v>
      </c>
      <c r="N28" s="2">
        <f t="shared" ca="1" si="12"/>
        <v>0</v>
      </c>
      <c r="O28" s="2">
        <f t="shared" ca="1" si="12"/>
        <v>0</v>
      </c>
      <c r="P28" s="2">
        <f t="shared" ca="1" si="12"/>
        <v>0</v>
      </c>
      <c r="Q28" s="2">
        <f t="shared" ca="1" si="12"/>
        <v>0</v>
      </c>
      <c r="R28" s="2">
        <f t="shared" ca="1" si="12"/>
        <v>0</v>
      </c>
      <c r="S28" s="34">
        <f t="shared" ca="1" si="12"/>
        <v>0</v>
      </c>
      <c r="T28" s="2">
        <f t="shared" ca="1" si="12"/>
        <v>0</v>
      </c>
      <c r="U28">
        <f t="shared" ca="1" si="12"/>
        <v>0</v>
      </c>
      <c r="W28" t="str">
        <f t="shared" ref="W28:W41" si="15">IF(Y28=B28, "=", "-")</f>
        <v>=</v>
      </c>
      <c r="X28" t="s">
        <v>142</v>
      </c>
      <c r="Y28" s="41"/>
      <c r="Z28">
        <f t="shared" ca="1" si="13"/>
        <v>0</v>
      </c>
      <c r="AA28">
        <f t="shared" ca="1" si="13"/>
        <v>0</v>
      </c>
      <c r="AB28">
        <f t="shared" ca="1" si="13"/>
        <v>0</v>
      </c>
      <c r="AC28">
        <f t="shared" ca="1" si="13"/>
        <v>0</v>
      </c>
      <c r="AD28">
        <f t="shared" ca="1" si="13"/>
        <v>0</v>
      </c>
      <c r="AE28">
        <f t="shared" ca="1" si="13"/>
        <v>0</v>
      </c>
      <c r="AF28">
        <f t="shared" ca="1" si="13"/>
        <v>0</v>
      </c>
      <c r="AG28">
        <f t="shared" ca="1" si="13"/>
        <v>0</v>
      </c>
      <c r="AH28" s="2">
        <f t="shared" ca="1" si="13"/>
        <v>0</v>
      </c>
      <c r="AI28" s="2">
        <f t="shared" ca="1" si="13"/>
        <v>0</v>
      </c>
      <c r="AJ28" s="2">
        <f t="shared" ca="1" si="14"/>
        <v>0</v>
      </c>
      <c r="AK28" s="2">
        <f t="shared" ca="1" si="14"/>
        <v>0</v>
      </c>
      <c r="AL28" s="2">
        <f t="shared" ca="1" si="14"/>
        <v>0</v>
      </c>
      <c r="AM28" s="2">
        <f t="shared" ca="1" si="14"/>
        <v>0</v>
      </c>
      <c r="AN28" s="2">
        <f t="shared" ca="1" si="14"/>
        <v>0</v>
      </c>
      <c r="AO28" s="2">
        <f t="shared" ca="1" si="14"/>
        <v>0</v>
      </c>
      <c r="AP28" s="34">
        <f t="shared" ca="1" si="14"/>
        <v>0</v>
      </c>
      <c r="AQ28" s="2">
        <f t="shared" ca="1" si="14"/>
        <v>0</v>
      </c>
      <c r="AR28">
        <f t="shared" ca="1" si="14"/>
        <v>0</v>
      </c>
    </row>
    <row r="29" spans="1:44">
      <c r="A29" t="s">
        <v>15</v>
      </c>
      <c r="B29" s="32" t="s">
        <v>168</v>
      </c>
      <c r="C29">
        <f t="shared" ca="1" si="11"/>
        <v>0</v>
      </c>
      <c r="D29">
        <f t="shared" ca="1" si="11"/>
        <v>0</v>
      </c>
      <c r="E29">
        <f t="shared" ca="1" si="11"/>
        <v>2</v>
      </c>
      <c r="F29">
        <f t="shared" ca="1" si="11"/>
        <v>0</v>
      </c>
      <c r="G29">
        <f t="shared" ca="1" si="11"/>
        <v>0</v>
      </c>
      <c r="H29">
        <f t="shared" ca="1" si="11"/>
        <v>0</v>
      </c>
      <c r="I29">
        <f t="shared" ca="1" si="11"/>
        <v>0</v>
      </c>
      <c r="J29">
        <f t="shared" ca="1" si="11"/>
        <v>0</v>
      </c>
      <c r="K29" s="2">
        <f t="shared" ca="1" si="11"/>
        <v>0</v>
      </c>
      <c r="L29" s="2">
        <f t="shared" ca="1" si="11"/>
        <v>0</v>
      </c>
      <c r="M29" s="2">
        <f t="shared" ca="1" si="12"/>
        <v>0</v>
      </c>
      <c r="N29" s="2">
        <f t="shared" ca="1" si="12"/>
        <v>0</v>
      </c>
      <c r="O29" s="2">
        <f t="shared" ca="1" si="12"/>
        <v>0</v>
      </c>
      <c r="P29" s="2">
        <f t="shared" ca="1" si="12"/>
        <v>0</v>
      </c>
      <c r="Q29" s="2">
        <f t="shared" ca="1" si="12"/>
        <v>0</v>
      </c>
      <c r="R29" s="2">
        <f t="shared" ca="1" si="12"/>
        <v>0</v>
      </c>
      <c r="S29" s="34">
        <f t="shared" ca="1" si="12"/>
        <v>0</v>
      </c>
      <c r="T29" s="2">
        <f t="shared" ca="1" si="12"/>
        <v>0</v>
      </c>
      <c r="U29">
        <f t="shared" ca="1" si="12"/>
        <v>0</v>
      </c>
      <c r="W29" t="str">
        <f t="shared" si="15"/>
        <v>-</v>
      </c>
      <c r="X29" t="s">
        <v>15</v>
      </c>
      <c r="Y29" s="32" t="s">
        <v>369</v>
      </c>
      <c r="Z29">
        <f t="shared" ca="1" si="13"/>
        <v>0</v>
      </c>
      <c r="AA29">
        <f t="shared" ca="1" si="13"/>
        <v>0</v>
      </c>
      <c r="AB29">
        <f t="shared" ca="1" si="13"/>
        <v>0</v>
      </c>
      <c r="AC29">
        <f t="shared" ca="1" si="13"/>
        <v>0</v>
      </c>
      <c r="AD29">
        <f t="shared" ca="1" si="13"/>
        <v>0</v>
      </c>
      <c r="AE29">
        <f t="shared" ca="1" si="13"/>
        <v>2</v>
      </c>
      <c r="AF29">
        <f t="shared" ca="1" si="13"/>
        <v>0</v>
      </c>
      <c r="AG29">
        <f t="shared" ca="1" si="13"/>
        <v>0</v>
      </c>
      <c r="AH29" s="2">
        <f t="shared" ca="1" si="13"/>
        <v>0</v>
      </c>
      <c r="AI29" s="2">
        <f t="shared" ca="1" si="13"/>
        <v>0</v>
      </c>
      <c r="AJ29" s="2">
        <f t="shared" ca="1" si="14"/>
        <v>0</v>
      </c>
      <c r="AK29" s="2">
        <f t="shared" ca="1" si="14"/>
        <v>0</v>
      </c>
      <c r="AL29" s="2">
        <f t="shared" ca="1" si="14"/>
        <v>0</v>
      </c>
      <c r="AM29" s="2">
        <f t="shared" ca="1" si="14"/>
        <v>0</v>
      </c>
      <c r="AN29" s="2">
        <f t="shared" ca="1" si="14"/>
        <v>0</v>
      </c>
      <c r="AO29" s="2">
        <f t="shared" ca="1" si="14"/>
        <v>0</v>
      </c>
      <c r="AP29" s="34">
        <f t="shared" ca="1" si="14"/>
        <v>0</v>
      </c>
      <c r="AQ29" s="2">
        <f t="shared" ca="1" si="14"/>
        <v>0</v>
      </c>
      <c r="AR29">
        <f t="shared" ca="1" si="14"/>
        <v>0</v>
      </c>
    </row>
    <row r="30" spans="1:44">
      <c r="A30" t="s">
        <v>16</v>
      </c>
      <c r="B30" s="32" t="s">
        <v>1047</v>
      </c>
      <c r="C30">
        <f t="shared" ca="1" si="11"/>
        <v>0</v>
      </c>
      <c r="D30">
        <f t="shared" ca="1" si="11"/>
        <v>0</v>
      </c>
      <c r="E30">
        <f t="shared" ca="1" si="11"/>
        <v>18</v>
      </c>
      <c r="F30">
        <f t="shared" ca="1" si="11"/>
        <v>34</v>
      </c>
      <c r="G30">
        <f t="shared" ca="1" si="11"/>
        <v>18</v>
      </c>
      <c r="H30">
        <f t="shared" ca="1" si="11"/>
        <v>22</v>
      </c>
      <c r="I30">
        <f t="shared" ca="1" si="11"/>
        <v>0</v>
      </c>
      <c r="J30">
        <f t="shared" ca="1" si="11"/>
        <v>35</v>
      </c>
      <c r="K30" s="2">
        <f t="shared" ca="1" si="11"/>
        <v>0</v>
      </c>
      <c r="L30" s="2">
        <f t="shared" ca="1" si="11"/>
        <v>0</v>
      </c>
      <c r="M30" s="2">
        <f t="shared" ca="1" si="12"/>
        <v>0</v>
      </c>
      <c r="N30" s="2">
        <f t="shared" ca="1" si="12"/>
        <v>0.03</v>
      </c>
      <c r="O30" s="2">
        <f t="shared" ca="1" si="12"/>
        <v>0</v>
      </c>
      <c r="P30" s="2">
        <f t="shared" ca="1" si="12"/>
        <v>0</v>
      </c>
      <c r="Q30" s="2">
        <f t="shared" ca="1" si="12"/>
        <v>0</v>
      </c>
      <c r="R30" s="2">
        <f t="shared" ca="1" si="12"/>
        <v>0</v>
      </c>
      <c r="S30" s="34">
        <f t="shared" ca="1" si="12"/>
        <v>0</v>
      </c>
      <c r="T30" s="2">
        <f t="shared" ca="1" si="12"/>
        <v>0</v>
      </c>
      <c r="U30">
        <f t="shared" ca="1" si="12"/>
        <v>0</v>
      </c>
      <c r="W30" t="str">
        <f t="shared" si="15"/>
        <v>-</v>
      </c>
      <c r="X30" t="s">
        <v>16</v>
      </c>
      <c r="Y30" s="32" t="s">
        <v>935</v>
      </c>
      <c r="Z30">
        <f t="shared" ca="1" si="13"/>
        <v>0</v>
      </c>
      <c r="AA30">
        <f t="shared" ca="1" si="13"/>
        <v>0</v>
      </c>
      <c r="AB30">
        <f t="shared" ca="1" si="13"/>
        <v>16</v>
      </c>
      <c r="AC30">
        <f t="shared" ca="1" si="13"/>
        <v>16</v>
      </c>
      <c r="AD30">
        <f t="shared" ca="1" si="13"/>
        <v>16</v>
      </c>
      <c r="AE30">
        <f t="shared" ca="1" si="13"/>
        <v>21</v>
      </c>
      <c r="AF30">
        <f t="shared" ca="1" si="13"/>
        <v>0</v>
      </c>
      <c r="AG30">
        <f t="shared" ca="1" si="13"/>
        <v>0</v>
      </c>
      <c r="AH30" s="2">
        <f t="shared" ca="1" si="13"/>
        <v>0</v>
      </c>
      <c r="AI30" s="2">
        <f t="shared" ca="1" si="13"/>
        <v>0</v>
      </c>
      <c r="AJ30" s="2">
        <f t="shared" ca="1" si="14"/>
        <v>0</v>
      </c>
      <c r="AK30" s="2">
        <f t="shared" ca="1" si="14"/>
        <v>0</v>
      </c>
      <c r="AL30" s="2">
        <f t="shared" ca="1" si="14"/>
        <v>0</v>
      </c>
      <c r="AM30" s="2">
        <f t="shared" ca="1" si="14"/>
        <v>0</v>
      </c>
      <c r="AN30" s="2">
        <f t="shared" ca="1" si="14"/>
        <v>0</v>
      </c>
      <c r="AO30" s="2">
        <f t="shared" ca="1" si="14"/>
        <v>0</v>
      </c>
      <c r="AP30" s="34">
        <f t="shared" ca="1" si="14"/>
        <v>0</v>
      </c>
      <c r="AQ30" s="2">
        <f t="shared" ca="1" si="14"/>
        <v>0</v>
      </c>
      <c r="AR30">
        <f t="shared" ca="1" si="14"/>
        <v>0</v>
      </c>
    </row>
    <row r="31" spans="1:44">
      <c r="A31" t="s">
        <v>17</v>
      </c>
      <c r="B31" s="32" t="s">
        <v>381</v>
      </c>
      <c r="C31">
        <f t="shared" ca="1" si="11"/>
        <v>0</v>
      </c>
      <c r="D31">
        <f t="shared" ca="1" si="11"/>
        <v>0</v>
      </c>
      <c r="E31">
        <f t="shared" ca="1" si="11"/>
        <v>0</v>
      </c>
      <c r="F31">
        <f t="shared" ca="1" si="11"/>
        <v>0</v>
      </c>
      <c r="G31">
        <f t="shared" ca="1" si="11"/>
        <v>0</v>
      </c>
      <c r="H31">
        <f t="shared" ca="1" si="11"/>
        <v>0</v>
      </c>
      <c r="I31">
        <f t="shared" ca="1" si="11"/>
        <v>0</v>
      </c>
      <c r="J31">
        <f t="shared" ca="1" si="11"/>
        <v>6</v>
      </c>
      <c r="K31" s="2">
        <f t="shared" ca="1" si="11"/>
        <v>0</v>
      </c>
      <c r="L31" s="2">
        <f t="shared" ca="1" si="11"/>
        <v>0</v>
      </c>
      <c r="M31" s="2">
        <f t="shared" ca="1" si="12"/>
        <v>0</v>
      </c>
      <c r="N31" s="2">
        <f t="shared" ca="1" si="12"/>
        <v>0</v>
      </c>
      <c r="O31" s="2">
        <f t="shared" ca="1" si="12"/>
        <v>0</v>
      </c>
      <c r="P31" s="2">
        <f t="shared" ca="1" si="12"/>
        <v>0.05</v>
      </c>
      <c r="Q31" s="2">
        <f t="shared" ca="1" si="12"/>
        <v>0</v>
      </c>
      <c r="R31" s="2">
        <f t="shared" ca="1" si="12"/>
        <v>0</v>
      </c>
      <c r="S31" s="34">
        <f t="shared" ca="1" si="12"/>
        <v>0</v>
      </c>
      <c r="T31" s="2">
        <f t="shared" ca="1" si="12"/>
        <v>0</v>
      </c>
      <c r="U31">
        <f t="shared" ca="1" si="12"/>
        <v>0</v>
      </c>
      <c r="W31" t="str">
        <f t="shared" si="15"/>
        <v>-</v>
      </c>
      <c r="X31" t="s">
        <v>17</v>
      </c>
      <c r="Y31" s="32" t="s">
        <v>370</v>
      </c>
      <c r="Z31">
        <f t="shared" ca="1" si="13"/>
        <v>0</v>
      </c>
      <c r="AA31">
        <f t="shared" ca="1" si="13"/>
        <v>0</v>
      </c>
      <c r="AB31">
        <f t="shared" ca="1" si="13"/>
        <v>0</v>
      </c>
      <c r="AC31">
        <f t="shared" ca="1" si="13"/>
        <v>0</v>
      </c>
      <c r="AD31">
        <f t="shared" ca="1" si="13"/>
        <v>0</v>
      </c>
      <c r="AE31">
        <f t="shared" ca="1" si="13"/>
        <v>6</v>
      </c>
      <c r="AF31">
        <f t="shared" ca="1" si="13"/>
        <v>0</v>
      </c>
      <c r="AG31">
        <f t="shared" ca="1" si="13"/>
        <v>0</v>
      </c>
      <c r="AH31" s="2">
        <f t="shared" ca="1" si="13"/>
        <v>0</v>
      </c>
      <c r="AI31" s="2">
        <f t="shared" ca="1" si="13"/>
        <v>0</v>
      </c>
      <c r="AJ31" s="2">
        <f t="shared" ca="1" si="14"/>
        <v>0</v>
      </c>
      <c r="AK31" s="2">
        <f t="shared" ca="1" si="14"/>
        <v>0</v>
      </c>
      <c r="AL31" s="2">
        <f t="shared" ca="1" si="14"/>
        <v>0</v>
      </c>
      <c r="AM31" s="2">
        <f t="shared" ca="1" si="14"/>
        <v>0</v>
      </c>
      <c r="AN31" s="2">
        <f t="shared" ca="1" si="14"/>
        <v>0</v>
      </c>
      <c r="AO31" s="2">
        <f t="shared" ca="1" si="14"/>
        <v>0</v>
      </c>
      <c r="AP31" s="34">
        <f t="shared" ca="1" si="14"/>
        <v>0</v>
      </c>
      <c r="AQ31" s="2">
        <f t="shared" ca="1" si="14"/>
        <v>0</v>
      </c>
      <c r="AR31">
        <f t="shared" ca="1" si="14"/>
        <v>0</v>
      </c>
    </row>
    <row r="32" spans="1:44">
      <c r="A32" t="s">
        <v>73</v>
      </c>
      <c r="B32" s="32" t="s">
        <v>25</v>
      </c>
      <c r="C32">
        <f t="shared" ca="1" si="11"/>
        <v>0</v>
      </c>
      <c r="D32">
        <f t="shared" ca="1" si="11"/>
        <v>0</v>
      </c>
      <c r="E32">
        <f t="shared" ca="1" si="11"/>
        <v>0</v>
      </c>
      <c r="F32">
        <f t="shared" ca="1" si="11"/>
        <v>0</v>
      </c>
      <c r="G32">
        <f t="shared" ca="1" si="11"/>
        <v>0</v>
      </c>
      <c r="H32">
        <f t="shared" ca="1" si="11"/>
        <v>0</v>
      </c>
      <c r="I32">
        <f t="shared" ca="1" si="11"/>
        <v>0</v>
      </c>
      <c r="J32">
        <f t="shared" ca="1" si="11"/>
        <v>0</v>
      </c>
      <c r="K32" s="2">
        <f t="shared" ca="1" si="11"/>
        <v>0</v>
      </c>
      <c r="L32" s="2">
        <f t="shared" ca="1" si="11"/>
        <v>0.05</v>
      </c>
      <c r="M32" s="2">
        <f t="shared" ca="1" si="12"/>
        <v>0</v>
      </c>
      <c r="N32" s="2">
        <f t="shared" ca="1" si="12"/>
        <v>0</v>
      </c>
      <c r="O32" s="2">
        <f t="shared" ca="1" si="12"/>
        <v>0</v>
      </c>
      <c r="P32" s="2">
        <f t="shared" ca="1" si="12"/>
        <v>0</v>
      </c>
      <c r="Q32" s="2">
        <f t="shared" ca="1" si="12"/>
        <v>0</v>
      </c>
      <c r="R32" s="2">
        <f t="shared" ca="1" si="12"/>
        <v>0</v>
      </c>
      <c r="S32" s="34">
        <f t="shared" ca="1" si="12"/>
        <v>0</v>
      </c>
      <c r="T32" s="2">
        <f t="shared" ca="1" si="12"/>
        <v>0</v>
      </c>
      <c r="U32">
        <f t="shared" ca="1" si="12"/>
        <v>1</v>
      </c>
      <c r="W32" t="str">
        <f t="shared" si="15"/>
        <v>=</v>
      </c>
      <c r="X32" t="s">
        <v>73</v>
      </c>
      <c r="Y32" s="32" t="s">
        <v>25</v>
      </c>
      <c r="Z32">
        <f t="shared" ca="1" si="13"/>
        <v>0</v>
      </c>
      <c r="AA32">
        <f t="shared" ca="1" si="13"/>
        <v>0</v>
      </c>
      <c r="AB32">
        <f t="shared" ca="1" si="13"/>
        <v>0</v>
      </c>
      <c r="AC32">
        <f t="shared" ca="1" si="13"/>
        <v>0</v>
      </c>
      <c r="AD32">
        <f t="shared" ca="1" si="13"/>
        <v>0</v>
      </c>
      <c r="AE32">
        <f t="shared" ca="1" si="13"/>
        <v>0</v>
      </c>
      <c r="AF32">
        <f t="shared" ca="1" si="13"/>
        <v>0</v>
      </c>
      <c r="AG32">
        <f t="shared" ca="1" si="13"/>
        <v>0</v>
      </c>
      <c r="AH32" s="2">
        <f t="shared" ca="1" si="13"/>
        <v>0</v>
      </c>
      <c r="AI32" s="2">
        <f t="shared" ca="1" si="13"/>
        <v>0.05</v>
      </c>
      <c r="AJ32" s="2">
        <f t="shared" ca="1" si="14"/>
        <v>0</v>
      </c>
      <c r="AK32" s="2">
        <f t="shared" ca="1" si="14"/>
        <v>0</v>
      </c>
      <c r="AL32" s="2">
        <f t="shared" ca="1" si="14"/>
        <v>0</v>
      </c>
      <c r="AM32" s="2">
        <f t="shared" ca="1" si="14"/>
        <v>0</v>
      </c>
      <c r="AN32" s="2">
        <f t="shared" ca="1" si="14"/>
        <v>0</v>
      </c>
      <c r="AO32" s="2">
        <f t="shared" ca="1" si="14"/>
        <v>0</v>
      </c>
      <c r="AP32" s="34">
        <f t="shared" ca="1" si="14"/>
        <v>0</v>
      </c>
      <c r="AQ32" s="2">
        <f t="shared" ca="1" si="14"/>
        <v>0</v>
      </c>
      <c r="AR32">
        <f t="shared" ca="1" si="14"/>
        <v>1</v>
      </c>
    </row>
    <row r="33" spans="1:44">
      <c r="A33" t="s">
        <v>73</v>
      </c>
      <c r="B33" s="32" t="s">
        <v>55</v>
      </c>
      <c r="C33">
        <f t="shared" ca="1" si="11"/>
        <v>0</v>
      </c>
      <c r="D33">
        <f t="shared" ca="1" si="11"/>
        <v>0</v>
      </c>
      <c r="E33">
        <f t="shared" ca="1" si="11"/>
        <v>0</v>
      </c>
      <c r="F33">
        <f t="shared" ca="1" si="11"/>
        <v>0</v>
      </c>
      <c r="G33">
        <f t="shared" ca="1" si="11"/>
        <v>0</v>
      </c>
      <c r="H33">
        <f t="shared" ca="1" si="11"/>
        <v>0</v>
      </c>
      <c r="I33">
        <f t="shared" ca="1" si="11"/>
        <v>7</v>
      </c>
      <c r="J33">
        <f t="shared" ca="1" si="11"/>
        <v>0</v>
      </c>
      <c r="K33" s="2">
        <f t="shared" ca="1" si="11"/>
        <v>0</v>
      </c>
      <c r="L33" s="2">
        <f t="shared" ca="1" si="11"/>
        <v>0</v>
      </c>
      <c r="M33" s="2">
        <f t="shared" ca="1" si="12"/>
        <v>0</v>
      </c>
      <c r="N33" s="2">
        <f t="shared" ca="1" si="12"/>
        <v>0</v>
      </c>
      <c r="O33" s="2">
        <f t="shared" ca="1" si="12"/>
        <v>0</v>
      </c>
      <c r="P33" s="2">
        <f t="shared" ca="1" si="12"/>
        <v>0</v>
      </c>
      <c r="Q33" s="2">
        <f t="shared" ca="1" si="12"/>
        <v>0</v>
      </c>
      <c r="R33" s="2">
        <f t="shared" ca="1" si="12"/>
        <v>0.03</v>
      </c>
      <c r="S33" s="34">
        <f t="shared" ca="1" si="12"/>
        <v>0</v>
      </c>
      <c r="T33" s="2">
        <f t="shared" ca="1" si="12"/>
        <v>0</v>
      </c>
      <c r="U33">
        <f t="shared" ca="1" si="12"/>
        <v>0</v>
      </c>
      <c r="W33" t="str">
        <f t="shared" si="15"/>
        <v>=</v>
      </c>
      <c r="X33" t="s">
        <v>73</v>
      </c>
      <c r="Y33" s="32" t="s">
        <v>55</v>
      </c>
      <c r="Z33">
        <f t="shared" ca="1" si="13"/>
        <v>0</v>
      </c>
      <c r="AA33">
        <f t="shared" ca="1" si="13"/>
        <v>0</v>
      </c>
      <c r="AB33">
        <f t="shared" ca="1" si="13"/>
        <v>0</v>
      </c>
      <c r="AC33">
        <f t="shared" ca="1" si="13"/>
        <v>0</v>
      </c>
      <c r="AD33">
        <f t="shared" ca="1" si="13"/>
        <v>0</v>
      </c>
      <c r="AE33">
        <f t="shared" ca="1" si="13"/>
        <v>0</v>
      </c>
      <c r="AF33">
        <f t="shared" ca="1" si="13"/>
        <v>7</v>
      </c>
      <c r="AG33">
        <f t="shared" ca="1" si="13"/>
        <v>0</v>
      </c>
      <c r="AH33" s="2">
        <f t="shared" ca="1" si="13"/>
        <v>0</v>
      </c>
      <c r="AI33" s="2">
        <f t="shared" ca="1" si="13"/>
        <v>0</v>
      </c>
      <c r="AJ33" s="2">
        <f t="shared" ca="1" si="14"/>
        <v>0</v>
      </c>
      <c r="AK33" s="2">
        <f t="shared" ca="1" si="14"/>
        <v>0</v>
      </c>
      <c r="AL33" s="2">
        <f t="shared" ca="1" si="14"/>
        <v>0</v>
      </c>
      <c r="AM33" s="2">
        <f t="shared" ca="1" si="14"/>
        <v>0</v>
      </c>
      <c r="AN33" s="2">
        <f t="shared" ca="1" si="14"/>
        <v>0</v>
      </c>
      <c r="AO33" s="2">
        <f t="shared" ca="1" si="14"/>
        <v>0.03</v>
      </c>
      <c r="AP33" s="34">
        <f t="shared" ca="1" si="14"/>
        <v>0</v>
      </c>
      <c r="AQ33" s="2">
        <f t="shared" ca="1" si="14"/>
        <v>0</v>
      </c>
      <c r="AR33">
        <f t="shared" ca="1" si="14"/>
        <v>0</v>
      </c>
    </row>
    <row r="34" spans="1:44">
      <c r="A34" t="s">
        <v>18</v>
      </c>
      <c r="B34" s="32" t="s">
        <v>1049</v>
      </c>
      <c r="C34">
        <f t="shared" ca="1" si="11"/>
        <v>0</v>
      </c>
      <c r="D34">
        <f t="shared" ca="1" si="11"/>
        <v>0</v>
      </c>
      <c r="E34">
        <f t="shared" ca="1" si="11"/>
        <v>26</v>
      </c>
      <c r="F34">
        <f t="shared" ca="1" si="11"/>
        <v>33</v>
      </c>
      <c r="G34">
        <f t="shared" ca="1" si="11"/>
        <v>23</v>
      </c>
      <c r="H34">
        <f t="shared" ca="1" si="11"/>
        <v>20</v>
      </c>
      <c r="I34">
        <f t="shared" ca="1" si="11"/>
        <v>0</v>
      </c>
      <c r="J34">
        <f t="shared" ca="1" si="11"/>
        <v>23</v>
      </c>
      <c r="K34" s="2">
        <f t="shared" ca="1" si="11"/>
        <v>0</v>
      </c>
      <c r="L34" s="2">
        <f t="shared" ca="1" si="11"/>
        <v>0</v>
      </c>
      <c r="M34" s="2">
        <f t="shared" ca="1" si="12"/>
        <v>0</v>
      </c>
      <c r="N34" s="2">
        <f t="shared" ca="1" si="12"/>
        <v>0</v>
      </c>
      <c r="O34" s="2">
        <f t="shared" ca="1" si="12"/>
        <v>0</v>
      </c>
      <c r="P34" s="2">
        <f t="shared" ca="1" si="12"/>
        <v>0</v>
      </c>
      <c r="Q34" s="2">
        <f t="shared" ca="1" si="12"/>
        <v>0</v>
      </c>
      <c r="R34" s="2">
        <f t="shared" ca="1" si="12"/>
        <v>0</v>
      </c>
      <c r="S34" s="34">
        <f t="shared" ca="1" si="12"/>
        <v>0</v>
      </c>
      <c r="T34" s="2">
        <f t="shared" ca="1" si="12"/>
        <v>0</v>
      </c>
      <c r="U34">
        <f t="shared" ca="1" si="12"/>
        <v>0</v>
      </c>
      <c r="W34" t="str">
        <f t="shared" si="15"/>
        <v>-</v>
      </c>
      <c r="X34" t="s">
        <v>18</v>
      </c>
      <c r="Y34" s="32" t="s">
        <v>1050</v>
      </c>
      <c r="Z34">
        <f t="shared" ca="1" si="13"/>
        <v>0</v>
      </c>
      <c r="AA34">
        <f t="shared" ca="1" si="13"/>
        <v>0</v>
      </c>
      <c r="AB34">
        <f t="shared" ca="1" si="13"/>
        <v>26</v>
      </c>
      <c r="AC34">
        <f t="shared" ca="1" si="13"/>
        <v>32</v>
      </c>
      <c r="AD34">
        <f t="shared" ca="1" si="13"/>
        <v>23</v>
      </c>
      <c r="AE34">
        <f t="shared" ca="1" si="13"/>
        <v>19</v>
      </c>
      <c r="AF34">
        <f t="shared" ca="1" si="13"/>
        <v>25</v>
      </c>
      <c r="AG34">
        <f t="shared" ca="1" si="13"/>
        <v>0</v>
      </c>
      <c r="AH34" s="2">
        <f t="shared" ca="1" si="13"/>
        <v>0</v>
      </c>
      <c r="AI34" s="2">
        <f t="shared" ca="1" si="13"/>
        <v>0</v>
      </c>
      <c r="AJ34" s="2">
        <f t="shared" ca="1" si="14"/>
        <v>0</v>
      </c>
      <c r="AK34" s="2">
        <f t="shared" ca="1" si="14"/>
        <v>0</v>
      </c>
      <c r="AL34" s="2">
        <f t="shared" ca="1" si="14"/>
        <v>0</v>
      </c>
      <c r="AM34" s="2">
        <f t="shared" ca="1" si="14"/>
        <v>0</v>
      </c>
      <c r="AN34" s="2">
        <f t="shared" ca="1" si="14"/>
        <v>0</v>
      </c>
      <c r="AO34" s="2">
        <f t="shared" ca="1" si="14"/>
        <v>0</v>
      </c>
      <c r="AP34" s="34">
        <f t="shared" ca="1" si="14"/>
        <v>0</v>
      </c>
      <c r="AQ34" s="2">
        <f t="shared" ca="1" si="14"/>
        <v>0</v>
      </c>
      <c r="AR34">
        <f t="shared" ca="1" si="14"/>
        <v>0</v>
      </c>
    </row>
    <row r="35" spans="1:44">
      <c r="A35" t="s">
        <v>19</v>
      </c>
      <c r="B35" s="32" t="s">
        <v>1051</v>
      </c>
      <c r="C35">
        <f t="shared" ca="1" si="11"/>
        <v>0</v>
      </c>
      <c r="D35">
        <f t="shared" ca="1" si="11"/>
        <v>0</v>
      </c>
      <c r="E35">
        <f t="shared" ca="1" si="11"/>
        <v>11</v>
      </c>
      <c r="F35">
        <f t="shared" ca="1" si="11"/>
        <v>35</v>
      </c>
      <c r="G35">
        <f t="shared" ca="1" si="11"/>
        <v>32</v>
      </c>
      <c r="H35">
        <f t="shared" ca="1" si="11"/>
        <v>30</v>
      </c>
      <c r="I35">
        <f t="shared" ca="1" si="11"/>
        <v>0</v>
      </c>
      <c r="J35">
        <f t="shared" ca="1" si="11"/>
        <v>32</v>
      </c>
      <c r="K35" s="2">
        <f t="shared" ca="1" si="11"/>
        <v>0</v>
      </c>
      <c r="L35" s="2">
        <f t="shared" ca="1" si="11"/>
        <v>0</v>
      </c>
      <c r="M35" s="2">
        <f t="shared" ca="1" si="12"/>
        <v>0</v>
      </c>
      <c r="N35" s="2">
        <f t="shared" ca="1" si="12"/>
        <v>0</v>
      </c>
      <c r="O35" s="2">
        <f t="shared" ca="1" si="12"/>
        <v>0</v>
      </c>
      <c r="P35" s="2">
        <f t="shared" ca="1" si="12"/>
        <v>0</v>
      </c>
      <c r="Q35" s="2">
        <f t="shared" ca="1" si="12"/>
        <v>0</v>
      </c>
      <c r="R35" s="2">
        <f t="shared" ca="1" si="12"/>
        <v>0</v>
      </c>
      <c r="S35" s="34">
        <f t="shared" ca="1" si="12"/>
        <v>0</v>
      </c>
      <c r="T35" s="2">
        <f t="shared" ca="1" si="12"/>
        <v>0</v>
      </c>
      <c r="U35">
        <f t="shared" ca="1" si="12"/>
        <v>0</v>
      </c>
      <c r="W35" t="str">
        <f t="shared" si="15"/>
        <v>-</v>
      </c>
      <c r="X35" t="s">
        <v>19</v>
      </c>
      <c r="Y35" s="32" t="s">
        <v>1058</v>
      </c>
      <c r="Z35">
        <f t="shared" ca="1" si="13"/>
        <v>0</v>
      </c>
      <c r="AA35">
        <f t="shared" ca="1" si="13"/>
        <v>0</v>
      </c>
      <c r="AB35">
        <f t="shared" ca="1" si="13"/>
        <v>3</v>
      </c>
      <c r="AC35">
        <f t="shared" ca="1" si="13"/>
        <v>25</v>
      </c>
      <c r="AD35">
        <f t="shared" ca="1" si="13"/>
        <v>22</v>
      </c>
      <c r="AE35">
        <f t="shared" ca="1" si="13"/>
        <v>30</v>
      </c>
      <c r="AF35">
        <f t="shared" ca="1" si="13"/>
        <v>0</v>
      </c>
      <c r="AG35">
        <f t="shared" ca="1" si="13"/>
        <v>0</v>
      </c>
      <c r="AH35" s="2">
        <f t="shared" ca="1" si="13"/>
        <v>0</v>
      </c>
      <c r="AI35" s="2">
        <f t="shared" ca="1" si="13"/>
        <v>0</v>
      </c>
      <c r="AJ35" s="2">
        <f t="shared" ca="1" si="14"/>
        <v>0</v>
      </c>
      <c r="AK35" s="2">
        <f t="shared" ca="1" si="14"/>
        <v>0</v>
      </c>
      <c r="AL35" s="2">
        <f t="shared" ca="1" si="14"/>
        <v>0</v>
      </c>
      <c r="AM35" s="2">
        <f t="shared" ca="1" si="14"/>
        <v>0</v>
      </c>
      <c r="AN35" s="2">
        <f t="shared" ca="1" si="14"/>
        <v>0</v>
      </c>
      <c r="AO35" s="2">
        <f t="shared" ca="1" si="14"/>
        <v>0</v>
      </c>
      <c r="AP35" s="34">
        <f t="shared" ca="1" si="14"/>
        <v>0</v>
      </c>
      <c r="AQ35" s="2">
        <f t="shared" ca="1" si="14"/>
        <v>0</v>
      </c>
      <c r="AR35">
        <f t="shared" ca="1" si="14"/>
        <v>0</v>
      </c>
    </row>
    <row r="36" spans="1:44">
      <c r="A36" t="s">
        <v>74</v>
      </c>
      <c r="B36" s="32" t="s">
        <v>182</v>
      </c>
      <c r="C36">
        <f t="shared" ref="C36:L41" ca="1" si="16">IF(ISBLANK($B36), 0, VLOOKUP($B36, INDIRECT($A36), MATCH(C$25, StatHeader, 0), 0))</f>
        <v>0</v>
      </c>
      <c r="D36">
        <f t="shared" ca="1" si="11"/>
        <v>0</v>
      </c>
      <c r="E36">
        <f t="shared" ca="1" si="16"/>
        <v>5</v>
      </c>
      <c r="F36">
        <f t="shared" ca="1" si="16"/>
        <v>0</v>
      </c>
      <c r="G36">
        <f t="shared" ca="1" si="16"/>
        <v>5</v>
      </c>
      <c r="H36">
        <f t="shared" ca="1" si="16"/>
        <v>0</v>
      </c>
      <c r="I36">
        <f t="shared" ca="1" si="16"/>
        <v>0</v>
      </c>
      <c r="J36">
        <f t="shared" ca="1" si="16"/>
        <v>0</v>
      </c>
      <c r="K36" s="2">
        <f t="shared" ca="1" si="16"/>
        <v>0</v>
      </c>
      <c r="L36" s="2">
        <f t="shared" ca="1" si="16"/>
        <v>0</v>
      </c>
      <c r="M36" s="2">
        <f t="shared" ref="M36:U41" ca="1" si="17">IF(ISBLANK($B36), 0, VLOOKUP($B36, INDIRECT($A36), MATCH(M$25, StatHeader, 0), 0))</f>
        <v>0</v>
      </c>
      <c r="N36" s="2">
        <f t="shared" ca="1" si="17"/>
        <v>0</v>
      </c>
      <c r="O36" s="2">
        <f t="shared" ca="1" si="17"/>
        <v>0</v>
      </c>
      <c r="P36" s="2">
        <f t="shared" ca="1" si="17"/>
        <v>0</v>
      </c>
      <c r="Q36" s="2">
        <f t="shared" ca="1" si="17"/>
        <v>0</v>
      </c>
      <c r="R36" s="2">
        <f t="shared" ca="1" si="17"/>
        <v>0</v>
      </c>
      <c r="S36" s="34">
        <f t="shared" ca="1" si="17"/>
        <v>0</v>
      </c>
      <c r="T36" s="2">
        <f t="shared" ca="1" si="17"/>
        <v>0</v>
      </c>
      <c r="U36">
        <f t="shared" ca="1" si="17"/>
        <v>0</v>
      </c>
      <c r="W36" t="str">
        <f t="shared" si="15"/>
        <v>-</v>
      </c>
      <c r="X36" t="s">
        <v>74</v>
      </c>
      <c r="Y36" s="32" t="s">
        <v>364</v>
      </c>
      <c r="Z36">
        <f t="shared" ref="Z36:AI41" ca="1" si="18">IF(ISBLANK($Y36), 0, VLOOKUP($Y36, INDIRECT($X36), MATCH(Z$25, StatHeader, 0), 0))</f>
        <v>0</v>
      </c>
      <c r="AA36">
        <f t="shared" ca="1" si="13"/>
        <v>0</v>
      </c>
      <c r="AB36">
        <f t="shared" ca="1" si="18"/>
        <v>0</v>
      </c>
      <c r="AC36">
        <f t="shared" ca="1" si="18"/>
        <v>-3</v>
      </c>
      <c r="AD36">
        <f t="shared" ca="1" si="18"/>
        <v>0</v>
      </c>
      <c r="AE36">
        <f t="shared" ca="1" si="18"/>
        <v>7</v>
      </c>
      <c r="AF36">
        <f t="shared" ca="1" si="18"/>
        <v>0</v>
      </c>
      <c r="AG36">
        <f t="shared" ca="1" si="18"/>
        <v>0</v>
      </c>
      <c r="AH36" s="2">
        <f t="shared" ca="1" si="18"/>
        <v>0</v>
      </c>
      <c r="AI36" s="2">
        <f t="shared" ca="1" si="18"/>
        <v>0</v>
      </c>
      <c r="AJ36" s="2">
        <f t="shared" ref="AJ36:AR41" ca="1" si="19">IF(ISBLANK($Y36), 0, VLOOKUP($Y36, INDIRECT($X36), MATCH(AJ$25, StatHeader, 0), 0))</f>
        <v>0</v>
      </c>
      <c r="AK36" s="2">
        <f t="shared" ca="1" si="19"/>
        <v>0</v>
      </c>
      <c r="AL36" s="2">
        <f t="shared" ca="1" si="19"/>
        <v>0</v>
      </c>
      <c r="AM36" s="2">
        <f t="shared" ca="1" si="19"/>
        <v>0</v>
      </c>
      <c r="AN36" s="2">
        <f t="shared" ca="1" si="19"/>
        <v>0</v>
      </c>
      <c r="AO36" s="2">
        <f t="shared" ca="1" si="19"/>
        <v>0</v>
      </c>
      <c r="AP36" s="34">
        <f t="shared" ca="1" si="19"/>
        <v>0</v>
      </c>
      <c r="AQ36" s="2">
        <f t="shared" ca="1" si="19"/>
        <v>0</v>
      </c>
      <c r="AR36">
        <f t="shared" ca="1" si="19"/>
        <v>0</v>
      </c>
    </row>
    <row r="37" spans="1:44">
      <c r="A37" t="s">
        <v>74</v>
      </c>
      <c r="B37" s="32" t="s">
        <v>991</v>
      </c>
      <c r="C37">
        <f t="shared" ca="1" si="16"/>
        <v>0</v>
      </c>
      <c r="D37">
        <f t="shared" ca="1" si="11"/>
        <v>0</v>
      </c>
      <c r="E37">
        <f t="shared" ca="1" si="16"/>
        <v>0</v>
      </c>
      <c r="F37">
        <f t="shared" ca="1" si="16"/>
        <v>0</v>
      </c>
      <c r="G37">
        <f t="shared" ca="1" si="16"/>
        <v>8</v>
      </c>
      <c r="H37">
        <f t="shared" ca="1" si="16"/>
        <v>0</v>
      </c>
      <c r="I37">
        <f t="shared" ca="1" si="16"/>
        <v>0</v>
      </c>
      <c r="J37">
        <f t="shared" ca="1" si="16"/>
        <v>0</v>
      </c>
      <c r="K37" s="2">
        <f t="shared" ca="1" si="16"/>
        <v>0</v>
      </c>
      <c r="L37" s="2">
        <f t="shared" ca="1" si="16"/>
        <v>0</v>
      </c>
      <c r="M37" s="2">
        <f t="shared" ca="1" si="17"/>
        <v>0</v>
      </c>
      <c r="N37" s="2">
        <f t="shared" ca="1" si="17"/>
        <v>0</v>
      </c>
      <c r="O37" s="2">
        <f t="shared" ca="1" si="17"/>
        <v>0</v>
      </c>
      <c r="P37" s="2">
        <f t="shared" ca="1" si="17"/>
        <v>0</v>
      </c>
      <c r="Q37" s="2">
        <f t="shared" ca="1" si="17"/>
        <v>0</v>
      </c>
      <c r="R37" s="2">
        <f t="shared" ca="1" si="17"/>
        <v>0</v>
      </c>
      <c r="S37" s="34">
        <f t="shared" ca="1" si="17"/>
        <v>0</v>
      </c>
      <c r="T37" s="2">
        <f t="shared" ca="1" si="17"/>
        <v>0</v>
      </c>
      <c r="U37">
        <f t="shared" ca="1" si="17"/>
        <v>0</v>
      </c>
      <c r="W37" t="str">
        <f t="shared" si="15"/>
        <v>-</v>
      </c>
      <c r="X37" t="s">
        <v>74</v>
      </c>
      <c r="Y37" s="32" t="s">
        <v>378</v>
      </c>
      <c r="Z37">
        <f t="shared" ca="1" si="18"/>
        <v>5</v>
      </c>
      <c r="AA37">
        <f t="shared" ca="1" si="13"/>
        <v>0</v>
      </c>
      <c r="AB37">
        <f t="shared" ca="1" si="18"/>
        <v>0</v>
      </c>
      <c r="AC37">
        <f t="shared" ca="1" si="18"/>
        <v>0</v>
      </c>
      <c r="AD37">
        <f t="shared" ca="1" si="18"/>
        <v>0</v>
      </c>
      <c r="AE37">
        <f t="shared" ca="1" si="18"/>
        <v>5</v>
      </c>
      <c r="AF37">
        <f t="shared" ca="1" si="18"/>
        <v>0</v>
      </c>
      <c r="AG37">
        <f t="shared" ca="1" si="18"/>
        <v>0</v>
      </c>
      <c r="AH37" s="2">
        <f t="shared" ca="1" si="18"/>
        <v>0</v>
      </c>
      <c r="AI37" s="2">
        <f t="shared" ca="1" si="18"/>
        <v>0</v>
      </c>
      <c r="AJ37" s="2">
        <f t="shared" ca="1" si="19"/>
        <v>0</v>
      </c>
      <c r="AK37" s="2">
        <f t="shared" ca="1" si="19"/>
        <v>0</v>
      </c>
      <c r="AL37" s="2">
        <f t="shared" ca="1" si="19"/>
        <v>0</v>
      </c>
      <c r="AM37" s="2">
        <f t="shared" ca="1" si="19"/>
        <v>0</v>
      </c>
      <c r="AN37" s="2">
        <f t="shared" ca="1" si="19"/>
        <v>0</v>
      </c>
      <c r="AO37" s="2">
        <f t="shared" ca="1" si="19"/>
        <v>0</v>
      </c>
      <c r="AP37" s="34">
        <f t="shared" ca="1" si="19"/>
        <v>0</v>
      </c>
      <c r="AQ37" s="2">
        <f t="shared" ca="1" si="19"/>
        <v>0</v>
      </c>
      <c r="AR37">
        <f t="shared" ca="1" si="19"/>
        <v>0</v>
      </c>
    </row>
    <row r="38" spans="1:44">
      <c r="A38" t="s">
        <v>20</v>
      </c>
      <c r="B38" s="32" t="s">
        <v>184</v>
      </c>
      <c r="C38">
        <f t="shared" ca="1" si="16"/>
        <v>0</v>
      </c>
      <c r="D38">
        <f t="shared" ca="1" si="11"/>
        <v>0</v>
      </c>
      <c r="E38">
        <f t="shared" ca="1" si="16"/>
        <v>0</v>
      </c>
      <c r="F38">
        <f t="shared" ca="1" si="16"/>
        <v>0</v>
      </c>
      <c r="G38">
        <f t="shared" ca="1" si="16"/>
        <v>0</v>
      </c>
      <c r="H38">
        <f t="shared" ca="1" si="16"/>
        <v>0</v>
      </c>
      <c r="I38">
        <f t="shared" ca="1" si="16"/>
        <v>20</v>
      </c>
      <c r="J38">
        <f t="shared" ca="1" si="16"/>
        <v>0</v>
      </c>
      <c r="K38" s="2">
        <f t="shared" ca="1" si="16"/>
        <v>0</v>
      </c>
      <c r="L38" s="2">
        <f t="shared" ca="1" si="16"/>
        <v>0.03</v>
      </c>
      <c r="M38" s="2">
        <f t="shared" ca="1" si="17"/>
        <v>0</v>
      </c>
      <c r="N38" s="2">
        <f t="shared" ca="1" si="17"/>
        <v>0</v>
      </c>
      <c r="O38" s="2">
        <f t="shared" ca="1" si="17"/>
        <v>0</v>
      </c>
      <c r="P38" s="2">
        <f t="shared" ca="1" si="17"/>
        <v>0</v>
      </c>
      <c r="Q38" s="2">
        <f t="shared" ca="1" si="17"/>
        <v>0</v>
      </c>
      <c r="R38" s="2">
        <f t="shared" ca="1" si="17"/>
        <v>0</v>
      </c>
      <c r="S38" s="34">
        <f t="shared" ca="1" si="17"/>
        <v>0</v>
      </c>
      <c r="T38" s="2">
        <f t="shared" ca="1" si="17"/>
        <v>0</v>
      </c>
      <c r="U38">
        <f t="shared" ca="1" si="17"/>
        <v>0</v>
      </c>
      <c r="W38" t="str">
        <f t="shared" si="15"/>
        <v>=</v>
      </c>
      <c r="X38" t="s">
        <v>20</v>
      </c>
      <c r="Y38" s="32" t="s">
        <v>184</v>
      </c>
      <c r="Z38">
        <f t="shared" ca="1" si="18"/>
        <v>0</v>
      </c>
      <c r="AA38">
        <f t="shared" ca="1" si="13"/>
        <v>0</v>
      </c>
      <c r="AB38">
        <f t="shared" ca="1" si="18"/>
        <v>0</v>
      </c>
      <c r="AC38">
        <f t="shared" ca="1" si="18"/>
        <v>0</v>
      </c>
      <c r="AD38">
        <f t="shared" ca="1" si="18"/>
        <v>0</v>
      </c>
      <c r="AE38">
        <f t="shared" ca="1" si="18"/>
        <v>0</v>
      </c>
      <c r="AF38">
        <f t="shared" ca="1" si="18"/>
        <v>20</v>
      </c>
      <c r="AG38">
        <f t="shared" ca="1" si="18"/>
        <v>0</v>
      </c>
      <c r="AH38" s="2">
        <f t="shared" ca="1" si="18"/>
        <v>0</v>
      </c>
      <c r="AI38" s="2">
        <f t="shared" ca="1" si="18"/>
        <v>0.03</v>
      </c>
      <c r="AJ38" s="2">
        <f t="shared" ca="1" si="19"/>
        <v>0</v>
      </c>
      <c r="AK38" s="2">
        <f t="shared" ca="1" si="19"/>
        <v>0</v>
      </c>
      <c r="AL38" s="2">
        <f t="shared" ca="1" si="19"/>
        <v>0</v>
      </c>
      <c r="AM38" s="2">
        <f t="shared" ca="1" si="19"/>
        <v>0</v>
      </c>
      <c r="AN38" s="2">
        <f t="shared" ca="1" si="19"/>
        <v>0</v>
      </c>
      <c r="AO38" s="2">
        <f t="shared" ca="1" si="19"/>
        <v>0</v>
      </c>
      <c r="AP38" s="34">
        <f t="shared" ca="1" si="19"/>
        <v>0</v>
      </c>
      <c r="AQ38" s="2">
        <f t="shared" ca="1" si="19"/>
        <v>0</v>
      </c>
      <c r="AR38">
        <f t="shared" ca="1" si="19"/>
        <v>0</v>
      </c>
    </row>
    <row r="39" spans="1:44">
      <c r="A39" t="s">
        <v>21</v>
      </c>
      <c r="B39" s="32" t="s">
        <v>1055</v>
      </c>
      <c r="C39">
        <f t="shared" ca="1" si="16"/>
        <v>0</v>
      </c>
      <c r="D39">
        <f t="shared" ca="1" si="11"/>
        <v>0</v>
      </c>
      <c r="E39">
        <f t="shared" ca="1" si="16"/>
        <v>7</v>
      </c>
      <c r="F39">
        <f t="shared" ca="1" si="16"/>
        <v>5</v>
      </c>
      <c r="G39">
        <f t="shared" ca="1" si="16"/>
        <v>7</v>
      </c>
      <c r="H39">
        <f t="shared" ca="1" si="16"/>
        <v>5</v>
      </c>
      <c r="I39">
        <f t="shared" ca="1" si="16"/>
        <v>0</v>
      </c>
      <c r="J39">
        <f t="shared" ca="1" si="16"/>
        <v>0</v>
      </c>
      <c r="K39" s="2">
        <f t="shared" ca="1" si="16"/>
        <v>0</v>
      </c>
      <c r="L39" s="2">
        <f t="shared" ca="1" si="16"/>
        <v>0</v>
      </c>
      <c r="M39" s="2">
        <f t="shared" ca="1" si="17"/>
        <v>0</v>
      </c>
      <c r="N39" s="2">
        <f t="shared" ca="1" si="17"/>
        <v>0</v>
      </c>
      <c r="O39" s="2">
        <f t="shared" ca="1" si="17"/>
        <v>0</v>
      </c>
      <c r="P39" s="2">
        <f t="shared" ca="1" si="17"/>
        <v>0</v>
      </c>
      <c r="Q39" s="2">
        <f t="shared" ca="1" si="17"/>
        <v>0</v>
      </c>
      <c r="R39" s="2">
        <f t="shared" ca="1" si="17"/>
        <v>0</v>
      </c>
      <c r="S39" s="34">
        <f t="shared" ca="1" si="17"/>
        <v>0</v>
      </c>
      <c r="T39" s="2">
        <f t="shared" ca="1" si="17"/>
        <v>0</v>
      </c>
      <c r="U39">
        <f t="shared" ca="1" si="17"/>
        <v>0</v>
      </c>
      <c r="W39" t="str">
        <f t="shared" si="15"/>
        <v>-</v>
      </c>
      <c r="X39" t="s">
        <v>21</v>
      </c>
      <c r="Y39" s="32" t="s">
        <v>376</v>
      </c>
      <c r="Z39">
        <f t="shared" ca="1" si="18"/>
        <v>0</v>
      </c>
      <c r="AA39">
        <f t="shared" ca="1" si="13"/>
        <v>0</v>
      </c>
      <c r="AB39">
        <f t="shared" ca="1" si="18"/>
        <v>0</v>
      </c>
      <c r="AC39">
        <f t="shared" ca="1" si="18"/>
        <v>0</v>
      </c>
      <c r="AD39">
        <f t="shared" ca="1" si="18"/>
        <v>0</v>
      </c>
      <c r="AE39">
        <f t="shared" ca="1" si="18"/>
        <v>7</v>
      </c>
      <c r="AF39">
        <f t="shared" ca="1" si="18"/>
        <v>0</v>
      </c>
      <c r="AG39">
        <f t="shared" ca="1" si="18"/>
        <v>0</v>
      </c>
      <c r="AH39" s="2">
        <f t="shared" ca="1" si="18"/>
        <v>0</v>
      </c>
      <c r="AI39" s="2">
        <f t="shared" ca="1" si="18"/>
        <v>0</v>
      </c>
      <c r="AJ39" s="2">
        <f t="shared" ca="1" si="19"/>
        <v>0</v>
      </c>
      <c r="AK39" s="2">
        <f t="shared" ca="1" si="19"/>
        <v>0</v>
      </c>
      <c r="AL39" s="2">
        <f t="shared" ca="1" si="19"/>
        <v>0</v>
      </c>
      <c r="AM39" s="2">
        <f t="shared" ca="1" si="19"/>
        <v>0</v>
      </c>
      <c r="AN39" s="2">
        <f t="shared" ca="1" si="19"/>
        <v>0</v>
      </c>
      <c r="AO39" s="2">
        <f t="shared" ca="1" si="19"/>
        <v>0</v>
      </c>
      <c r="AP39" s="34">
        <f t="shared" ca="1" si="19"/>
        <v>0</v>
      </c>
      <c r="AQ39" s="2">
        <f t="shared" ca="1" si="19"/>
        <v>0</v>
      </c>
      <c r="AR39">
        <f t="shared" ca="1" si="19"/>
        <v>0</v>
      </c>
    </row>
    <row r="40" spans="1:44">
      <c r="A40" t="s">
        <v>22</v>
      </c>
      <c r="B40" s="32" t="s">
        <v>1082</v>
      </c>
      <c r="C40">
        <f t="shared" ca="1" si="16"/>
        <v>0</v>
      </c>
      <c r="D40">
        <f t="shared" ca="1" si="11"/>
        <v>0</v>
      </c>
      <c r="E40">
        <f t="shared" ca="1" si="16"/>
        <v>6</v>
      </c>
      <c r="F40">
        <f t="shared" ca="1" si="16"/>
        <v>21</v>
      </c>
      <c r="G40">
        <f t="shared" ca="1" si="16"/>
        <v>19</v>
      </c>
      <c r="H40">
        <f t="shared" ca="1" si="16"/>
        <v>35</v>
      </c>
      <c r="I40">
        <f t="shared" ca="1" si="16"/>
        <v>0</v>
      </c>
      <c r="J40">
        <f t="shared" ca="1" si="16"/>
        <v>0</v>
      </c>
      <c r="K40" s="2">
        <f t="shared" ca="1" si="16"/>
        <v>0</v>
      </c>
      <c r="L40" s="2">
        <f t="shared" ca="1" si="16"/>
        <v>0</v>
      </c>
      <c r="M40" s="2">
        <f t="shared" ca="1" si="17"/>
        <v>0</v>
      </c>
      <c r="N40" s="2">
        <f t="shared" ca="1" si="17"/>
        <v>0</v>
      </c>
      <c r="O40" s="2">
        <f t="shared" ca="1" si="17"/>
        <v>0</v>
      </c>
      <c r="P40" s="2">
        <f t="shared" ca="1" si="17"/>
        <v>0</v>
      </c>
      <c r="Q40" s="2">
        <f t="shared" ca="1" si="17"/>
        <v>0</v>
      </c>
      <c r="R40" s="2">
        <f t="shared" ca="1" si="17"/>
        <v>0</v>
      </c>
      <c r="S40" s="34">
        <f t="shared" ca="1" si="17"/>
        <v>0</v>
      </c>
      <c r="T40" s="2">
        <f t="shared" ca="1" si="17"/>
        <v>0</v>
      </c>
      <c r="U40">
        <f t="shared" ca="1" si="17"/>
        <v>0</v>
      </c>
      <c r="W40" t="str">
        <f t="shared" si="15"/>
        <v>-</v>
      </c>
      <c r="X40" t="s">
        <v>22</v>
      </c>
      <c r="Y40" s="32" t="s">
        <v>935</v>
      </c>
      <c r="Z40">
        <f t="shared" ca="1" si="18"/>
        <v>0</v>
      </c>
      <c r="AA40">
        <f t="shared" ca="1" si="13"/>
        <v>0</v>
      </c>
      <c r="AB40">
        <f t="shared" ca="1" si="18"/>
        <v>23</v>
      </c>
      <c r="AC40">
        <f t="shared" ca="1" si="18"/>
        <v>0</v>
      </c>
      <c r="AD40">
        <f t="shared" ca="1" si="18"/>
        <v>10</v>
      </c>
      <c r="AE40">
        <f t="shared" ca="1" si="18"/>
        <v>22</v>
      </c>
      <c r="AF40">
        <f t="shared" ca="1" si="18"/>
        <v>0</v>
      </c>
      <c r="AG40">
        <f t="shared" ca="1" si="18"/>
        <v>0</v>
      </c>
      <c r="AH40" s="2">
        <f t="shared" ca="1" si="18"/>
        <v>0</v>
      </c>
      <c r="AI40" s="2">
        <f t="shared" ca="1" si="18"/>
        <v>0</v>
      </c>
      <c r="AJ40" s="2">
        <f t="shared" ca="1" si="19"/>
        <v>0</v>
      </c>
      <c r="AK40" s="2">
        <f t="shared" ca="1" si="19"/>
        <v>0</v>
      </c>
      <c r="AL40" s="2">
        <f t="shared" ca="1" si="19"/>
        <v>0</v>
      </c>
      <c r="AM40" s="2">
        <f t="shared" ca="1" si="19"/>
        <v>0</v>
      </c>
      <c r="AN40" s="2">
        <f t="shared" ca="1" si="19"/>
        <v>0</v>
      </c>
      <c r="AO40" s="2">
        <f t="shared" ca="1" si="19"/>
        <v>0</v>
      </c>
      <c r="AP40" s="34">
        <f t="shared" ca="1" si="19"/>
        <v>0</v>
      </c>
      <c r="AQ40" s="2">
        <f t="shared" ca="1" si="19"/>
        <v>0</v>
      </c>
      <c r="AR40">
        <f t="shared" ca="1" si="19"/>
        <v>0</v>
      </c>
    </row>
    <row r="41" spans="1:44">
      <c r="A41" t="s">
        <v>23</v>
      </c>
      <c r="B41" s="32" t="s">
        <v>1057</v>
      </c>
      <c r="C41">
        <f t="shared" ca="1" si="16"/>
        <v>0</v>
      </c>
      <c r="D41">
        <f t="shared" ca="1" si="11"/>
        <v>0</v>
      </c>
      <c r="E41">
        <f t="shared" ca="1" si="16"/>
        <v>10</v>
      </c>
      <c r="F41">
        <f t="shared" ca="1" si="16"/>
        <v>11</v>
      </c>
      <c r="G41">
        <f t="shared" ca="1" si="16"/>
        <v>10</v>
      </c>
      <c r="H41">
        <f t="shared" ca="1" si="16"/>
        <v>19</v>
      </c>
      <c r="I41">
        <f t="shared" ca="1" si="16"/>
        <v>0</v>
      </c>
      <c r="J41">
        <f t="shared" ca="1" si="16"/>
        <v>0</v>
      </c>
      <c r="K41" s="2">
        <f t="shared" ca="1" si="16"/>
        <v>0</v>
      </c>
      <c r="L41" s="2">
        <f t="shared" ca="1" si="16"/>
        <v>0</v>
      </c>
      <c r="M41" s="2">
        <f t="shared" ca="1" si="17"/>
        <v>0</v>
      </c>
      <c r="N41" s="2">
        <f t="shared" ca="1" si="17"/>
        <v>0</v>
      </c>
      <c r="O41" s="2">
        <f t="shared" ca="1" si="17"/>
        <v>0</v>
      </c>
      <c r="P41" s="2">
        <f t="shared" ca="1" si="17"/>
        <v>0</v>
      </c>
      <c r="Q41" s="2">
        <f t="shared" ca="1" si="17"/>
        <v>0</v>
      </c>
      <c r="R41" s="2">
        <f t="shared" ca="1" si="17"/>
        <v>0</v>
      </c>
      <c r="S41" s="34">
        <f t="shared" ca="1" si="17"/>
        <v>0</v>
      </c>
      <c r="T41" s="2">
        <f t="shared" ca="1" si="17"/>
        <v>0</v>
      </c>
      <c r="U41">
        <f t="shared" ca="1" si="17"/>
        <v>0</v>
      </c>
      <c r="W41" t="str">
        <f t="shared" si="15"/>
        <v>-</v>
      </c>
      <c r="X41" t="s">
        <v>23</v>
      </c>
      <c r="Y41" s="32" t="s">
        <v>889</v>
      </c>
      <c r="Z41">
        <f t="shared" ca="1" si="18"/>
        <v>0</v>
      </c>
      <c r="AA41">
        <f t="shared" ca="1" si="13"/>
        <v>0</v>
      </c>
      <c r="AB41">
        <f t="shared" ca="1" si="18"/>
        <v>12</v>
      </c>
      <c r="AC41">
        <f t="shared" ca="1" si="18"/>
        <v>24</v>
      </c>
      <c r="AD41">
        <f t="shared" ca="1" si="18"/>
        <v>12</v>
      </c>
      <c r="AE41">
        <f t="shared" ca="1" si="18"/>
        <v>12</v>
      </c>
      <c r="AF41">
        <f t="shared" ca="1" si="18"/>
        <v>18</v>
      </c>
      <c r="AG41">
        <f t="shared" ca="1" si="18"/>
        <v>18</v>
      </c>
      <c r="AH41" s="2">
        <f t="shared" ca="1" si="18"/>
        <v>0</v>
      </c>
      <c r="AI41" s="2">
        <f t="shared" ca="1" si="18"/>
        <v>0</v>
      </c>
      <c r="AJ41" s="2">
        <f t="shared" ca="1" si="19"/>
        <v>0</v>
      </c>
      <c r="AK41" s="2">
        <f t="shared" ca="1" si="19"/>
        <v>0</v>
      </c>
      <c r="AL41" s="2">
        <f t="shared" ca="1" si="19"/>
        <v>0</v>
      </c>
      <c r="AM41" s="2">
        <f t="shared" ca="1" si="19"/>
        <v>0</v>
      </c>
      <c r="AN41" s="2">
        <f t="shared" ca="1" si="19"/>
        <v>0</v>
      </c>
      <c r="AO41" s="2">
        <f t="shared" ca="1" si="19"/>
        <v>0</v>
      </c>
      <c r="AP41" s="34">
        <f t="shared" ca="1" si="19"/>
        <v>0</v>
      </c>
      <c r="AQ41" s="2">
        <f t="shared" ca="1" si="19"/>
        <v>0</v>
      </c>
      <c r="AR41">
        <f t="shared" ca="1" si="19"/>
        <v>0</v>
      </c>
    </row>
    <row r="42" spans="1:44">
      <c r="A42" t="s">
        <v>24</v>
      </c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/>
      <c r="P42" s="33"/>
      <c r="Q42" s="33"/>
      <c r="R42" s="35"/>
      <c r="S42" s="35"/>
      <c r="T42" s="35"/>
      <c r="U42" s="32"/>
      <c r="W42" t="str">
        <f>IF(AND(C42=Z42, E42=AB42, F42=AC42, G42=AD42, H42=AE42, I42=AF42, J42=AG42, K42=AH42, L42=AI42, M42=AJ42, N42=AK42, O42=AL42,P42=AM42, Q42=AN42, R42=AO42, S42=AP42, T42=AQ42, U42=AR42), "=", "-")</f>
        <v>=</v>
      </c>
      <c r="X42" t="s">
        <v>24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3"/>
      <c r="AJ42" s="33"/>
      <c r="AK42" s="33"/>
      <c r="AL42" s="33"/>
      <c r="AM42" s="33"/>
      <c r="AN42" s="33"/>
      <c r="AO42" s="35"/>
      <c r="AP42" s="35"/>
      <c r="AQ42" s="35"/>
      <c r="AR42" s="32"/>
    </row>
    <row r="43" spans="1:44">
      <c r="L43" s="2"/>
      <c r="M43" s="2"/>
      <c r="N43" s="2"/>
      <c r="O43" s="2"/>
      <c r="P43" s="2"/>
      <c r="Q43" s="2"/>
      <c r="R43" s="2"/>
      <c r="S43" s="2"/>
      <c r="T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4">
      <c r="A44" t="s">
        <v>7</v>
      </c>
      <c r="C44">
        <f t="shared" ref="C44:U44" ca="1" si="20">SUM(C26:C42)</f>
        <v>0</v>
      </c>
      <c r="D44">
        <f t="shared" ca="1" si="20"/>
        <v>0</v>
      </c>
      <c r="E44">
        <f t="shared" ca="1" si="20"/>
        <v>85</v>
      </c>
      <c r="F44">
        <f t="shared" ca="1" si="20"/>
        <v>189</v>
      </c>
      <c r="G44" s="166">
        <f t="shared" ca="1" si="20"/>
        <v>122</v>
      </c>
      <c r="H44">
        <f t="shared" ca="1" si="20"/>
        <v>131</v>
      </c>
      <c r="I44">
        <f t="shared" ca="1" si="20"/>
        <v>27</v>
      </c>
      <c r="J44">
        <f t="shared" ca="1" si="20"/>
        <v>96</v>
      </c>
      <c r="K44" s="2">
        <f t="shared" ca="1" si="20"/>
        <v>0</v>
      </c>
      <c r="L44" s="2">
        <f t="shared" ca="1" si="20"/>
        <v>0.08</v>
      </c>
      <c r="M44" s="2">
        <f t="shared" ca="1" si="20"/>
        <v>0</v>
      </c>
      <c r="N44" s="2">
        <f t="shared" ca="1" si="20"/>
        <v>0.03</v>
      </c>
      <c r="O44" s="2">
        <f t="shared" ca="1" si="20"/>
        <v>0</v>
      </c>
      <c r="P44" s="2">
        <f t="shared" ca="1" si="20"/>
        <v>0.05</v>
      </c>
      <c r="Q44" s="2">
        <f t="shared" ca="1" si="20"/>
        <v>0</v>
      </c>
      <c r="R44" s="2">
        <f t="shared" ca="1" si="20"/>
        <v>0.03</v>
      </c>
      <c r="S44">
        <f t="shared" ca="1" si="20"/>
        <v>0</v>
      </c>
      <c r="T44" s="2">
        <f t="shared" ca="1" si="20"/>
        <v>0</v>
      </c>
      <c r="U44">
        <f t="shared" ca="1" si="20"/>
        <v>1</v>
      </c>
      <c r="X44" t="s">
        <v>7</v>
      </c>
      <c r="Z44">
        <f t="shared" ref="Z44:AR44" ca="1" si="21">SUM(Z26:Z42)</f>
        <v>5</v>
      </c>
      <c r="AA44">
        <f t="shared" ca="1" si="21"/>
        <v>0</v>
      </c>
      <c r="AB44">
        <f t="shared" ca="1" si="21"/>
        <v>80</v>
      </c>
      <c r="AC44">
        <f t="shared" ca="1" si="21"/>
        <v>144</v>
      </c>
      <c r="AD44">
        <f t="shared" ca="1" si="21"/>
        <v>83</v>
      </c>
      <c r="AE44" s="20">
        <f t="shared" ca="1" si="21"/>
        <v>131</v>
      </c>
      <c r="AF44">
        <f t="shared" ca="1" si="21"/>
        <v>70</v>
      </c>
      <c r="AG44">
        <f t="shared" ca="1" si="21"/>
        <v>18</v>
      </c>
      <c r="AH44" s="2">
        <f t="shared" ca="1" si="21"/>
        <v>0</v>
      </c>
      <c r="AI44" s="2">
        <f t="shared" ca="1" si="21"/>
        <v>0.08</v>
      </c>
      <c r="AJ44" s="2">
        <f t="shared" ca="1" si="21"/>
        <v>0</v>
      </c>
      <c r="AK44" s="2">
        <f t="shared" ca="1" si="21"/>
        <v>0</v>
      </c>
      <c r="AL44" s="2">
        <f t="shared" ca="1" si="21"/>
        <v>0</v>
      </c>
      <c r="AM44" s="2">
        <f t="shared" ca="1" si="21"/>
        <v>0</v>
      </c>
      <c r="AN44" s="2">
        <f t="shared" ca="1" si="21"/>
        <v>0</v>
      </c>
      <c r="AO44" s="2">
        <f t="shared" ca="1" si="21"/>
        <v>0.03</v>
      </c>
      <c r="AP44">
        <f t="shared" ca="1" si="21"/>
        <v>0</v>
      </c>
      <c r="AQ44" s="2">
        <f t="shared" ca="1" si="21"/>
        <v>0</v>
      </c>
      <c r="AR44">
        <f t="shared" ca="1" si="21"/>
        <v>11</v>
      </c>
    </row>
    <row r="46" spans="1:44">
      <c r="X46" s="108" t="s">
        <v>611</v>
      </c>
    </row>
    <row r="47" spans="1:44">
      <c r="A47" t="s">
        <v>117</v>
      </c>
      <c r="B47" s="7">
        <f ca="1">Data!D222</f>
        <v>21457.248736407411</v>
      </c>
      <c r="Y47" s="7">
        <f ca="1">Data!E222</f>
        <v>29892.880138264591</v>
      </c>
    </row>
    <row r="48" spans="1:44">
      <c r="A48" t="s">
        <v>118</v>
      </c>
      <c r="B48" s="6">
        <f ca="1">Data!D227</f>
        <v>4626.8952924244104</v>
      </c>
      <c r="Y48" s="6">
        <f ca="1">Data!E227</f>
        <v>5709.3128525735901</v>
      </c>
    </row>
    <row r="49" spans="1:2">
      <c r="A49" s="9" t="s">
        <v>119</v>
      </c>
      <c r="B49" s="8">
        <f ca="1">Setup!B44</f>
        <v>5168.1040724989998</v>
      </c>
    </row>
  </sheetData>
  <phoneticPr fontId="2" type="noConversion"/>
  <conditionalFormatting sqref="W5:W19 W28:W42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2">
    <dataValidation type="list" allowBlank="1" showInputMessage="1" showErrorMessage="1" sqref="Y6 Y29 B6 B29">
      <formula1>AmmoList</formula1>
    </dataValidation>
    <dataValidation type="list" allowBlank="1" showInputMessage="1" showErrorMessage="1" sqref="Y7 Y30 B7 B30">
      <formula1>HeadList</formula1>
    </dataValidation>
    <dataValidation type="list" allowBlank="1" showInputMessage="1" showErrorMessage="1" sqref="Y8 Y31 B8 B31">
      <formula1>NeckList</formula1>
    </dataValidation>
    <dataValidation type="list" allowBlank="1" showInputMessage="1" showErrorMessage="1" sqref="Y9:Y10 Y32:Y33 B9:B10 B32:B33">
      <formula1>EarringList</formula1>
    </dataValidation>
    <dataValidation type="list" allowBlank="1" showInputMessage="1" showErrorMessage="1" sqref="Y11 Y34 B11 B34">
      <formula1>BodyList</formula1>
    </dataValidation>
    <dataValidation type="list" allowBlank="1" showInputMessage="1" showErrorMessage="1" sqref="Y12 Y35 B12 B35">
      <formula1>HandsList</formula1>
    </dataValidation>
    <dataValidation type="list" allowBlank="1" showInputMessage="1" showErrorMessage="1" sqref="Y13:Y14 Y36:Y37 B13:B14 B36:B37">
      <formula1>RingList</formula1>
    </dataValidation>
    <dataValidation type="list" allowBlank="1" showInputMessage="1" showErrorMessage="1" sqref="Y15 Y38 B15 B38">
      <formula1>BackList</formula1>
    </dataValidation>
    <dataValidation type="list" allowBlank="1" showInputMessage="1" showErrorMessage="1" sqref="Y16 Y39 B16 B39">
      <formula1>WaistList</formula1>
    </dataValidation>
    <dataValidation type="list" allowBlank="1" showInputMessage="1" showErrorMessage="1" sqref="Y17 Y40 B17 B40">
      <formula1>LegsList</formula1>
    </dataValidation>
    <dataValidation type="list" allowBlank="1" showInputMessage="1" showErrorMessage="1" sqref="Y18 Y41 B18 B41">
      <formula1>FeetList</formula1>
    </dataValidation>
    <dataValidation type="list" allowBlank="1" showInputMessage="1" showErrorMessage="1" sqref="Y5 Y28 B5 B28">
      <formula1>RangedList</formula1>
    </dataValidation>
  </dataValidations>
  <pageMargins left="0.75" right="0.75" top="1" bottom="1" header="0.5" footer="0.5"/>
  <headerFooter alignWithMargins="0"/>
  <ignoredErrors>
    <ignoredError sqref="B3:B4 Y3:Y4 A4 X4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41"/>
  </sheetPr>
  <dimension ref="A1:P227"/>
  <sheetViews>
    <sheetView topLeftCell="A139" workbookViewId="0">
      <selection activeCell="H183" sqref="H183"/>
    </sheetView>
  </sheetViews>
  <sheetFormatPr defaultRowHeight="12.75"/>
  <cols>
    <col min="1" max="1" width="18.7109375" customWidth="1"/>
    <col min="2" max="5" width="11.7109375" customWidth="1"/>
    <col min="7" max="7" width="9.7109375" customWidth="1"/>
    <col min="8" max="8" width="11.7109375" customWidth="1"/>
    <col min="9" max="9" width="8.7109375" customWidth="1"/>
    <col min="10" max="10" width="9.42578125" customWidth="1"/>
    <col min="11" max="11" width="9.28515625" customWidth="1"/>
    <col min="12" max="12" width="14.28515625" customWidth="1"/>
    <col min="13" max="13" width="10.42578125" customWidth="1"/>
    <col min="14" max="14" width="10.7109375" customWidth="1"/>
    <col min="15" max="16" width="12.7109375" customWidth="1"/>
    <col min="17" max="18" width="11.7109375" customWidth="1"/>
  </cols>
  <sheetData>
    <row r="1" spans="1:16">
      <c r="A1" t="str">
        <f>Setup!B4</f>
        <v>Hume</v>
      </c>
      <c r="B1">
        <f>Setup!B5</f>
        <v>99</v>
      </c>
      <c r="C1" s="9" t="s">
        <v>423</v>
      </c>
      <c r="D1" t="str">
        <f>Setup!B6</f>
        <v>War</v>
      </c>
      <c r="E1" t="str">
        <f>Setup!C6</f>
        <v>War</v>
      </c>
      <c r="F1" t="str">
        <f>Setup!B7</f>
        <v>Sublime Sushi</v>
      </c>
    </row>
    <row r="2" spans="1:16">
      <c r="B2" t="s">
        <v>231</v>
      </c>
      <c r="C2" t="s">
        <v>91</v>
      </c>
      <c r="D2" t="s">
        <v>719</v>
      </c>
      <c r="E2" t="s">
        <v>720</v>
      </c>
      <c r="F2" t="s">
        <v>232</v>
      </c>
      <c r="G2" t="s">
        <v>234</v>
      </c>
      <c r="H2" t="s">
        <v>600</v>
      </c>
      <c r="I2" t="s">
        <v>601</v>
      </c>
      <c r="J2" t="s">
        <v>233</v>
      </c>
      <c r="K2" t="s">
        <v>235</v>
      </c>
      <c r="O2" s="9" t="s">
        <v>606</v>
      </c>
      <c r="P2" s="9" t="s">
        <v>607</v>
      </c>
    </row>
    <row r="3" spans="1:16">
      <c r="A3" t="s">
        <v>3</v>
      </c>
      <c r="B3">
        <f>HLOOKUP(A3, PlayerStats, 2, 0) + Setup!$B10</f>
        <v>101</v>
      </c>
      <c r="C3" s="7">
        <f t="shared" ref="C3:C9" si="0">IF(ISBLANK($F$1), 0, VLOOKUP($F$1, Food, MATCH(A3, FoodHeader, 0), 0))</f>
        <v>6</v>
      </c>
      <c r="D3">
        <f>IF(Setup!F$20=1, Setup!F$21, 0)</f>
        <v>0</v>
      </c>
      <c r="E3">
        <f>IF(Setup!G$20=1, Setup!G$21, 0)</f>
        <v>0</v>
      </c>
      <c r="F3" s="38">
        <f>IF(Setup!$F$20=1, IF(ISBLANK($O$3),0,VLOOKUP($O$3,AtmaList,MATCH($A3,AtmaHeader,0), FALSE))+IF(ISBLANK($O$4),0,VLOOKUP($O$4,AtmaList,MATCH($A3,AtmaHeader,0), FALSE))+IF(ISBLANK($O$5),0,VLOOKUP($O$5,AtmaList,MATCH($A3,AtmaHeader,0), FALSE)), 0)</f>
        <v>0</v>
      </c>
      <c r="G3" s="38">
        <f>IF(Setup!G$20=1, IF(ISBLANK($P$3),0,VLOOKUP($P$3,AtmaList,MATCH($A3,AtmaHeader,0), FALSE))+IF(ISBLANK($P$4),0,VLOOKUP($P$4,AtmaList,MATCH($A3,AtmaHeader,0), FALSE))+IF(ISBLANK($P$5),0,VLOOKUP($P$5,AtmaList,MATCH($A3,AtmaHeader,0), FALSE)), 0)</f>
        <v>0</v>
      </c>
      <c r="H3">
        <f t="shared" ref="H3:H9" ca="1" si="1">HLOOKUP($A3, SpellsSet1, MATCH("Totals:", OFFSET(SpellsSet1,0,0,ROWS(SpellsSet1),1), 0), FALSE)</f>
        <v>18</v>
      </c>
      <c r="I3">
        <f t="shared" ref="I3:I9" ca="1" si="2">HLOOKUP($A3, SpellsSet2, MATCH("Totals:", OFFSET(SpellsSet2,0,0,ROWS(SpellsSet2),1), 0), FALSE)</f>
        <v>18</v>
      </c>
      <c r="J3" s="38">
        <f t="shared" ref="J3:J9" ca="1" si="3">B3+C3+D3+F3+H3</f>
        <v>125</v>
      </c>
      <c r="K3" s="38">
        <f t="shared" ref="K3:K9" ca="1" si="4">B3+C3+E3+G3+I3</f>
        <v>125</v>
      </c>
      <c r="O3" s="31" t="str">
        <f>Setup!F22</f>
        <v>Razed Ruin</v>
      </c>
      <c r="P3" s="31" t="str">
        <f>Setup!G22</f>
        <v>Razed Ruin</v>
      </c>
    </row>
    <row r="4" spans="1:16">
      <c r="A4" t="s">
        <v>4</v>
      </c>
      <c r="B4">
        <f>HLOOKUP(A4, PlayerStats, 2, 0) + Setup!$B11</f>
        <v>98</v>
      </c>
      <c r="C4" s="7">
        <f t="shared" si="0"/>
        <v>7</v>
      </c>
      <c r="D4">
        <f>IF(Setup!F$20=1, Setup!F$21, 0)</f>
        <v>0</v>
      </c>
      <c r="E4">
        <f>IF(Setup!G$20=1, Setup!G$21, 0)</f>
        <v>0</v>
      </c>
      <c r="F4" s="38">
        <f>IF(Setup!$F$20=1, IF(ISBLANK($O$3),0,VLOOKUP($O$3,AtmaList,MATCH($A4,AtmaHeader,0), FALSE))+IF(ISBLANK($O$4),0,VLOOKUP($O$4,AtmaList,MATCH($A4,AtmaHeader,0), FALSE))+IF(ISBLANK($O$5),0,VLOOKUP($O$5,AtmaList,MATCH($A4,AtmaHeader,0), FALSE)), 0)</f>
        <v>0</v>
      </c>
      <c r="G4" s="38">
        <f>IF(Setup!G$20=1, IF(ISBLANK($P$3),0,VLOOKUP($P$3,AtmaList,MATCH($A4,AtmaHeader,0), FALSE))+IF(ISBLANK($P$4),0,VLOOKUP($P$4,AtmaList,MATCH($A4,AtmaHeader,0), FALSE))+IF(ISBLANK($P$5),0,VLOOKUP($P$5,AtmaList,MATCH($A4,AtmaHeader,0), FALSE)), 0)</f>
        <v>0</v>
      </c>
      <c r="H4">
        <f t="shared" ca="1" si="1"/>
        <v>40</v>
      </c>
      <c r="I4">
        <f t="shared" ca="1" si="2"/>
        <v>40</v>
      </c>
      <c r="J4" s="38">
        <f t="shared" ca="1" si="3"/>
        <v>145</v>
      </c>
      <c r="K4" s="38">
        <f t="shared" ca="1" si="4"/>
        <v>145</v>
      </c>
      <c r="O4" s="31" t="str">
        <f>Setup!F23</f>
        <v>S. Scythe</v>
      </c>
      <c r="P4" s="31" t="str">
        <f>Setup!G23</f>
        <v>S. Scythe</v>
      </c>
    </row>
    <row r="5" spans="1:16">
      <c r="A5" t="s">
        <v>5</v>
      </c>
      <c r="B5">
        <f>HLOOKUP(A5, PlayerStats, 2, 0)</f>
        <v>81</v>
      </c>
      <c r="C5" s="7">
        <f t="shared" si="0"/>
        <v>0</v>
      </c>
      <c r="D5">
        <f>IF(Setup!F$20=1, Setup!F$21, 0)</f>
        <v>0</v>
      </c>
      <c r="E5">
        <f>IF(Setup!G$20=1, Setup!G$21, 0)</f>
        <v>0</v>
      </c>
      <c r="F5" s="38">
        <f>IF(Setup!$F$20=1, IF(ISBLANK($O$3),0,VLOOKUP($O$3,AtmaList,MATCH($A5,AtmaHeader,0), FALSE))+IF(ISBLANK($O$4),0,VLOOKUP($O$4,AtmaList,MATCH($A5,AtmaHeader,0), FALSE))+IF(ISBLANK($O$5),0,VLOOKUP($O$5,AtmaList,MATCH($A5,AtmaHeader,0), FALSE)), 0)</f>
        <v>0</v>
      </c>
      <c r="G5" s="38">
        <f>IF(Setup!G$20=1, IF(ISBLANK($P$3),0,VLOOKUP($P$3,AtmaList,MATCH($A5,AtmaHeader,0), FALSE))+IF(ISBLANK($P$4),0,VLOOKUP($P$4,AtmaList,MATCH($A5,AtmaHeader,0), FALSE))+IF(ISBLANK($P$5),0,VLOOKUP($P$5,AtmaList,MATCH($A5,AtmaHeader,0), FALSE)), 0)</f>
        <v>0</v>
      </c>
      <c r="H5">
        <f t="shared" ca="1" si="1"/>
        <v>19</v>
      </c>
      <c r="I5">
        <f t="shared" ca="1" si="2"/>
        <v>19</v>
      </c>
      <c r="J5" s="38">
        <f t="shared" ca="1" si="3"/>
        <v>100</v>
      </c>
      <c r="K5" s="38">
        <f t="shared" ca="1" si="4"/>
        <v>100</v>
      </c>
      <c r="O5" s="31" t="str">
        <f>Setup!F24</f>
        <v>Apocalypse</v>
      </c>
      <c r="P5" s="31" t="str">
        <f>Setup!G24</f>
        <v>Apocalypse</v>
      </c>
    </row>
    <row r="6" spans="1:16">
      <c r="A6" t="s">
        <v>42</v>
      </c>
      <c r="B6">
        <f>HLOOKUP(A6, PlayerStats, 2, 0)</f>
        <v>83</v>
      </c>
      <c r="C6" s="7">
        <f t="shared" si="0"/>
        <v>0</v>
      </c>
      <c r="D6">
        <f>IF(Setup!F$20=1, Setup!F$21, 0)</f>
        <v>0</v>
      </c>
      <c r="E6">
        <f>IF(Setup!G$20=1, Setup!G$21, 0)</f>
        <v>0</v>
      </c>
      <c r="F6" s="38">
        <f>IF(Setup!$F$20=1, IF(ISBLANK($O$3),0,VLOOKUP($O$3,AtmaList,MATCH($A6,AtmaHeader,0), FALSE))+IF(ISBLANK($O$4),0,VLOOKUP($O$4,AtmaList,MATCH($A6,AtmaHeader,0), FALSE))+IF(ISBLANK($O$5),0,VLOOKUP($O$5,AtmaList,MATCH($A6,AtmaHeader,0), FALSE)), 0)</f>
        <v>0</v>
      </c>
      <c r="G6" s="38">
        <f>IF(Setup!G$20=1, IF(ISBLANK($P$3),0,VLOOKUP($P$3,AtmaList,MATCH($A6,AtmaHeader,0), FALSE))+IF(ISBLANK($P$4),0,VLOOKUP($P$4,AtmaList,MATCH($A6,AtmaHeader,0), FALSE))+IF(ISBLANK($P$5),0,VLOOKUP($P$5,AtmaList,MATCH($A6,AtmaHeader,0), FALSE)), 0)</f>
        <v>0</v>
      </c>
      <c r="H6">
        <f t="shared" ca="1" si="1"/>
        <v>10</v>
      </c>
      <c r="I6">
        <f t="shared" ca="1" si="2"/>
        <v>10</v>
      </c>
      <c r="J6" s="38">
        <f t="shared" ca="1" si="3"/>
        <v>93</v>
      </c>
      <c r="K6" s="38">
        <f t="shared" ca="1" si="4"/>
        <v>93</v>
      </c>
    </row>
    <row r="7" spans="1:16">
      <c r="A7" t="s">
        <v>269</v>
      </c>
      <c r="B7">
        <f>HLOOKUP(A7, PlayerStats, 2, 0)</f>
        <v>79</v>
      </c>
      <c r="C7" s="7">
        <f t="shared" si="0"/>
        <v>0</v>
      </c>
      <c r="D7">
        <f>IF(Setup!F$20=1, Setup!F$21, 0)</f>
        <v>0</v>
      </c>
      <c r="E7">
        <f>IF(Setup!G$20=1, Setup!G$21, 0)</f>
        <v>0</v>
      </c>
      <c r="F7" s="38">
        <f>IF(Setup!$F$20=1, IF(ISBLANK($O$3),0,VLOOKUP($O$3,AtmaList,MATCH($A7,AtmaHeader,0), FALSE))+IF(ISBLANK($O$4),0,VLOOKUP($O$4,AtmaList,MATCH($A7,AtmaHeader,0), FALSE))+IF(ISBLANK($O$5),0,VLOOKUP($O$5,AtmaList,MATCH($A7,AtmaHeader,0), FALSE)), 0)</f>
        <v>0</v>
      </c>
      <c r="G7" s="38">
        <f>IF(Setup!G$20=1, IF(ISBLANK($P$3),0,VLOOKUP($P$3,AtmaList,MATCH($A7,AtmaHeader,0), FALSE))+IF(ISBLANK($P$4),0,VLOOKUP($P$4,AtmaList,MATCH($A7,AtmaHeader,0), FALSE))+IF(ISBLANK($P$5),0,VLOOKUP($P$5,AtmaList,MATCH($A7,AtmaHeader,0), FALSE)), 0)</f>
        <v>0</v>
      </c>
      <c r="H7">
        <f t="shared" ca="1" si="1"/>
        <v>-1</v>
      </c>
      <c r="I7">
        <f t="shared" ca="1" si="2"/>
        <v>-1</v>
      </c>
      <c r="J7" s="38">
        <f t="shared" ca="1" si="3"/>
        <v>78</v>
      </c>
      <c r="K7" s="38">
        <f t="shared" ca="1" si="4"/>
        <v>78</v>
      </c>
    </row>
    <row r="8" spans="1:16">
      <c r="A8" t="s">
        <v>270</v>
      </c>
      <c r="B8">
        <f>HLOOKUP(A8, PlayerStats, 2, 0)</f>
        <v>79</v>
      </c>
      <c r="C8" s="7">
        <f t="shared" si="0"/>
        <v>-3</v>
      </c>
      <c r="D8">
        <f>IF(Setup!F$20=1, Setup!F$21, 0)</f>
        <v>0</v>
      </c>
      <c r="E8">
        <f>IF(Setup!G$20=1, Setup!G$21, 0)</f>
        <v>0</v>
      </c>
      <c r="F8" s="38">
        <f>IF(Setup!$F$20=1, IF(ISBLANK($O$3),0,VLOOKUP($O$3,AtmaList,MATCH($A8,AtmaHeader,0), FALSE))+IF(ISBLANK($O$4),0,VLOOKUP($O$4,AtmaList,MATCH($A8,AtmaHeader,0), FALSE))+IF(ISBLANK($O$5),0,VLOOKUP($O$5,AtmaList,MATCH($A8,AtmaHeader,0), FALSE)), 0)</f>
        <v>0</v>
      </c>
      <c r="G8" s="38">
        <f>IF(Setup!G$20=1, IF(ISBLANK($P$3),0,VLOOKUP($P$3,AtmaList,MATCH($A8,AtmaHeader,0), FALSE))+IF(ISBLANK($P$4),0,VLOOKUP($P$4,AtmaList,MATCH($A8,AtmaHeader,0), FALSE))+IF(ISBLANK($P$5),0,VLOOKUP($P$5,AtmaList,MATCH($A8,AtmaHeader,0), FALSE)), 0)</f>
        <v>0</v>
      </c>
      <c r="H8">
        <f t="shared" ca="1" si="1"/>
        <v>0</v>
      </c>
      <c r="I8">
        <f t="shared" ca="1" si="2"/>
        <v>0</v>
      </c>
      <c r="J8" s="38">
        <f t="shared" ca="1" si="3"/>
        <v>76</v>
      </c>
      <c r="K8" s="38">
        <f t="shared" ca="1" si="4"/>
        <v>76</v>
      </c>
      <c r="O8" s="31"/>
      <c r="P8" s="31"/>
    </row>
    <row r="9" spans="1:16">
      <c r="A9" t="s">
        <v>271</v>
      </c>
      <c r="B9">
        <f>HLOOKUP(A9, PlayerStats, 2, 0)</f>
        <v>80</v>
      </c>
      <c r="C9" s="7">
        <f t="shared" si="0"/>
        <v>6</v>
      </c>
      <c r="D9">
        <f>IF(Setup!F$20=1, Setup!F$21, 0)</f>
        <v>0</v>
      </c>
      <c r="E9">
        <f>IF(Setup!G$20=1, Setup!G$21, 0)</f>
        <v>0</v>
      </c>
      <c r="F9" s="38">
        <f>IF(Setup!$F$20=1, IF(ISBLANK($O$3),0,VLOOKUP($O$3,AtmaList,MATCH($A9,AtmaHeader,0), FALSE))+IF(ISBLANK($O$4),0,VLOOKUP($O$4,AtmaList,MATCH($A9,AtmaHeader,0), FALSE))+IF(ISBLANK($O$5),0,VLOOKUP($O$5,AtmaList,MATCH($A9,AtmaHeader,0), FALSE)), 0)</f>
        <v>0</v>
      </c>
      <c r="G9" s="38">
        <f>IF(Setup!G$20=1, IF(ISBLANK($P$3),0,VLOOKUP($P$3,AtmaList,MATCH($A9,AtmaHeader,0), FALSE))+IF(ISBLANK($P$4),0,VLOOKUP($P$4,AtmaList,MATCH($A9,AtmaHeader,0), FALSE))+IF(ISBLANK($P$5),0,VLOOKUP($P$5,AtmaList,MATCH($A9,AtmaHeader,0), FALSE)), 0)</f>
        <v>0</v>
      </c>
      <c r="H9">
        <f t="shared" ca="1" si="1"/>
        <v>2</v>
      </c>
      <c r="I9">
        <f t="shared" ca="1" si="2"/>
        <v>2</v>
      </c>
      <c r="J9" s="38">
        <f t="shared" ca="1" si="3"/>
        <v>88</v>
      </c>
      <c r="K9" s="38">
        <f t="shared" ca="1" si="4"/>
        <v>88</v>
      </c>
      <c r="O9" s="31"/>
      <c r="P9" s="31"/>
    </row>
    <row r="10" spans="1:16">
      <c r="O10" s="31"/>
      <c r="P10" s="31"/>
    </row>
    <row r="11" spans="1:16">
      <c r="A11" t="s">
        <v>91</v>
      </c>
      <c r="B11" s="31" t="s">
        <v>236</v>
      </c>
      <c r="C11" t="s">
        <v>60</v>
      </c>
      <c r="D11" t="s">
        <v>59</v>
      </c>
      <c r="E11" t="s">
        <v>232</v>
      </c>
      <c r="F11" t="s">
        <v>234</v>
      </c>
      <c r="O11" s="31"/>
      <c r="P11" s="31"/>
    </row>
    <row r="12" spans="1:16">
      <c r="A12" t="s">
        <v>9</v>
      </c>
      <c r="B12" s="2">
        <f>IF(ISBLANK($F$1), 0, VLOOKUP($F$1, Food, MATCH("Att Mult", FoodHeader, 0), 0))</f>
        <v>0</v>
      </c>
      <c r="C12" s="34">
        <f>IF(ISBLANK($F$1), 0, VLOOKUP($F$1, Food, MATCH("Att Mult Cap", FoodHeader, 0), 0))</f>
        <v>0</v>
      </c>
      <c r="D12" s="34">
        <f>IF(ISBLANK($F$1), 0, VLOOKUP($F$1, Food, MATCH("Att Add", FoodHeader, 0), 0))</f>
        <v>0</v>
      </c>
      <c r="E12" s="38">
        <f>IF(Setup!$F$20=1, IF(ISBLANK($O$3),0,VLOOKUP($O$3,AtmaList,MATCH($A12,AtmaHeader,0), FALSE))+IF(ISBLANK($O$4),0,VLOOKUP($O$4,AtmaList,MATCH($A12,AtmaHeader,0), FALSE))+IF(ISBLANK($O$5),0,VLOOKUP($O$5,AtmaList,MATCH($A12,AtmaHeader,0), FALSE)), 0)</f>
        <v>0</v>
      </c>
      <c r="F12" s="38">
        <f>IF(Setup!$F$20=1, IF(ISBLANK($P$3),0,VLOOKUP($P$3,AtmaList,MATCH($A12,AtmaHeader,0), FALSE))+IF(ISBLANK($P$4),0,VLOOKUP($P$4,AtmaList,MATCH($A12,AtmaHeader,0), FALSE))+IF(ISBLANK($P$5),0,VLOOKUP($P$5,AtmaList,MATCH($A12,AtmaHeader,0), FALSE)), 0)</f>
        <v>0</v>
      </c>
      <c r="G12" t="s">
        <v>237</v>
      </c>
      <c r="H12">
        <f>MAX(Spells!F26, IF($D$1="War", 10, 0))</f>
        <v>10</v>
      </c>
      <c r="I12">
        <f>MAX(Spells!W26, IF($E$1="War", 10, 0))</f>
        <v>10</v>
      </c>
      <c r="K12" t="s">
        <v>31</v>
      </c>
      <c r="L12" t="str">
        <f>Setup!N1</f>
        <v>ilvl130</v>
      </c>
      <c r="M12" t="s">
        <v>35</v>
      </c>
      <c r="O12" s="31"/>
      <c r="P12" s="31"/>
    </row>
    <row r="13" spans="1:16">
      <c r="A13" t="s">
        <v>10</v>
      </c>
      <c r="B13" s="2">
        <f>IF(ISBLANK($F$1), 0, VLOOKUP($F$1, Food, MATCH("Acc Mult", FoodHeader, 0), 0))</f>
        <v>0.1</v>
      </c>
      <c r="C13" s="34">
        <f>IF(ISBLANK($F$1), 0, VLOOKUP($F$1, Food, MATCH("Acc Mult Cap", FoodHeader, 0), 0))</f>
        <v>100</v>
      </c>
      <c r="D13" s="34">
        <f>IF(ISBLANK($F$1), 0, VLOOKUP($F$1, Food, MATCH("Acc Add", FoodHeader, 0), 0))</f>
        <v>0</v>
      </c>
      <c r="E13" s="38">
        <f>IF(Setup!$F$20=1, IF(ISBLANK($O$3),0,VLOOKUP($O$3,AtmaList,MATCH($A13,AtmaHeader,0), FALSE))+IF(ISBLANK($O$4),0,VLOOKUP($O$4,AtmaList,MATCH($A13,AtmaHeader,0), FALSE))+IF(ISBLANK($O$5),0,VLOOKUP($O$5,AtmaList,MATCH($A13,AtmaHeader,0), FALSE)), 0)</f>
        <v>0</v>
      </c>
      <c r="F13" s="38">
        <f>IF(Setup!$F$20=1, IF(ISBLANK($P$3),0,VLOOKUP($P$3,AtmaList,MATCH($A13,AtmaHeader,0), FALSE))+IF(ISBLANK($P$4),0,VLOOKUP($P$4,AtmaList,MATCH($A13,AtmaHeader,0), FALSE))+IF(ISBLANK($P$5),0,VLOOKUP($P$5,AtmaList,MATCH($A13,AtmaHeader,0), FALSE)), 0)</f>
        <v>0</v>
      </c>
      <c r="G13" t="s">
        <v>160</v>
      </c>
      <c r="H13">
        <f>MAX(Spells!G26, IF($D$1="Dnc", 10, 0))</f>
        <v>48</v>
      </c>
      <c r="I13">
        <f>MAX(Spells!X26, IF($E$1="Dnc", 10, 0))</f>
        <v>48</v>
      </c>
      <c r="K13" t="s">
        <v>32</v>
      </c>
      <c r="L13">
        <f>VLOOKUP($L$12,Mobs,MATCH($K13,MobHeader,0), FALSE)</f>
        <v>130</v>
      </c>
      <c r="M13" s="31" t="s">
        <v>163</v>
      </c>
      <c r="N13" s="31" t="s">
        <v>165</v>
      </c>
      <c r="O13" s="31"/>
      <c r="P13" s="31"/>
    </row>
    <row r="14" spans="1:16">
      <c r="K14" t="s">
        <v>33</v>
      </c>
      <c r="L14">
        <f>VLOOKUP($L$12,Mobs,MATCH($K14,MobHeader,0), FALSE)</f>
        <v>1239</v>
      </c>
      <c r="M14">
        <f>$L14-TRUNC($L14*MIN(0.99,Setup!N4+IF(Setup!$J48=1,Setup!$M48*IF(Setup!J43=1,2,IF(Setup!J44=1,IF(Setup!J45=1,1.75,1.5),1)),0)))</f>
        <v>248</v>
      </c>
      <c r="N14">
        <f>$L14-TRUNC($L14*MIN(0.99,Setup!N4+IF(Setup!$K48=1,Setup!$N48*IF(Setup!K43=1,2,IF(Setup!K44=1,IF(Setup!K45=1,1.75,1.5),1)),0)))</f>
        <v>248</v>
      </c>
      <c r="O14" s="31"/>
      <c r="P14" s="31"/>
    </row>
    <row r="15" spans="1:16">
      <c r="B15" s="2" t="s">
        <v>609</v>
      </c>
      <c r="C15" t="s">
        <v>610</v>
      </c>
      <c r="D15" s="7" t="s">
        <v>232</v>
      </c>
      <c r="E15" s="7" t="s">
        <v>234</v>
      </c>
      <c r="H15" s="12" t="s">
        <v>163</v>
      </c>
      <c r="I15" s="12" t="s">
        <v>165</v>
      </c>
      <c r="K15" t="s">
        <v>36</v>
      </c>
      <c r="M15">
        <f>IF(VLOOKUP($L$12,Mobs,MATCH("Level Correct",MobHeader,0),FALSE) = "Yes", IF(L13&gt;($B$1+1),0.05*(L13-($B$1+1)),0), 0)</f>
        <v>0</v>
      </c>
      <c r="O15" s="31"/>
      <c r="P15" s="31"/>
    </row>
    <row r="16" spans="1:16">
      <c r="A16" t="s">
        <v>12</v>
      </c>
      <c r="B16" s="2">
        <f>IF($D$1="War", 10%, IF(Spells!E26="DA", 7%, 0))</f>
        <v>0.1</v>
      </c>
      <c r="C16" s="2">
        <f>IF($E$1="War", 10%, IF(Spells!V26="DA", 7%, 0))</f>
        <v>0.1</v>
      </c>
      <c r="D16" s="12">
        <f>IF(Setup!$F$20=1, IF(ISBLANK($O$3),0,VLOOKUP($O$3,AtmaList,MATCH($A16,AtmaHeader,0), FALSE))+IF(ISBLANK($O$4),0,VLOOKUP($O$4,AtmaList,MATCH($A16,AtmaHeader,0), FALSE))+IF(ISBLANK($O$5),0,VLOOKUP($O$5,AtmaList,MATCH($A16,AtmaHeader,0), FALSE)), 0)</f>
        <v>0</v>
      </c>
      <c r="E16" s="12">
        <f>IF(Setup!$F$20=1, IF(ISBLANK($P$3),0,VLOOKUP($P$3,AtmaList,MATCH($A16,AtmaHeader,0), FALSE))+IF(ISBLANK($P$4),0,VLOOKUP($P$4,AtmaList,MATCH($A16,AtmaHeader,0), FALSE))+IF(ISBLANK($P$5),0,VLOOKUP($P$5,AtmaList,MATCH($A16,AtmaHeader,0), FALSE)), 0)</f>
        <v>0</v>
      </c>
      <c r="H16" t="str">
        <f>Gear!A3</f>
        <v>Sword</v>
      </c>
      <c r="I16" t="str">
        <f>Gear!Z3</f>
        <v>Sword</v>
      </c>
      <c r="K16" t="s">
        <v>34</v>
      </c>
      <c r="L16">
        <f>VLOOKUP($L$12,Mobs,MATCH($K16,MobHeader,0), FALSE)</f>
        <v>1219</v>
      </c>
      <c r="M16">
        <f>$L16 - TRUNC(IF(Setup!J47=1, Setup!M47 * IF(Setup!J43=1, 2, IF(Setup!J44=1, IF(Setup!J45=1, 1.75, 1.5), IF(Setup!J45=1, 1.25, 1)))))</f>
        <v>1219</v>
      </c>
      <c r="N16">
        <f>$L16 - TRUNC(IF(Setup!K47=1, Setup!N47 * IF(Setup!K43=1, 2, IF(Setup!K44=1, IF(Setup!K45=1, 1.75, 1.5), IF(Setup!K45=1, 1.25, 1)))))</f>
        <v>1219</v>
      </c>
      <c r="O16" s="31"/>
      <c r="P16" s="31"/>
    </row>
    <row r="17" spans="1:16">
      <c r="A17" t="s">
        <v>166</v>
      </c>
      <c r="B17" s="12">
        <f>IF(Spells!E26="TA", 5%, 0)</f>
        <v>0.05</v>
      </c>
      <c r="C17" s="12">
        <f>IF(Spells!V26="TA", 5%, 0)</f>
        <v>0.05</v>
      </c>
      <c r="D17" s="12">
        <f>IF(Setup!$F$20=1, IF(ISBLANK($O$3),0,VLOOKUP($O$3,AtmaList,MATCH($A17,AtmaHeader,0), FALSE))+IF(ISBLANK($O$4),0,VLOOKUP($O$4,AtmaList,MATCH($A17,AtmaHeader,0), FALSE))+IF(ISBLANK($O$5),0,VLOOKUP($O$5,AtmaList,MATCH($A17,AtmaHeader,0), FALSE)), 0)</f>
        <v>0</v>
      </c>
      <c r="E17" s="12">
        <f>IF(Setup!$F$20=1, IF(ISBLANK($P$3),0,VLOOKUP($P$3,AtmaList,MATCH($A17,AtmaHeader,0), FALSE))+IF(ISBLANK($P$4),0,VLOOKUP($P$4,AtmaList,MATCH($A17,AtmaHeader,0), FALSE))+IF(ISBLANK($P$5),0,VLOOKUP($P$5,AtmaList,MATCH($A17,AtmaHeader,0), FALSE)), 0)</f>
        <v>0</v>
      </c>
      <c r="G17" t="s">
        <v>602</v>
      </c>
      <c r="H17" s="31">
        <f ca="1">VLOOKUP(Gear!$B$3, INDIRECT(Gear!$A$3), MATCH("Dmg", StatHeader, 0), 0)</f>
        <v>147</v>
      </c>
      <c r="I17" s="31">
        <f ca="1">VLOOKUP(Gear!$AA$3, INDIRECT(Gear!$Z$3), MATCH("Dmg", StatHeader, 0), 0)</f>
        <v>158</v>
      </c>
      <c r="K17" t="s">
        <v>36</v>
      </c>
      <c r="M17">
        <f>IF(VLOOKUP($L$12,Mobs,MATCH("Level Correct",MobHeader,0),FALSE) = "Yes", IF(L13&gt;($B$1+1),MAX((L13-($B$1+1))*4, 0), 0), 0)</f>
        <v>0</v>
      </c>
      <c r="O17" s="31"/>
      <c r="P17" s="31"/>
    </row>
    <row r="18" spans="1:16">
      <c r="A18" t="s">
        <v>238</v>
      </c>
      <c r="B18" s="2"/>
      <c r="D18" s="2">
        <f>IF(AND($D$1="Sam", Gear!A3="Greatsword"), 25%, 0)</f>
        <v>0</v>
      </c>
      <c r="E18" s="2">
        <f>IF(AND($E$1="Sam", Gear!Z3="Greatsword"), 25%, 0)</f>
        <v>0</v>
      </c>
      <c r="G18" t="s">
        <v>603</v>
      </c>
      <c r="H18" s="31">
        <f ca="1">VLOOKUP(Gear!$B$3, INDIRECT(Gear!$A$3), MATCH("Dly", StatHeader, 0), 0)</f>
        <v>236</v>
      </c>
      <c r="I18" s="31">
        <f ca="1">VLOOKUP(Gear!$AA$3, INDIRECT(Gear!$Z$3), MATCH("Dly", StatHeader, 0), 0)</f>
        <v>224</v>
      </c>
      <c r="K18" t="s">
        <v>42</v>
      </c>
      <c r="L18">
        <f>VLOOKUP($L$12,Mobs,MATCH($K18,MobHeader,0), FALSE)</f>
        <v>272</v>
      </c>
      <c r="O18" s="31"/>
      <c r="P18" s="31"/>
    </row>
    <row r="19" spans="1:16">
      <c r="A19" t="s">
        <v>681</v>
      </c>
      <c r="B19">
        <f ca="1">IF(AND($D$1="War", $B$1&gt;=90, H21=0), 1, 0)</f>
        <v>0</v>
      </c>
      <c r="C19">
        <f ca="1">IF(AND($E$1="War", $B$1&gt;=90, I21=0), 1, 0)</f>
        <v>0</v>
      </c>
      <c r="H19" t="str">
        <f>Gear!A4</f>
        <v>Sword</v>
      </c>
      <c r="I19" t="str">
        <f>Gear!Z4</f>
        <v>Sword</v>
      </c>
      <c r="K19" t="s">
        <v>5</v>
      </c>
      <c r="L19">
        <f>VLOOKUP($L$12,Mobs,MATCH($K19,MobHeader,0), FALSE)</f>
        <v>271</v>
      </c>
      <c r="O19" s="31"/>
      <c r="P19" s="31"/>
    </row>
    <row r="20" spans="1:16">
      <c r="A20" s="38" t="s">
        <v>124</v>
      </c>
      <c r="B20" s="2">
        <f ca="1">IF(B19=1, 5%, 0)</f>
        <v>0</v>
      </c>
      <c r="C20" s="2">
        <f ca="1">IF(C19=1, 5%, 0)</f>
        <v>0</v>
      </c>
      <c r="D20" s="12">
        <f>IF(Setup!$F$20=1, IF(ISBLANK($O$3),0,VLOOKUP($O$3,AtmaList,MATCH(A20,AtmaHeader,0), FALSE))+IF(ISBLANK($O$4),0,VLOOKUP($O$4,AtmaList,MATCH(A20,AtmaHeader,0), FALSE))+IF(ISBLANK($O$5),0,VLOOKUP($O$5,AtmaList,MATCH(A20,AtmaHeader,0), FALSE)), 0)</f>
        <v>0</v>
      </c>
      <c r="E20" s="2">
        <f>IF(Setup!$F$20=1, IF(ISBLANK($P$3),0,VLOOKUP($P$3,AtmaList,MATCH(A20,AtmaHeader,0), FALSE))+IF(ISBLANK($P$4),0,VLOOKUP($P$4,AtmaList,MATCH(A20,AtmaHeader,0), FALSE))+IF(ISBLANK($P$5),0,VLOOKUP($P$5,AtmaList,MATCH(A20,AtmaHeader,0), FALSE)), 0)</f>
        <v>0</v>
      </c>
      <c r="G20" t="s">
        <v>604</v>
      </c>
      <c r="H20" s="31">
        <f ca="1">IF(OR(Gear!A4="Sword", Gear!A4="Club"), VLOOKUP(Gear!$B$4, INDIRECT(Gear!$A$4), MATCH("Dmg", StatHeader, 0), 0), 0)</f>
        <v>158</v>
      </c>
      <c r="I20" s="31">
        <f ca="1">IF(OR(Gear!Z4="Sword", Gear!Z4="Club"), VLOOKUP(Gear!$AA$4, INDIRECT(Gear!$Z$4), MATCH("Dmg", StatHeader, 0), 0), 0)</f>
        <v>168</v>
      </c>
      <c r="K20" t="s">
        <v>269</v>
      </c>
      <c r="L20">
        <f>VLOOKUP($L$12,Mobs,MATCH($K20,MobHeader,0), FALSE)</f>
        <v>258</v>
      </c>
      <c r="O20" s="31"/>
      <c r="P20" s="31"/>
    </row>
    <row r="21" spans="1:16">
      <c r="A21" t="s">
        <v>126</v>
      </c>
      <c r="B21" s="2">
        <f>Spells!H26</f>
        <v>0.11</v>
      </c>
      <c r="C21" s="2">
        <f>Spells!Y26</f>
        <v>0.11</v>
      </c>
      <c r="D21" s="12">
        <f>IF(Setup!$F$20=1, IF(ISBLANK($O$3),0,VLOOKUP($O$3,AtmaList,MATCH(A21,AtmaHeader,0), FALSE))+IF(ISBLANK($O$4),0,VLOOKUP($O$4,AtmaList,MATCH(A21,AtmaHeader,0), FALSE))+IF(ISBLANK($O$5),0,VLOOKUP($O$5,AtmaList,MATCH(A21,AtmaHeader,0), FALSE)), 0)</f>
        <v>0</v>
      </c>
      <c r="E21" s="2">
        <f>IF(Setup!$F$20=1, IF(ISBLANK($P$3),0,VLOOKUP($P$3,AtmaList,MATCH(A21,AtmaHeader,0), FALSE))+IF(ISBLANK($P$4),0,VLOOKUP($P$4,AtmaList,MATCH(A21,AtmaHeader,0), FALSE))+IF(ISBLANK($P$5),0,VLOOKUP($P$5,AtmaList,MATCH(A21,AtmaHeader,0), FALSE)), 0)</f>
        <v>0</v>
      </c>
      <c r="G21" t="s">
        <v>605</v>
      </c>
      <c r="H21" s="31">
        <f ca="1">IF(OR(Gear!A4="Sword", Gear!A4="Club"), VLOOKUP(Gear!$B$4, INDIRECT(Gear!$A$4), MATCH("Dly", StatHeader, 0), 0), 0)</f>
        <v>224</v>
      </c>
      <c r="I21" s="31">
        <f ca="1">IF(OR(Gear!Z4="Sword", Gear!Z4="Club"), VLOOKUP(Gear!$AA$4, INDIRECT(Gear!$Z$4), MATCH("Dly", StatHeader, 0), 0), 0)</f>
        <v>240</v>
      </c>
      <c r="K21" t="s">
        <v>722</v>
      </c>
      <c r="L21" s="94">
        <f>VLOOKUP($L$12,Mobs,MATCH($K21,MobHeader,0), FALSE)</f>
        <v>0</v>
      </c>
      <c r="O21" s="31"/>
      <c r="P21" s="31"/>
    </row>
    <row r="22" spans="1:16">
      <c r="A22" t="s">
        <v>13</v>
      </c>
      <c r="B22" s="31">
        <f>MAX(Spells!I26, IF($D$1="Sam", 10, 0))</f>
        <v>25</v>
      </c>
      <c r="C22" s="31">
        <f>MAX(Spells!Z26, IF($E$1="Sam", 10, 0))</f>
        <v>25</v>
      </c>
      <c r="D22" s="48">
        <f>IF(Setup!$F$20=1, IF(ISBLANK($O$3),0,VLOOKUP($O$3,AtmaList,MATCH(A22,AtmaHeader,0), FALSE))+IF(ISBLANK($O$4),0,VLOOKUP($O$4,AtmaList,MATCH(A22,AtmaHeader,0), FALSE))+IF(ISBLANK($O$5),0,VLOOKUP($O$5,AtmaList,MATCH(A22,AtmaHeader,0), FALSE)), 0)</f>
        <v>0</v>
      </c>
      <c r="E22" s="34">
        <f>IF(Setup!$F$20=1, IF(ISBLANK($P$3),0,VLOOKUP($P$3,AtmaList,MATCH(A22,AtmaHeader,0), FALSE))+IF(ISBLANK($P$4),0,VLOOKUP($P$4,AtmaList,MATCH(A22,AtmaHeader,0), FALSE))+IF(ISBLANK($P$5),0,VLOOKUP($P$5,AtmaList,MATCH(A22,AtmaHeader,0), FALSE)), 0)</f>
        <v>0</v>
      </c>
      <c r="G22" s="31" t="s">
        <v>804</v>
      </c>
      <c r="H22" s="48">
        <f>VLOOKUP(H16, Skills, 3, 0) + VLOOKUP(H16, WeaponMerits, 2, 0) + 5*(MAX(0, MIN(Data!$B$1-75, 5)))+6*(MAX(0, MIN(Data!$B$1-80, 10)))+7*(MAX(0,Data!$B$1-90))</f>
        <v>440</v>
      </c>
      <c r="I22" s="48">
        <f>VLOOKUP(I16, Skills, 3, 0) + VLOOKUP(I16, WeaponMerits, 2, 0) + 5*(MAX(0, MIN(Data!$B$1-75, 5)))+6*(MAX(0, MIN(Data!$B$1-80, 10)))+7*(MAX(0,Data!$B$1-90))</f>
        <v>440</v>
      </c>
      <c r="K22" t="s">
        <v>124</v>
      </c>
      <c r="L22" s="94">
        <f>VLOOKUP($L$12,Mobs,MATCH($K22,MobHeader,0), FALSE)</f>
        <v>0</v>
      </c>
      <c r="O22" s="31"/>
      <c r="P22" s="31"/>
    </row>
    <row r="23" spans="1:16">
      <c r="A23" s="38" t="s">
        <v>239</v>
      </c>
      <c r="B23">
        <f>VLOOKUP($F$1,Food,MATCH("Store TP",FoodHeader,0), 0)</f>
        <v>0</v>
      </c>
      <c r="C23">
        <f>VLOOKUP($F$1,Food,MATCH("Store TP",FoodHeader,0), 0)</f>
        <v>0</v>
      </c>
      <c r="G23" s="31" t="s">
        <v>803</v>
      </c>
      <c r="H23">
        <f>IF(H19="Shield", 0, VLOOKUP(H19, Skills, 3, 0) + VLOOKUP(H19, WeaponMerits, 2, 0) + 5*(MAX(0, MIN(Data!$B$1-75, 5)))+6*(MAX(0, MIN(Data!$B$1-80, 10)))+7*(MAX(0,Data!$B$1-90)))</f>
        <v>440</v>
      </c>
      <c r="I23">
        <f>IF(I19="Shield", 0, VLOOKUP(I19, Skills, 3, 0) + VLOOKUP(I19, WeaponMerits, 2, 0) + 5*(MAX(0, MIN(Data!$B$1-75, 5)))+6*(MAX(0, MIN(Data!$B$1-80, 10)))+7*(MAX(0,Data!$B$1-90)))</f>
        <v>440</v>
      </c>
      <c r="O23" s="31"/>
      <c r="P23" s="31"/>
    </row>
    <row r="24" spans="1:16">
      <c r="A24" s="38" t="s">
        <v>240</v>
      </c>
      <c r="B24">
        <f ca="1">IF(B19=1, 20, 0)</f>
        <v>0</v>
      </c>
      <c r="C24">
        <f ca="1">IF(C19=1, 20, 0)</f>
        <v>0</v>
      </c>
      <c r="D24" s="48">
        <f>IF(Setup!$F$20=1, IF(ISBLANK($O$3),0,VLOOKUP($O$3,AtmaList,MATCH(A24,AtmaHeader,0), FALSE))+IF(ISBLANK($O$4),0,VLOOKUP($O$4,AtmaList,MATCH(A24,AtmaHeader,0), FALSE))+IF(ISBLANK($O$5),0,VLOOKUP($O$5,AtmaList,MATCH(A24,AtmaHeader,0), FALSE)), 0)</f>
        <v>0</v>
      </c>
      <c r="E24" s="34">
        <f>IF(Setup!$F$20=1, IF(ISBLANK($P$3),0,VLOOKUP($P$3,AtmaList,MATCH(A24,AtmaHeader,0), FALSE))+IF(ISBLANK($P$4),0,VLOOKUP($P$4,AtmaList,MATCH(A24,AtmaHeader,0), FALSE))+IF(ISBLANK($P$5),0,VLOOKUP($P$5,AtmaList,MATCH(A24,AtmaHeader,0), FALSE)), 0)</f>
        <v>0</v>
      </c>
      <c r="G24" s="38" t="s">
        <v>1176</v>
      </c>
      <c r="H24" s="2">
        <f>Setup!B23</f>
        <v>0</v>
      </c>
      <c r="I24" s="2">
        <f>Setup!C23</f>
        <v>0.6</v>
      </c>
      <c r="O24" s="31"/>
      <c r="P24" s="31"/>
    </row>
    <row r="25" spans="1:16">
      <c r="A25" s="38" t="s">
        <v>134</v>
      </c>
      <c r="B25">
        <v>0</v>
      </c>
      <c r="C25">
        <v>0</v>
      </c>
      <c r="D25" s="48">
        <f>IF(Setup!$F$20=1, IF(ISBLANK($O$3),0,VLOOKUP($O$3,AtmaList,MATCH(A25,AtmaHeader,0), FALSE))+IF(ISBLANK($O$4),0,VLOOKUP($O$4,AtmaList,MATCH(A25,AtmaHeader,0), FALSE))+IF(ISBLANK($O$5),0,VLOOKUP($O$5,AtmaList,MATCH(A25,AtmaHeader,0), FALSE)), 0)</f>
        <v>0</v>
      </c>
      <c r="E25" s="34">
        <f>IF(Setup!$F$20=1, IF(ISBLANK($P$3),0,VLOOKUP($P$3,AtmaList,MATCH(A25,AtmaHeader,0), FALSE))+IF(ISBLANK($P$4),0,VLOOKUP($P$4,AtmaList,MATCH(A25,AtmaHeader,0), FALSE))+IF(ISBLANK($P$5),0,VLOOKUP($P$5,AtmaList,MATCH(A25,AtmaHeader,0), FALSE)), 0)</f>
        <v>0</v>
      </c>
      <c r="G25" t="s">
        <v>141</v>
      </c>
      <c r="H25" s="2">
        <f ca="1">IF(H21&gt;0, IF($D$1="Nin", MAX(25%, Spells!D26), IF($D$1="Dnc", MAX(15%, Spells!D26), Spells!D26)), 0)</f>
        <v>0.25</v>
      </c>
      <c r="I25" s="2">
        <f ca="1">IF(I21&gt;0, IF($E$1="Nin", MAX(25%, Spells!U26), IF($E$1="Dnc", MAX(15%, Spells!U26), Spells!U26)), 0)</f>
        <v>0.25</v>
      </c>
      <c r="O25" s="31"/>
      <c r="P25" s="31"/>
    </row>
    <row r="26" spans="1:16">
      <c r="A26" s="38" t="s">
        <v>620</v>
      </c>
      <c r="B26">
        <f>IF($D$1="Rdm", 24, 0)</f>
        <v>0</v>
      </c>
      <c r="C26">
        <f>IF($E$1="Rdm", 24, 0)</f>
        <v>0</v>
      </c>
      <c r="D26" s="48"/>
      <c r="E26" s="34"/>
      <c r="G26" s="31" t="s">
        <v>717</v>
      </c>
      <c r="H26">
        <f ca="1">MIN(Setup!F44 + IF(Setup!J40=1, Setup!M40, 0) + IF(Setup!F34=1, VLOOKUP("Save TP", Ionis, 2, 0), 0) + VLOOKUP(Gear!$B$3, INDIRECT(Gear!$A$3), MATCH("Save TP", StatHeader, 0), 0), 500)</f>
        <v>100</v>
      </c>
      <c r="I26">
        <f ca="1">MIN(Setup!G44 + IF(Setup!K40=1, Setup!N40, 0) + IF(Setup!G34=1, VLOOKUP("Save TP", Ionis, 2, 0), 0) + VLOOKUP(Gear!$AA$3, INDIRECT(Gear!$Z$3), MATCH("Save TP", StatHeader, 0), 0), 500)</f>
        <v>100</v>
      </c>
      <c r="O26" s="31"/>
      <c r="P26" s="31"/>
    </row>
    <row r="27" spans="1:16">
      <c r="O27" s="31"/>
      <c r="P27" s="31"/>
    </row>
    <row r="28" spans="1:16">
      <c r="A28" s="14" t="s">
        <v>28</v>
      </c>
      <c r="B28" s="27" t="s">
        <v>241</v>
      </c>
      <c r="C28" s="27" t="s">
        <v>242</v>
      </c>
      <c r="D28" s="53" t="s">
        <v>243</v>
      </c>
      <c r="E28" s="27" t="s">
        <v>244</v>
      </c>
      <c r="H28" s="94"/>
      <c r="O28" s="31"/>
      <c r="P28" s="31"/>
    </row>
    <row r="29" spans="1:16">
      <c r="A29" s="24" t="s">
        <v>726</v>
      </c>
      <c r="B29" s="23">
        <f>TRUNC(MIN(200, MAX(0, Setup!J7-300))/10) + 5</f>
        <v>25</v>
      </c>
      <c r="C29" s="54">
        <f>TRUNC(MIN(200, MAX(0, Setup!K7-300))/10) + 5</f>
        <v>25</v>
      </c>
      <c r="D29" s="23">
        <f>TRUNC(MIN(200, MAX(0, Setup!J7-300))/10) + 5</f>
        <v>25</v>
      </c>
      <c r="E29" s="23">
        <f>TRUNC(MIN(200, MAX(0, Setup!K7-300))/10) + 5</f>
        <v>25</v>
      </c>
    </row>
    <row r="30" spans="1:16">
      <c r="A30" s="24" t="s">
        <v>727</v>
      </c>
      <c r="B30" s="23">
        <f>IF(Setup!M24=5, 5, IF(Setup!M24&lt;2, 0, Setup!M24-1))</f>
        <v>5</v>
      </c>
      <c r="C30" s="55">
        <f>IF(Setup!N24=5, 5, IF(Setup!N24&lt;2, 0, Setup!N24-1))</f>
        <v>5</v>
      </c>
      <c r="D30" s="23">
        <f>IF(Setup!M24=5, 5, IF(Setup!M24&lt;2, 0, Setup!M24-1))</f>
        <v>5</v>
      </c>
      <c r="E30" s="23">
        <f>IF(Setup!N24=5, 5, IF(Setup!N24&lt;2, 0, Setup!N24-1))</f>
        <v>5</v>
      </c>
    </row>
    <row r="31" spans="1:16">
      <c r="A31" t="s">
        <v>3</v>
      </c>
      <c r="B31" s="7">
        <f ca="1">$J3+HLOOKUP($A31, INDIRECT(B$28), MATCH("Total", Slots, 0)+1, 0) + IF(AND(Setup!$J8=1,Setup!$I$8="Boost-Str"), B29, 0) + IF(Setup!$J27=1, B30, 0) + IF(Setup!$J28=1, B30, 0) + IF(Setup!$J29=1, B30, 0)</f>
        <v>272</v>
      </c>
      <c r="C31" s="56">
        <f ca="1">$K3+HLOOKUP($A31, INDIRECT(C$28), MATCH("Total", Slots, 0)+1, 0) + IF(AND(Setup!$K8=1,Setup!$I$8="Boost-Str"), C29, 0) + IF(Setup!$K27=1, C30, 0) + IF(Setup!$K28=1, C30, 0) + IF(Setup!$K29=1, C30, 0)</f>
        <v>237</v>
      </c>
      <c r="D31" s="7">
        <f ca="1">$J3+HLOOKUP($A31, INDIRECT(D$28), MATCH("Total", Slots, 0)+1, 0) + IF(AND(Setup!$J8=1,Setup!$I$8="Boost-Str"), D29, 0) + IF(Setup!$J27=1, D30, 0) + IF(Setup!$J28=1, D30, 0) + IF(Setup!$J29=1, D30, 0)</f>
        <v>341</v>
      </c>
      <c r="E31" s="7">
        <f ca="1">$K3+HLOOKUP($A31, INDIRECT(E$28), MATCH("Total", Slots, 0)+1, 0) + IF(AND(Setup!$K8=1,Setup!$I$8="Boost-Str"), E29, 0) + IF(Setup!$K27=1, E30, 0) + IF(Setup!$K28=1, E30, 0) + IF(Setup!$K29=1, E30, 0)</f>
        <v>244</v>
      </c>
    </row>
    <row r="32" spans="1:16">
      <c r="A32" t="s">
        <v>4</v>
      </c>
      <c r="B32" s="7">
        <f ca="1">$J4 + HLOOKUP($A32, INDIRECT(B$28), MATCH("Total", Slots, 0)+1, 0) + IF(AND(Setup!$J8=1,Setup!$I$8="Boost-Dex"), B29, 0) + IF(Setup!$J25=1, B30, 0) + IF(Setup!$J26=1, B30, 0) + IF(Setup!$J30=1, B30, 0) + IF(Setup!$J31=1, B30, 0)</f>
        <v>399</v>
      </c>
      <c r="C32" s="56">
        <f ca="1">$K4 + HLOOKUP($A32, INDIRECT(C$28), MATCH("Total", Slots, 0)+1, 0) + IF(AND(Setup!$K8=1,Setup!$I$8="Boost-Dex"), C29, 0) + IF(Setup!$K25=1, C30, 0) + IF(Setup!$K26=1, C30, 0) + IF(Setup!$K30=1, C30, 0) + IF(Setup!$K31=1, C30, 0)</f>
        <v>394</v>
      </c>
      <c r="D32" s="7">
        <f ca="1">$J4 + HLOOKUP($A32, INDIRECT(D$28), MATCH("Total", Slots, 0)+1, 0) + IF(AND(Setup!$J8=1,Setup!$I$8="Boost-Dex"), D29, 0) + IF(Setup!$J25=1, D30, 0) + IF(Setup!$J26=1, D30, 0) + IF(Setup!$J30=1, D30, 0) + IF(Setup!$J31=1, D30, 0)</f>
        <v>352</v>
      </c>
      <c r="E32" s="7">
        <f ca="1">$K4 + HLOOKUP($A32, INDIRECT(E$28), MATCH("Total", Slots, 0)+1, 0) + IF(AND(Setup!$K8=1,Setup!$I$8="Boost-Dex"), E29, 0) + IF(Setup!$K25=1, E30, 0) + IF(Setup!$K26=1, E30, 0) + IF(Setup!$K30=1, E30, 0) + IF(Setup!$K31=1, E30, 0)</f>
        <v>407</v>
      </c>
    </row>
    <row r="33" spans="1:9">
      <c r="A33" s="24" t="s">
        <v>5</v>
      </c>
      <c r="B33" s="66">
        <f ca="1">$J5</f>
        <v>100</v>
      </c>
      <c r="C33" s="56">
        <f ca="1">$K5</f>
        <v>100</v>
      </c>
      <c r="D33" s="66">
        <f ca="1">$J5</f>
        <v>100</v>
      </c>
      <c r="E33" s="66">
        <f ca="1">$K5</f>
        <v>100</v>
      </c>
    </row>
    <row r="34" spans="1:9">
      <c r="A34" s="24" t="s">
        <v>269</v>
      </c>
      <c r="B34" s="7">
        <f ca="1">$J7+HLOOKUP($A34, INDIRECT(B$28), MATCH("Total", Slots, 0)+1, 0)</f>
        <v>158</v>
      </c>
      <c r="C34" s="56">
        <f ca="1">$K7+HLOOKUP($A34, INDIRECT(C$28), MATCH("Total", Slots, 0)+1, 0)</f>
        <v>163</v>
      </c>
      <c r="D34" s="7">
        <f ca="1">$J7+HLOOKUP($A34, INDIRECT(D$28), MATCH("Total", Slots, 0)+1, 0)</f>
        <v>275</v>
      </c>
      <c r="E34" s="7">
        <f ca="1">$K7+HLOOKUP($A34, INDIRECT(E$28), MATCH("Total", Slots, 0)+1, 0)</f>
        <v>158</v>
      </c>
    </row>
    <row r="35" spans="1:9">
      <c r="A35" s="25" t="s">
        <v>270</v>
      </c>
      <c r="B35" s="57">
        <f ca="1">$J8+HLOOKUP($A35, INDIRECT(B$28), MATCH("Total", Slots, 0)+1, 0)</f>
        <v>169</v>
      </c>
      <c r="C35" s="58">
        <f ca="1">$K8+HLOOKUP($A35, INDIRECT(C$28), MATCH("Total", Slots, 0)+1, 0)</f>
        <v>166</v>
      </c>
      <c r="D35" s="57">
        <f ca="1">$J8+HLOOKUP($A35, INDIRECT(D$28), MATCH("Total", Slots, 0)+1, 0)</f>
        <v>217</v>
      </c>
      <c r="E35" s="57">
        <f ca="1">$K8+HLOOKUP($A35, INDIRECT(E$28), MATCH("Total", Slots, 0)+1, 0)</f>
        <v>178</v>
      </c>
    </row>
    <row r="36" spans="1:9">
      <c r="A36" s="125" t="s">
        <v>1096</v>
      </c>
      <c r="B36" s="66">
        <f>Setup!F37</f>
        <v>70</v>
      </c>
      <c r="C36" s="66">
        <f>Setup!G37</f>
        <v>70</v>
      </c>
      <c r="D36" s="169">
        <f>B36</f>
        <v>70</v>
      </c>
      <c r="E36" s="66">
        <f>C36</f>
        <v>70</v>
      </c>
    </row>
    <row r="37" spans="1:9">
      <c r="A37" s="159" t="s">
        <v>1097</v>
      </c>
      <c r="B37" s="57">
        <f>Setup!F38</f>
        <v>36</v>
      </c>
      <c r="C37" s="57">
        <f>Setup!G38</f>
        <v>36</v>
      </c>
      <c r="D37" s="170">
        <f>B37</f>
        <v>36</v>
      </c>
      <c r="E37" s="57">
        <f>C37</f>
        <v>36</v>
      </c>
    </row>
    <row r="38" spans="1:9">
      <c r="A38" t="s">
        <v>788</v>
      </c>
      <c r="B38" s="34">
        <f ca="1">B31-$L$19</f>
        <v>1</v>
      </c>
      <c r="C38" s="68">
        <f ca="1">C31-$L$19</f>
        <v>-34</v>
      </c>
      <c r="D38" s="34">
        <f ca="1">D31-$L$19</f>
        <v>70</v>
      </c>
      <c r="E38" s="34">
        <f ca="1">E31-$L$19</f>
        <v>-27</v>
      </c>
    </row>
    <row r="39" spans="1:9">
      <c r="A39" s="14" t="s">
        <v>789</v>
      </c>
      <c r="B39" s="57">
        <f ca="1">IF(B38&lt;20, TRUNC(8 - B38/5), 4)</f>
        <v>7</v>
      </c>
      <c r="C39" s="58">
        <f ca="1">IF(C38&lt;20, TRUNC(8 - C38/5), 4)</f>
        <v>14</v>
      </c>
      <c r="D39" s="57">
        <f ca="1">IF(D38&lt;20, TRUNC(8 - D38/5), 4)</f>
        <v>4</v>
      </c>
      <c r="E39" s="57">
        <f ca="1">IF(E38&lt;20, TRUNC(8 - E38/5), 4)</f>
        <v>13</v>
      </c>
    </row>
    <row r="40" spans="1:9">
      <c r="A40" s="24" t="s">
        <v>111</v>
      </c>
      <c r="B40" s="66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C40" s="65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  <c r="D40" s="66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E40" s="66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</row>
    <row r="41" spans="1:9">
      <c r="A41" s="125" t="s">
        <v>857</v>
      </c>
      <c r="B41" s="66">
        <f>IF(Setup!$F$34=1, VLOOKUP("Att", Ionis, 2, 0), 0)</f>
        <v>20</v>
      </c>
      <c r="C41" s="56">
        <f>IF(Setup!$G$34=1, VLOOKUP("Att", Ionis, 2, 0), 0)</f>
        <v>20</v>
      </c>
      <c r="D41" s="66">
        <f>IF(Setup!$F$34=1, VLOOKUP("Att", Ionis, 2, 0), 0)</f>
        <v>20</v>
      </c>
      <c r="E41" s="66">
        <f>IF(Setup!$G$34=1, VLOOKUP("Att", Ionis, 2, 0), 0)</f>
        <v>20</v>
      </c>
    </row>
    <row r="42" spans="1:9">
      <c r="A42" s="24" t="s">
        <v>729</v>
      </c>
      <c r="B42" s="66">
        <f>IF(LEFT(Gear!$B3,6)="Tizona", IF(ISERROR(VALUE(RIGHT(Gear!$B3,3))), 0, VALUE(RIGHT(Gear!$B3,3))), 0)</f>
        <v>119</v>
      </c>
      <c r="C42" s="56">
        <f>IF(LEFT(Gear!$AA3,6)="Tizona", IF(ISERROR(VALUE(RIGHT(Gear!$AA3,3))), 0, VALUE(RIGHT(Gear!$AA3,3))), 0)</f>
        <v>0</v>
      </c>
      <c r="D42" s="66">
        <f>IF(LEFT(Gear!$B3,6)="Tizona", IF(ISERROR(VALUE(RIGHT(Gear!$B3,3))), 0, VALUE(RIGHT(Gear!$B3,3))), 0)</f>
        <v>119</v>
      </c>
      <c r="E42" s="66">
        <f>IF(LEFT(Gear!$AA3,6)="Tizona", IF(ISERROR(VALUE(RIGHT(Gear!$AA3,3))), 0, VALUE(RIGHT(Gear!$AA3,3))), 0)</f>
        <v>0</v>
      </c>
      <c r="G42" s="20" t="s">
        <v>733</v>
      </c>
      <c r="H42" s="20" t="s">
        <v>163</v>
      </c>
      <c r="I42" t="s">
        <v>165</v>
      </c>
    </row>
    <row r="43" spans="1:9">
      <c r="A43" s="25" t="s">
        <v>730</v>
      </c>
      <c r="B43" s="57">
        <f>IF(AND(B42&gt;0, Setup!$B25=1, Setup!$B27=0), VLOOKUP(B42, AM2Table, 2, 0), 0)</f>
        <v>0</v>
      </c>
      <c r="C43" s="58">
        <f>IF(AND(C42&gt;0, Setup!$C25=1, Setup!$C27=0), VLOOKUP(C42, AM2Table, 3, 0), 0)</f>
        <v>0</v>
      </c>
      <c r="D43" s="57">
        <f>IF(AND(D42&gt;0, Setup!$B25=1, Setup!$B27=0), VLOOKUP(D42, AM2Table, 2, 0), 0)</f>
        <v>0</v>
      </c>
      <c r="E43" s="57">
        <f>IF(AND(E42&gt;0, Setup!$C25=1, Setup!$C27=0), VLOOKUP(E42, AM2Table, 3, 0), 0)</f>
        <v>0</v>
      </c>
      <c r="G43" t="s">
        <v>300</v>
      </c>
      <c r="H43" s="91">
        <f>Setup!B26</f>
        <v>210</v>
      </c>
      <c r="I43" s="91">
        <f>Setup!C26</f>
        <v>210</v>
      </c>
    </row>
    <row r="44" spans="1:9">
      <c r="A44" s="24" t="s">
        <v>728</v>
      </c>
      <c r="B44" s="66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C44" s="56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D44" s="66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E44" s="66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G44" s="20">
        <v>75</v>
      </c>
      <c r="H44" s="20">
        <f>MAX(TRUNC(2*H$43/5-60), 0)</f>
        <v>24</v>
      </c>
      <c r="I44" s="20">
        <f>MAX(TRUNC(2*I$43/5-60), 0)</f>
        <v>24</v>
      </c>
    </row>
    <row r="45" spans="1:9">
      <c r="A45" s="125" t="s">
        <v>858</v>
      </c>
      <c r="B45" s="66">
        <f>IF(Setup!$F$34=1, VLOOKUP("Acc", Ionis, 2, 0), 0)</f>
        <v>20</v>
      </c>
      <c r="C45" s="56">
        <f>IF(Setup!$G$34=1, VLOOKUP("Acc", Ionis, 2, 0), 0)</f>
        <v>20</v>
      </c>
      <c r="D45" s="66">
        <f>IF(Setup!$F$34=1, VLOOKUP("Acc", Ionis, 2, 0), 0)</f>
        <v>20</v>
      </c>
      <c r="E45" s="66">
        <f>IF(Setup!$G$34=1, VLOOKUP("Acc", Ionis, 2, 0), 0)</f>
        <v>20</v>
      </c>
      <c r="G45" s="20">
        <v>80</v>
      </c>
      <c r="H45" s="20">
        <f t="shared" ref="H45:I47" si="5">MAX(TRUNC(3*H$43/5-90), 0)</f>
        <v>36</v>
      </c>
      <c r="I45" s="20">
        <f t="shared" si="5"/>
        <v>36</v>
      </c>
    </row>
    <row r="46" spans="1:9">
      <c r="A46" s="24" t="s">
        <v>206</v>
      </c>
      <c r="B46" s="29">
        <f>IF(AND(Setup!$F$13=1, $D$1="War"), 25, 0)</f>
        <v>0</v>
      </c>
      <c r="C46" s="61">
        <f>IF(AND(Setup!$G$13=1, $E$1="War"), 25, 0)</f>
        <v>0</v>
      </c>
      <c r="D46" s="29">
        <f>IF(AND(Setup!$F$13=1, $D$1="War"), 25, 0)</f>
        <v>0</v>
      </c>
      <c r="E46" s="29">
        <f>IF(AND(Setup!$G$13=1, $E$1="War"), 25, 0)</f>
        <v>0</v>
      </c>
      <c r="G46">
        <v>85</v>
      </c>
      <c r="H46" s="20">
        <f t="shared" si="5"/>
        <v>36</v>
      </c>
      <c r="I46" s="20">
        <f t="shared" si="5"/>
        <v>36</v>
      </c>
    </row>
    <row r="47" spans="1:9">
      <c r="A47" s="125" t="s">
        <v>794</v>
      </c>
      <c r="B47">
        <f>IF(Setup!$J35=1, Setup!$M35, 0)</f>
        <v>0</v>
      </c>
      <c r="C47" s="75">
        <f>IF(Setup!$K35=1, Setup!$N35, 0)</f>
        <v>0</v>
      </c>
      <c r="D47">
        <f>IF(Setup!$J35=1, Setup!$M35, 0)</f>
        <v>0</v>
      </c>
      <c r="E47">
        <f>IF(Setup!$K35=1, Setup!$N35, 0)</f>
        <v>0</v>
      </c>
      <c r="G47">
        <v>90</v>
      </c>
      <c r="H47" s="20">
        <f t="shared" si="5"/>
        <v>36</v>
      </c>
      <c r="I47" s="20">
        <f t="shared" si="5"/>
        <v>36</v>
      </c>
    </row>
    <row r="48" spans="1:9">
      <c r="A48" s="125" t="s">
        <v>925</v>
      </c>
      <c r="B48">
        <f>IF(Setup!$J49=1, Setup!$M49, 0)</f>
        <v>0</v>
      </c>
      <c r="C48" s="75">
        <f>IF(Setup!$K49=1, Setup!$N49, 0)</f>
        <v>0</v>
      </c>
      <c r="D48">
        <f>IF(Setup!$J49=1, Setup!$M49, 0)</f>
        <v>0</v>
      </c>
      <c r="E48">
        <f>IF(Setup!$K49=1, Setup!$N49, 0)</f>
        <v>0</v>
      </c>
      <c r="G48">
        <v>95</v>
      </c>
      <c r="H48" s="20">
        <f t="shared" ref="H48:I50" si="6">MAX(TRUNC(H$43/2-60), 0)</f>
        <v>45</v>
      </c>
      <c r="I48" s="20">
        <f t="shared" si="6"/>
        <v>45</v>
      </c>
    </row>
    <row r="49" spans="1:9">
      <c r="A49" s="25" t="s">
        <v>152</v>
      </c>
      <c r="B49" s="26">
        <f>IF(AND(Setup!$F$31=1, OR(Setup!$F$20=1, Setup!$F$26=1)), 50, 0)</f>
        <v>0</v>
      </c>
      <c r="C49" s="62">
        <f>IF(AND(Setup!$G$31=1, OR(Setup!$G$20=1, Setup!$G$26=1)), 50, 0)</f>
        <v>0</v>
      </c>
      <c r="D49" s="26">
        <f>IF(AND(Setup!$F$31=1, OR(Setup!$F$20=1, Setup!$F$26=1)), 50, 0)</f>
        <v>0</v>
      </c>
      <c r="E49" s="26">
        <f>IF(AND(Setup!$G$31=1, OR(Setup!$G$20=1, Setup!$G$26=1)), 50, 0)</f>
        <v>0</v>
      </c>
      <c r="G49">
        <v>99</v>
      </c>
      <c r="H49" s="20">
        <f t="shared" si="6"/>
        <v>45</v>
      </c>
      <c r="I49" s="20">
        <f t="shared" si="6"/>
        <v>45</v>
      </c>
    </row>
    <row r="50" spans="1:9">
      <c r="G50">
        <v>119</v>
      </c>
      <c r="H50" s="20">
        <f t="shared" si="6"/>
        <v>45</v>
      </c>
      <c r="I50" s="20">
        <f t="shared" si="6"/>
        <v>45</v>
      </c>
    </row>
    <row r="51" spans="1:9">
      <c r="A51" s="45" t="s">
        <v>795</v>
      </c>
      <c r="B51" s="27"/>
      <c r="C51" s="27"/>
      <c r="D51" s="27"/>
      <c r="E51" s="27"/>
    </row>
    <row r="52" spans="1:9">
      <c r="A52" s="24" t="s">
        <v>30</v>
      </c>
      <c r="B52" s="23">
        <f ca="1">$H22+HLOOKUP(VLOOKUP($H16, Skills, 2, 0), INDIRECT(B$28), MATCH("Total", Slots, 0)+1, 0) + VLOOKUP(Gear!$B$3, INDIRECT(Gear!$A$3), MATCH("CombatSkill", StatHeader, 0), 0)</f>
        <v>709</v>
      </c>
      <c r="C52" s="54">
        <f ca="1">$I22+HLOOKUP(VLOOKUP($I16, Skills, 2, 0), INDIRECT(C$28), MATCH("Total", Slots, 0)+1, 0) + VLOOKUP(Gear!$AA$3, INDIRECT(Gear!$Z$3), MATCH("CombatSkill", StatHeader, 0), 0)</f>
        <v>714</v>
      </c>
      <c r="D52" s="23">
        <f ca="1">$H22+HLOOKUP(VLOOKUP($H16, Skills, 2, 0), INDIRECT(D$28), MATCH("Total", Slots, 0)+1, 0) + VLOOKUP(Gear!$B$3, INDIRECT(Gear!$A$3), MATCH("CombatSkill", StatHeader, 0), 0)</f>
        <v>709</v>
      </c>
      <c r="E52" s="23">
        <f ca="1">$I22+HLOOKUP(VLOOKUP($I16, Skills, 2, 0), INDIRECT(E$28), MATCH("Total", Slots, 0)+1, 0) + VLOOKUP(Gear!$AA$3, INDIRECT(Gear!$Z$3), MATCH("CombatSkill", StatHeader, 0), 0)</f>
        <v>709</v>
      </c>
    </row>
    <row r="53" spans="1:9">
      <c r="A53" s="24" t="s">
        <v>9</v>
      </c>
      <c r="B53" s="23">
        <f ca="1">8+B52+$H$12</f>
        <v>727</v>
      </c>
      <c r="C53" s="55">
        <f ca="1">8+C52+$I$12</f>
        <v>732</v>
      </c>
      <c r="D53" s="23">
        <f ca="1">8+D52+$H$12</f>
        <v>727</v>
      </c>
      <c r="E53" s="23">
        <f ca="1">8+E52+$I$12</f>
        <v>727</v>
      </c>
    </row>
    <row r="54" spans="1:9">
      <c r="A54" s="25" t="s">
        <v>10</v>
      </c>
      <c r="B54" s="37">
        <f ca="1">MIN(B52, 200) + TRUNC(MAX(MIN(B52-200, 200), 0)*0.9) + TRUNC(MAX(MIN(B52-400, 200), 0)*0.8) + TRUNC(MAX(MIN(B52-600, 200), 0)*0.9)</f>
        <v>638</v>
      </c>
      <c r="C54" s="59">
        <f ca="1">MIN(C52, 200) + TRUNC(MAX(MIN(C52-200, 200), 0)*0.9) + TRUNC(MAX(MIN(C52-400, 200), 0)*0.8) + TRUNC(MAX(MIN(C52-600, 200), 0)*0.9)</f>
        <v>642</v>
      </c>
      <c r="D54" s="37">
        <f ca="1">MIN(D52, 200) + TRUNC(MAX(MIN(D52-200, 200), 0)*0.9) + TRUNC(MAX(MIN(D52-400, 200), 0)*0.8) + TRUNC(MAX(MIN(D52-600, 200), 0)*0.9)</f>
        <v>638</v>
      </c>
      <c r="E54" s="37">
        <f ca="1">MIN(E52, 200) + TRUNC(MAX(MIN(E52-200, 200), 0)*0.9) + TRUNC(MAX(MIN(E52-400, 200), 0)*0.8) + TRUNC(MAX(MIN(E52-600, 200), 0)*0.9)</f>
        <v>638</v>
      </c>
    </row>
    <row r="55" spans="1:9">
      <c r="A55" s="125" t="s">
        <v>809</v>
      </c>
      <c r="B55" s="127">
        <f>75%</f>
        <v>0.75</v>
      </c>
      <c r="C55" s="130">
        <f>75%</f>
        <v>0.75</v>
      </c>
      <c r="D55" s="127">
        <f>75%</f>
        <v>0.75</v>
      </c>
      <c r="E55" s="127">
        <f>75%</f>
        <v>0.75</v>
      </c>
    </row>
    <row r="56" spans="1:9">
      <c r="A56" s="128" t="s">
        <v>810</v>
      </c>
      <c r="B56" s="129">
        <f>75%</f>
        <v>0.75</v>
      </c>
      <c r="C56" s="131">
        <f>75%</f>
        <v>0.75</v>
      </c>
      <c r="D56" s="129">
        <f>75%</f>
        <v>0.75</v>
      </c>
      <c r="E56" s="129">
        <f>75%</f>
        <v>0.75</v>
      </c>
    </row>
    <row r="57" spans="1:9">
      <c r="A57" s="24" t="s">
        <v>61</v>
      </c>
      <c r="B57" s="36">
        <f ca="1">B36+B53 + TRUNC(B$31*B55) + B$40 + B$41 + B$43 + $E$12 + HLOOKUP("Att", INDIRECT(B$28), MATCH("Total", Slots, 0)+1, 0)</f>
        <v>1168</v>
      </c>
      <c r="C57" s="120">
        <f ca="1">C36+C53 + TRUNC(C$31*C55) + C$40 + C$41 + C$43 + $F$12 + HLOOKUP("Att", INDIRECT(C$28), MATCH("Total", Slots, 0)+1, 0)</f>
        <v>1251</v>
      </c>
      <c r="D57" s="36">
        <f ca="1">D53 + TRUNC(D$31*D55) + D$36 + D$40 + D$41 + D$43 + $E$12 + HLOOKUP("Att", INDIRECT(D$28), MATCH("Total", Slots, 0)+1, 0)</f>
        <v>1311</v>
      </c>
      <c r="E57" s="36">
        <f ca="1">E53 + TRUNC(E$31*E55) + E$36 + E$40 + E$41 + E$43 + $F$12 + HLOOKUP("Att", INDIRECT(E$28), MATCH("Total", Slots, 0)+1, 0)</f>
        <v>1106</v>
      </c>
    </row>
    <row r="58" spans="1:9">
      <c r="A58" s="161" t="s">
        <v>62</v>
      </c>
      <c r="B58" s="164">
        <f ca="1">B54 + TRUNC(B$32*B56) + B$37 + B$44 + B$45 + B$46 + B$47 + B$48 + B$49 + $E$13 + $H$13 + HLOOKUP("Acc", INDIRECT(B$28), MATCH("Total", Slots, 0)+1, 0)</f>
        <v>1203</v>
      </c>
      <c r="C58" s="163">
        <f ca="1">C54 + TRUNC(C$32*C56) + C$37 + C$44 + C$45 + C$46 + C$47 + C$48 + C$49 + $F$13 + $I$13 + HLOOKUP("Acc", INDIRECT(C$28), MATCH("Total", Slots, 0)+1, 0)</f>
        <v>1240</v>
      </c>
      <c r="D58" s="164">
        <f ca="1">D54 + TRUNC(D$32*D56) + D$37 + D$44 + D$45 + D$46 + D$47 + D$48 + D$49 + $E$13 + $H$13 + HLOOKUP("Acc", INDIRECT(D$28), MATCH("Total", Slots, 0)+1, 0)</f>
        <v>1265</v>
      </c>
      <c r="E58" s="37">
        <f ca="1">E54 + TRUNC(E$32*E56) + E$37 + E$44 + E$45 + E$46 + E$47 + E$48 + E$49 + $F$13 + $I$13 + HLOOKUP("Acc", INDIRECT(E$28), MATCH("Total", Slots, 0)+1, 0)</f>
        <v>1219</v>
      </c>
    </row>
    <row r="59" spans="1:9">
      <c r="A59" s="24" t="s">
        <v>57</v>
      </c>
      <c r="B59" s="36">
        <f ca="1">FLOOR(MIN(B57*$B$12, $C$12),1)+$D$12</f>
        <v>0</v>
      </c>
      <c r="C59" s="60">
        <f ca="1">FLOOR(MIN(C57*$B$12, $C$12),1)+$D$12</f>
        <v>0</v>
      </c>
      <c r="D59" s="36">
        <f ca="1">FLOOR(MIN(D57*$B$12, $C$12),1)+$D$12</f>
        <v>0</v>
      </c>
      <c r="E59" s="36">
        <f ca="1">FLOOR(MIN(E57*$B$12, $C$12),1)+$D$12</f>
        <v>0</v>
      </c>
    </row>
    <row r="60" spans="1:9">
      <c r="A60" s="25" t="s">
        <v>58</v>
      </c>
      <c r="B60" s="37">
        <f ca="1">FLOOR(MIN(B58*$B$13, $C$13),1)+$D$13</f>
        <v>100</v>
      </c>
      <c r="C60" s="59">
        <f ca="1">FLOOR(MIN(C58*$B$13, $C$13),1)+$D$13</f>
        <v>100</v>
      </c>
      <c r="D60" s="37">
        <f ca="1">FLOOR(MIN(D58*$B$13, $C$13),1)+$D$13</f>
        <v>100</v>
      </c>
      <c r="E60" s="37">
        <f ca="1">FLOOR(MIN(E58*$B$13, $C$13),1)+$D$13</f>
        <v>100</v>
      </c>
    </row>
    <row r="61" spans="1:9">
      <c r="A61" s="24" t="s">
        <v>138</v>
      </c>
      <c r="B61" s="29">
        <f>IF(AND(Setup!$F$12=1, $D$1="War"), TRUNC(B57*25%), 0)</f>
        <v>0</v>
      </c>
      <c r="C61" s="132">
        <f>IF(AND(Setup!$G$12=1, $E$1="War"), TRUNC(C57*25%), 0)</f>
        <v>0</v>
      </c>
      <c r="D61" s="29">
        <f>IF(AND(Setup!$F$12=1, $D$1="War"), TRUNC(D57*25%), 0)</f>
        <v>0</v>
      </c>
      <c r="E61" s="29">
        <f>IF(AND(Setup!$G$12=1, $E$1="War"), TRUNC(E57*25%), 0)</f>
        <v>0</v>
      </c>
    </row>
    <row r="62" spans="1:9">
      <c r="A62" s="24" t="s">
        <v>139</v>
      </c>
      <c r="B62" s="29">
        <f>IF(Setup!$J$34=1, TRUNC(B57*Setup!$M34), 0)</f>
        <v>0</v>
      </c>
      <c r="C62" s="61">
        <f>IF(Setup!$K$34=1, TRUNC(C57*Setup!$N34), 0)</f>
        <v>0</v>
      </c>
      <c r="D62" s="29">
        <f>IF(Setup!$J$34=1, TRUNC(D57*Setup!$M34), 0)</f>
        <v>0</v>
      </c>
      <c r="E62" s="29">
        <f>IF(Setup!$K$34=1, TRUNC(E57*Setup!$N34), 0)</f>
        <v>0</v>
      </c>
      <c r="G62" s="12"/>
      <c r="H62" s="12"/>
    </row>
    <row r="63" spans="1:9">
      <c r="A63" s="125" t="s">
        <v>926</v>
      </c>
      <c r="B63" s="29">
        <f>IF(Setup!$J$50=1, TRUNC(B57*Setup!$M$50), 0)</f>
        <v>0</v>
      </c>
      <c r="C63" s="61">
        <f>IF(Setup!$K$50=1, TRUNC(C57*Setup!$N$50), 0)</f>
        <v>0</v>
      </c>
      <c r="D63" s="29">
        <f>IF(Setup!$J$50=1, TRUNC(D57*Setup!$M$50), 0)</f>
        <v>0</v>
      </c>
      <c r="E63" s="29">
        <f>IF(Setup!$K$50=1, TRUNC(E57*Setup!$N$50), 0)</f>
        <v>0</v>
      </c>
      <c r="G63" s="12"/>
      <c r="H63" s="12"/>
    </row>
    <row r="64" spans="1:9">
      <c r="A64" s="24" t="s">
        <v>153</v>
      </c>
      <c r="B64" s="29">
        <f>IF(AND(Setup!$F$31=1, OR(Setup!$F$20=1, Setup!$F$26=1)), FLOOR(0.25*B57, 1), 0)</f>
        <v>0</v>
      </c>
      <c r="C64" s="61">
        <f>IF(AND(Setup!$G$31=1, OR(Setup!$G$20=1, Setup!$G$26=1)), FLOOR(0.25*C57, 1), 0)</f>
        <v>0</v>
      </c>
      <c r="D64" s="29">
        <f>IF(AND(Setup!$F$31=1, OR(Setup!$F$20=1, Setup!$F$26=1)), FLOOR(0.25*D57, 1), 0)</f>
        <v>0</v>
      </c>
      <c r="E64" s="29">
        <f>IF(AND(Setup!$G$31=1, OR(Setup!$G$20=1, Setup!$G$26=1)), FLOOR(0.25*E57, 1), 0)</f>
        <v>0</v>
      </c>
    </row>
    <row r="65" spans="1:6">
      <c r="A65" s="24" t="s">
        <v>532</v>
      </c>
      <c r="B65" s="29">
        <f>IF(Setup!$F$4=1, TRUNC(B57*15%), 0)</f>
        <v>0</v>
      </c>
      <c r="C65" s="61">
        <f>IF(Setup!$G$4=1, TRUNC(C57*15%), 0)</f>
        <v>0</v>
      </c>
      <c r="D65" s="29">
        <f>IF(Setup!$F$4=1, TRUNC(D57*15%), 0)</f>
        <v>0</v>
      </c>
      <c r="E65" s="29">
        <f>IF(Setup!$G$4=1, TRUNC(E57*15%), 0)</f>
        <v>0</v>
      </c>
    </row>
    <row r="66" spans="1:6">
      <c r="A66" s="24" t="s">
        <v>961</v>
      </c>
      <c r="B66" s="29">
        <f ca="1">IF(AND(Setup!$F5=1, ISNUMBER(MATCH("Nature's Meditation", Spells!$B3:$B22, 0))), TRUNC(B57*20%), 0)</f>
        <v>233</v>
      </c>
      <c r="C66" s="61">
        <f ca="1">IF(AND(Setup!$G5=1,ISNUMBER(MATCH("Nature's Meditation", Spells!$S3:$S22, 0))), TRUNC(C57*20%), 0)</f>
        <v>250</v>
      </c>
      <c r="D66" s="29">
        <f ca="1">IF(AND(Setup!$F5=1,ISNUMBER(MATCH("Nature's Meditation", Spells!$B3:$B22, 0))), TRUNC(D57*20%), 0)</f>
        <v>262</v>
      </c>
      <c r="E66" s="29">
        <f ca="1">IF(AND(Setup!$G5=1,ISNUMBER(MATCH("Nature's Meditation", Spells!$S3:$S22, 0))), TRUNC(E57*20%), 0)</f>
        <v>221</v>
      </c>
      <c r="F66" s="153"/>
    </row>
    <row r="67" spans="1:6">
      <c r="A67" s="24" t="s">
        <v>390</v>
      </c>
      <c r="B67" s="7">
        <f ca="1">FLOOR(HLOOKUP($A67, INDIRECT(B$28), MATCH("Total", Slots, 0)+1, 0) * B57, 1)</f>
        <v>0</v>
      </c>
      <c r="C67" s="56">
        <f ca="1">FLOOR(HLOOKUP($A67, INDIRECT(C$28), MATCH("Total", Slots, 0)+1, 0) * C57, 1)</f>
        <v>0</v>
      </c>
      <c r="D67" s="7">
        <f ca="1">FLOOR(HLOOKUP($A67, INDIRECT(D$28), MATCH("Total", Slots, 0)+1, 0) * D57, 1)</f>
        <v>0</v>
      </c>
      <c r="E67" s="7">
        <f ca="1">FLOOR(HLOOKUP($A67, INDIRECT(E$28), MATCH("Total", Slots, 0)+1, 0) * E57, 1)</f>
        <v>0</v>
      </c>
    </row>
    <row r="68" spans="1:6">
      <c r="A68" s="25" t="s">
        <v>368</v>
      </c>
      <c r="B68" s="26">
        <v>0</v>
      </c>
      <c r="C68" s="62">
        <v>0</v>
      </c>
      <c r="D68" s="26">
        <f ca="1">TRUNC(VLOOKUP(Setup!B$22, WeaponskillData, MATCH("Att Bonus", WeaponskillDataCols, 0), 0) * D57)</f>
        <v>0</v>
      </c>
      <c r="E68" s="26">
        <f ca="1">TRUNC(VLOOKUP(Setup!C$22, WeaponskillData, MATCH("Att Bonus", WeaponskillDataCols, 0), 0) * E57)</f>
        <v>0</v>
      </c>
    </row>
    <row r="69" spans="1:6">
      <c r="A69" s="125" t="s">
        <v>811</v>
      </c>
      <c r="B69" s="7">
        <f ca="1">B57+B59+B61+B62+B63+B64+B65+B66+B67+B68</f>
        <v>1401</v>
      </c>
      <c r="C69" s="65">
        <f ca="1">C57+C59+C61+C62+C63+C64+C65+C66+C67+C68</f>
        <v>1501</v>
      </c>
      <c r="D69" s="7">
        <f ca="1">D57+D59+D61+D62+D63+D64+D65+D66+D67+D68</f>
        <v>1573</v>
      </c>
      <c r="E69" s="7">
        <f ca="1">E57+E59+E61+E62+E63+E64+E65+E66+E67+E68</f>
        <v>1327</v>
      </c>
    </row>
    <row r="70" spans="1:6">
      <c r="A70" s="162" t="s">
        <v>812</v>
      </c>
      <c r="B70" s="165">
        <f ca="1">B58+B60</f>
        <v>1303</v>
      </c>
      <c r="C70" s="58">
        <f ca="1">C58+C60</f>
        <v>1340</v>
      </c>
      <c r="D70" s="165">
        <f ca="1">D58+D60</f>
        <v>1365</v>
      </c>
      <c r="E70" s="57">
        <f ca="1">E58+E60</f>
        <v>1319</v>
      </c>
    </row>
    <row r="71" spans="1:6">
      <c r="A71" s="86" t="s">
        <v>37</v>
      </c>
      <c r="B71" s="133">
        <f ca="1">MIN(B69/$M$14, 3.25)-$M$15</f>
        <v>3.25</v>
      </c>
      <c r="C71" s="134">
        <f ca="1">MIN(C69/$N$14, 3.25)-$M$15</f>
        <v>3.25</v>
      </c>
      <c r="D71" s="133">
        <f ca="1">MIN(D69/$M$14 + Weaponskill!M6, 3.25)-$M$15</f>
        <v>3.25</v>
      </c>
      <c r="E71" s="133">
        <f ca="1">MIN(E69/$N$14 + Weaponskill!M539,3.25)-$M$15</f>
        <v>3.25</v>
      </c>
      <c r="F71" s="43"/>
    </row>
    <row r="72" spans="1:6">
      <c r="A72" s="9" t="s">
        <v>865</v>
      </c>
      <c r="B72" s="141"/>
      <c r="C72" s="142"/>
      <c r="D72" s="141"/>
      <c r="E72" s="141"/>
      <c r="F72" s="43"/>
    </row>
    <row r="73" spans="1:6">
      <c r="A73" s="31" t="s">
        <v>866</v>
      </c>
      <c r="B73" s="141">
        <f ca="1">B71</f>
        <v>3.25</v>
      </c>
      <c r="C73" s="143">
        <f ca="1">C71</f>
        <v>3.25</v>
      </c>
      <c r="D73" s="141">
        <f ca="1">D71</f>
        <v>3.25</v>
      </c>
      <c r="E73" s="141">
        <f ca="1">E71</f>
        <v>3.25</v>
      </c>
      <c r="F73" s="43"/>
    </row>
    <row r="74" spans="1:6">
      <c r="A74" s="31" t="s">
        <v>867</v>
      </c>
      <c r="B74" s="141">
        <f ca="1">B73+MIN(B73*(152/1024) - (752/1024), -0.375)</f>
        <v>2.875</v>
      </c>
      <c r="C74" s="143">
        <f ca="1">C73+MIN(C73*(152/1024) - (752/1024), -0.375)</f>
        <v>2.875</v>
      </c>
      <c r="D74" s="141">
        <f ca="1">D73+MIN(D73*(152/1024) - (752/1024), -0.375)</f>
        <v>2.875</v>
      </c>
      <c r="E74" s="141">
        <f ca="1">E73+MIN(E73*(152/1024) - (752/1024), -0.375)</f>
        <v>2.875</v>
      </c>
      <c r="F74" s="43"/>
    </row>
    <row r="75" spans="1:6">
      <c r="A75" s="31" t="s">
        <v>868</v>
      </c>
      <c r="B75" s="141">
        <f ca="1">B73+MIN(1-B73, B73*152/1024 - 448/1024)</f>
        <v>1</v>
      </c>
      <c r="C75" s="143">
        <f ca="1">C73+MIN(1-C73, C73*152/1024 - 448/1024)</f>
        <v>1</v>
      </c>
      <c r="D75" s="141">
        <f ca="1">D73+MIN(1-D73, D73*152/1024 - 448/1024)</f>
        <v>1</v>
      </c>
      <c r="E75" s="141">
        <f ca="1">E73+MIN(1-E73, E73*152/1024 - 448/1024)</f>
        <v>1</v>
      </c>
      <c r="F75" s="43"/>
    </row>
    <row r="76" spans="1:6">
      <c r="A76" s="31" t="s">
        <v>869</v>
      </c>
      <c r="B76" s="141">
        <f ca="1">MAX(B74,B75)</f>
        <v>2.875</v>
      </c>
      <c r="C76" s="143">
        <f ca="1">MAX(C74,C75)</f>
        <v>2.875</v>
      </c>
      <c r="D76" s="141">
        <f ca="1">MAX(D74,D75)</f>
        <v>2.875</v>
      </c>
      <c r="E76" s="141">
        <f ca="1">MAX(E74,E75)</f>
        <v>2.875</v>
      </c>
      <c r="F76" s="43"/>
    </row>
    <row r="77" spans="1:6">
      <c r="A77" s="31" t="s">
        <v>870</v>
      </c>
      <c r="B77" s="141">
        <f ca="1">MAX(MAX(B74,B75), 0)</f>
        <v>2.875</v>
      </c>
      <c r="C77" s="143">
        <f ca="1">MAX(MAX(C74,C75), 0)</f>
        <v>2.875</v>
      </c>
      <c r="D77" s="141">
        <f ca="1">MAX(MAX(D74,D75), 0)</f>
        <v>2.875</v>
      </c>
      <c r="E77" s="141">
        <f ca="1">MAX(MAX(E74,E75), 0)</f>
        <v>2.875</v>
      </c>
      <c r="F77" s="43"/>
    </row>
    <row r="78" spans="1:6">
      <c r="A78" s="31" t="s">
        <v>871</v>
      </c>
      <c r="B78" s="141">
        <f ca="1">B73 + MAX(MIN(B73 * 0.25, 0.375), 0.25)</f>
        <v>3.625</v>
      </c>
      <c r="C78" s="143">
        <f ca="1">C73 + MAX(MIN(C73 * 0.25, 0.375), 0.25)</f>
        <v>3.625</v>
      </c>
      <c r="D78" s="141">
        <f ca="1">D73 + MAX(MIN(D73 * 0.25, 0.375), 0.25)</f>
        <v>3.625</v>
      </c>
      <c r="E78" s="141">
        <f ca="1">E73 + MAX(MIN(E73 * 0.25, 0.375), 0.25)</f>
        <v>3.625</v>
      </c>
      <c r="F78" s="43"/>
    </row>
    <row r="79" spans="1:6">
      <c r="A79" s="31" t="s">
        <v>872</v>
      </c>
      <c r="B79" s="141">
        <f ca="1">B73 + MIN(B73*341/1024 + 358/1024, 1-B73)</f>
        <v>1</v>
      </c>
      <c r="C79" s="143">
        <f ca="1">C73 + MIN(C73*341/1024 + 358/1024, 1-C73)</f>
        <v>1</v>
      </c>
      <c r="D79" s="141">
        <f ca="1">D73 + MIN(D73*341/1024 + 358/1024, 1-D73)</f>
        <v>1</v>
      </c>
      <c r="E79" s="141">
        <f ca="1">E73 + MIN(E73*341/1024 + 358/1024, 1-E73)</f>
        <v>1</v>
      </c>
      <c r="F79" s="43"/>
    </row>
    <row r="80" spans="1:6">
      <c r="A80" s="31" t="s">
        <v>873</v>
      </c>
      <c r="B80" s="141">
        <f ca="1">MAX(B78,B79)</f>
        <v>3.625</v>
      </c>
      <c r="C80" s="143">
        <f ca="1">MAX(C78,C79)</f>
        <v>3.625</v>
      </c>
      <c r="D80" s="141">
        <f ca="1">MAX(D78,D79)</f>
        <v>3.625</v>
      </c>
      <c r="E80" s="141">
        <f ca="1">MAX(E78,E79)</f>
        <v>3.625</v>
      </c>
      <c r="F80" s="43"/>
    </row>
    <row r="81" spans="1:6">
      <c r="A81" s="31" t="s">
        <v>874</v>
      </c>
      <c r="B81" s="141">
        <f ca="1">MIN(MAX(B78,B79), 3.25)</f>
        <v>3.25</v>
      </c>
      <c r="C81" s="143">
        <f ca="1">MIN(MAX(C78,C79), 3.25)</f>
        <v>3.25</v>
      </c>
      <c r="D81" s="141">
        <f ca="1">MIN(MAX(D78,D79), 3.25)</f>
        <v>3.25</v>
      </c>
      <c r="E81" s="141">
        <f ca="1">MIN(MAX(E78,E79), 3.25)</f>
        <v>3.25</v>
      </c>
      <c r="F81" s="43"/>
    </row>
    <row r="82" spans="1:6">
      <c r="A82" s="31" t="s">
        <v>875</v>
      </c>
      <c r="B82" s="141">
        <f t="shared" ref="B82:E83" ca="1" si="7">B80-B76</f>
        <v>0.75</v>
      </c>
      <c r="C82" s="143">
        <f t="shared" ca="1" si="7"/>
        <v>0.75</v>
      </c>
      <c r="D82" s="141">
        <f t="shared" ca="1" si="7"/>
        <v>0.75</v>
      </c>
      <c r="E82" s="141">
        <f t="shared" ca="1" si="7"/>
        <v>0.75</v>
      </c>
      <c r="F82" s="43"/>
    </row>
    <row r="83" spans="1:6">
      <c r="A83" s="31" t="s">
        <v>876</v>
      </c>
      <c r="B83" s="141">
        <f t="shared" ca="1" si="7"/>
        <v>0.375</v>
      </c>
      <c r="C83" s="143">
        <f t="shared" ca="1" si="7"/>
        <v>0.375</v>
      </c>
      <c r="D83" s="141">
        <f t="shared" ca="1" si="7"/>
        <v>0.375</v>
      </c>
      <c r="E83" s="141">
        <f t="shared" ca="1" si="7"/>
        <v>0.375</v>
      </c>
      <c r="F83" s="43"/>
    </row>
    <row r="84" spans="1:6">
      <c r="A84" s="31" t="s">
        <v>877</v>
      </c>
      <c r="B84" s="144">
        <f ca="1">IF(B76&lt;0, 1-(B83/B82), 0)</f>
        <v>0</v>
      </c>
      <c r="C84" s="145">
        <f ca="1">IF(C76&lt;0, 1-(C83/C82), 0)</f>
        <v>0</v>
      </c>
      <c r="D84" s="144">
        <f ca="1">IF(D76&lt;0, 1-(D83/D82), 0)</f>
        <v>0</v>
      </c>
      <c r="E84" s="144">
        <f ca="1">IF(E76&lt;0, 1-(E83/E82), 0)</f>
        <v>0</v>
      </c>
      <c r="F84" s="43"/>
    </row>
    <row r="85" spans="1:6">
      <c r="A85" s="31" t="s">
        <v>878</v>
      </c>
      <c r="B85" s="144">
        <f ca="1">IF(B80&gt;3, 1-(B83/B82), 0)</f>
        <v>0.5</v>
      </c>
      <c r="C85" s="145">
        <f ca="1">IF(C80&gt;3, 1-(C83/C82), 0)</f>
        <v>0.5</v>
      </c>
      <c r="D85" s="144">
        <f ca="1">IF(D80&gt;3, 1-(D83/D82), 0)</f>
        <v>0.5</v>
      </c>
      <c r="E85" s="144">
        <f ca="1">IF(E80&gt;3, 1-(E83/E82), 0)</f>
        <v>0.5</v>
      </c>
      <c r="F85" s="43"/>
    </row>
    <row r="86" spans="1:6">
      <c r="A86" s="31" t="s">
        <v>879</v>
      </c>
      <c r="B86" s="144">
        <f ca="1">MAX(0, MIN(1/3, (0.5 - ABS(B73-1)) * 1.2))</f>
        <v>0</v>
      </c>
      <c r="C86" s="145">
        <f ca="1">MAX(0, MIN(1/3, (0.5 - ABS(C73-1)) * 1.2))</f>
        <v>0</v>
      </c>
      <c r="D86" s="144">
        <f ca="1">MAX(0, MIN(1/3, (0.5 - ABS(D73-1)) * 1.2))</f>
        <v>0</v>
      </c>
      <c r="E86" s="144">
        <f ca="1">MAX(0, MIN(1/3, (0.5 - ABS(E73-1)) * 1.2))</f>
        <v>0</v>
      </c>
      <c r="F86" s="43"/>
    </row>
    <row r="87" spans="1:6">
      <c r="A87" s="31" t="s">
        <v>880</v>
      </c>
      <c r="B87" s="141">
        <f ca="1">((0 * B84) + (B81 * B85) + (1 * B86) + (1 - B84 - B85 - B86) * ((B81 + B77) / 2)) * 1.02</f>
        <v>3.2193749999999999</v>
      </c>
      <c r="C87" s="143">
        <f ca="1">((0 * C84) + (C81 * C85) + (1 * C86) + (1 - C84 - C85 - C86) * ((C81 + C77) / 2)) * 1.02</f>
        <v>3.2193749999999999</v>
      </c>
      <c r="D87" s="141">
        <f ca="1">((0 * D84) + (D81 * D85) + (1 * D86) + (1 - D84 - D85 - D86) * ((D81 + D77) / 2)) * 1.02</f>
        <v>3.2193749999999999</v>
      </c>
      <c r="E87" s="141">
        <f ca="1">((0 * E84) + (E81 * E85) + (1 * E86) + (1 - E84 - E85 - E86) * ((E81 + E77) / 2)) * 1.02</f>
        <v>3.2193749999999999</v>
      </c>
      <c r="F87" s="43"/>
    </row>
    <row r="88" spans="1:6">
      <c r="A88" s="9" t="s">
        <v>881</v>
      </c>
      <c r="B88" s="141"/>
      <c r="C88" s="143"/>
      <c r="D88" s="141"/>
      <c r="E88" s="141"/>
      <c r="F88" s="43"/>
    </row>
    <row r="89" spans="1:6">
      <c r="A89" s="31" t="s">
        <v>866</v>
      </c>
      <c r="B89" s="141">
        <f ca="1">B71+1</f>
        <v>4.25</v>
      </c>
      <c r="C89" s="143">
        <f ca="1">C71+1</f>
        <v>4.25</v>
      </c>
      <c r="D89" s="141">
        <f ca="1">D71+1</f>
        <v>4.25</v>
      </c>
      <c r="E89" s="141">
        <f ca="1">E71+1</f>
        <v>4.25</v>
      </c>
      <c r="F89" s="43"/>
    </row>
    <row r="90" spans="1:6">
      <c r="A90" s="31" t="s">
        <v>867</v>
      </c>
      <c r="B90" s="141">
        <f ca="1">B89+MIN(B89*(152/1024) - (752/1024), -0.375)</f>
        <v>3.875</v>
      </c>
      <c r="C90" s="143">
        <f ca="1">C89+MIN(C89*(152/1024) - (752/1024), -0.375)</f>
        <v>3.875</v>
      </c>
      <c r="D90" s="141">
        <f ca="1">D89+MIN(D89*(152/1024) - (752/1024), -0.375)</f>
        <v>3.875</v>
      </c>
      <c r="E90" s="141">
        <f ca="1">E89+MIN(E89*(152/1024) - (752/1024), -0.375)</f>
        <v>3.875</v>
      </c>
      <c r="F90" s="43"/>
    </row>
    <row r="91" spans="1:6">
      <c r="A91" s="31" t="s">
        <v>868</v>
      </c>
      <c r="B91" s="141">
        <f ca="1">B89+MIN(1-B89, B89*152/1024 - 448/1024)</f>
        <v>1</v>
      </c>
      <c r="C91" s="143">
        <f ca="1">C89+MIN(1-C89, C89*152/1024 - 448/1024)</f>
        <v>1</v>
      </c>
      <c r="D91" s="141">
        <f ca="1">D89+MIN(1-D89, D89*152/1024 - 448/1024)</f>
        <v>1</v>
      </c>
      <c r="E91" s="141">
        <f ca="1">E89+MIN(1-E89, E89*152/1024 - 448/1024)</f>
        <v>1</v>
      </c>
      <c r="F91" s="43"/>
    </row>
    <row r="92" spans="1:6">
      <c r="A92" s="31" t="s">
        <v>869</v>
      </c>
      <c r="B92" s="141">
        <f ca="1">MAX(B90,B91)</f>
        <v>3.875</v>
      </c>
      <c r="C92" s="143">
        <f ca="1">MAX(C90,C91)</f>
        <v>3.875</v>
      </c>
      <c r="D92" s="141">
        <f ca="1">MAX(D90,D91)</f>
        <v>3.875</v>
      </c>
      <c r="E92" s="141">
        <f ca="1">MAX(E90,E91)</f>
        <v>3.875</v>
      </c>
      <c r="F92" s="43"/>
    </row>
    <row r="93" spans="1:6">
      <c r="A93" s="31" t="s">
        <v>870</v>
      </c>
      <c r="B93" s="141">
        <f ca="1">MAX(MAX(B90,B91), 0)</f>
        <v>3.875</v>
      </c>
      <c r="C93" s="143">
        <f ca="1">MAX(MAX(C90,C91), 0)</f>
        <v>3.875</v>
      </c>
      <c r="D93" s="141">
        <f ca="1">MAX(MAX(D90,D91), 0)</f>
        <v>3.875</v>
      </c>
      <c r="E93" s="141">
        <f ca="1">MAX(MAX(E90,E91), 0)</f>
        <v>3.875</v>
      </c>
      <c r="F93" s="43"/>
    </row>
    <row r="94" spans="1:6">
      <c r="A94" s="31" t="s">
        <v>871</v>
      </c>
      <c r="B94" s="141">
        <f ca="1">B89 + MAX(MIN(B89 * 0.25, 0.375), 0.25)</f>
        <v>4.625</v>
      </c>
      <c r="C94" s="143">
        <f ca="1">C89 + MAX(MIN(C89 * 0.25, 0.375), 0.25)</f>
        <v>4.625</v>
      </c>
      <c r="D94" s="141">
        <f ca="1">D89 + MAX(MIN(D89 * 0.25, 0.375), 0.25)</f>
        <v>4.625</v>
      </c>
      <c r="E94" s="141">
        <f ca="1">E89 + MAX(MIN(E89 * 0.25, 0.375), 0.25)</f>
        <v>4.625</v>
      </c>
      <c r="F94" s="43"/>
    </row>
    <row r="95" spans="1:6">
      <c r="A95" s="31" t="s">
        <v>872</v>
      </c>
      <c r="B95" s="141">
        <f ca="1">B89 + MIN(B89*341/1024 + 358/1024, 1-B89)</f>
        <v>1</v>
      </c>
      <c r="C95" s="143">
        <f ca="1">C89 + MIN(C89*341/1024 + 358/1024, 1-C89)</f>
        <v>1</v>
      </c>
      <c r="D95" s="141">
        <f ca="1">D89 + MIN(D89*341/1024 + 358/1024, 1-D89)</f>
        <v>1</v>
      </c>
      <c r="E95" s="141">
        <f ca="1">E89 + MIN(E89*341/1024 + 358/1024, 1-E89)</f>
        <v>1</v>
      </c>
      <c r="F95" s="43"/>
    </row>
    <row r="96" spans="1:6">
      <c r="A96" s="31" t="s">
        <v>873</v>
      </c>
      <c r="B96" s="141">
        <f ca="1">MAX(B94,B95)</f>
        <v>4.625</v>
      </c>
      <c r="C96" s="143">
        <f ca="1">MAX(C94,C95)</f>
        <v>4.625</v>
      </c>
      <c r="D96" s="141">
        <f ca="1">MAX(D94,D95)</f>
        <v>4.625</v>
      </c>
      <c r="E96" s="141">
        <f ca="1">MAX(E94,E95)</f>
        <v>4.625</v>
      </c>
      <c r="F96" s="43"/>
    </row>
    <row r="97" spans="1:6">
      <c r="A97" s="31" t="s">
        <v>874</v>
      </c>
      <c r="B97" s="141">
        <f ca="1">MIN(MAX(B94,B95), 4.25)</f>
        <v>4.25</v>
      </c>
      <c r="C97" s="143">
        <f ca="1">MIN(MAX(C94,C95), 4.25)</f>
        <v>4.25</v>
      </c>
      <c r="D97" s="141">
        <f ca="1">MIN(MAX(D94,D95), 4.25)</f>
        <v>4.25</v>
      </c>
      <c r="E97" s="141">
        <f ca="1">MIN(MAX(E94,E95), 4.25)</f>
        <v>4.25</v>
      </c>
      <c r="F97" s="43"/>
    </row>
    <row r="98" spans="1:6">
      <c r="A98" s="31" t="s">
        <v>875</v>
      </c>
      <c r="B98" s="141">
        <f t="shared" ref="B98:E99" ca="1" si="8">B96-B92</f>
        <v>0.75</v>
      </c>
      <c r="C98" s="143">
        <f t="shared" ca="1" si="8"/>
        <v>0.75</v>
      </c>
      <c r="D98" s="141">
        <f t="shared" ca="1" si="8"/>
        <v>0.75</v>
      </c>
      <c r="E98" s="141">
        <f t="shared" ca="1" si="8"/>
        <v>0.75</v>
      </c>
      <c r="F98" s="43"/>
    </row>
    <row r="99" spans="1:6">
      <c r="A99" s="31" t="s">
        <v>876</v>
      </c>
      <c r="B99" s="141">
        <f t="shared" ca="1" si="8"/>
        <v>0.375</v>
      </c>
      <c r="C99" s="143">
        <f t="shared" ca="1" si="8"/>
        <v>0.375</v>
      </c>
      <c r="D99" s="141">
        <f t="shared" ca="1" si="8"/>
        <v>0.375</v>
      </c>
      <c r="E99" s="141">
        <f t="shared" ca="1" si="8"/>
        <v>0.375</v>
      </c>
      <c r="F99" s="43"/>
    </row>
    <row r="100" spans="1:6">
      <c r="A100" s="31" t="s">
        <v>877</v>
      </c>
      <c r="B100" s="146">
        <f ca="1">IF(B92&lt;0, 1-(B99/B98), 0)</f>
        <v>0</v>
      </c>
      <c r="C100" s="147">
        <f ca="1">IF(C92&lt;0, 1-(C99/C98), 0)</f>
        <v>0</v>
      </c>
      <c r="D100" s="146">
        <f ca="1">IF(D92&lt;0, 1-(D99/D98), 0)</f>
        <v>0</v>
      </c>
      <c r="E100" s="146">
        <f ca="1">IF(E92&lt;0, 1-(E99/E98), 0)</f>
        <v>0</v>
      </c>
      <c r="F100" s="43"/>
    </row>
    <row r="101" spans="1:6">
      <c r="A101" s="31" t="s">
        <v>878</v>
      </c>
      <c r="B101" s="146">
        <f ca="1">IF(B96&gt;3, 1-(B99/B98), 0)</f>
        <v>0.5</v>
      </c>
      <c r="C101" s="147">
        <f ca="1">IF(C96&gt;3, 1-(C99/C98), 0)</f>
        <v>0.5</v>
      </c>
      <c r="D101" s="146">
        <f ca="1">IF(D96&gt;3, 1-(D99/D98), 0)</f>
        <v>0.5</v>
      </c>
      <c r="E101" s="146">
        <f ca="1">IF(E96&gt;3, 1-(E99/E98), 0)</f>
        <v>0.5</v>
      </c>
      <c r="F101" s="43"/>
    </row>
    <row r="102" spans="1:6">
      <c r="A102" s="31" t="s">
        <v>879</v>
      </c>
      <c r="B102" s="146">
        <f ca="1">MAX(0, MIN(1/3, (0.5 - ABS(B89-1)) * 1.2))</f>
        <v>0</v>
      </c>
      <c r="C102" s="147">
        <f ca="1">MAX(0, MIN(1/3, (0.5 - ABS(C89-1)) * 1.2))</f>
        <v>0</v>
      </c>
      <c r="D102" s="146">
        <f ca="1">MAX(0, MIN(1/3, (0.5 - ABS(D89-1)) * 1.2))</f>
        <v>0</v>
      </c>
      <c r="E102" s="146">
        <f ca="1">MAX(0, MIN(1/3, (0.5 - ABS(E89-1)) * 1.2))</f>
        <v>0</v>
      </c>
      <c r="F102" s="43"/>
    </row>
    <row r="103" spans="1:6">
      <c r="A103" s="26" t="s">
        <v>882</v>
      </c>
      <c r="B103" s="148">
        <f ca="1">((0 * B100) + (B97 * B101) + (1 * B102) + (1 - B100 - B101 - B102) * ((B97 + B93) / 2)) * 1.02</f>
        <v>4.2393749999999999</v>
      </c>
      <c r="C103" s="149">
        <f ca="1">((0 * C100) + (C97 * C101) + (1 * C102) + (1 - C100 - C101 - C102) * ((C97 + C93) / 2)) * 1.02</f>
        <v>4.2393749999999999</v>
      </c>
      <c r="D103" s="148">
        <f ca="1">((0 * D100) + (D97 * D101) + (1 * D102) + (1 - D100 - D101 - D102) * ((D97 + D93) / 2)) * 1.02</f>
        <v>4.2393749999999999</v>
      </c>
      <c r="E103" s="148">
        <f ca="1">((0 * E100) + (E97 * E101) + (1 * E102) + (1 - E100 - E101 - E102) * ((E97 + E93) / 2)) * 1.02</f>
        <v>4.2393749999999999</v>
      </c>
    </row>
    <row r="104" spans="1:6">
      <c r="A104" t="s">
        <v>39</v>
      </c>
      <c r="B104" s="5">
        <f ca="1">((B70-($M$16+$M$17))/2)/100+75%</f>
        <v>1.17</v>
      </c>
      <c r="C104" s="5">
        <f ca="1">((C70-($N$16+$M$17))/2)/100+75%</f>
        <v>1.355</v>
      </c>
      <c r="D104" s="72">
        <f ca="1">((D70-($M$16+$M$17))/2)/100+75%</f>
        <v>1.48</v>
      </c>
      <c r="E104" s="5">
        <f ca="1">((E70-($N$16+$M$17))/2)/100+75%</f>
        <v>1.25</v>
      </c>
    </row>
    <row r="105" spans="1:6">
      <c r="A105" s="161" t="s">
        <v>38</v>
      </c>
      <c r="B105" s="28">
        <f ca="1">MAX(MIN(B104,99%), 20%)</f>
        <v>0.99</v>
      </c>
      <c r="C105" s="28">
        <f ca="1">MAX(MIN(C104,99%), 20%)</f>
        <v>0.99</v>
      </c>
      <c r="D105" s="73">
        <f ca="1">MAX(MIN(D104,99%), 20%)</f>
        <v>0.99</v>
      </c>
      <c r="E105" s="28">
        <f ca="1">MAX(MIN(E104,99%), 20%)</f>
        <v>0.99</v>
      </c>
    </row>
    <row r="106" spans="1:6">
      <c r="A106" t="s">
        <v>813</v>
      </c>
      <c r="B106">
        <f ca="1">H17</f>
        <v>147</v>
      </c>
      <c r="C106" s="135">
        <f ca="1">I17</f>
        <v>158</v>
      </c>
      <c r="D106">
        <f ca="1">H17</f>
        <v>147</v>
      </c>
      <c r="E106">
        <f ca="1">I17</f>
        <v>158</v>
      </c>
    </row>
    <row r="107" spans="1:6">
      <c r="A107" t="s">
        <v>814</v>
      </c>
      <c r="B107">
        <f ca="1">TRUNC(B106/9)</f>
        <v>16</v>
      </c>
      <c r="C107" s="75">
        <f ca="1">TRUNC(C106/9)</f>
        <v>17</v>
      </c>
      <c r="D107">
        <f ca="1">TRUNC(D106/9)</f>
        <v>16</v>
      </c>
      <c r="E107">
        <f ca="1">TRUNC(E106/9)</f>
        <v>17</v>
      </c>
    </row>
    <row r="108" spans="1:6">
      <c r="A108" t="s">
        <v>815</v>
      </c>
      <c r="B108" s="22">
        <f ca="1">TRUNC(MAX(MIN(TRUNC((B$38+B$39)/2), (8+B107)*2), (0-B107)*2)/2)</f>
        <v>2</v>
      </c>
      <c r="C108" s="74">
        <f ca="1">TRUNC(MAX(MIN(TRUNC((C$38+C$39)/2), (8+C107)*2), (0-C107)*2)/2)</f>
        <v>-5</v>
      </c>
      <c r="D108" s="22">
        <f ca="1">TRUNC(MAX(MIN(TRUNC((D$38+D$39)/2), (8+D107)*2), (0-D107)*2)/2)</f>
        <v>18</v>
      </c>
      <c r="E108" s="22">
        <f ca="1">TRUNC(MAX(MIN(TRUNC((E$38+E$39)/2), (8+E107)*2), (0-E107)*2)/2)</f>
        <v>-3</v>
      </c>
    </row>
    <row r="109" spans="1:6">
      <c r="A109" s="14" t="s">
        <v>816</v>
      </c>
      <c r="B109" s="14">
        <f ca="1">B106+B108</f>
        <v>149</v>
      </c>
      <c r="C109" s="76">
        <f ca="1">C106+C108</f>
        <v>153</v>
      </c>
      <c r="D109" s="14">
        <f ca="1">D106+D108</f>
        <v>165</v>
      </c>
      <c r="E109" s="14">
        <f ca="1">E106+E108</f>
        <v>155</v>
      </c>
    </row>
    <row r="111" spans="1:6">
      <c r="A111" s="45" t="s">
        <v>817</v>
      </c>
      <c r="B111" s="27"/>
      <c r="C111" s="27"/>
      <c r="D111" s="27"/>
      <c r="E111" s="27"/>
    </row>
    <row r="112" spans="1:6">
      <c r="A112" s="24" t="s">
        <v>30</v>
      </c>
      <c r="B112" s="23">
        <f ca="1">$H23+HLOOKUP(VLOOKUP($H19, Skills, 2, 0), INDIRECT(B$28), MATCH("Total", Slots, 0)+1, 0) + VLOOKUP(Gear!$B$4, INDIRECT(Gear!$A$4), MATCH("CombatSkill", StatHeader, 0), 0)</f>
        <v>709</v>
      </c>
      <c r="C112" s="54">
        <f ca="1">$I23+HLOOKUP(VLOOKUP($I19, Skills, 2, 0), INDIRECT(C$28), MATCH("Total", Slots, 0)+1, 0) + VLOOKUP(Gear!$AA$4, INDIRECT(Gear!$Z$4), MATCH("CombatSkill", StatHeader, 0), 0)</f>
        <v>714</v>
      </c>
      <c r="D112" s="23">
        <f ca="1">$H23+HLOOKUP(VLOOKUP($H19, Skills, 2, 0), INDIRECT(D$28), MATCH("Total", Slots, 0)+1, 0) + VLOOKUP(Gear!$B$4, INDIRECT(Gear!$A$4), MATCH("CombatSkill", StatHeader, 0), 0)</f>
        <v>709</v>
      </c>
      <c r="E112" s="23">
        <f ca="1">$I23+HLOOKUP(VLOOKUP($I19, Skills, 2, 0), INDIRECT(E$28), MATCH("Total", Slots, 0)+1, 0) + VLOOKUP(Gear!$AA$4, INDIRECT(Gear!$Z$4), MATCH("CombatSkill", StatHeader, 0), 0)</f>
        <v>709</v>
      </c>
    </row>
    <row r="113" spans="1:8">
      <c r="A113" s="24" t="s">
        <v>9</v>
      </c>
      <c r="B113" s="23">
        <f ca="1">8+B112+$H$12</f>
        <v>727</v>
      </c>
      <c r="C113" s="55">
        <f ca="1">8+C112+$I$12</f>
        <v>732</v>
      </c>
      <c r="D113" s="23">
        <f ca="1">8+D112+$H$12</f>
        <v>727</v>
      </c>
      <c r="E113" s="23">
        <f ca="1">8+E112+$I$12</f>
        <v>727</v>
      </c>
    </row>
    <row r="114" spans="1:8">
      <c r="A114" s="25" t="s">
        <v>10</v>
      </c>
      <c r="B114" s="37">
        <f ca="1">MIN(B112, 200) + TRUNC(MAX(MIN(B112-200, 200), 0)*0.9) + TRUNC(MAX(MIN(B112-400, 200), 0)*0.8) + TRUNC(MAX(MIN(B112-600, 200), 0)*0.9)</f>
        <v>638</v>
      </c>
      <c r="C114" s="59">
        <f ca="1">MIN(C112, 200) + TRUNC(MAX(MIN(C112-200, 200), 0)*0.9) + TRUNC(MAX(MIN(C112-400, 200), 0)*0.8) + TRUNC(MAX(MIN(C112-600, 200), 0)*0.9)</f>
        <v>642</v>
      </c>
      <c r="D114" s="37">
        <f ca="1">MIN(D112, 200) + TRUNC(MAX(MIN(D112-200, 200), 0)*0.9) + TRUNC(MAX(MIN(D112-400, 200), 0)*0.8) + TRUNC(MAX(MIN(D112-600, 200), 0)*0.9)</f>
        <v>638</v>
      </c>
      <c r="E114" s="37">
        <f ca="1">MIN(E112, 200) + TRUNC(MAX(MIN(E112-200, 200), 0)*0.9) + TRUNC(MAX(MIN(E112-400, 200), 0)*0.8) + TRUNC(MAX(MIN(E112-600, 200), 0)*0.9)</f>
        <v>638</v>
      </c>
    </row>
    <row r="115" spans="1:8">
      <c r="A115" s="125" t="s">
        <v>809</v>
      </c>
      <c r="B115" s="127">
        <f>50%</f>
        <v>0.5</v>
      </c>
      <c r="C115" s="130">
        <f>50%</f>
        <v>0.5</v>
      </c>
      <c r="D115" s="127">
        <f>50%</f>
        <v>0.5</v>
      </c>
      <c r="E115" s="127">
        <f>50%</f>
        <v>0.5</v>
      </c>
    </row>
    <row r="116" spans="1:8">
      <c r="A116" s="128" t="s">
        <v>810</v>
      </c>
      <c r="B116" s="129">
        <f>75%</f>
        <v>0.75</v>
      </c>
      <c r="C116" s="131">
        <f>75%</f>
        <v>0.75</v>
      </c>
      <c r="D116" s="129">
        <f>75%</f>
        <v>0.75</v>
      </c>
      <c r="E116" s="129">
        <f>75%</f>
        <v>0.75</v>
      </c>
    </row>
    <row r="117" spans="1:8">
      <c r="A117" s="24" t="s">
        <v>61</v>
      </c>
      <c r="B117" s="36">
        <f ca="1">B113 + TRUNC(B$31*B115) + B$36 + B$40 + B$41 + B$43 + $E$12 + HLOOKUP("Att", INDIRECT(B$28), MATCH("Total", Slots, 0)+1, 0)</f>
        <v>1100</v>
      </c>
      <c r="C117" s="120">
        <f ca="1">C113 + TRUNC(C$31*C115) + C$36 + C$40 + C$41 + C$43 + $F$12 + HLOOKUP("Att", INDIRECT(C$28), MATCH("Total", Slots, 0)+1, 0)</f>
        <v>1192</v>
      </c>
      <c r="D117" s="36">
        <f ca="1">D113 + TRUNC(D$31*D115) + D$36 + D$40 + D$41 + D$43 + $E$12 + HLOOKUP("Att", INDIRECT(D$28), MATCH("Total", Slots, 0)+1, 0)</f>
        <v>1226</v>
      </c>
      <c r="E117" s="36">
        <f ca="1">E113 + TRUNC(E$31*E115) + E$36 + E$40 + E$41 + E$43 + $F$12 + HLOOKUP("Att", INDIRECT(E$28), MATCH("Total", Slots, 0)+1, 0)</f>
        <v>1045</v>
      </c>
    </row>
    <row r="118" spans="1:8">
      <c r="A118" s="25" t="s">
        <v>62</v>
      </c>
      <c r="B118" s="37">
        <f ca="1">B114 + TRUNC(B$32*B116) + B$37 + B$44 + B$45 + B$46 + B$47 + B$48 + B$49 + $E$13 + $H$13 + HLOOKUP("Acc", INDIRECT(B$28), MATCH("Total", Slots, 0)+1, 0)</f>
        <v>1203</v>
      </c>
      <c r="C118" s="59">
        <f ca="1">C114 + TRUNC(C$32*C116) + C$37 +  C$44 + C$45 + C$46 + C$47 + C$48 + C$49 + $F$13 + $I$13 + HLOOKUP("Acc", INDIRECT(C$28), MATCH("Total", Slots, 0)+1, 0)</f>
        <v>1240</v>
      </c>
      <c r="D118" s="37">
        <f ca="1">D114 + TRUNC(D$32*D116) + D$37 + D$44 + D$45 + D$46 + D$47 + D$48 + D$49 + $E$13 + $H$13 + HLOOKUP("Acc", INDIRECT(D$28), MATCH("Total", Slots, 0)+1, 0)</f>
        <v>1265</v>
      </c>
      <c r="E118" s="37">
        <f ca="1">E114 + TRUNC(E$32*E116) + E$37 + E$44 + E$45 + E$46 + E$47 + E$48 + E$49 + $F$13 + $I$13 + HLOOKUP("Acc", INDIRECT(E$28), MATCH("Total", Slots, 0)+1, 0)</f>
        <v>1219</v>
      </c>
    </row>
    <row r="119" spans="1:8">
      <c r="A119" s="24" t="s">
        <v>57</v>
      </c>
      <c r="B119" s="36">
        <f ca="1">FLOOR(MIN(B117*$B$12, $C$12),1)+$D$12</f>
        <v>0</v>
      </c>
      <c r="C119" s="60">
        <f ca="1">FLOOR(MIN(C117*$B$12, $C$12),1)+$D$12</f>
        <v>0</v>
      </c>
      <c r="D119" s="36">
        <f ca="1">FLOOR(MIN(D117*$B$12, $C$12),1)+$D$12</f>
        <v>0</v>
      </c>
      <c r="E119" s="36">
        <f ca="1">FLOOR(MIN(E117*$B$12, $C$12),1)+$D$12</f>
        <v>0</v>
      </c>
    </row>
    <row r="120" spans="1:8">
      <c r="A120" s="25" t="s">
        <v>58</v>
      </c>
      <c r="B120" s="37">
        <f ca="1">FLOOR(MIN(B118*$B$13, $C$13),1)+$D$13</f>
        <v>100</v>
      </c>
      <c r="C120" s="59">
        <f ca="1">FLOOR(MIN(C118*$B$13, $C$13),1)+$D$13</f>
        <v>100</v>
      </c>
      <c r="D120" s="37">
        <f ca="1">FLOOR(MIN(D118*$B$13, $C$13),1)+$D$13</f>
        <v>100</v>
      </c>
      <c r="E120" s="37">
        <f ca="1">FLOOR(MIN(E118*$B$13, $C$13),1)+$D$13</f>
        <v>100</v>
      </c>
    </row>
    <row r="121" spans="1:8">
      <c r="A121" s="24" t="s">
        <v>138</v>
      </c>
      <c r="B121" s="29">
        <f>IF(AND(Setup!$F$12=1, $D$1="War"), TRUNC(B117*25%), 0)</f>
        <v>0</v>
      </c>
      <c r="C121" s="132">
        <f>IF(AND(Setup!$G$12=1, $E$1="War"), TRUNC(C117*25%), 0)</f>
        <v>0</v>
      </c>
      <c r="D121" s="29">
        <f>IF(AND(Setup!$F$12=1, $D$1="War"), TRUNC(D117*25%), 0)</f>
        <v>0</v>
      </c>
      <c r="E121" s="29">
        <f>IF(AND(Setup!$G$12=1, $E$1="War"), TRUNC(E117*25%), 0)</f>
        <v>0</v>
      </c>
    </row>
    <row r="122" spans="1:8">
      <c r="A122" s="24" t="s">
        <v>139</v>
      </c>
      <c r="B122" s="29">
        <f>IF(Setup!$J$34=1, TRUNC(B117*Setup!$M34), 0)</f>
        <v>0</v>
      </c>
      <c r="C122" s="61">
        <f>IF(Setup!$K$34=1, TRUNC(C117*Setup!$N34), 0)</f>
        <v>0</v>
      </c>
      <c r="D122" s="29">
        <f>IF(Setup!$J$34=1, TRUNC(D117*Setup!$M34), 0)</f>
        <v>0</v>
      </c>
      <c r="E122" s="29">
        <f>IF(Setup!$K$34=1, TRUNC(E117*Setup!$N34), 0)</f>
        <v>0</v>
      </c>
    </row>
    <row r="123" spans="1:8">
      <c r="A123" s="125" t="s">
        <v>926</v>
      </c>
      <c r="B123" s="29">
        <f>IF(Setup!$J$50=1, TRUNC(B117*Setup!$M$50), 0)</f>
        <v>0</v>
      </c>
      <c r="C123" s="61">
        <f>IF(Setup!$K$50=1, TRUNC(C117*Setup!$N$50), 0)</f>
        <v>0</v>
      </c>
      <c r="D123" s="29">
        <f>IF(Setup!$J$50=1, TRUNC(D117*Setup!$M$50), 0)</f>
        <v>0</v>
      </c>
      <c r="E123" s="29">
        <f>IF(Setup!$K$50=1, TRUNC(E117*Setup!$N$50), 0)</f>
        <v>0</v>
      </c>
      <c r="G123" s="12"/>
      <c r="H123" s="12"/>
    </row>
    <row r="124" spans="1:8">
      <c r="A124" s="24" t="s">
        <v>153</v>
      </c>
      <c r="B124" s="29">
        <f>IF(AND(Setup!$F$31=1, OR(Setup!$F$20=1, Setup!$F$26=1)), FLOOR(0.25*B117, 1), 0)</f>
        <v>0</v>
      </c>
      <c r="C124" s="61">
        <f>IF(AND(Setup!$G$31=1, OR(Setup!$G$20=1, Setup!$G$26=1)), FLOOR(0.25*C117, 1), 0)</f>
        <v>0</v>
      </c>
      <c r="D124" s="29">
        <f>IF(AND(Setup!$F$31=1, OR(Setup!$F$20=1, Setup!$F$26=1)), FLOOR(0.25*D117, 1), 0)</f>
        <v>0</v>
      </c>
      <c r="E124" s="29">
        <f>IF(AND(Setup!$G$31=1, OR(Setup!$G$20=1, Setup!$G$26=1)), FLOOR(0.25*E117, 1), 0)</f>
        <v>0</v>
      </c>
    </row>
    <row r="125" spans="1:8">
      <c r="A125" s="24" t="s">
        <v>532</v>
      </c>
      <c r="B125" s="29">
        <f>IF(Setup!$F$4=1, TRUNC(B117*15%), 0)</f>
        <v>0</v>
      </c>
      <c r="C125" s="61">
        <f>IF(Setup!$G$4=1, TRUNC(C117*15%), 0)</f>
        <v>0</v>
      </c>
      <c r="D125" s="29">
        <f>IF(Setup!$F$4=1, TRUNC(D117*15%), 0)</f>
        <v>0</v>
      </c>
      <c r="E125" s="29">
        <f>IF(Setup!$G$4=1, TRUNC(E117*15%), 0)</f>
        <v>0</v>
      </c>
    </row>
    <row r="126" spans="1:8">
      <c r="A126" s="24" t="s">
        <v>961</v>
      </c>
      <c r="B126" s="29">
        <f ca="1">IF(AND(Setup!$F5=1, ISNUMBER(MATCH("Nature's Meditation", Spells!$B3:$B22, 0))), TRUNC(B117*20%), 0)</f>
        <v>220</v>
      </c>
      <c r="C126" s="61">
        <f ca="1">IF(AND(Setup!$G5=1,ISNUMBER(MATCH("Nature's Meditation", Spells!$S3:$S22, 0))), TRUNC(C117*20%), 0)</f>
        <v>238</v>
      </c>
      <c r="D126" s="29">
        <f ca="1">IF(AND(Setup!$F5=1, ISNUMBER(MATCH("Nature's Meditation", Spells!$B3:$B22, 0))), TRUNC(D117*20%), 0)</f>
        <v>245</v>
      </c>
      <c r="E126" s="29">
        <f ca="1">IF(AND(Setup!$G5=1,ISNUMBER(MATCH("Nature's Meditation", Spells!$S3:$S22, 0))), TRUNC(E117*20%), 0)</f>
        <v>209</v>
      </c>
    </row>
    <row r="127" spans="1:8">
      <c r="A127" s="24" t="s">
        <v>390</v>
      </c>
      <c r="B127" s="7">
        <f ca="1">FLOOR(HLOOKUP($A127, INDIRECT(B$28), MATCH("Total", Slots, 0)+1, 0) * B117, 1)</f>
        <v>0</v>
      </c>
      <c r="C127" s="56">
        <f ca="1">FLOOR(HLOOKUP($A127, INDIRECT(C$28), MATCH("Total", Slots, 0)+1, 0) * C117, 1)</f>
        <v>0</v>
      </c>
      <c r="D127" s="7">
        <f ca="1">FLOOR(HLOOKUP($A127, INDIRECT(D$28), MATCH("Total", Slots, 0)+1, 0) * D117, 1)</f>
        <v>0</v>
      </c>
      <c r="E127" s="7">
        <f ca="1">FLOOR(HLOOKUP($A127, INDIRECT(E$28), MATCH("Total", Slots, 0)+1, 0) * E117, 1)</f>
        <v>0</v>
      </c>
    </row>
    <row r="128" spans="1:8">
      <c r="A128" s="25" t="s">
        <v>368</v>
      </c>
      <c r="B128" s="26">
        <v>0</v>
      </c>
      <c r="C128" s="62">
        <v>0</v>
      </c>
      <c r="D128" s="26">
        <f ca="1">TRUNC(VLOOKUP(Setup!B$22, WeaponskillData, MATCH("Att Bonus", WeaponskillDataCols, 0), 0) * D117)</f>
        <v>0</v>
      </c>
      <c r="E128" s="26">
        <f ca="1">TRUNC(VLOOKUP(Setup!C$22, WeaponskillData, MATCH("Att Bonus", WeaponskillDataCols, 0), 0) * E117)</f>
        <v>0</v>
      </c>
    </row>
    <row r="129" spans="1:6">
      <c r="A129" s="125" t="s">
        <v>811</v>
      </c>
      <c r="B129" s="7">
        <f ca="1">B117+B119+B121+B122+B123+B124+B125+B127+B128</f>
        <v>1100</v>
      </c>
      <c r="C129" s="65">
        <f ca="1">C117+C119+C121+C122+C123+C124+C125+C127+C128</f>
        <v>1192</v>
      </c>
      <c r="D129" s="7">
        <f ca="1">D117+D119+D121+D122+D123+D124+D125+D127+D128</f>
        <v>1226</v>
      </c>
      <c r="E129" s="7">
        <f ca="1">E117+E119+E121+E122+E123+E124+E125+E127+E128</f>
        <v>1045</v>
      </c>
    </row>
    <row r="130" spans="1:6">
      <c r="A130" s="128" t="s">
        <v>812</v>
      </c>
      <c r="B130" s="57">
        <f ca="1">B118+B120</f>
        <v>1303</v>
      </c>
      <c r="C130" s="58">
        <f ca="1">C118+C120</f>
        <v>1340</v>
      </c>
      <c r="D130" s="57">
        <f ca="1">D118+D120</f>
        <v>1365</v>
      </c>
      <c r="E130" s="57">
        <f ca="1">E118+E120</f>
        <v>1319</v>
      </c>
    </row>
    <row r="131" spans="1:6">
      <c r="A131" s="86" t="s">
        <v>37</v>
      </c>
      <c r="B131" s="133">
        <f ca="1">MIN(B129/$M$14, 3.25)-$M$15</f>
        <v>3.25</v>
      </c>
      <c r="C131" s="134">
        <f ca="1">MIN(C129/$N$14, 3.25)-$N$15</f>
        <v>3.25</v>
      </c>
      <c r="D131" s="133">
        <f ca="1">MIN(D129/$M$14, 3.25)-$M$15</f>
        <v>3.25</v>
      </c>
      <c r="E131" s="133">
        <f ca="1">MIN(E129/$N$14, 3.25)-$N$15</f>
        <v>3.25</v>
      </c>
      <c r="F131" s="43"/>
    </row>
    <row r="132" spans="1:6">
      <c r="A132" s="9" t="s">
        <v>865</v>
      </c>
      <c r="B132" s="141"/>
      <c r="C132" s="142"/>
      <c r="D132" s="141"/>
      <c r="E132" s="141"/>
      <c r="F132" s="43"/>
    </row>
    <row r="133" spans="1:6">
      <c r="A133" s="31" t="s">
        <v>866</v>
      </c>
      <c r="B133" s="141">
        <f ca="1">B131</f>
        <v>3.25</v>
      </c>
      <c r="C133" s="143">
        <f ca="1">C131</f>
        <v>3.25</v>
      </c>
      <c r="D133" s="141">
        <f ca="1">D131</f>
        <v>3.25</v>
      </c>
      <c r="E133" s="141">
        <f ca="1">E131</f>
        <v>3.25</v>
      </c>
      <c r="F133" s="43"/>
    </row>
    <row r="134" spans="1:6">
      <c r="A134" s="31" t="s">
        <v>867</v>
      </c>
      <c r="B134" s="141">
        <f ca="1">B133+MIN(B133*(152/1024) - (752/1024), -0.375)</f>
        <v>2.875</v>
      </c>
      <c r="C134" s="143">
        <f ca="1">C133+MIN(C133*(152/1024) - (752/1024), -0.375)</f>
        <v>2.875</v>
      </c>
      <c r="D134" s="141">
        <f ca="1">D133+MIN(D133*(152/1024) - (752/1024), -0.375)</f>
        <v>2.875</v>
      </c>
      <c r="E134" s="141">
        <f ca="1">E133+MIN(E133*(152/1024) - (752/1024), -0.375)</f>
        <v>2.875</v>
      </c>
      <c r="F134" s="43"/>
    </row>
    <row r="135" spans="1:6">
      <c r="A135" s="31" t="s">
        <v>868</v>
      </c>
      <c r="B135" s="141">
        <f ca="1">B133+MIN(1-B133, B133*152/1024 - 448/1024)</f>
        <v>1</v>
      </c>
      <c r="C135" s="143">
        <f ca="1">C133+MIN(1-C133, C133*152/1024 - 448/1024)</f>
        <v>1</v>
      </c>
      <c r="D135" s="141">
        <f ca="1">D133+MIN(1-D133, D133*152/1024 - 448/1024)</f>
        <v>1</v>
      </c>
      <c r="E135" s="141">
        <f ca="1">E133+MIN(1-E133, E133*152/1024 - 448/1024)</f>
        <v>1</v>
      </c>
      <c r="F135" s="43"/>
    </row>
    <row r="136" spans="1:6">
      <c r="A136" s="31" t="s">
        <v>869</v>
      </c>
      <c r="B136" s="141">
        <f ca="1">MAX(B134,B135)</f>
        <v>2.875</v>
      </c>
      <c r="C136" s="143">
        <f ca="1">MAX(C134,C135)</f>
        <v>2.875</v>
      </c>
      <c r="D136" s="141">
        <f ca="1">MAX(D134,D135)</f>
        <v>2.875</v>
      </c>
      <c r="E136" s="141">
        <f ca="1">MAX(E134,E135)</f>
        <v>2.875</v>
      </c>
      <c r="F136" s="43"/>
    </row>
    <row r="137" spans="1:6">
      <c r="A137" s="31" t="s">
        <v>870</v>
      </c>
      <c r="B137" s="141">
        <f ca="1">MAX(MAX(B134,B135), 0)</f>
        <v>2.875</v>
      </c>
      <c r="C137" s="143">
        <f ca="1">MAX(MAX(C134,C135), 0)</f>
        <v>2.875</v>
      </c>
      <c r="D137" s="141">
        <f ca="1">MAX(MAX(D134,D135), 0)</f>
        <v>2.875</v>
      </c>
      <c r="E137" s="141">
        <f ca="1">MAX(MAX(E134,E135), 0)</f>
        <v>2.875</v>
      </c>
      <c r="F137" s="43"/>
    </row>
    <row r="138" spans="1:6">
      <c r="A138" s="31" t="s">
        <v>871</v>
      </c>
      <c r="B138" s="141">
        <f ca="1">B133 + MAX(MIN(B133 * 0.25, 0.375), 0.25)</f>
        <v>3.625</v>
      </c>
      <c r="C138" s="143">
        <f ca="1">C133 + MAX(MIN(C133 * 0.25, 0.375), 0.25)</f>
        <v>3.625</v>
      </c>
      <c r="D138" s="141">
        <f ca="1">D133 + MAX(MIN(D133 * 0.25, 0.375), 0.25)</f>
        <v>3.625</v>
      </c>
      <c r="E138" s="141">
        <f ca="1">E133 + MAX(MIN(E133 * 0.25, 0.375), 0.25)</f>
        <v>3.625</v>
      </c>
      <c r="F138" s="43"/>
    </row>
    <row r="139" spans="1:6">
      <c r="A139" s="31" t="s">
        <v>872</v>
      </c>
      <c r="B139" s="141">
        <f ca="1">B133 + MIN(B133*341/1024 + 358/1024, 1-B133)</f>
        <v>1</v>
      </c>
      <c r="C139" s="143">
        <f ca="1">C133 + MIN(C133*341/1024 + 358/1024, 1-C133)</f>
        <v>1</v>
      </c>
      <c r="D139" s="141">
        <f ca="1">D133 + MIN(D133*341/1024 + 358/1024, 1-D133)</f>
        <v>1</v>
      </c>
      <c r="E139" s="141">
        <f ca="1">E133 + MIN(E133*341/1024 + 358/1024, 1-E133)</f>
        <v>1</v>
      </c>
      <c r="F139" s="43"/>
    </row>
    <row r="140" spans="1:6">
      <c r="A140" s="31" t="s">
        <v>873</v>
      </c>
      <c r="B140" s="141">
        <f ca="1">MAX(B138,B139)</f>
        <v>3.625</v>
      </c>
      <c r="C140" s="143">
        <f ca="1">MAX(C138,C139)</f>
        <v>3.625</v>
      </c>
      <c r="D140" s="141">
        <f ca="1">MAX(D138,D139)</f>
        <v>3.625</v>
      </c>
      <c r="E140" s="141">
        <f ca="1">MAX(E138,E139)</f>
        <v>3.625</v>
      </c>
      <c r="F140" s="43"/>
    </row>
    <row r="141" spans="1:6">
      <c r="A141" s="31" t="s">
        <v>874</v>
      </c>
      <c r="B141" s="141">
        <f ca="1">MIN(MAX(B138,B139), 3.25)</f>
        <v>3.25</v>
      </c>
      <c r="C141" s="143">
        <f ca="1">MIN(MAX(C138,C139), 3.25)</f>
        <v>3.25</v>
      </c>
      <c r="D141" s="141">
        <f ca="1">MIN(MAX(D138,D139), 3.25)</f>
        <v>3.25</v>
      </c>
      <c r="E141" s="141">
        <f ca="1">MIN(MAX(E138,E139), 3.25)</f>
        <v>3.25</v>
      </c>
      <c r="F141" s="43"/>
    </row>
    <row r="142" spans="1:6">
      <c r="A142" s="31" t="s">
        <v>875</v>
      </c>
      <c r="B142" s="141">
        <f t="shared" ref="B142:E143" ca="1" si="9">B140-B136</f>
        <v>0.75</v>
      </c>
      <c r="C142" s="143">
        <f t="shared" ca="1" si="9"/>
        <v>0.75</v>
      </c>
      <c r="D142" s="141">
        <f t="shared" ca="1" si="9"/>
        <v>0.75</v>
      </c>
      <c r="E142" s="141">
        <f t="shared" ca="1" si="9"/>
        <v>0.75</v>
      </c>
      <c r="F142" s="43"/>
    </row>
    <row r="143" spans="1:6">
      <c r="A143" s="31" t="s">
        <v>876</v>
      </c>
      <c r="B143" s="141">
        <f t="shared" ca="1" si="9"/>
        <v>0.375</v>
      </c>
      <c r="C143" s="143">
        <f t="shared" ca="1" si="9"/>
        <v>0.375</v>
      </c>
      <c r="D143" s="141">
        <f t="shared" ca="1" si="9"/>
        <v>0.375</v>
      </c>
      <c r="E143" s="141">
        <f t="shared" ca="1" si="9"/>
        <v>0.375</v>
      </c>
      <c r="F143" s="43"/>
    </row>
    <row r="144" spans="1:6">
      <c r="A144" s="31" t="s">
        <v>877</v>
      </c>
      <c r="B144" s="144">
        <f ca="1">IF(B136&lt;0, 1-(B143/B142), 0)</f>
        <v>0</v>
      </c>
      <c r="C144" s="145">
        <f ca="1">IF(C136&lt;0, 1-(C143/C142), 0)</f>
        <v>0</v>
      </c>
      <c r="D144" s="144">
        <f ca="1">IF(D136&lt;0, 1-(D143/D142), 0)</f>
        <v>0</v>
      </c>
      <c r="E144" s="144">
        <f ca="1">IF(E136&lt;0, 1-(E143/E142), 0)</f>
        <v>0</v>
      </c>
      <c r="F144" s="43"/>
    </row>
    <row r="145" spans="1:6">
      <c r="A145" s="31" t="s">
        <v>878</v>
      </c>
      <c r="B145" s="144">
        <f ca="1">IF(B140&gt;3, 1-(B143/B142), 0)</f>
        <v>0.5</v>
      </c>
      <c r="C145" s="145">
        <f ca="1">IF(C140&gt;3, 1-(C143/C142), 0)</f>
        <v>0.5</v>
      </c>
      <c r="D145" s="144">
        <f ca="1">IF(D140&gt;3, 1-(D143/D142), 0)</f>
        <v>0.5</v>
      </c>
      <c r="E145" s="144">
        <f ca="1">IF(E140&gt;3, 1-(E143/E142), 0)</f>
        <v>0.5</v>
      </c>
      <c r="F145" s="43"/>
    </row>
    <row r="146" spans="1:6">
      <c r="A146" s="31" t="s">
        <v>879</v>
      </c>
      <c r="B146" s="144">
        <f ca="1">MAX(0, MIN(1/3, (0.5 - ABS(B133-1)) * 1.2))</f>
        <v>0</v>
      </c>
      <c r="C146" s="145">
        <f ca="1">MAX(0, MIN(1/3, (0.5 - ABS(C133-1)) * 1.2))</f>
        <v>0</v>
      </c>
      <c r="D146" s="144">
        <f ca="1">MAX(0, MIN(1/3, (0.5 - ABS(D133-1)) * 1.2))</f>
        <v>0</v>
      </c>
      <c r="E146" s="144">
        <f ca="1">MAX(0, MIN(1/3, (0.5 - ABS(E133-1)) * 1.2))</f>
        <v>0</v>
      </c>
      <c r="F146" s="43"/>
    </row>
    <row r="147" spans="1:6">
      <c r="A147" s="31" t="s">
        <v>880</v>
      </c>
      <c r="B147" s="141">
        <f ca="1">((0 * B144) + (B141 * B145) + (1 * B146) + (1 - B144 - B145 - B146) * ((B141 + B137) / 2)) * 1.02</f>
        <v>3.2193749999999999</v>
      </c>
      <c r="C147" s="143">
        <f ca="1">((0 * C144) + (C141 * C145) + (1 * C146) + (1 - C144 - C145 - C146) * ((C141 + C137) / 2)) * 1.02</f>
        <v>3.2193749999999999</v>
      </c>
      <c r="D147" s="141">
        <f ca="1">((0 * D144) + (D141 * D145) + (1 * D146) + (1 - D144 - D145 - D146) * ((D141 + D137) / 2)) * 1.02</f>
        <v>3.2193749999999999</v>
      </c>
      <c r="E147" s="141">
        <f ca="1">((0 * E144) + (E141 * E145) + (1 * E146) + (1 - E144 - E145 - E146) * ((E141 + E137) / 2)) * 1.02</f>
        <v>3.2193749999999999</v>
      </c>
      <c r="F147" s="43"/>
    </row>
    <row r="148" spans="1:6">
      <c r="A148" s="9" t="s">
        <v>881</v>
      </c>
      <c r="B148" s="141"/>
      <c r="C148" s="143"/>
      <c r="D148" s="141"/>
      <c r="E148" s="141"/>
      <c r="F148" s="43"/>
    </row>
    <row r="149" spans="1:6">
      <c r="A149" s="31" t="s">
        <v>866</v>
      </c>
      <c r="B149" s="141">
        <f ca="1">B131+1</f>
        <v>4.25</v>
      </c>
      <c r="C149" s="143">
        <f ca="1">C131+1</f>
        <v>4.25</v>
      </c>
      <c r="D149" s="141">
        <f ca="1">D131+1</f>
        <v>4.25</v>
      </c>
      <c r="E149" s="141">
        <f ca="1">E131+1</f>
        <v>4.25</v>
      </c>
      <c r="F149" s="43"/>
    </row>
    <row r="150" spans="1:6">
      <c r="A150" s="31" t="s">
        <v>867</v>
      </c>
      <c r="B150" s="141">
        <f ca="1">B149+MIN(B149*(152/1024) - (752/1024), -0.375)</f>
        <v>3.875</v>
      </c>
      <c r="C150" s="143">
        <f ca="1">C149+MIN(C149*(152/1024) - (752/1024), -0.375)</f>
        <v>3.875</v>
      </c>
      <c r="D150" s="141">
        <f ca="1">D149+MIN(D149*(152/1024) - (752/1024), -0.375)</f>
        <v>3.875</v>
      </c>
      <c r="E150" s="141">
        <f ca="1">E149+MIN(E149*(152/1024) - (752/1024), -0.375)</f>
        <v>3.875</v>
      </c>
      <c r="F150" s="43"/>
    </row>
    <row r="151" spans="1:6">
      <c r="A151" s="31" t="s">
        <v>868</v>
      </c>
      <c r="B151" s="141">
        <f ca="1">B149+MIN(1-B149, B149*152/1024 - 448/1024)</f>
        <v>1</v>
      </c>
      <c r="C151" s="143">
        <f ca="1">C149+MIN(1-C149, C149*152/1024 - 448/1024)</f>
        <v>1</v>
      </c>
      <c r="D151" s="141">
        <f ca="1">D149+MIN(1-D149, D149*152/1024 - 448/1024)</f>
        <v>1</v>
      </c>
      <c r="E151" s="141">
        <f ca="1">E149+MIN(1-E149, E149*152/1024 - 448/1024)</f>
        <v>1</v>
      </c>
      <c r="F151" s="43"/>
    </row>
    <row r="152" spans="1:6">
      <c r="A152" s="31" t="s">
        <v>869</v>
      </c>
      <c r="B152" s="141">
        <f ca="1">MAX(B150,B151)</f>
        <v>3.875</v>
      </c>
      <c r="C152" s="143">
        <f ca="1">MAX(C150,C151)</f>
        <v>3.875</v>
      </c>
      <c r="D152" s="141">
        <f ca="1">MAX(D150,D151)</f>
        <v>3.875</v>
      </c>
      <c r="E152" s="141">
        <f ca="1">MAX(E150,E151)</f>
        <v>3.875</v>
      </c>
      <c r="F152" s="43"/>
    </row>
    <row r="153" spans="1:6">
      <c r="A153" s="31" t="s">
        <v>870</v>
      </c>
      <c r="B153" s="141">
        <f ca="1">MAX(MAX(B150,B151), 0)</f>
        <v>3.875</v>
      </c>
      <c r="C153" s="143">
        <f ca="1">MAX(MAX(C150,C151), 0)</f>
        <v>3.875</v>
      </c>
      <c r="D153" s="141">
        <f ca="1">MAX(MAX(D150,D151), 0)</f>
        <v>3.875</v>
      </c>
      <c r="E153" s="141">
        <f ca="1">MAX(MAX(E150,E151), 0)</f>
        <v>3.875</v>
      </c>
      <c r="F153" s="43"/>
    </row>
    <row r="154" spans="1:6">
      <c r="A154" s="31" t="s">
        <v>871</v>
      </c>
      <c r="B154" s="141">
        <f ca="1">B149 + MAX(MIN(B149 * 0.25, 0.375), 0.25)</f>
        <v>4.625</v>
      </c>
      <c r="C154" s="143">
        <f ca="1">C149 + MAX(MIN(C149 * 0.25, 0.375), 0.25)</f>
        <v>4.625</v>
      </c>
      <c r="D154" s="141">
        <f ca="1">D149 + MAX(MIN(D149 * 0.25, 0.375), 0.25)</f>
        <v>4.625</v>
      </c>
      <c r="E154" s="141">
        <f ca="1">E149 + MAX(MIN(E149 * 0.25, 0.375), 0.25)</f>
        <v>4.625</v>
      </c>
      <c r="F154" s="43"/>
    </row>
    <row r="155" spans="1:6">
      <c r="A155" s="31" t="s">
        <v>872</v>
      </c>
      <c r="B155" s="141">
        <f ca="1">B149 + MIN(B149*341/1024 + 358/1024, 1-B149)</f>
        <v>1</v>
      </c>
      <c r="C155" s="143">
        <f ca="1">C149 + MIN(C149*341/1024 + 358/1024, 1-C149)</f>
        <v>1</v>
      </c>
      <c r="D155" s="141">
        <f ca="1">D149 + MIN(D149*341/1024 + 358/1024, 1-D149)</f>
        <v>1</v>
      </c>
      <c r="E155" s="141">
        <f ca="1">E149 + MIN(E149*341/1024 + 358/1024, 1-E149)</f>
        <v>1</v>
      </c>
      <c r="F155" s="43"/>
    </row>
    <row r="156" spans="1:6">
      <c r="A156" s="31" t="s">
        <v>873</v>
      </c>
      <c r="B156" s="141">
        <f ca="1">MAX(B154,B155)</f>
        <v>4.625</v>
      </c>
      <c r="C156" s="143">
        <f ca="1">MAX(C154,C155)</f>
        <v>4.625</v>
      </c>
      <c r="D156" s="141">
        <f ca="1">MAX(D154,D155)</f>
        <v>4.625</v>
      </c>
      <c r="E156" s="141">
        <f ca="1">MAX(E154,E155)</f>
        <v>4.625</v>
      </c>
      <c r="F156" s="43"/>
    </row>
    <row r="157" spans="1:6">
      <c r="A157" s="31" t="s">
        <v>874</v>
      </c>
      <c r="B157" s="141">
        <f ca="1">MIN(MAX(B154,B155), 4.25)</f>
        <v>4.25</v>
      </c>
      <c r="C157" s="143">
        <f ca="1">MIN(MAX(C154,C155), 4.25)</f>
        <v>4.25</v>
      </c>
      <c r="D157" s="141">
        <f ca="1">MIN(MAX(D154,D155), 4.25)</f>
        <v>4.25</v>
      </c>
      <c r="E157" s="141">
        <f ca="1">MIN(MAX(E154,E155), 4.25)</f>
        <v>4.25</v>
      </c>
      <c r="F157" s="43"/>
    </row>
    <row r="158" spans="1:6">
      <c r="A158" s="31" t="s">
        <v>875</v>
      </c>
      <c r="B158" s="141">
        <f t="shared" ref="B158:E159" ca="1" si="10">B156-B152</f>
        <v>0.75</v>
      </c>
      <c r="C158" s="143">
        <f t="shared" ca="1" si="10"/>
        <v>0.75</v>
      </c>
      <c r="D158" s="141">
        <f t="shared" ca="1" si="10"/>
        <v>0.75</v>
      </c>
      <c r="E158" s="141">
        <f t="shared" ca="1" si="10"/>
        <v>0.75</v>
      </c>
      <c r="F158" s="43"/>
    </row>
    <row r="159" spans="1:6">
      <c r="A159" s="31" t="s">
        <v>876</v>
      </c>
      <c r="B159" s="141">
        <f t="shared" ca="1" si="10"/>
        <v>0.375</v>
      </c>
      <c r="C159" s="143">
        <f t="shared" ca="1" si="10"/>
        <v>0.375</v>
      </c>
      <c r="D159" s="141">
        <f t="shared" ca="1" si="10"/>
        <v>0.375</v>
      </c>
      <c r="E159" s="141">
        <f t="shared" ca="1" si="10"/>
        <v>0.375</v>
      </c>
      <c r="F159" s="43"/>
    </row>
    <row r="160" spans="1:6">
      <c r="A160" s="31" t="s">
        <v>877</v>
      </c>
      <c r="B160" s="146">
        <f ca="1">IF(B152&lt;0, 1-(B159/B158), 0)</f>
        <v>0</v>
      </c>
      <c r="C160" s="147">
        <f ca="1">IF(C152&lt;0, 1-(C159/C158), 0)</f>
        <v>0</v>
      </c>
      <c r="D160" s="146">
        <f ca="1">IF(D152&lt;0, 1-(D159/D158), 0)</f>
        <v>0</v>
      </c>
      <c r="E160" s="146">
        <f ca="1">IF(E152&lt;0, 1-(E159/E158), 0)</f>
        <v>0</v>
      </c>
      <c r="F160" s="43"/>
    </row>
    <row r="161" spans="1:6">
      <c r="A161" s="31" t="s">
        <v>878</v>
      </c>
      <c r="B161" s="146">
        <f ca="1">IF(B156&gt;3, 1-(B159/B158), 0)</f>
        <v>0.5</v>
      </c>
      <c r="C161" s="147">
        <f ca="1">IF(C156&gt;3, 1-(C159/C158), 0)</f>
        <v>0.5</v>
      </c>
      <c r="D161" s="146">
        <f ca="1">IF(D156&gt;3, 1-(D159/D158), 0)</f>
        <v>0.5</v>
      </c>
      <c r="E161" s="146">
        <f ca="1">IF(E156&gt;3, 1-(E159/E158), 0)</f>
        <v>0.5</v>
      </c>
      <c r="F161" s="43"/>
    </row>
    <row r="162" spans="1:6">
      <c r="A162" s="31" t="s">
        <v>879</v>
      </c>
      <c r="B162" s="146">
        <f ca="1">MAX(0, MIN(1/3, (0.5 - ABS(B149-1)) * 1.2))</f>
        <v>0</v>
      </c>
      <c r="C162" s="147">
        <f ca="1">MAX(0, MIN(1/3, (0.5 - ABS(C149-1)) * 1.2))</f>
        <v>0</v>
      </c>
      <c r="D162" s="146">
        <f ca="1">MAX(0, MIN(1/3, (0.5 - ABS(D149-1)) * 1.2))</f>
        <v>0</v>
      </c>
      <c r="E162" s="146">
        <f ca="1">MAX(0, MIN(1/3, (0.5 - ABS(E149-1)) * 1.2))</f>
        <v>0</v>
      </c>
      <c r="F162" s="43"/>
    </row>
    <row r="163" spans="1:6">
      <c r="A163" s="26" t="s">
        <v>882</v>
      </c>
      <c r="B163" s="148">
        <f ca="1">((0 * B160) + (B157 * B161) + (1 * B162) + (1 - B160 - B161 - B162) * ((B157 + B153) / 2)) * 1.02</f>
        <v>4.2393749999999999</v>
      </c>
      <c r="C163" s="149">
        <f ca="1">((0 * C160) + (C157 * C161) + (1 * C162) + (1 - C160 - C161 - C162) * ((C157 + C153) / 2)) * 1.02</f>
        <v>4.2393749999999999</v>
      </c>
      <c r="D163" s="148">
        <f ca="1">((0 * D160) + (D157 * D161) + (1 * D162) + (1 - D160 - D161 - D162) * ((D157 + D153) / 2)) * 1.02</f>
        <v>4.2393749999999999</v>
      </c>
      <c r="E163" s="148">
        <f ca="1">((0 * E160) + (E157 * E161) + (1 * E162) + (1 - E160 - E161 - E162) * ((E157 + E153) / 2)) * 1.02</f>
        <v>4.2393749999999999</v>
      </c>
    </row>
    <row r="164" spans="1:6">
      <c r="A164" t="s">
        <v>39</v>
      </c>
      <c r="B164" s="5">
        <f ca="1">((B130-($M$16+$M$17))/2)/100+75%</f>
        <v>1.17</v>
      </c>
      <c r="C164" s="5">
        <f ca="1">((C130-($N$16+$M$17))/2)/100+75%</f>
        <v>1.355</v>
      </c>
      <c r="D164" s="72">
        <f ca="1">((D130-($M$16+$M$17))/2)/100+75%</f>
        <v>1.48</v>
      </c>
      <c r="E164" s="5">
        <f ca="1">((E130-($N$16+$M$17))/2)/100+75%</f>
        <v>1.25</v>
      </c>
    </row>
    <row r="165" spans="1:6">
      <c r="A165" s="14" t="s">
        <v>38</v>
      </c>
      <c r="B165" s="28">
        <f ca="1">MAX(MIN(B164,95%), 20%)</f>
        <v>0.95</v>
      </c>
      <c r="C165" s="28">
        <f ca="1">MAX(MIN(C164,95%), 20%)</f>
        <v>0.95</v>
      </c>
      <c r="D165" s="73">
        <f ca="1">MAX(MIN(D164,95%), 20%)</f>
        <v>0.95</v>
      </c>
      <c r="E165" s="28">
        <f ca="1">MAX(MIN(E164,95%), 20%)</f>
        <v>0.95</v>
      </c>
    </row>
    <row r="166" spans="1:6">
      <c r="A166" t="s">
        <v>813</v>
      </c>
      <c r="B166">
        <f ca="1">H20</f>
        <v>158</v>
      </c>
      <c r="C166" s="135">
        <f ca="1">I20</f>
        <v>168</v>
      </c>
      <c r="D166">
        <f ca="1">H20</f>
        <v>158</v>
      </c>
      <c r="E166">
        <f ca="1">I20</f>
        <v>168</v>
      </c>
    </row>
    <row r="167" spans="1:6">
      <c r="A167" t="s">
        <v>814</v>
      </c>
      <c r="B167">
        <f ca="1">TRUNC(B166/9)</f>
        <v>17</v>
      </c>
      <c r="C167" s="75">
        <f ca="1">TRUNC(C166/9)</f>
        <v>18</v>
      </c>
      <c r="D167">
        <f ca="1">TRUNC(D166/9)</f>
        <v>17</v>
      </c>
      <c r="E167">
        <f ca="1">TRUNC(E166/9)</f>
        <v>18</v>
      </c>
    </row>
    <row r="168" spans="1:6">
      <c r="A168" t="s">
        <v>815</v>
      </c>
      <c r="B168" s="22">
        <f ca="1">TRUNC(MAX(MIN(TRUNC((B$38+B$39)/2), (8+B167)*2), (0-B167)*2)/2)</f>
        <v>2</v>
      </c>
      <c r="C168" s="74">
        <f ca="1">TRUNC(MAX(MIN(TRUNC((C$38+C$39)/2), (8+C167)*2), (0-C167)*2)/2)</f>
        <v>-5</v>
      </c>
      <c r="D168" s="22">
        <f ca="1">TRUNC(MAX(MIN(TRUNC((D$38+D$39)/2), (8+D167)*2), (0-D167)*2)/2)</f>
        <v>18</v>
      </c>
      <c r="E168" s="22">
        <f ca="1">TRUNC(MAX(MIN(TRUNC((E$38+E$39)/2), (8+E167)*2), (0-E167)*2)/2)</f>
        <v>-3</v>
      </c>
    </row>
    <row r="169" spans="1:6">
      <c r="A169" s="14" t="s">
        <v>816</v>
      </c>
      <c r="B169" s="14">
        <f ca="1">IF(B166&gt;0, B166+B168, 0)</f>
        <v>160</v>
      </c>
      <c r="C169" s="76">
        <f ca="1">IF(C166&gt;0, C166+C168, 0)</f>
        <v>163</v>
      </c>
      <c r="D169" s="14">
        <f ca="1">IF(D166&gt;0, D166+D168, 0)</f>
        <v>176</v>
      </c>
      <c r="E169" s="14">
        <f ca="1">IF(E166&gt;0, E166+E168, 0)</f>
        <v>165</v>
      </c>
    </row>
    <row r="171" spans="1:6">
      <c r="A171" s="27" t="s">
        <v>818</v>
      </c>
      <c r="B171" s="45"/>
      <c r="C171" s="45"/>
      <c r="D171" s="45"/>
      <c r="E171" s="45"/>
    </row>
    <row r="172" spans="1:6">
      <c r="A172" t="s">
        <v>12</v>
      </c>
      <c r="B172" s="2">
        <f ca="1">MAX($B$16+$D$16+HLOOKUP($A172, INDIRECT(B$28), MATCH("Total", Slots, 0)+1, 0)+IF(Setup!J36=1, Setup!M36, 0), 0)</f>
        <v>0.22</v>
      </c>
      <c r="C172" s="15">
        <f ca="1">MAX($C$16+$E$16+HLOOKUP($A172, INDIRECT(C$28), MATCH("Total", Slots, 0)+1, 0)+IF(Setup!K36=1, Setup!N36, 0), 0)</f>
        <v>0.11</v>
      </c>
      <c r="D172" s="2">
        <f ca="1">MAX($B$16+$D$16+HLOOKUP($A172, INDIRECT(D$28), MATCH("Total", Slots, 0)+1, 0)+IF(Setup!J36=1, Setup!M36, 0), 0)</f>
        <v>0.11</v>
      </c>
      <c r="E172" s="2">
        <f ca="1">MAX($C$16+$E$16+HLOOKUP($A172, INDIRECT(E$28), MATCH("Total", Slots, 0)+1, 0)+IF(Setup!K36=1, Setup!N36, 0), 0)</f>
        <v>0.17</v>
      </c>
    </row>
    <row r="173" spans="1:6">
      <c r="A173" s="43" t="s">
        <v>166</v>
      </c>
      <c r="B173" s="42">
        <f ca="1">$B$17+$D$17+HLOOKUP($A173, INDIRECT(B$28), MATCH("Total", Slots, 0)+1, 0)</f>
        <v>0.29000000000000004</v>
      </c>
      <c r="C173" s="15">
        <f ca="1">$C$17+$E$17+HLOOKUP($A173, INDIRECT(C$28), MATCH("Total", Slots, 0)+1, 0)</f>
        <v>0.09</v>
      </c>
      <c r="D173" s="42">
        <f ca="1">$B$17+$D$17+HLOOKUP($A173, INDIRECT(D$28), MATCH("Total", Slots, 0)+1, 0)</f>
        <v>0.05</v>
      </c>
      <c r="E173" s="42">
        <f ca="1">$C$17+$E$17+HLOOKUP($A173, INDIRECT(E$28), MATCH("Total", Slots, 0)+1, 0)</f>
        <v>0.14000000000000001</v>
      </c>
    </row>
    <row r="174" spans="1:6">
      <c r="A174" s="14" t="s">
        <v>311</v>
      </c>
      <c r="B174" s="63">
        <f ca="1">HLOOKUP($A174, INDIRECT(B$28), MATCH("Total", Slots, 0)+1, 0)</f>
        <v>0</v>
      </c>
      <c r="C174" s="64">
        <f ca="1">HLOOKUP($A174, INDIRECT(C$28), MATCH("Total", Slots, 0)+1, 0)</f>
        <v>0</v>
      </c>
      <c r="D174" s="63">
        <f ca="1">HLOOKUP($A174, INDIRECT(D$28), MATCH("Total", Slots, 0)+1, 0)</f>
        <v>0</v>
      </c>
      <c r="E174" s="63">
        <f ca="1">HLOOKUP($A174, INDIRECT(E$28), MATCH("Total", Slots, 0)+1, 0)</f>
        <v>0.03</v>
      </c>
    </row>
    <row r="175" spans="1:6">
      <c r="A175" s="24" t="s">
        <v>249</v>
      </c>
      <c r="B175" s="66">
        <f ca="1">B32-$L$18</f>
        <v>127</v>
      </c>
      <c r="C175" s="65">
        <f ca="1">C32-$L$18</f>
        <v>122</v>
      </c>
      <c r="D175" s="66">
        <f ca="1">D32-$L$18</f>
        <v>80</v>
      </c>
      <c r="E175" s="66">
        <f ca="1">E32-$L$18</f>
        <v>135</v>
      </c>
    </row>
    <row r="176" spans="1:6">
      <c r="A176" t="s">
        <v>69</v>
      </c>
      <c r="B176" s="12">
        <f ca="1">IF(B175&gt;50, 15%, IF(B175&gt;39,5%+(B175-40)/100,IF(B175&gt;29,4%,IF(B175&gt;19,3%,IF(B175&gt;13,2%,IF(B175&gt;6,1%,0))))))+5%</f>
        <v>0.2</v>
      </c>
      <c r="C176" s="12">
        <f ca="1">IF(C175&gt;50, 15%, IF(C175&gt;39,5%+(C175-40)/100,IF(C175&gt;29,4%,IF(C175&gt;19,3%,IF(C175&gt;13,2%,IF(C175&gt;6,1%,0))))))+5%</f>
        <v>0.2</v>
      </c>
      <c r="D176" s="71">
        <f ca="1">IF(D175&gt;50, 15%, IF(D175&gt;39,5%+(D175-40)/100,IF(D175&gt;29,4%,IF(D175&gt;19,3%,IF(D175&gt;13,2%,IF(D175&gt;6,1%,0))))))+5%</f>
        <v>0.2</v>
      </c>
      <c r="E176" s="12">
        <f ca="1">IF(E175&gt;50, 15%, IF(E175&gt;39,5%+(E175-40)/100,IF(E175&gt;29,4%,IF(E175&gt;19,3%,IF(E175&gt;13,2%,IF(E175&gt;6,1%,0))))))+5%</f>
        <v>0.2</v>
      </c>
    </row>
    <row r="177" spans="1:5">
      <c r="A177" s="31" t="s">
        <v>859</v>
      </c>
      <c r="B177" s="12">
        <f>IF(Setup!$F$34=1, VLOOKUP("C.Rate", Ionis, 2, 0), 0)</f>
        <v>0.02</v>
      </c>
      <c r="C177" s="140">
        <f>IF(Setup!$G$34=1, VLOOKUP("C.Rate", Ionis, 2, 0), 0)</f>
        <v>0.02</v>
      </c>
      <c r="D177" s="12">
        <f>IF(Setup!$F$34=1, VLOOKUP("C.Rate", Ionis, 2, 0), 0)</f>
        <v>0.02</v>
      </c>
      <c r="E177" s="12">
        <f>IF(Setup!$G$34=1, VLOOKUP("C.Rate", Ionis, 2, 0), 0)</f>
        <v>0.02</v>
      </c>
    </row>
    <row r="178" spans="1:5">
      <c r="A178" t="s">
        <v>137</v>
      </c>
      <c r="B178" s="2">
        <f ca="1">MIN(B176+B177+Setup!$B$12+$B$20+$D$20+HLOOKUP($A178, INDIRECT(B$28), MATCH("Total", Slots, 0)+1, 0)+IF(Setup!J37=1, Setup!M37, 0), 100%)</f>
        <v>0.53</v>
      </c>
      <c r="C178" s="15">
        <f ca="1">MIN(C176+C177+Setup!$B$12+$B$20+$E$20+HLOOKUP($A178, INDIRECT(C$28), MATCH("Total", Slots, 0)+1, 0)+IF(Setup!K37=1, Setup!N37, 0), 100%)</f>
        <v>0.75</v>
      </c>
      <c r="D178" s="2">
        <f ca="1">MIN(D176+D177+Setup!$B$12+$B$20+$D$20+HLOOKUP($A178, INDIRECT(D$28), MATCH("Total", Slots, 0)+1, 0)+IF(Setup!J37=1, Setup!M37, 0), 100%)</f>
        <v>0.52</v>
      </c>
      <c r="E178" s="2">
        <f ca="1">MIN(E176+E177+Setup!$B$12+$B$20+$E$20+HLOOKUP($A178, INDIRECT(E$28), MATCH("Total", Slots, 0)+1, 0)+IF(Setup!K37=1, Setup!N37, 0), 100%)</f>
        <v>0.71000000000000008</v>
      </c>
    </row>
    <row r="179" spans="1:5">
      <c r="A179" t="s">
        <v>278</v>
      </c>
      <c r="B179" s="2">
        <f ca="1">B178-Gear!P4</f>
        <v>0.53</v>
      </c>
      <c r="C179" s="15">
        <f ca="1">C178-Gear!AO4</f>
        <v>0.75</v>
      </c>
      <c r="D179" s="2">
        <f ca="1">D178-Gear!P4</f>
        <v>0.52</v>
      </c>
      <c r="E179" s="2">
        <f ca="1">E178-Gear!AO4</f>
        <v>0.71000000000000008</v>
      </c>
    </row>
    <row r="180" spans="1:5">
      <c r="A180" t="s">
        <v>277</v>
      </c>
      <c r="B180" s="2">
        <f ca="1">B178-Gear!P3</f>
        <v>0.53</v>
      </c>
      <c r="C180" s="15">
        <f ca="1">C178-Gear!AO3</f>
        <v>0.75</v>
      </c>
      <c r="D180" s="2">
        <f ca="1">D178-Gear!P3</f>
        <v>0.52</v>
      </c>
      <c r="E180" s="2">
        <f ca="1">E178-Gear!AO3</f>
        <v>0.71000000000000008</v>
      </c>
    </row>
    <row r="181" spans="1:5">
      <c r="A181" s="43" t="s">
        <v>136</v>
      </c>
      <c r="B181" s="42">
        <f ca="1">MIN($B$21+$D$21 + HLOOKUP($A181, INDIRECT(B$28), MATCH("Total", Slots, 0)+1, 0), 100%)</f>
        <v>0.11</v>
      </c>
      <c r="C181" s="15">
        <f ca="1">MIN($B$21+$E$21 + HLOOKUP($A181, INDIRECT(C$28), MATCH("Total", Slots, 0)+1, 0), 100%)</f>
        <v>0.36</v>
      </c>
      <c r="D181" s="42">
        <f ca="1">MIN($B$21+$D$21 + HLOOKUP($A181, INDIRECT(D$28), MATCH("Total", Slots, 0)+1, 0), 100%)</f>
        <v>0.11</v>
      </c>
      <c r="E181" s="42">
        <f ca="1">MIN($B$21+$E$21 + HLOOKUP($A181, INDIRECT(E$28), MATCH("Total", Slots, 0)+1, 0), 100%)</f>
        <v>0.21000000000000002</v>
      </c>
    </row>
    <row r="182" spans="1:5">
      <c r="A182" s="25" t="s">
        <v>250</v>
      </c>
      <c r="B182" s="63">
        <f ca="1">100%+B181</f>
        <v>1.1100000000000001</v>
      </c>
      <c r="C182" s="64">
        <f ca="1">100%+C181</f>
        <v>1.3599999999999999</v>
      </c>
      <c r="D182" s="63">
        <f ca="1">100%+D181</f>
        <v>1.1100000000000001</v>
      </c>
      <c r="E182" s="63">
        <f ca="1">100%+E181</f>
        <v>1.21</v>
      </c>
    </row>
    <row r="183" spans="1:5">
      <c r="A183" s="24" t="s">
        <v>245</v>
      </c>
      <c r="B183" s="66">
        <f ca="1">H18+H21</f>
        <v>460</v>
      </c>
      <c r="C183" s="56">
        <f ca="1">I18+I21</f>
        <v>464</v>
      </c>
      <c r="D183" s="66">
        <f ca="1">H18+H21</f>
        <v>460</v>
      </c>
      <c r="E183" s="66">
        <f ca="1">I18+I21</f>
        <v>464</v>
      </c>
    </row>
    <row r="184" spans="1:5">
      <c r="A184" s="24" t="s">
        <v>141</v>
      </c>
      <c r="B184" s="2">
        <f ca="1">IF(H25&gt;0, H25 + HLOOKUP($A184, INDIRECT(B$28), MATCH("Total", Slots, 0)+1, 0), 0)</f>
        <v>0.36</v>
      </c>
      <c r="C184" s="15">
        <f ca="1">IF(I25&gt;0, I25 + HLOOKUP($A184, INDIRECT(C$28), MATCH("Total", Slots, 0)+1, 0), 0)</f>
        <v>0.36</v>
      </c>
      <c r="D184" s="2">
        <f ca="1">IF(H25&gt;0, H25 + HLOOKUP($A184, INDIRECT(D$28), MATCH("Total", Slots, 0)+1, 0), 0)</f>
        <v>0.25</v>
      </c>
      <c r="E184" s="2">
        <f ca="1">IF(I25&gt;0, I25 + HLOOKUP($A184, INDIRECT(E$28), MATCH("Total", Slots, 0)+1, 0), 0)</f>
        <v>0.25</v>
      </c>
    </row>
    <row r="185" spans="1:5">
      <c r="A185" s="24" t="s">
        <v>272</v>
      </c>
      <c r="B185" s="66">
        <f ca="1">FLOOR(B183 - (B183*B184), 1)</f>
        <v>294</v>
      </c>
      <c r="C185" s="56">
        <f ca="1">FLOOR(C183 - (C183*C184), 1)</f>
        <v>296</v>
      </c>
      <c r="D185" s="66">
        <f ca="1">FLOOR(D183 - (D183*D184), 1)</f>
        <v>345</v>
      </c>
      <c r="E185" s="66">
        <f ca="1">FLOOR(E183 - (E183*E184), 1)</f>
        <v>348</v>
      </c>
    </row>
    <row r="186" spans="1:5">
      <c r="A186" s="24" t="s">
        <v>246</v>
      </c>
      <c r="B186" s="66">
        <f ca="1">IF($H21=0, B185, B185/2)</f>
        <v>147</v>
      </c>
      <c r="C186" s="56">
        <f ca="1">IF($I21=0, C185, C185/2)</f>
        <v>148</v>
      </c>
      <c r="D186" s="66">
        <f ca="1">IF($H21=0, D185, D185/2)</f>
        <v>172.5</v>
      </c>
      <c r="E186" s="66">
        <f ca="1">IF($I21=0, E185, E185/2)</f>
        <v>174</v>
      </c>
    </row>
    <row r="187" spans="1:5">
      <c r="A187" s="24" t="s">
        <v>247</v>
      </c>
      <c r="B187" s="67">
        <f ca="1">IF(B186&gt;175, TRUNC(B186*489/2000)+17, TRUNC((B186-12)*11/64)+32)</f>
        <v>55</v>
      </c>
      <c r="C187" s="68">
        <f t="shared" ref="C187:E187" ca="1" si="11">IF(C186&gt;175, TRUNC(C186*489/2000)+17, TRUNC((C186-12)*11/64)+32)</f>
        <v>55</v>
      </c>
      <c r="D187" s="67">
        <f t="shared" ca="1" si="11"/>
        <v>59</v>
      </c>
      <c r="E187" s="67">
        <f t="shared" ca="1" si="11"/>
        <v>59</v>
      </c>
    </row>
    <row r="188" spans="1:5">
      <c r="A188" s="43" t="s">
        <v>13</v>
      </c>
      <c r="B188" s="67">
        <f ca="1">$B$22+$B$23+$D$22+HLOOKUP($A188, INDIRECT(B$28), MATCH("Total", Slots, 0)+1, 0)+IF(Setup!$J38=1, Setup!M38, 0)</f>
        <v>135</v>
      </c>
      <c r="C188" s="68">
        <f ca="1">$C$22+$C$23+$E$22+HLOOKUP($A188, INDIRECT(C$28), MATCH("Total", Slots, 0)+1, 0)+IF(Setup!$K38=1, Setup!N38, 0)</f>
        <v>128</v>
      </c>
      <c r="D188" s="67">
        <f ca="1">$B$22+$B$23+$D$22+HLOOKUP($A188, INDIRECT(D$28), MATCH("Total", Slots, 0)+1, 0)+IF(Setup!$J38=1, Setup!M38, 0)</f>
        <v>115</v>
      </c>
      <c r="E188" s="67">
        <f ca="1">$C$22+$C$23+$E$22+HLOOKUP($A188, INDIRECT(E$28), MATCH("Total", Slots, 0)+1, 0)+IF(Setup!$K38=1, Setup!N38, 0)</f>
        <v>128</v>
      </c>
    </row>
    <row r="189" spans="1:5">
      <c r="A189" s="14" t="s">
        <v>248</v>
      </c>
      <c r="B189" s="69">
        <f ca="1">TRUNC(B187*(1+B188/100))</f>
        <v>129</v>
      </c>
      <c r="C189" s="70">
        <f t="shared" ref="C189:E189" ca="1" si="12">TRUNC(C187*(1+C188/100))</f>
        <v>125</v>
      </c>
      <c r="D189" s="69">
        <f t="shared" ca="1" si="12"/>
        <v>126</v>
      </c>
      <c r="E189" s="69">
        <f t="shared" ca="1" si="12"/>
        <v>134</v>
      </c>
    </row>
    <row r="191" spans="1:5">
      <c r="A191" s="14" t="s">
        <v>28</v>
      </c>
      <c r="B191" s="27" t="s">
        <v>222</v>
      </c>
      <c r="C191" s="27" t="s">
        <v>223</v>
      </c>
      <c r="D191" s="53" t="s">
        <v>224</v>
      </c>
      <c r="E191" s="27" t="s">
        <v>225</v>
      </c>
    </row>
    <row r="192" spans="1:5">
      <c r="A192" s="24" t="s">
        <v>978</v>
      </c>
      <c r="B192" s="29">
        <f>TRUNC(MAX(0,Setup!J20-300)/10) + 20</f>
        <v>35</v>
      </c>
      <c r="C192" s="29">
        <f>TRUNC(MAX(0, Setup!K20-300)/10) + 20</f>
        <v>35</v>
      </c>
      <c r="D192" s="156"/>
      <c r="E192" s="29"/>
    </row>
    <row r="193" spans="1:5">
      <c r="A193" s="24" t="s">
        <v>979</v>
      </c>
      <c r="B193" s="29">
        <f>IF(Setup!J11&lt;150, MAX(1, TRUNC(SQRT(Setup!J11))-1), TRUNC(Setup!J11/20)+5)</f>
        <v>28</v>
      </c>
      <c r="C193" s="29">
        <f>IF(Setup!K11&lt;150, MAX(1, TRUNC(SQRT(Setup!K11))-1), TRUNC(Setup!K11/20)+5)</f>
        <v>28</v>
      </c>
      <c r="D193" s="156"/>
      <c r="E193" s="29"/>
    </row>
    <row r="194" spans="1:5">
      <c r="A194" s="14" t="s">
        <v>980</v>
      </c>
      <c r="B194" s="26">
        <f>IF(Setup!J21=1, B192, IF(Setup!J13=1, B193, 0))</f>
        <v>0</v>
      </c>
      <c r="C194" s="26">
        <f>IF(Setup!K21=1, C192, IF(Setup!K13=1, C193, 0))</f>
        <v>0</v>
      </c>
      <c r="D194" s="157"/>
      <c r="E194" s="26"/>
    </row>
    <row r="195" spans="1:5">
      <c r="A195" s="24" t="s">
        <v>273</v>
      </c>
      <c r="B195" s="6">
        <f ca="1">((B109*B87*(100%-B179)) + (B109*B103*B179*B182))</f>
        <v>597.06245381250005</v>
      </c>
      <c r="C195" s="6">
        <f ca="1">((C109*C87*(100%-C179)) + (C109*C103*C179*C182))</f>
        <v>784.73795624999991</v>
      </c>
      <c r="D195" s="77"/>
      <c r="E195" s="78"/>
    </row>
    <row r="196" spans="1:5">
      <c r="A196" s="24" t="s">
        <v>274</v>
      </c>
      <c r="B196" s="6">
        <f ca="1">(B169*B147*(100%-B180)) + (B169*B163*B180*B182)</f>
        <v>641.14089000000001</v>
      </c>
      <c r="C196" s="6">
        <f ca="1">(C169*C147*(100%-C180)) + (C169*C163*C180*C182)</f>
        <v>836.02801874999977</v>
      </c>
      <c r="D196" s="77"/>
      <c r="E196" s="78"/>
    </row>
    <row r="197" spans="1:5">
      <c r="A197" t="s">
        <v>275</v>
      </c>
      <c r="B197" s="6">
        <f ca="1">AvgHitsPerHand1Set1</f>
        <v>2.156351076</v>
      </c>
      <c r="C197" s="6">
        <f ca="1">AvgHitsPerHand1Set2</f>
        <v>1.267299</v>
      </c>
      <c r="D197" s="79"/>
    </row>
    <row r="198" spans="1:5">
      <c r="A198" t="s">
        <v>276</v>
      </c>
      <c r="B198" s="6">
        <f ca="1">AvgHitsPerHand2Set1</f>
        <v>1.6493899999999999</v>
      </c>
      <c r="C198" s="6">
        <f ca="1">AvgHitsPerHand2Set2</f>
        <v>1.2160950000000001</v>
      </c>
      <c r="D198" s="79"/>
    </row>
    <row r="199" spans="1:5">
      <c r="A199" s="31" t="s">
        <v>860</v>
      </c>
      <c r="B199" s="34">
        <v>0</v>
      </c>
      <c r="C199" s="34">
        <v>0</v>
      </c>
      <c r="D199" s="79"/>
    </row>
    <row r="200" spans="1:5">
      <c r="A200" s="31" t="s">
        <v>861</v>
      </c>
      <c r="B200" s="6">
        <f ca="1">IF(B199&gt;0, IF(B199&lt;95, 5%, 12%), 0) * B195 * B105 * 2</f>
        <v>0</v>
      </c>
      <c r="C200" s="6">
        <f ca="1">IF(C199&gt;0, IF(C199&lt;95, 5%, 12%), 0) * C195 * C105 * 2</f>
        <v>0</v>
      </c>
      <c r="D200" s="79"/>
    </row>
    <row r="201" spans="1:5">
      <c r="A201" s="31" t="s">
        <v>1177</v>
      </c>
      <c r="B201" s="6">
        <f ca="1">IF(B199=0, H24*B195*B197*2, 0)</f>
        <v>0</v>
      </c>
      <c r="C201" s="6">
        <f ca="1">IF(C199=0, I24*C195*C197*2, 0)</f>
        <v>1193.3971526612022</v>
      </c>
      <c r="D201" s="79"/>
    </row>
    <row r="202" spans="1:5">
      <c r="A202" s="31" t="s">
        <v>862</v>
      </c>
      <c r="B202" s="6">
        <f ca="1">(1-B174)*(1-B173)*B172*B105*2</f>
        <v>0.309276</v>
      </c>
      <c r="C202" s="6">
        <f ca="1">(1-C174)*(1-C173)*C172*C105*2</f>
        <v>0.19819800000000001</v>
      </c>
      <c r="D202" s="79"/>
    </row>
    <row r="203" spans="1:5">
      <c r="A203" s="31" t="s">
        <v>863</v>
      </c>
      <c r="B203" s="6">
        <f ca="1">IF(B112&gt;0, (1-B174)*(1-B173)*B172*B165*2, 0)</f>
        <v>0.29677999999999999</v>
      </c>
      <c r="C203" s="6">
        <f ca="1">IF(C112&gt;0, (1-C174)*(1-C173)*C172*C165*2, 0)</f>
        <v>0.19019</v>
      </c>
      <c r="D203" s="79"/>
    </row>
    <row r="204" spans="1:5">
      <c r="A204" s="31" t="s">
        <v>864</v>
      </c>
      <c r="B204" s="6">
        <f>IF(LEFT(Gear!B17,8)="Quiahuiz", 5% * (B202*B195 + B203*B196), 0)</f>
        <v>0</v>
      </c>
      <c r="C204" s="6">
        <f>IF(LEFT(Gear!AA17,8)="Quiahuiz", 5% * (C202*C195 + C203*C196), 0)</f>
        <v>0</v>
      </c>
      <c r="D204" s="79"/>
    </row>
    <row r="205" spans="1:5">
      <c r="A205" s="27" t="s">
        <v>251</v>
      </c>
      <c r="B205" s="80">
        <f ca="1">(B197*(B195+B194)) + (B198*(B196+B194)) + B200 + B201 + B204</f>
        <v>2344.9676372748845</v>
      </c>
      <c r="C205" s="80">
        <f ca="1">(C197*(C195+C194)) + (C198*(C196+C194)) + C200 + C201 + C204</f>
        <v>3204.5842733406521</v>
      </c>
      <c r="D205" s="81"/>
      <c r="E205" s="14"/>
    </row>
    <row r="206" spans="1:5">
      <c r="A206" t="s">
        <v>154</v>
      </c>
      <c r="B206" s="2">
        <f>MIN(IF(Setup!J$4=1, IF(Setup!$I$4="Haste",150, IF(Setup!$F$6=1,307,0) + IF(Setup!$I$4="Haste II", 307, 0)), 0) + (IF(Setup!J$26=1, 64 + 16 * Setup!M25, 0) + IF(Setup!J$25=1, 96 + 16 * Setup!M25, 0)) + IF(Setup!J12=1, TRUNC(((Setup!J11/15)/100)*1024), 0), 448) / 1024</f>
        <v>0.4375</v>
      </c>
      <c r="C206" s="2">
        <f>MIN(IF(Setup!K$4=1, IF(Setup!$I$4="Haste",150, IF(Setup!$G$6=1,307,0) + IF(Setup!$I$4="Haste II", 307, 0)), 0) + (IF(Setup!K$26=1, 64 + 16 * Setup!N25, 0) + IF(Setup!K$25=1, 96 + 16 * Setup!N25, 0)) + IF(Setup!K12=1, TRUNC(((Setup!K11/15)/100)*1024), 0), 448) / 1024</f>
        <v>0.4375</v>
      </c>
      <c r="D206" s="79"/>
    </row>
    <row r="207" spans="1:5">
      <c r="A207" t="s">
        <v>155</v>
      </c>
      <c r="B207" s="12">
        <f>IF(Setup!J17=1, 100, IF(AND(Setup!F14=1, $D$1="Dnc"), 50, 0)) / 1024</f>
        <v>0</v>
      </c>
      <c r="C207" s="12">
        <f>IF(Setup!K17=1, 100, IF(AND(Setup!G14=1, $E$1="Dnc"), 50, 0)) / 1024</f>
        <v>0</v>
      </c>
      <c r="D207" s="79"/>
    </row>
    <row r="208" spans="1:5">
      <c r="A208" t="s">
        <v>68</v>
      </c>
      <c r="B208" s="2">
        <f ca="1">MIN(HLOOKUP("Haste", INDIRECT(B$28), MATCH("Total", Slots, 0)+1, 0) + IF(Setup!$F$34=1, VLOOKUP("Haste", Ionis, 2, 0)/1024, 0), 25%)</f>
        <v>0.25</v>
      </c>
      <c r="C208" s="2">
        <f ca="1">MIN(HLOOKUP("Haste", INDIRECT(C$28), MATCH("Total", Slots, 0)+1, 0) + IF(Setup!$G$34=1, VLOOKUP("Haste", Ionis, 2, 0)/1024, 0), 25%)</f>
        <v>0.25</v>
      </c>
      <c r="D208" s="79"/>
    </row>
    <row r="209" spans="1:7">
      <c r="A209" s="166" t="s">
        <v>41</v>
      </c>
      <c r="B209" s="2">
        <f ca="1">B206+B207+B208</f>
        <v>0.6875</v>
      </c>
      <c r="C209" s="2">
        <f ca="1">C206+C207+C208</f>
        <v>0.6875</v>
      </c>
      <c r="D209" s="79"/>
    </row>
    <row r="210" spans="1:7">
      <c r="A210" t="s">
        <v>252</v>
      </c>
      <c r="B210" s="13">
        <f ca="1">B185*(1-B209)</f>
        <v>91.875</v>
      </c>
      <c r="C210" s="13">
        <f ca="1">C185*(1-C209)</f>
        <v>92.5</v>
      </c>
      <c r="D210" s="79"/>
    </row>
    <row r="211" spans="1:7">
      <c r="A211" t="s">
        <v>253</v>
      </c>
      <c r="B211" s="13">
        <f ca="1">B183 * 0.2</f>
        <v>92</v>
      </c>
      <c r="C211" s="13">
        <f ca="1">C183 * 0.2</f>
        <v>92.800000000000011</v>
      </c>
      <c r="D211" s="79"/>
    </row>
    <row r="212" spans="1:7">
      <c r="A212" s="14" t="s">
        <v>254</v>
      </c>
      <c r="B212" s="82">
        <f ca="1">MAX(B210,B211)</f>
        <v>92</v>
      </c>
      <c r="C212" s="82">
        <f ca="1">MAX(C210,C211)</f>
        <v>92.800000000000011</v>
      </c>
      <c r="D212" s="81"/>
      <c r="E212" s="14"/>
    </row>
    <row r="213" spans="1:7">
      <c r="A213" s="83" t="s">
        <v>212</v>
      </c>
      <c r="B213" s="84">
        <f ca="1">B205/(B212/60)</f>
        <v>1529.3267199618811</v>
      </c>
      <c r="C213" s="84">
        <f ca="1">C205/(C212/60)</f>
        <v>2071.9294870736971</v>
      </c>
      <c r="D213" s="85"/>
      <c r="E213" s="86"/>
    </row>
    <row r="214" spans="1:7">
      <c r="A214" t="s">
        <v>718</v>
      </c>
      <c r="B214" s="7"/>
      <c r="C214" s="7"/>
      <c r="D214" s="4">
        <f ca="1">HLOOKUP($A214, INDIRECT(D$28), MATCH("Total", Slots, 0)+1, 0)</f>
        <v>0</v>
      </c>
      <c r="E214" s="4">
        <f ca="1">HLOOKUP($A214, INDIRECT(E$28), MATCH("Total", Slots, 0)+1, 0)</f>
        <v>0.1953125</v>
      </c>
    </row>
    <row r="215" spans="1:7">
      <c r="A215" t="s">
        <v>240</v>
      </c>
      <c r="B215" s="7"/>
      <c r="C215" s="7"/>
      <c r="D215" s="7">
        <f ca="1">B24 + D24 + HLOOKUP($A215, INDIRECT(D$28), MATCH("Total", Slots, 0)+1, 0)+IF(LEFT(Gear!$B3,8)="Sequence", 500, 0)</f>
        <v>0</v>
      </c>
      <c r="E215" s="7">
        <f ca="1">C24 + E24 + HLOOKUP($A215, INDIRECT(E$28), MATCH("Total", Slots, 0)+1, 0)+IF(LEFT(Gear!$AA3,8)="Sequence", 500, 0)</f>
        <v>250</v>
      </c>
    </row>
    <row r="216" spans="1:7">
      <c r="A216" t="s">
        <v>620</v>
      </c>
      <c r="B216" s="7"/>
      <c r="C216" s="7"/>
      <c r="D216" s="7">
        <f ca="1">HLOOKUP($A216, INDIRECT(D$28), MATCH("Total", Slots, 0)+1, 0) + B26</f>
        <v>162</v>
      </c>
      <c r="E216" s="7">
        <f ca="1">HLOOKUP($A216, INDIRECT(E$28), MATCH("Total", Slots, 0)+1, 0) + C26</f>
        <v>0</v>
      </c>
    </row>
    <row r="217" spans="1:7">
      <c r="A217" t="s">
        <v>312</v>
      </c>
      <c r="B217" s="7"/>
      <c r="C217" s="7"/>
      <c r="D217" s="94">
        <f ca="1">HLOOKUP($A217, INDIRECT(D$28), MATCH("Total", Slots, 0)+1, 0)</f>
        <v>0</v>
      </c>
      <c r="E217" s="94">
        <f ca="1">HLOOKUP($A217, INDIRECT(E$28), MATCH("Total", Slots, 0)+1, 0)</f>
        <v>7.0000000000000007E-2</v>
      </c>
    </row>
    <row r="218" spans="1:7">
      <c r="A218" t="s">
        <v>173</v>
      </c>
      <c r="B218" s="7"/>
      <c r="C218" s="7"/>
      <c r="D218" s="94">
        <f ca="1">1+HLOOKUP($A218, INDIRECT(D$28), MATCH("Total", Slots, 0)+1, 0)</f>
        <v>1.29</v>
      </c>
      <c r="E218" s="94">
        <f ca="1">1+HLOOKUP($A218, INDIRECT(E$28), MATCH("Total", Slots, 0)+1, 0)</f>
        <v>1</v>
      </c>
    </row>
    <row r="219" spans="1:7">
      <c r="A219" t="s">
        <v>366</v>
      </c>
      <c r="B219" s="7"/>
      <c r="C219" s="7"/>
      <c r="D219" s="94">
        <f>100% + IF(Setup!B22="Expiacion", IF(OR(Gear!B3="Tizona 90", Gear!B3="Tizona 95"), 15%, IF(OR(Gear!B3="Tizona 99", Gear!B3="Tizona 119"), 30%, 0)), 0)</f>
        <v>1.3</v>
      </c>
      <c r="E219" s="94">
        <f>100% + IF(Setup!C22="Expiacion", IF(OR(Gear!AA3="Tizona 90", Gear!AA3="Tizona 95"), 15%, IF(OR(Gear!AA3="Tizona 99", Gear!AA3="Tizona 119"), 30%, 0)), 0)</f>
        <v>1</v>
      </c>
    </row>
    <row r="220" spans="1:7">
      <c r="A220" t="s">
        <v>134</v>
      </c>
      <c r="B220" s="7"/>
      <c r="C220" s="7"/>
      <c r="D220" s="38">
        <f ca="1">D25+IF(Setup!J39=1,Setup!M39,0)+IF(Setup!J14=1,10,0) + IF(Setup!J12=1, (TRUNC(Setup!J11/100)+1)*10, 0) + HLOOKUP($A220, INDIRECT(B$28), MATCH("Total", Slots, 0)+1, 0)</f>
        <v>0</v>
      </c>
      <c r="E220" s="38">
        <f ca="1">E25+IF(Setup!K39=1,Setup!N39,0)+IF(Setup!K14=1,10,0) + IF(Setup!K12=1, (TRUNC(Setup!K12/100)+1)*10, 0) + HLOOKUP($A220, INDIRECT(C$28), MATCH("Total", Slots, 0)+1, 0)</f>
        <v>0</v>
      </c>
    </row>
    <row r="221" spans="1:7">
      <c r="A221" t="s">
        <v>255</v>
      </c>
      <c r="B221" s="7"/>
      <c r="C221" s="7"/>
      <c r="D221" s="87">
        <f ca="1">FLOOR(D220*B$212/60/3 * 5, 1) + Setup!F46</f>
        <v>0</v>
      </c>
      <c r="E221" s="87">
        <f ca="1">FLOOR(E220*C$212/60/3 * 5, 1) + Setup!G46</f>
        <v>0</v>
      </c>
    </row>
    <row r="222" spans="1:7">
      <c r="A222" t="s">
        <v>40</v>
      </c>
      <c r="D222" s="44">
        <f ca="1">Weaponskill!Q3 * D219</f>
        <v>21457.248736407411</v>
      </c>
      <c r="E222" s="44">
        <f ca="1">Weaponskill!R3 * E219</f>
        <v>29892.880138264591</v>
      </c>
    </row>
    <row r="223" spans="1:7">
      <c r="A223" t="s">
        <v>256</v>
      </c>
      <c r="D223" s="88">
        <f ca="1">Weaponskill!Q2</f>
        <v>2.5061208107128059</v>
      </c>
      <c r="E223" s="88">
        <f ca="1">Weaponskill!R2</f>
        <v>3.2053788452189336</v>
      </c>
      <c r="F223" s="31"/>
    </row>
    <row r="224" spans="1:7">
      <c r="A224" t="s">
        <v>257</v>
      </c>
      <c r="D224" s="6">
        <f ca="1">D223*$B$212+120</f>
        <v>350.56311458557815</v>
      </c>
      <c r="E224" s="6">
        <f ca="1">E223*$C$212+120</f>
        <v>417.45915683631705</v>
      </c>
      <c r="F224" s="31"/>
      <c r="G224" s="31"/>
    </row>
    <row r="225" spans="1:7">
      <c r="A225" t="s">
        <v>258</v>
      </c>
      <c r="D225" s="88">
        <f ca="1">D224 + IF(Setup!F9&gt;0, Setup!F8*D224/Setup!F9, 0)</f>
        <v>354.45826030319569</v>
      </c>
      <c r="E225" s="88">
        <f ca="1">E224 + IF(Setup!G9&gt;0, Setup!G8*E224/Setup!G9, 0)</f>
        <v>422.09759191227613</v>
      </c>
      <c r="G225" s="31"/>
    </row>
    <row r="226" spans="1:7">
      <c r="A226" t="s">
        <v>259</v>
      </c>
      <c r="D226" s="6">
        <f ca="1">B205*D223+D222</f>
        <v>27334.020932630039</v>
      </c>
      <c r="E226" s="6">
        <f ca="1">C205*E223+E222</f>
        <v>40164.786775752007</v>
      </c>
    </row>
    <row r="227" spans="1:7">
      <c r="A227" t="s">
        <v>217</v>
      </c>
      <c r="D227" s="6">
        <f ca="1">D226/(D225/60)</f>
        <v>4626.8952924244104</v>
      </c>
      <c r="E227" s="6">
        <f ca="1">E226/(E225/60)</f>
        <v>5709.3128525735901</v>
      </c>
    </row>
  </sheetData>
  <phoneticPr fontId="2" type="noConversion"/>
  <conditionalFormatting sqref="B208:C20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 enableFormatConditionsCalculation="0">
    <tabColor indexed="47"/>
  </sheetPr>
  <dimension ref="A1:X1064"/>
  <sheetViews>
    <sheetView workbookViewId="0">
      <selection activeCell="M4" sqref="M4"/>
    </sheetView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3" width="9.28515625" customWidth="1"/>
    <col min="24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2">
      <c r="A1" t="s">
        <v>412</v>
      </c>
      <c r="Q1" s="43" t="s">
        <v>279</v>
      </c>
      <c r="R1" s="43" t="s">
        <v>280</v>
      </c>
    </row>
    <row r="2" spans="1:22">
      <c r="A2" s="9" t="str">
        <f>Setup!B22</f>
        <v>Expiacion</v>
      </c>
      <c r="D2" s="31" t="s">
        <v>885</v>
      </c>
      <c r="E2">
        <f>IF(VLOOKUP($A$2, WeaponskillData, MATCH("Type", WeaponskillDataCols, 0), 0)="M", 1, 0)</f>
        <v>0</v>
      </c>
      <c r="F2" s="2"/>
      <c r="I2" t="str">
        <f>VLOOKUP($A$2, WeaponskillData, MATCH("WSC1 Name", WeaponskillDataCols, 0), 0)</f>
        <v>Str</v>
      </c>
      <c r="J2" s="7">
        <f ca="1">INDIRECT($A$1 &amp; "WS" &amp; I2) + IF(A2="Expiacion", INDIRECT($A$1 &amp; "WS" &amp; "Int"), 0)</f>
        <v>616</v>
      </c>
      <c r="K2" s="97">
        <f>VLOOKUP($A$2, WeaponskillData, MATCH("WSC1 Value", WeaponskillDataCols, 0), 0)</f>
        <v>0.3</v>
      </c>
      <c r="L2" t="s">
        <v>269</v>
      </c>
      <c r="M2" s="7">
        <f ca="1">Data!D34</f>
        <v>275</v>
      </c>
      <c r="P2" s="43" t="s">
        <v>189</v>
      </c>
      <c r="Q2" s="98">
        <f ca="1">T531+Set1OverTP</f>
        <v>2.5061208107128059</v>
      </c>
      <c r="R2" s="98">
        <f ca="1">T1064+Set2OverTP</f>
        <v>3.2053788452189336</v>
      </c>
    </row>
    <row r="3" spans="1:22">
      <c r="A3" t="s">
        <v>49</v>
      </c>
      <c r="B3" s="34">
        <f ca="1">Set1MeleeTP</f>
        <v>129</v>
      </c>
      <c r="D3" t="s">
        <v>43</v>
      </c>
      <c r="E3" s="2">
        <f ca="1">IF(VLOOKUP($A$2, WeaponskillData, MATCH("Type", WeaponskillDataCols, 0), 0)="M", 0%, Set1DA)</f>
        <v>0.11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352</v>
      </c>
      <c r="K3" s="97">
        <f>IF(I3&lt;&gt;"N/A", VLOOKUP($A$2, WeaponskillData, MATCH("WSC2 Value", WeaponskillDataCols, 0), 0), 0)</f>
        <v>0.2</v>
      </c>
      <c r="L3" t="s">
        <v>667</v>
      </c>
      <c r="M3" s="7">
        <f ca="1">(M2-Data!L20) * 2</f>
        <v>34</v>
      </c>
      <c r="P3" s="43" t="s">
        <v>29</v>
      </c>
      <c r="Q3" s="99">
        <f ca="1">X531 * M4</f>
        <v>16505.575951082625</v>
      </c>
      <c r="R3" s="99">
        <f ca="1">X1064 * M537</f>
        <v>29892.880138264591</v>
      </c>
    </row>
    <row r="4" spans="1:22">
      <c r="A4" t="s">
        <v>50</v>
      </c>
      <c r="B4">
        <f ca="1">Set1WSTP</f>
        <v>126</v>
      </c>
      <c r="D4" t="s">
        <v>164</v>
      </c>
      <c r="E4" s="2">
        <f ca="1">IF(VLOOKUP($A$2, WeaponskillData, MATCH("Type", WeaponskillDataCols, 0), 0)="M", 0%, Set1TA)</f>
        <v>0.05</v>
      </c>
      <c r="F4" s="2"/>
      <c r="I4" t="s">
        <v>114</v>
      </c>
      <c r="J4">
        <f ca="1">TRUNC(J2*K2+J3*K3)</f>
        <v>255</v>
      </c>
      <c r="L4" t="s">
        <v>620</v>
      </c>
      <c r="M4" s="4">
        <f>IF(VLOOKUP($A$2, WeaponskillData, MATCH("Type", WeaponskillDataCols, 0), 0)="M", 1 + (Data!D$216/100), 1)</f>
        <v>1</v>
      </c>
    </row>
    <row r="5" spans="1:22">
      <c r="A5" t="s">
        <v>413</v>
      </c>
      <c r="B5">
        <f ca="1">Set1WSStoreTP</f>
        <v>115</v>
      </c>
      <c r="D5" t="s">
        <v>281</v>
      </c>
      <c r="E5" s="2">
        <f ca="1">IF(VLOOKUP($A$2, WeaponskillData, MATCH("Type", WeaponskillDataCols, 0), 0)="M", 0%, Set1QA)</f>
        <v>0</v>
      </c>
      <c r="I5" t="s">
        <v>115</v>
      </c>
      <c r="J5" s="3">
        <f>VLOOKUP($A$2, WeaponskillData, MATCH("FTP1", WeaponskillDataCols, 0), 0)</f>
        <v>3.75</v>
      </c>
      <c r="K5" s="3">
        <f>VLOOKUP($A$2, WeaponskillData, MATCH("FTP2", WeaponskillDataCols, 0), 0)</f>
        <v>10.25</v>
      </c>
      <c r="L5" s="3">
        <f>VLOOKUP($A$2, WeaponskillData, MATCH("FTP3", WeaponskillDataCols, 0), 0)</f>
        <v>12.5</v>
      </c>
      <c r="M5" t="s">
        <v>358</v>
      </c>
    </row>
    <row r="6" spans="1:22">
      <c r="A6" t="s">
        <v>282</v>
      </c>
      <c r="B6">
        <f ca="1">TRUNC(10*(1+B5/100))</f>
        <v>21</v>
      </c>
      <c r="D6" t="s">
        <v>943</v>
      </c>
      <c r="E6" s="2">
        <f>Melee!B25</f>
        <v>0.6</v>
      </c>
      <c r="F6" s="2"/>
      <c r="I6" s="30" t="s">
        <v>283</v>
      </c>
      <c r="J6" s="3">
        <f ca="1">J5+Set1FTP</f>
        <v>3.75</v>
      </c>
      <c r="K6" s="3">
        <f ca="1">K5+Set1FTP</f>
        <v>10.25</v>
      </c>
      <c r="L6" s="3">
        <f ca="1">L5+Set1FTP</f>
        <v>12.5</v>
      </c>
      <c r="M6" s="6">
        <f ca="1">(MIN(MAX((J7-1000), 0), 1000)/1000)*VLOOKUP($A$2, WeaponskillData, MATCH("Att1", WeaponskillDataCols, 0), 0)*Data!$D$57/Data!$M$14 + (MIN(MAX((J7-2000), 0), 1000)/1000)*VLOOKUP($A$2, WeaponskillData, MATCH("Att2", WeaponskillDataCols, 0), 0)*Data!$D$57/Data!$M$14</f>
        <v>0</v>
      </c>
    </row>
    <row r="7" spans="1:22">
      <c r="A7" t="s">
        <v>52</v>
      </c>
      <c r="B7" s="5">
        <f ca="1">Set1WSHitRate</f>
        <v>0.99</v>
      </c>
      <c r="D7" t="s">
        <v>944</v>
      </c>
      <c r="E7" s="2">
        <f>Melee!B26</f>
        <v>0.67</v>
      </c>
      <c r="F7" s="2"/>
      <c r="I7" t="s">
        <v>178</v>
      </c>
      <c r="J7" s="34">
        <f ca="1">MIN(TRUNC(V531+Set1TPBonus), 3000)</f>
        <v>1523</v>
      </c>
      <c r="K7" t="s">
        <v>284</v>
      </c>
      <c r="L7" s="3">
        <f ca="1">IF(J7&lt;1000, 0, IF(J7&lt;2000, J6+(J7-1000)/1000*(K6-J6), K6+(J7-2000)/1000*(L6-K6)))</f>
        <v>7.1494999999999997</v>
      </c>
    </row>
    <row r="8" spans="1:22">
      <c r="A8" t="s">
        <v>742</v>
      </c>
      <c r="B8" s="94">
        <f>IF(VLOOKUP($A$2, WeaponskillData, MATCH("Type", WeaponskillDataCols, 0), 0)="M", 100%, 99%)</f>
        <v>0.99</v>
      </c>
      <c r="D8" t="s">
        <v>945</v>
      </c>
      <c r="E8" s="2">
        <f>Melee!B27</f>
        <v>0.33</v>
      </c>
      <c r="F8" s="2"/>
      <c r="I8" t="s">
        <v>286</v>
      </c>
      <c r="J8" s="97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287</v>
      </c>
      <c r="Q8" s="4">
        <f>Set1OverTP</f>
        <v>0.5</v>
      </c>
    </row>
    <row r="9" spans="1:22">
      <c r="A9" t="s">
        <v>285</v>
      </c>
      <c r="B9">
        <f>VLOOKUP($A$2, WeaponskillData, MATCH("Extra Hits", WeaponskillDataCols, 0), 0)</f>
        <v>1</v>
      </c>
      <c r="K9" t="s">
        <v>150</v>
      </c>
      <c r="L9" t="s">
        <v>116</v>
      </c>
      <c r="M9" t="s">
        <v>126</v>
      </c>
      <c r="P9" t="s">
        <v>289</v>
      </c>
      <c r="Q9" s="2">
        <f ca="1">Set1ConserveTP</f>
        <v>0</v>
      </c>
    </row>
    <row r="10" spans="1:22">
      <c r="A10" t="s">
        <v>288</v>
      </c>
      <c r="B10">
        <f ca="1">IF(AND(Data!H20&gt;0, VLOOKUP($A$2, WeaponskillData, MATCH("Type", WeaponskillDataCols, 0), 0)="P"), 1, 0)</f>
        <v>1</v>
      </c>
      <c r="I10" t="s">
        <v>290</v>
      </c>
      <c r="J10">
        <f ca="1">IF(VLOOKUP($A$2, WeaponskillData, MATCH("Type", WeaponskillDataCols, 0), 0)="P", Set1MainDmg, Data!$B$1+2)</f>
        <v>165</v>
      </c>
      <c r="K10">
        <f ca="1">FLOOR((J10+J4)*L7, 1)</f>
        <v>3002</v>
      </c>
      <c r="L10" s="1">
        <f>IF(J8=0, 0, MIN($J$8+$K$8+Set1CritMain, 100%))</f>
        <v>0</v>
      </c>
      <c r="M10" s="2">
        <f ca="1">Set1CritDmg</f>
        <v>1.1100000000000001</v>
      </c>
      <c r="P10" t="s">
        <v>291</v>
      </c>
      <c r="Q10">
        <f ca="1">Set1SaveTP</f>
        <v>100</v>
      </c>
    </row>
    <row r="11" spans="1:22">
      <c r="I11" t="s">
        <v>149</v>
      </c>
      <c r="J11">
        <f ca="1">Set1MainDmg</f>
        <v>165</v>
      </c>
      <c r="K11">
        <f ca="1">IF(J11&gt;0, FLOOR((J11+$J$4) * IF(VLOOKUP($A$2, WeaponskillData, MATCH("FTPCarry", WeaponskillDataCols, 0), 0)=1, $L$7, 1), 1), 0)</f>
        <v>420</v>
      </c>
      <c r="L11" s="1">
        <f>IF(J8=0, 0, MIN($J$8+$K$8+Set1CritMain, 100%))</f>
        <v>0</v>
      </c>
      <c r="M11" s="2">
        <f ca="1">Set1CritDmg</f>
        <v>1.1100000000000001</v>
      </c>
      <c r="P11" t="s">
        <v>394</v>
      </c>
      <c r="Q11">
        <f>Set1MinTP</f>
        <v>1000</v>
      </c>
    </row>
    <row r="12" spans="1:22">
      <c r="I12" t="s">
        <v>292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MIN($J$8+$K$8+Set1CritMain, 100%))</f>
        <v>0</v>
      </c>
      <c r="P12" t="s">
        <v>422</v>
      </c>
      <c r="Q12" s="94">
        <f ca="1">Set1WSDmg</f>
        <v>1.29</v>
      </c>
      <c r="V12" s="34"/>
    </row>
    <row r="13" spans="1:22">
      <c r="I13" t="s">
        <v>148</v>
      </c>
      <c r="J13">
        <f ca="1">Set1OffDmg</f>
        <v>176</v>
      </c>
      <c r="K13">
        <f ca="1">IF(J13&gt;0, FLOOR((J13+$J$4) * IF(VLOOKUP($A$2, WeaponskillData, MATCH("FTPCarry", WeaponskillDataCols, 0), 0)=1, $L$7, 1), 1), 0)</f>
        <v>431</v>
      </c>
      <c r="L13" s="1">
        <f>IF(J8=0, 0, MIN($J$8+$K$8+Set1CritOff, 100%))</f>
        <v>0</v>
      </c>
    </row>
    <row r="14" spans="1:22">
      <c r="I14" t="s">
        <v>37</v>
      </c>
      <c r="J14" s="6">
        <f ca="1">IF(E2=1, 1, Set1CRatio)</f>
        <v>3.25</v>
      </c>
      <c r="K14" s="31" t="s">
        <v>883</v>
      </c>
      <c r="L14" s="6">
        <f ca="1">IF(E2=1, 1, Data!D87)</f>
        <v>3.2193749999999999</v>
      </c>
      <c r="M14" s="6">
        <f ca="1">IF(E2=1, 1, Data!D103)</f>
        <v>4.2393749999999999</v>
      </c>
    </row>
    <row r="15" spans="1:22">
      <c r="I15" t="s">
        <v>135</v>
      </c>
      <c r="J15" s="7">
        <f ca="1">Set1Regain</f>
        <v>0</v>
      </c>
      <c r="K15" s="31" t="s">
        <v>884</v>
      </c>
      <c r="L15" s="6">
        <f ca="1">IF(E2=1, 1, Data!D147)</f>
        <v>3.2193749999999999</v>
      </c>
      <c r="M15" s="6">
        <f ca="1">IF(E2=1, 1, Data!D163)</f>
        <v>4.2393749999999999</v>
      </c>
    </row>
    <row r="17" spans="1:24">
      <c r="A17" t="s">
        <v>414</v>
      </c>
      <c r="B17" t="s">
        <v>415</v>
      </c>
      <c r="C17" t="s">
        <v>44</v>
      </c>
      <c r="D17" s="30" t="s">
        <v>294</v>
      </c>
      <c r="E17" t="s">
        <v>293</v>
      </c>
      <c r="F17" t="s">
        <v>416</v>
      </c>
      <c r="G17" t="s">
        <v>295</v>
      </c>
      <c r="H17" t="s">
        <v>296</v>
      </c>
      <c r="I17" t="s">
        <v>297</v>
      </c>
      <c r="J17" t="s">
        <v>298</v>
      </c>
      <c r="K17" s="2" t="s">
        <v>299</v>
      </c>
      <c r="L17" t="s">
        <v>300</v>
      </c>
      <c r="M17" t="s">
        <v>395</v>
      </c>
      <c r="N17" s="43" t="s">
        <v>396</v>
      </c>
      <c r="O17" s="19" t="s">
        <v>301</v>
      </c>
      <c r="P17" s="19" t="s">
        <v>302</v>
      </c>
      <c r="Q17" s="19" t="s">
        <v>303</v>
      </c>
      <c r="R17" s="19" t="s">
        <v>304</v>
      </c>
      <c r="S17" s="19" t="s">
        <v>305</v>
      </c>
      <c r="T17" s="24" t="s">
        <v>306</v>
      </c>
      <c r="U17" s="24" t="s">
        <v>177</v>
      </c>
      <c r="V17" s="24" t="s">
        <v>307</v>
      </c>
      <c r="W17" s="24" t="s">
        <v>63</v>
      </c>
      <c r="X17" s="24" t="s">
        <v>308</v>
      </c>
    </row>
    <row r="18" spans="1:24">
      <c r="A18">
        <v>0</v>
      </c>
      <c r="B18">
        <v>0</v>
      </c>
      <c r="C18">
        <f t="shared" ref="C18:C81" ca="1" si="0">MIN(8, 1+$B$10+$B$9+A18+B18)</f>
        <v>3</v>
      </c>
      <c r="D18">
        <f t="shared" ref="D18:D81" ca="1" si="1">C18-(1+$B$10)</f>
        <v>1</v>
      </c>
      <c r="E18">
        <f t="shared" ref="E18:E81" ca="1" si="2">MIN(A18, C18-(1+$B$10+$B$9))</f>
        <v>0</v>
      </c>
      <c r="F18" s="100">
        <f t="shared" ref="F18:F81" ca="1" si="3">IF(A18=3, $E$5, IF(A18=2, (1-$E$5)*$E$4 + (1-$E$5)*(1-$E$4)*(1-$E$3)*Set1AM3*Set1AM33, IF(A18=1, (1-$E$5)*(1-$E$4)*$E$3 + (1-$E$5)*(1-$E$4)*(1-$E$3)*Set1AM3*Set1AM32, (1-$E$5)*(1-$E$4)*(1-$E$3)*(1-Set1AM3)))) * IF($B$9+$B$10&gt;0, IF(B18=3, $E$5, IF(B18=2, (1-$E$5)*$E$4, IF(B18=1, (1-$E$5)*(1-$E$4)*$E$3, (1-$E$5)*(1-$E$4)*(1-$E$3)))), IF(B18=0, 1, 0))</f>
        <v>0.28594809999999998</v>
      </c>
      <c r="G18">
        <v>1</v>
      </c>
      <c r="H18">
        <v>1</v>
      </c>
      <c r="I18">
        <v>7</v>
      </c>
      <c r="J18" s="1">
        <f t="shared" ref="J18:J81" ca="1" si="4">IF($B$8&lt;100%, POWER($B$8,G18)*POWER(1-$B$8, 1-G18), G18) * IF($B$10=0, IF(H18=0, 1, 0), POWER(Set1WSHitRate,H18)*POWER(1-Set1WSHitRate, 1-H18)) * IF(I18&lt;=D18, POWER(Set1WSHitRate, I18)*POWER(1-Set1WSHitRate, D18-I18)*COMBIN(D18,I18), 0)</f>
        <v>0</v>
      </c>
      <c r="K18" s="1">
        <f t="shared" ref="K18:K81" ca="1" si="5">F18*J18</f>
        <v>0</v>
      </c>
      <c r="L18" s="13">
        <f t="shared" ref="L18:L81" ca="1" si="6">MAX((G18+H18)*Set1WSTP + I18*$B$6, Set1SaveTP)</f>
        <v>399</v>
      </c>
      <c r="M18" s="7">
        <f t="shared" ref="M18:M81" ca="1" si="7">MAX(Set1MinTP-(L18+Set1Regain), 0)</f>
        <v>601</v>
      </c>
      <c r="N18" s="43">
        <f t="shared" ref="N18:N81" ca="1" si="8">CEILING(M18/Set1MeleeTP, 1)</f>
        <v>5</v>
      </c>
      <c r="O18" s="92">
        <f t="shared" ref="O18:O81" ca="1" si="9">VLOOKUP(N18,AvgRoundsSet1,2)</f>
        <v>1.7627004516625842</v>
      </c>
      <c r="P18" s="92">
        <f t="shared" ref="P18:P81" ca="1" si="1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17.627004516625838</v>
      </c>
      <c r="Q18" s="92">
        <f t="shared" ref="Q18:Q81" ca="1" si="1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17.627004516625838</v>
      </c>
      <c r="R18" s="92">
        <f t="shared" ref="R18:R81" ca="1" si="12">(P18+Q18)/20</f>
        <v>1.7627004516625839</v>
      </c>
      <c r="S18" s="92">
        <f t="shared" ref="S18:S81" ca="1" si="13">R18*Set1ConserveTP + O18*(1-Set1ConserveTP)</f>
        <v>1.7627004516625842</v>
      </c>
      <c r="T18" s="4">
        <f t="shared" ref="T18:T81" ca="1" si="14">K18*S18</f>
        <v>0</v>
      </c>
      <c r="U18" s="99">
        <f t="shared" ref="U18:U81" ca="1" si="15">MIN(L18+(S18+Set1OverTP)*AvgHitsPerRound1*Set1MeleeTP + Set1Regain + 10.5*Set1ConserveTP, 3000)</f>
        <v>1509.8515146533105</v>
      </c>
      <c r="V18" s="4">
        <f t="shared" ref="V18:V81" ca="1" si="16">U18*K18</f>
        <v>0</v>
      </c>
      <c r="W18" s="13">
        <f t="shared" ref="W18:W81" ca="1" si="17">G18*$K$10*((1-$L$10)*$L$14 + $L$10*$M$14*$M$10)*Set1WSDmg + H18*$K$13*((1-$L$13)*$L$15 + $L$13*$M$15*$M$11) + I18*$K$11*((1-$L$11)*$L$14 + $L$11*$M$14*$M$11) + E18*$K$12*$L$12*$M$10</f>
        <v>23319.800362499998</v>
      </c>
      <c r="X18" s="4">
        <f t="shared" ref="X18:X81" ca="1" si="18">K18*W18</f>
        <v>0</v>
      </c>
    </row>
    <row r="19" spans="1:24">
      <c r="A19">
        <v>0</v>
      </c>
      <c r="B19">
        <v>0</v>
      </c>
      <c r="C19">
        <f t="shared" ca="1" si="0"/>
        <v>3</v>
      </c>
      <c r="D19">
        <f t="shared" ca="1" si="1"/>
        <v>1</v>
      </c>
      <c r="E19">
        <f t="shared" ca="1" si="2"/>
        <v>0</v>
      </c>
      <c r="F19" s="100">
        <f t="shared" ca="1" si="3"/>
        <v>0.28594809999999998</v>
      </c>
      <c r="G19">
        <v>1</v>
      </c>
      <c r="H19">
        <v>1</v>
      </c>
      <c r="I19">
        <v>6</v>
      </c>
      <c r="J19" s="1">
        <f t="shared" ca="1" si="4"/>
        <v>0</v>
      </c>
      <c r="K19" s="1">
        <f t="shared" ca="1" si="5"/>
        <v>0</v>
      </c>
      <c r="L19" s="13">
        <f t="shared" ca="1" si="6"/>
        <v>378</v>
      </c>
      <c r="M19" s="7">
        <f t="shared" ca="1" si="7"/>
        <v>622</v>
      </c>
      <c r="N19" s="43">
        <f t="shared" ca="1" si="8"/>
        <v>5</v>
      </c>
      <c r="O19" s="92">
        <f t="shared" ca="1" si="9"/>
        <v>1.7627004516625842</v>
      </c>
      <c r="P19" s="92">
        <f t="shared" ca="1" si="10"/>
        <v>17.627004516625838</v>
      </c>
      <c r="Q19" s="92">
        <f t="shared" ca="1" si="11"/>
        <v>17.627004516625838</v>
      </c>
      <c r="R19" s="92">
        <f t="shared" ca="1" si="12"/>
        <v>1.7627004516625839</v>
      </c>
      <c r="S19" s="92">
        <f t="shared" ca="1" si="13"/>
        <v>1.7627004516625842</v>
      </c>
      <c r="T19" s="4">
        <f t="shared" ca="1" si="14"/>
        <v>0</v>
      </c>
      <c r="U19" s="99">
        <f t="shared" ca="1" si="15"/>
        <v>1488.8515146533105</v>
      </c>
      <c r="V19" s="4">
        <f t="shared" ca="1" si="16"/>
        <v>0</v>
      </c>
      <c r="W19" s="13">
        <f t="shared" ca="1" si="17"/>
        <v>21967.662862499998</v>
      </c>
      <c r="X19" s="4">
        <f t="shared" ca="1" si="18"/>
        <v>0</v>
      </c>
    </row>
    <row r="20" spans="1:24">
      <c r="A20">
        <v>0</v>
      </c>
      <c r="B20">
        <v>0</v>
      </c>
      <c r="C20">
        <f t="shared" ca="1" si="0"/>
        <v>3</v>
      </c>
      <c r="D20">
        <f t="shared" ca="1" si="1"/>
        <v>1</v>
      </c>
      <c r="E20">
        <f t="shared" ca="1" si="2"/>
        <v>0</v>
      </c>
      <c r="F20" s="100">
        <f t="shared" ca="1" si="3"/>
        <v>0.28594809999999998</v>
      </c>
      <c r="G20">
        <v>1</v>
      </c>
      <c r="H20">
        <v>1</v>
      </c>
      <c r="I20">
        <v>5</v>
      </c>
      <c r="J20" s="1">
        <f t="shared" ca="1" si="4"/>
        <v>0</v>
      </c>
      <c r="K20" s="1">
        <f t="shared" ca="1" si="5"/>
        <v>0</v>
      </c>
      <c r="L20" s="13">
        <f t="shared" ca="1" si="6"/>
        <v>357</v>
      </c>
      <c r="M20" s="7">
        <f t="shared" ca="1" si="7"/>
        <v>643</v>
      </c>
      <c r="N20" s="43">
        <f t="shared" ca="1" si="8"/>
        <v>5</v>
      </c>
      <c r="O20" s="92">
        <f t="shared" ca="1" si="9"/>
        <v>1.7627004516625842</v>
      </c>
      <c r="P20" s="92">
        <f t="shared" ca="1" si="10"/>
        <v>17.627004516625838</v>
      </c>
      <c r="Q20" s="92">
        <f t="shared" ca="1" si="11"/>
        <v>17.627004516625838</v>
      </c>
      <c r="R20" s="92">
        <f t="shared" ca="1" si="12"/>
        <v>1.7627004516625839</v>
      </c>
      <c r="S20" s="92">
        <f t="shared" ca="1" si="13"/>
        <v>1.7627004516625842</v>
      </c>
      <c r="T20" s="4">
        <f t="shared" ca="1" si="14"/>
        <v>0</v>
      </c>
      <c r="U20" s="99">
        <f t="shared" ca="1" si="15"/>
        <v>1467.8515146533105</v>
      </c>
      <c r="V20" s="4">
        <f t="shared" ca="1" si="16"/>
        <v>0</v>
      </c>
      <c r="W20" s="13">
        <f t="shared" ca="1" si="17"/>
        <v>20615.525362499997</v>
      </c>
      <c r="X20" s="4">
        <f t="shared" ca="1" si="18"/>
        <v>0</v>
      </c>
    </row>
    <row r="21" spans="1:24">
      <c r="A21">
        <v>0</v>
      </c>
      <c r="B21">
        <v>0</v>
      </c>
      <c r="C21">
        <f t="shared" ca="1" si="0"/>
        <v>3</v>
      </c>
      <c r="D21">
        <f t="shared" ca="1" si="1"/>
        <v>1</v>
      </c>
      <c r="E21">
        <f t="shared" ca="1" si="2"/>
        <v>0</v>
      </c>
      <c r="F21" s="100">
        <f t="shared" ca="1" si="3"/>
        <v>0.28594809999999998</v>
      </c>
      <c r="G21">
        <v>1</v>
      </c>
      <c r="H21">
        <v>1</v>
      </c>
      <c r="I21">
        <v>4</v>
      </c>
      <c r="J21" s="1">
        <f t="shared" ca="1" si="4"/>
        <v>0</v>
      </c>
      <c r="K21" s="1">
        <f t="shared" ca="1" si="5"/>
        <v>0</v>
      </c>
      <c r="L21" s="13">
        <f t="shared" ca="1" si="6"/>
        <v>336</v>
      </c>
      <c r="M21" s="7">
        <f t="shared" ca="1" si="7"/>
        <v>664</v>
      </c>
      <c r="N21" s="43">
        <f t="shared" ca="1" si="8"/>
        <v>6</v>
      </c>
      <c r="O21" s="92">
        <f t="shared" ca="1" si="9"/>
        <v>2.003415856166523</v>
      </c>
      <c r="P21" s="92">
        <f t="shared" ca="1" si="10"/>
        <v>20.03415856166523</v>
      </c>
      <c r="Q21" s="92">
        <f t="shared" ca="1" si="11"/>
        <v>19.552727752657354</v>
      </c>
      <c r="R21" s="92">
        <f t="shared" ca="1" si="12"/>
        <v>1.9793443157161292</v>
      </c>
      <c r="S21" s="92">
        <f t="shared" ca="1" si="13"/>
        <v>2.003415856166523</v>
      </c>
      <c r="T21" s="4">
        <f t="shared" ca="1" si="14"/>
        <v>0</v>
      </c>
      <c r="U21" s="99">
        <f t="shared" ca="1" si="15"/>
        <v>1565.0284794818213</v>
      </c>
      <c r="V21" s="4">
        <f t="shared" ca="1" si="16"/>
        <v>0</v>
      </c>
      <c r="W21" s="13">
        <f t="shared" ca="1" si="17"/>
        <v>19263.3878625</v>
      </c>
      <c r="X21" s="4">
        <f t="shared" ca="1" si="18"/>
        <v>0</v>
      </c>
    </row>
    <row r="22" spans="1:24">
      <c r="A22">
        <v>0</v>
      </c>
      <c r="B22">
        <v>0</v>
      </c>
      <c r="C22">
        <f t="shared" ca="1" si="0"/>
        <v>3</v>
      </c>
      <c r="D22">
        <f t="shared" ca="1" si="1"/>
        <v>1</v>
      </c>
      <c r="E22">
        <f t="shared" ca="1" si="2"/>
        <v>0</v>
      </c>
      <c r="F22" s="100">
        <f t="shared" ca="1" si="3"/>
        <v>0.28594809999999998</v>
      </c>
      <c r="G22">
        <v>1</v>
      </c>
      <c r="H22">
        <v>1</v>
      </c>
      <c r="I22">
        <v>3</v>
      </c>
      <c r="J22" s="1">
        <f t="shared" ca="1" si="4"/>
        <v>0</v>
      </c>
      <c r="K22" s="1">
        <f t="shared" ca="1" si="5"/>
        <v>0</v>
      </c>
      <c r="L22" s="13">
        <f t="shared" ca="1" si="6"/>
        <v>315</v>
      </c>
      <c r="M22" s="7">
        <f t="shared" ca="1" si="7"/>
        <v>685</v>
      </c>
      <c r="N22" s="43">
        <f t="shared" ca="1" si="8"/>
        <v>6</v>
      </c>
      <c r="O22" s="92">
        <f t="shared" ca="1" si="9"/>
        <v>2.003415856166523</v>
      </c>
      <c r="P22" s="92">
        <f t="shared" ca="1" si="10"/>
        <v>20.03415856166523</v>
      </c>
      <c r="Q22" s="92">
        <f t="shared" ca="1" si="11"/>
        <v>20.03415856166523</v>
      </c>
      <c r="R22" s="92">
        <f t="shared" ca="1" si="12"/>
        <v>2.003415856166523</v>
      </c>
      <c r="S22" s="92">
        <f t="shared" ca="1" si="13"/>
        <v>2.003415856166523</v>
      </c>
      <c r="T22" s="4">
        <f t="shared" ca="1" si="14"/>
        <v>0</v>
      </c>
      <c r="U22" s="99">
        <f t="shared" ca="1" si="15"/>
        <v>1544.0284794818213</v>
      </c>
      <c r="V22" s="4">
        <f t="shared" ca="1" si="16"/>
        <v>0</v>
      </c>
      <c r="W22" s="13">
        <f t="shared" ca="1" si="17"/>
        <v>17911.250362499999</v>
      </c>
      <c r="X22" s="4">
        <f t="shared" ca="1" si="18"/>
        <v>0</v>
      </c>
    </row>
    <row r="23" spans="1:24">
      <c r="A23">
        <v>0</v>
      </c>
      <c r="B23">
        <v>0</v>
      </c>
      <c r="C23">
        <f t="shared" ca="1" si="0"/>
        <v>3</v>
      </c>
      <c r="D23">
        <f t="shared" ca="1" si="1"/>
        <v>1</v>
      </c>
      <c r="E23">
        <f t="shared" ca="1" si="2"/>
        <v>0</v>
      </c>
      <c r="F23" s="100">
        <f t="shared" ca="1" si="3"/>
        <v>0.28594809999999998</v>
      </c>
      <c r="G23">
        <v>1</v>
      </c>
      <c r="H23">
        <v>1</v>
      </c>
      <c r="I23">
        <v>2</v>
      </c>
      <c r="J23" s="1">
        <f t="shared" ca="1" si="4"/>
        <v>0</v>
      </c>
      <c r="K23" s="1">
        <f t="shared" ca="1" si="5"/>
        <v>0</v>
      </c>
      <c r="L23" s="13">
        <f t="shared" ca="1" si="6"/>
        <v>294</v>
      </c>
      <c r="M23" s="7">
        <f t="shared" ca="1" si="7"/>
        <v>706</v>
      </c>
      <c r="N23" s="43">
        <f t="shared" ca="1" si="8"/>
        <v>6</v>
      </c>
      <c r="O23" s="92">
        <f t="shared" ca="1" si="9"/>
        <v>2.003415856166523</v>
      </c>
      <c r="P23" s="92">
        <f t="shared" ca="1" si="10"/>
        <v>20.03415856166523</v>
      </c>
      <c r="Q23" s="92">
        <f t="shared" ca="1" si="11"/>
        <v>20.03415856166523</v>
      </c>
      <c r="R23" s="92">
        <f t="shared" ca="1" si="12"/>
        <v>2.003415856166523</v>
      </c>
      <c r="S23" s="92">
        <f t="shared" ca="1" si="13"/>
        <v>2.003415856166523</v>
      </c>
      <c r="T23" s="4">
        <f t="shared" ca="1" si="14"/>
        <v>0</v>
      </c>
      <c r="U23" s="99">
        <f t="shared" ca="1" si="15"/>
        <v>1523.0284794818213</v>
      </c>
      <c r="V23" s="4">
        <f t="shared" ca="1" si="16"/>
        <v>0</v>
      </c>
      <c r="W23" s="13">
        <f t="shared" ca="1" si="17"/>
        <v>16559.112862499998</v>
      </c>
      <c r="X23" s="4">
        <f t="shared" ca="1" si="18"/>
        <v>0</v>
      </c>
    </row>
    <row r="24" spans="1:24">
      <c r="A24">
        <v>0</v>
      </c>
      <c r="B24">
        <v>0</v>
      </c>
      <c r="C24">
        <f t="shared" ca="1" si="0"/>
        <v>3</v>
      </c>
      <c r="D24">
        <f t="shared" ca="1" si="1"/>
        <v>1</v>
      </c>
      <c r="E24">
        <f t="shared" ca="1" si="2"/>
        <v>0</v>
      </c>
      <c r="F24" s="100">
        <f t="shared" ca="1" si="3"/>
        <v>0.28594809999999998</v>
      </c>
      <c r="G24">
        <v>1</v>
      </c>
      <c r="H24">
        <v>1</v>
      </c>
      <c r="I24">
        <v>1</v>
      </c>
      <c r="J24" s="1">
        <f t="shared" ca="1" si="4"/>
        <v>0.97029899999999991</v>
      </c>
      <c r="K24" s="1">
        <f t="shared" ca="1" si="5"/>
        <v>0.27745515548189997</v>
      </c>
      <c r="L24" s="13">
        <f t="shared" ca="1" si="6"/>
        <v>273</v>
      </c>
      <c r="M24" s="7">
        <f t="shared" ca="1" si="7"/>
        <v>727</v>
      </c>
      <c r="N24" s="43">
        <f t="shared" ca="1" si="8"/>
        <v>6</v>
      </c>
      <c r="O24" s="92">
        <f t="shared" ca="1" si="9"/>
        <v>2.003415856166523</v>
      </c>
      <c r="P24" s="92">
        <f t="shared" ca="1" si="10"/>
        <v>20.03415856166523</v>
      </c>
      <c r="Q24" s="92">
        <f t="shared" ca="1" si="11"/>
        <v>20.03415856166523</v>
      </c>
      <c r="R24" s="92">
        <f t="shared" ca="1" si="12"/>
        <v>2.003415856166523</v>
      </c>
      <c r="S24" s="92">
        <f t="shared" ca="1" si="13"/>
        <v>2.003415856166523</v>
      </c>
      <c r="T24" s="4">
        <f t="shared" ca="1" si="14"/>
        <v>0.55585805786758635</v>
      </c>
      <c r="U24" s="99">
        <f t="shared" ca="1" si="15"/>
        <v>1502.0284794818213</v>
      </c>
      <c r="V24" s="4">
        <f t="shared" ca="1" si="16"/>
        <v>416.74554531287055</v>
      </c>
      <c r="W24" s="13">
        <f t="shared" ca="1" si="17"/>
        <v>15206.975362499999</v>
      </c>
      <c r="X24" s="4">
        <f t="shared" ca="1" si="18"/>
        <v>4219.2537136118599</v>
      </c>
    </row>
    <row r="25" spans="1:24">
      <c r="A25">
        <v>0</v>
      </c>
      <c r="B25">
        <v>0</v>
      </c>
      <c r="C25">
        <f t="shared" ca="1" si="0"/>
        <v>3</v>
      </c>
      <c r="D25">
        <f t="shared" ca="1" si="1"/>
        <v>1</v>
      </c>
      <c r="E25">
        <f t="shared" ca="1" si="2"/>
        <v>0</v>
      </c>
      <c r="F25" s="100">
        <f t="shared" ca="1" si="3"/>
        <v>0.28594809999999998</v>
      </c>
      <c r="G25">
        <v>1</v>
      </c>
      <c r="H25">
        <v>1</v>
      </c>
      <c r="I25">
        <v>0</v>
      </c>
      <c r="J25" s="1">
        <f t="shared" ca="1" si="4"/>
        <v>9.8010000000000076E-3</v>
      </c>
      <c r="K25" s="1">
        <f t="shared" ca="1" si="5"/>
        <v>2.8025773281000021E-3</v>
      </c>
      <c r="L25" s="13">
        <f t="shared" ca="1" si="6"/>
        <v>252</v>
      </c>
      <c r="M25" s="7">
        <f t="shared" ca="1" si="7"/>
        <v>748</v>
      </c>
      <c r="N25" s="43">
        <f t="shared" ca="1" si="8"/>
        <v>6</v>
      </c>
      <c r="O25" s="92">
        <f t="shared" ca="1" si="9"/>
        <v>2.003415856166523</v>
      </c>
      <c r="P25" s="92">
        <f t="shared" ca="1" si="10"/>
        <v>20.03415856166523</v>
      </c>
      <c r="Q25" s="92">
        <f t="shared" ca="1" si="11"/>
        <v>20.03415856166523</v>
      </c>
      <c r="R25" s="92">
        <f t="shared" ca="1" si="12"/>
        <v>2.003415856166523</v>
      </c>
      <c r="S25" s="92">
        <f t="shared" ca="1" si="13"/>
        <v>2.003415856166523</v>
      </c>
      <c r="T25" s="4">
        <f t="shared" ca="1" si="14"/>
        <v>5.6147278572483521E-3</v>
      </c>
      <c r="U25" s="99">
        <f t="shared" ca="1" si="15"/>
        <v>1481.0284794818213</v>
      </c>
      <c r="V25" s="4">
        <f t="shared" ca="1" si="16"/>
        <v>4.1506968388661711</v>
      </c>
      <c r="W25" s="13">
        <f t="shared" ca="1" si="17"/>
        <v>13854.837862499999</v>
      </c>
      <c r="X25" s="4">
        <f t="shared" ca="1" si="18"/>
        <v>38.829254477943991</v>
      </c>
    </row>
    <row r="26" spans="1:24">
      <c r="A26">
        <v>0</v>
      </c>
      <c r="B26">
        <v>0</v>
      </c>
      <c r="C26">
        <f t="shared" ca="1" si="0"/>
        <v>3</v>
      </c>
      <c r="D26">
        <f t="shared" ca="1" si="1"/>
        <v>1</v>
      </c>
      <c r="E26">
        <f t="shared" ca="1" si="2"/>
        <v>0</v>
      </c>
      <c r="F26" s="100">
        <f t="shared" ca="1" si="3"/>
        <v>0.28594809999999998</v>
      </c>
      <c r="G26">
        <v>1</v>
      </c>
      <c r="H26">
        <v>0</v>
      </c>
      <c r="I26">
        <v>7</v>
      </c>
      <c r="J26" s="1">
        <f t="shared" ca="1" si="4"/>
        <v>0</v>
      </c>
      <c r="K26" s="1">
        <f t="shared" ca="1" si="5"/>
        <v>0</v>
      </c>
      <c r="L26" s="13">
        <f t="shared" ca="1" si="6"/>
        <v>273</v>
      </c>
      <c r="M26" s="7">
        <f t="shared" ca="1" si="7"/>
        <v>727</v>
      </c>
      <c r="N26" s="43">
        <f t="shared" ca="1" si="8"/>
        <v>6</v>
      </c>
      <c r="O26" s="92">
        <f t="shared" ca="1" si="9"/>
        <v>2.003415856166523</v>
      </c>
      <c r="P26" s="92">
        <f t="shared" ca="1" si="10"/>
        <v>20.03415856166523</v>
      </c>
      <c r="Q26" s="92">
        <f t="shared" ca="1" si="11"/>
        <v>20.03415856166523</v>
      </c>
      <c r="R26" s="92">
        <f t="shared" ca="1" si="12"/>
        <v>2.003415856166523</v>
      </c>
      <c r="S26" s="92">
        <f t="shared" ca="1" si="13"/>
        <v>2.003415856166523</v>
      </c>
      <c r="T26" s="4">
        <f t="shared" ca="1" si="14"/>
        <v>0</v>
      </c>
      <c r="U26" s="99">
        <f t="shared" ca="1" si="15"/>
        <v>1502.0284794818213</v>
      </c>
      <c r="V26" s="4">
        <f t="shared" ca="1" si="16"/>
        <v>0</v>
      </c>
      <c r="W26" s="13">
        <f t="shared" ca="1" si="17"/>
        <v>21932.249737499998</v>
      </c>
      <c r="X26" s="4">
        <f t="shared" ca="1" si="18"/>
        <v>0</v>
      </c>
    </row>
    <row r="27" spans="1:24">
      <c r="A27">
        <v>0</v>
      </c>
      <c r="B27">
        <v>0</v>
      </c>
      <c r="C27">
        <f t="shared" ca="1" si="0"/>
        <v>3</v>
      </c>
      <c r="D27">
        <f t="shared" ca="1" si="1"/>
        <v>1</v>
      </c>
      <c r="E27">
        <f t="shared" ca="1" si="2"/>
        <v>0</v>
      </c>
      <c r="F27" s="100">
        <f t="shared" ca="1" si="3"/>
        <v>0.28594809999999998</v>
      </c>
      <c r="G27">
        <v>1</v>
      </c>
      <c r="H27">
        <v>0</v>
      </c>
      <c r="I27">
        <v>6</v>
      </c>
      <c r="J27" s="1">
        <f t="shared" ca="1" si="4"/>
        <v>0</v>
      </c>
      <c r="K27" s="1">
        <f t="shared" ca="1" si="5"/>
        <v>0</v>
      </c>
      <c r="L27" s="13">
        <f t="shared" ca="1" si="6"/>
        <v>252</v>
      </c>
      <c r="M27" s="7">
        <f t="shared" ca="1" si="7"/>
        <v>748</v>
      </c>
      <c r="N27" s="43">
        <f t="shared" ca="1" si="8"/>
        <v>6</v>
      </c>
      <c r="O27" s="92">
        <f t="shared" ca="1" si="9"/>
        <v>2.003415856166523</v>
      </c>
      <c r="P27" s="92">
        <f t="shared" ca="1" si="10"/>
        <v>20.03415856166523</v>
      </c>
      <c r="Q27" s="92">
        <f t="shared" ca="1" si="11"/>
        <v>20.03415856166523</v>
      </c>
      <c r="R27" s="92">
        <f t="shared" ca="1" si="12"/>
        <v>2.003415856166523</v>
      </c>
      <c r="S27" s="92">
        <f t="shared" ca="1" si="13"/>
        <v>2.003415856166523</v>
      </c>
      <c r="T27" s="4">
        <f t="shared" ca="1" si="14"/>
        <v>0</v>
      </c>
      <c r="U27" s="99">
        <f t="shared" ca="1" si="15"/>
        <v>1481.0284794818213</v>
      </c>
      <c r="V27" s="4">
        <f t="shared" ca="1" si="16"/>
        <v>0</v>
      </c>
      <c r="W27" s="13">
        <f t="shared" ca="1" si="17"/>
        <v>20580.112237499998</v>
      </c>
      <c r="X27" s="4">
        <f t="shared" ca="1" si="18"/>
        <v>0</v>
      </c>
    </row>
    <row r="28" spans="1:24">
      <c r="A28">
        <v>0</v>
      </c>
      <c r="B28">
        <v>0</v>
      </c>
      <c r="C28">
        <f t="shared" ca="1" si="0"/>
        <v>3</v>
      </c>
      <c r="D28">
        <f t="shared" ca="1" si="1"/>
        <v>1</v>
      </c>
      <c r="E28">
        <f t="shared" ca="1" si="2"/>
        <v>0</v>
      </c>
      <c r="F28" s="100">
        <f t="shared" ca="1" si="3"/>
        <v>0.28594809999999998</v>
      </c>
      <c r="G28">
        <v>1</v>
      </c>
      <c r="H28">
        <v>0</v>
      </c>
      <c r="I28">
        <v>5</v>
      </c>
      <c r="J28" s="1">
        <f t="shared" ca="1" si="4"/>
        <v>0</v>
      </c>
      <c r="K28" s="1">
        <f t="shared" ca="1" si="5"/>
        <v>0</v>
      </c>
      <c r="L28" s="13">
        <f t="shared" ca="1" si="6"/>
        <v>231</v>
      </c>
      <c r="M28" s="7">
        <f t="shared" ca="1" si="7"/>
        <v>769</v>
      </c>
      <c r="N28" s="43">
        <f t="shared" ca="1" si="8"/>
        <v>6</v>
      </c>
      <c r="O28" s="92">
        <f t="shared" ca="1" si="9"/>
        <v>2.003415856166523</v>
      </c>
      <c r="P28" s="92">
        <f t="shared" ca="1" si="10"/>
        <v>20.03415856166523</v>
      </c>
      <c r="Q28" s="92">
        <f t="shared" ca="1" si="11"/>
        <v>20.03415856166523</v>
      </c>
      <c r="R28" s="92">
        <f t="shared" ca="1" si="12"/>
        <v>2.003415856166523</v>
      </c>
      <c r="S28" s="92">
        <f t="shared" ca="1" si="13"/>
        <v>2.003415856166523</v>
      </c>
      <c r="T28" s="4">
        <f t="shared" ca="1" si="14"/>
        <v>0</v>
      </c>
      <c r="U28" s="99">
        <f t="shared" ca="1" si="15"/>
        <v>1460.0284794818213</v>
      </c>
      <c r="V28" s="4">
        <f t="shared" ca="1" si="16"/>
        <v>0</v>
      </c>
      <c r="W28" s="13">
        <f t="shared" ca="1" si="17"/>
        <v>19227.974737500001</v>
      </c>
      <c r="X28" s="4">
        <f t="shared" ca="1" si="18"/>
        <v>0</v>
      </c>
    </row>
    <row r="29" spans="1:24">
      <c r="A29">
        <v>0</v>
      </c>
      <c r="B29">
        <v>0</v>
      </c>
      <c r="C29">
        <f t="shared" ca="1" si="0"/>
        <v>3</v>
      </c>
      <c r="D29">
        <f t="shared" ca="1" si="1"/>
        <v>1</v>
      </c>
      <c r="E29">
        <f t="shared" ca="1" si="2"/>
        <v>0</v>
      </c>
      <c r="F29" s="100">
        <f t="shared" ca="1" si="3"/>
        <v>0.28594809999999998</v>
      </c>
      <c r="G29">
        <v>1</v>
      </c>
      <c r="H29">
        <v>0</v>
      </c>
      <c r="I29">
        <v>4</v>
      </c>
      <c r="J29" s="1">
        <f t="shared" ca="1" si="4"/>
        <v>0</v>
      </c>
      <c r="K29" s="1">
        <f t="shared" ca="1" si="5"/>
        <v>0</v>
      </c>
      <c r="L29" s="13">
        <f t="shared" ca="1" si="6"/>
        <v>210</v>
      </c>
      <c r="M29" s="7">
        <f t="shared" ca="1" si="7"/>
        <v>790</v>
      </c>
      <c r="N29" s="43">
        <f t="shared" ca="1" si="8"/>
        <v>7</v>
      </c>
      <c r="O29" s="92">
        <f t="shared" ca="1" si="9"/>
        <v>2.264588428134358</v>
      </c>
      <c r="P29" s="92">
        <f t="shared" ca="1" si="10"/>
        <v>22.645884281343584</v>
      </c>
      <c r="Q29" s="92">
        <f t="shared" ca="1" si="11"/>
        <v>21.340021421504403</v>
      </c>
      <c r="R29" s="92">
        <f t="shared" ca="1" si="12"/>
        <v>2.1992952851423992</v>
      </c>
      <c r="S29" s="92">
        <f t="shared" ca="1" si="13"/>
        <v>2.264588428134358</v>
      </c>
      <c r="T29" s="4">
        <f t="shared" ca="1" si="14"/>
        <v>0</v>
      </c>
      <c r="U29" s="99">
        <f t="shared" ca="1" si="15"/>
        <v>1567.2486983548911</v>
      </c>
      <c r="V29" s="4">
        <f t="shared" ca="1" si="16"/>
        <v>0</v>
      </c>
      <c r="W29" s="13">
        <f t="shared" ca="1" si="17"/>
        <v>17875.8372375</v>
      </c>
      <c r="X29" s="4">
        <f t="shared" ca="1" si="18"/>
        <v>0</v>
      </c>
    </row>
    <row r="30" spans="1:24">
      <c r="A30">
        <v>0</v>
      </c>
      <c r="B30">
        <v>0</v>
      </c>
      <c r="C30">
        <f t="shared" ca="1" si="0"/>
        <v>3</v>
      </c>
      <c r="D30">
        <f t="shared" ca="1" si="1"/>
        <v>1</v>
      </c>
      <c r="E30">
        <f t="shared" ca="1" si="2"/>
        <v>0</v>
      </c>
      <c r="F30" s="100">
        <f t="shared" ca="1" si="3"/>
        <v>0.28594809999999998</v>
      </c>
      <c r="G30">
        <v>1</v>
      </c>
      <c r="H30">
        <v>0</v>
      </c>
      <c r="I30">
        <v>3</v>
      </c>
      <c r="J30" s="1">
        <f t="shared" ca="1" si="4"/>
        <v>0</v>
      </c>
      <c r="K30" s="1">
        <f t="shared" ca="1" si="5"/>
        <v>0</v>
      </c>
      <c r="L30" s="13">
        <f t="shared" ca="1" si="6"/>
        <v>189</v>
      </c>
      <c r="M30" s="7">
        <f t="shared" ca="1" si="7"/>
        <v>811</v>
      </c>
      <c r="N30" s="43">
        <f t="shared" ca="1" si="8"/>
        <v>7</v>
      </c>
      <c r="O30" s="92">
        <f t="shared" ca="1" si="9"/>
        <v>2.264588428134358</v>
      </c>
      <c r="P30" s="92">
        <f t="shared" ca="1" si="10"/>
        <v>22.645884281343584</v>
      </c>
      <c r="Q30" s="92">
        <f t="shared" ca="1" si="11"/>
        <v>22.645884281343584</v>
      </c>
      <c r="R30" s="92">
        <f t="shared" ca="1" si="12"/>
        <v>2.2645884281343585</v>
      </c>
      <c r="S30" s="92">
        <f t="shared" ca="1" si="13"/>
        <v>2.264588428134358</v>
      </c>
      <c r="T30" s="4">
        <f t="shared" ca="1" si="14"/>
        <v>0</v>
      </c>
      <c r="U30" s="99">
        <f t="shared" ca="1" si="15"/>
        <v>1546.2486983548911</v>
      </c>
      <c r="V30" s="4">
        <f t="shared" ca="1" si="16"/>
        <v>0</v>
      </c>
      <c r="W30" s="13">
        <f t="shared" ca="1" si="17"/>
        <v>16523.699737499999</v>
      </c>
      <c r="X30" s="4">
        <f t="shared" ca="1" si="18"/>
        <v>0</v>
      </c>
    </row>
    <row r="31" spans="1:24">
      <c r="A31">
        <v>0</v>
      </c>
      <c r="B31">
        <v>0</v>
      </c>
      <c r="C31">
        <f t="shared" ca="1" si="0"/>
        <v>3</v>
      </c>
      <c r="D31">
        <f t="shared" ca="1" si="1"/>
        <v>1</v>
      </c>
      <c r="E31">
        <f t="shared" ca="1" si="2"/>
        <v>0</v>
      </c>
      <c r="F31" s="100">
        <f t="shared" ca="1" si="3"/>
        <v>0.28594809999999998</v>
      </c>
      <c r="G31">
        <v>1</v>
      </c>
      <c r="H31">
        <v>0</v>
      </c>
      <c r="I31">
        <v>2</v>
      </c>
      <c r="J31" s="1">
        <f t="shared" ca="1" si="4"/>
        <v>0</v>
      </c>
      <c r="K31" s="1">
        <f t="shared" ca="1" si="5"/>
        <v>0</v>
      </c>
      <c r="L31" s="13">
        <f t="shared" ca="1" si="6"/>
        <v>168</v>
      </c>
      <c r="M31" s="7">
        <f t="shared" ca="1" si="7"/>
        <v>832</v>
      </c>
      <c r="N31" s="43">
        <f t="shared" ca="1" si="8"/>
        <v>7</v>
      </c>
      <c r="O31" s="92">
        <f t="shared" ca="1" si="9"/>
        <v>2.264588428134358</v>
      </c>
      <c r="P31" s="92">
        <f t="shared" ca="1" si="10"/>
        <v>22.645884281343584</v>
      </c>
      <c r="Q31" s="92">
        <f t="shared" ca="1" si="11"/>
        <v>22.645884281343584</v>
      </c>
      <c r="R31" s="92">
        <f t="shared" ca="1" si="12"/>
        <v>2.2645884281343585</v>
      </c>
      <c r="S31" s="92">
        <f t="shared" ca="1" si="13"/>
        <v>2.264588428134358</v>
      </c>
      <c r="T31" s="4">
        <f t="shared" ca="1" si="14"/>
        <v>0</v>
      </c>
      <c r="U31" s="99">
        <f t="shared" ca="1" si="15"/>
        <v>1525.2486983548911</v>
      </c>
      <c r="V31" s="4">
        <f t="shared" ca="1" si="16"/>
        <v>0</v>
      </c>
      <c r="W31" s="13">
        <f t="shared" ca="1" si="17"/>
        <v>15171.562237499998</v>
      </c>
      <c r="X31" s="4">
        <f t="shared" ca="1" si="18"/>
        <v>0</v>
      </c>
    </row>
    <row r="32" spans="1:24">
      <c r="A32">
        <v>0</v>
      </c>
      <c r="B32">
        <v>0</v>
      </c>
      <c r="C32">
        <f t="shared" ca="1" si="0"/>
        <v>3</v>
      </c>
      <c r="D32">
        <f t="shared" ca="1" si="1"/>
        <v>1</v>
      </c>
      <c r="E32">
        <f t="shared" ca="1" si="2"/>
        <v>0</v>
      </c>
      <c r="F32" s="100">
        <f t="shared" ca="1" si="3"/>
        <v>0.28594809999999998</v>
      </c>
      <c r="G32">
        <v>1</v>
      </c>
      <c r="H32">
        <v>0</v>
      </c>
      <c r="I32">
        <v>1</v>
      </c>
      <c r="J32" s="1">
        <f t="shared" ca="1" si="4"/>
        <v>9.8010000000000094E-3</v>
      </c>
      <c r="K32" s="1">
        <f t="shared" ca="1" si="5"/>
        <v>2.8025773281000026E-3</v>
      </c>
      <c r="L32" s="13">
        <f t="shared" ca="1" si="6"/>
        <v>147</v>
      </c>
      <c r="M32" s="7">
        <f t="shared" ca="1" si="7"/>
        <v>853</v>
      </c>
      <c r="N32" s="43">
        <f t="shared" ca="1" si="8"/>
        <v>7</v>
      </c>
      <c r="O32" s="92">
        <f t="shared" ca="1" si="9"/>
        <v>2.264588428134358</v>
      </c>
      <c r="P32" s="92">
        <f t="shared" ca="1" si="10"/>
        <v>22.645884281343584</v>
      </c>
      <c r="Q32" s="92">
        <f t="shared" ca="1" si="11"/>
        <v>22.645884281343584</v>
      </c>
      <c r="R32" s="92">
        <f t="shared" ca="1" si="12"/>
        <v>2.2645884281343585</v>
      </c>
      <c r="S32" s="92">
        <f t="shared" ca="1" si="13"/>
        <v>2.264588428134358</v>
      </c>
      <c r="T32" s="4">
        <f t="shared" ca="1" si="14"/>
        <v>6.3466841861669733E-3</v>
      </c>
      <c r="U32" s="99">
        <f t="shared" ca="1" si="15"/>
        <v>1504.2486983548911</v>
      </c>
      <c r="V32" s="4">
        <f t="shared" ca="1" si="16"/>
        <v>4.2157732978333575</v>
      </c>
      <c r="W32" s="13">
        <f t="shared" ca="1" si="17"/>
        <v>13819.4247375</v>
      </c>
      <c r="X32" s="4">
        <f t="shared" ca="1" si="18"/>
        <v>38.73000645670183</v>
      </c>
    </row>
    <row r="33" spans="1:24">
      <c r="A33">
        <v>0</v>
      </c>
      <c r="B33">
        <v>0</v>
      </c>
      <c r="C33">
        <f t="shared" ca="1" si="0"/>
        <v>3</v>
      </c>
      <c r="D33">
        <f t="shared" ca="1" si="1"/>
        <v>1</v>
      </c>
      <c r="E33">
        <f t="shared" ca="1" si="2"/>
        <v>0</v>
      </c>
      <c r="F33" s="100">
        <f t="shared" ca="1" si="3"/>
        <v>0.28594809999999998</v>
      </c>
      <c r="G33">
        <v>1</v>
      </c>
      <c r="H33">
        <v>0</v>
      </c>
      <c r="I33">
        <v>0</v>
      </c>
      <c r="J33" s="1">
        <f t="shared" ca="1" si="4"/>
        <v>9.9000000000000184E-5</v>
      </c>
      <c r="K33" s="1">
        <f t="shared" ca="1" si="5"/>
        <v>2.8308861900000051E-5</v>
      </c>
      <c r="L33" s="13">
        <f t="shared" ca="1" si="6"/>
        <v>126</v>
      </c>
      <c r="M33" s="7">
        <f t="shared" ca="1" si="7"/>
        <v>874</v>
      </c>
      <c r="N33" s="43">
        <f t="shared" ca="1" si="8"/>
        <v>7</v>
      </c>
      <c r="O33" s="92">
        <f t="shared" ca="1" si="9"/>
        <v>2.264588428134358</v>
      </c>
      <c r="P33" s="92">
        <f t="shared" ca="1" si="10"/>
        <v>22.645884281343584</v>
      </c>
      <c r="Q33" s="92">
        <f t="shared" ca="1" si="11"/>
        <v>22.645884281343584</v>
      </c>
      <c r="R33" s="92">
        <f t="shared" ca="1" si="12"/>
        <v>2.2645884281343585</v>
      </c>
      <c r="S33" s="92">
        <f t="shared" ca="1" si="13"/>
        <v>2.264588428134358</v>
      </c>
      <c r="T33" s="4">
        <f t="shared" ca="1" si="14"/>
        <v>6.4107921072393732E-5</v>
      </c>
      <c r="U33" s="99">
        <f t="shared" ca="1" si="15"/>
        <v>1483.2486983548911</v>
      </c>
      <c r="V33" s="4">
        <f t="shared" ca="1" si="16"/>
        <v>4.1989082565083442E-2</v>
      </c>
      <c r="W33" s="13">
        <f t="shared" ca="1" si="17"/>
        <v>12467.287237499999</v>
      </c>
      <c r="X33" s="4">
        <f t="shared" ca="1" si="18"/>
        <v>0.3529347126740206</v>
      </c>
    </row>
    <row r="34" spans="1:24">
      <c r="A34">
        <v>0</v>
      </c>
      <c r="B34">
        <v>0</v>
      </c>
      <c r="C34">
        <f t="shared" ca="1" si="0"/>
        <v>3</v>
      </c>
      <c r="D34">
        <f t="shared" ca="1" si="1"/>
        <v>1</v>
      </c>
      <c r="E34">
        <f t="shared" ca="1" si="2"/>
        <v>0</v>
      </c>
      <c r="F34" s="100">
        <f t="shared" ca="1" si="3"/>
        <v>0.28594809999999998</v>
      </c>
      <c r="G34">
        <v>0</v>
      </c>
      <c r="H34">
        <v>1</v>
      </c>
      <c r="I34">
        <v>7</v>
      </c>
      <c r="J34" s="1">
        <f t="shared" ca="1" si="4"/>
        <v>0</v>
      </c>
      <c r="K34" s="1">
        <f t="shared" ca="1" si="5"/>
        <v>0</v>
      </c>
      <c r="L34" s="13">
        <f t="shared" ca="1" si="6"/>
        <v>273</v>
      </c>
      <c r="M34" s="7">
        <f t="shared" ca="1" si="7"/>
        <v>727</v>
      </c>
      <c r="N34" s="43">
        <f t="shared" ca="1" si="8"/>
        <v>6</v>
      </c>
      <c r="O34" s="92">
        <f t="shared" ca="1" si="9"/>
        <v>2.003415856166523</v>
      </c>
      <c r="P34" s="92">
        <f t="shared" ca="1" si="10"/>
        <v>20.03415856166523</v>
      </c>
      <c r="Q34" s="92">
        <f t="shared" ca="1" si="11"/>
        <v>20.03415856166523</v>
      </c>
      <c r="R34" s="92">
        <f t="shared" ca="1" si="12"/>
        <v>2.003415856166523</v>
      </c>
      <c r="S34" s="92">
        <f t="shared" ca="1" si="13"/>
        <v>2.003415856166523</v>
      </c>
      <c r="T34" s="4">
        <f t="shared" ca="1" si="14"/>
        <v>0</v>
      </c>
      <c r="U34" s="99">
        <f t="shared" ca="1" si="15"/>
        <v>1502.0284794818213</v>
      </c>
      <c r="V34" s="4">
        <f t="shared" ca="1" si="16"/>
        <v>0</v>
      </c>
      <c r="W34" s="13">
        <f t="shared" ca="1" si="17"/>
        <v>10852.513124999999</v>
      </c>
      <c r="X34" s="4">
        <f t="shared" ca="1" si="18"/>
        <v>0</v>
      </c>
    </row>
    <row r="35" spans="1:24">
      <c r="A35">
        <v>0</v>
      </c>
      <c r="B35">
        <v>0</v>
      </c>
      <c r="C35">
        <f t="shared" ca="1" si="0"/>
        <v>3</v>
      </c>
      <c r="D35">
        <f t="shared" ca="1" si="1"/>
        <v>1</v>
      </c>
      <c r="E35">
        <f t="shared" ca="1" si="2"/>
        <v>0</v>
      </c>
      <c r="F35" s="100">
        <f t="shared" ca="1" si="3"/>
        <v>0.28594809999999998</v>
      </c>
      <c r="G35">
        <v>0</v>
      </c>
      <c r="H35">
        <v>1</v>
      </c>
      <c r="I35">
        <v>6</v>
      </c>
      <c r="J35" s="1">
        <f t="shared" ca="1" si="4"/>
        <v>0</v>
      </c>
      <c r="K35" s="1">
        <f t="shared" ca="1" si="5"/>
        <v>0</v>
      </c>
      <c r="L35" s="13">
        <f t="shared" ca="1" si="6"/>
        <v>252</v>
      </c>
      <c r="M35" s="7">
        <f t="shared" ca="1" si="7"/>
        <v>748</v>
      </c>
      <c r="N35" s="43">
        <f t="shared" ca="1" si="8"/>
        <v>6</v>
      </c>
      <c r="O35" s="92">
        <f t="shared" ca="1" si="9"/>
        <v>2.003415856166523</v>
      </c>
      <c r="P35" s="92">
        <f t="shared" ca="1" si="10"/>
        <v>20.03415856166523</v>
      </c>
      <c r="Q35" s="92">
        <f t="shared" ca="1" si="11"/>
        <v>20.03415856166523</v>
      </c>
      <c r="R35" s="92">
        <f t="shared" ca="1" si="12"/>
        <v>2.003415856166523</v>
      </c>
      <c r="S35" s="92">
        <f t="shared" ca="1" si="13"/>
        <v>2.003415856166523</v>
      </c>
      <c r="T35" s="4">
        <f t="shared" ca="1" si="14"/>
        <v>0</v>
      </c>
      <c r="U35" s="99">
        <f t="shared" ca="1" si="15"/>
        <v>1481.0284794818213</v>
      </c>
      <c r="V35" s="4">
        <f t="shared" ca="1" si="16"/>
        <v>0</v>
      </c>
      <c r="W35" s="13">
        <f t="shared" ca="1" si="17"/>
        <v>9500.3756250000006</v>
      </c>
      <c r="X35" s="4">
        <f t="shared" ca="1" si="18"/>
        <v>0</v>
      </c>
    </row>
    <row r="36" spans="1:24">
      <c r="A36">
        <v>0</v>
      </c>
      <c r="B36">
        <v>0</v>
      </c>
      <c r="C36">
        <f t="shared" ca="1" si="0"/>
        <v>3</v>
      </c>
      <c r="D36">
        <f t="shared" ca="1" si="1"/>
        <v>1</v>
      </c>
      <c r="E36">
        <f t="shared" ca="1" si="2"/>
        <v>0</v>
      </c>
      <c r="F36" s="100">
        <f t="shared" ca="1" si="3"/>
        <v>0.28594809999999998</v>
      </c>
      <c r="G36">
        <v>0</v>
      </c>
      <c r="H36">
        <v>1</v>
      </c>
      <c r="I36">
        <v>5</v>
      </c>
      <c r="J36" s="1">
        <f t="shared" ca="1" si="4"/>
        <v>0</v>
      </c>
      <c r="K36" s="1">
        <f t="shared" ca="1" si="5"/>
        <v>0</v>
      </c>
      <c r="L36" s="13">
        <f t="shared" ca="1" si="6"/>
        <v>231</v>
      </c>
      <c r="M36" s="7">
        <f t="shared" ca="1" si="7"/>
        <v>769</v>
      </c>
      <c r="N36" s="43">
        <f t="shared" ca="1" si="8"/>
        <v>6</v>
      </c>
      <c r="O36" s="92">
        <f t="shared" ca="1" si="9"/>
        <v>2.003415856166523</v>
      </c>
      <c r="P36" s="92">
        <f t="shared" ca="1" si="10"/>
        <v>20.03415856166523</v>
      </c>
      <c r="Q36" s="92">
        <f t="shared" ca="1" si="11"/>
        <v>20.03415856166523</v>
      </c>
      <c r="R36" s="92">
        <f t="shared" ca="1" si="12"/>
        <v>2.003415856166523</v>
      </c>
      <c r="S36" s="92">
        <f t="shared" ca="1" si="13"/>
        <v>2.003415856166523</v>
      </c>
      <c r="T36" s="4">
        <f t="shared" ca="1" si="14"/>
        <v>0</v>
      </c>
      <c r="U36" s="99">
        <f t="shared" ca="1" si="15"/>
        <v>1460.0284794818213</v>
      </c>
      <c r="V36" s="4">
        <f t="shared" ca="1" si="16"/>
        <v>0</v>
      </c>
      <c r="W36" s="13">
        <f t="shared" ca="1" si="17"/>
        <v>8148.2381249999999</v>
      </c>
      <c r="X36" s="4">
        <f t="shared" ca="1" si="18"/>
        <v>0</v>
      </c>
    </row>
    <row r="37" spans="1:24">
      <c r="A37">
        <v>0</v>
      </c>
      <c r="B37">
        <v>0</v>
      </c>
      <c r="C37">
        <f t="shared" ca="1" si="0"/>
        <v>3</v>
      </c>
      <c r="D37">
        <f t="shared" ca="1" si="1"/>
        <v>1</v>
      </c>
      <c r="E37">
        <f t="shared" ca="1" si="2"/>
        <v>0</v>
      </c>
      <c r="F37" s="100">
        <f t="shared" ca="1" si="3"/>
        <v>0.28594809999999998</v>
      </c>
      <c r="G37">
        <v>0</v>
      </c>
      <c r="H37">
        <v>1</v>
      </c>
      <c r="I37">
        <v>4</v>
      </c>
      <c r="J37" s="1">
        <f t="shared" ca="1" si="4"/>
        <v>0</v>
      </c>
      <c r="K37" s="1">
        <f t="shared" ca="1" si="5"/>
        <v>0</v>
      </c>
      <c r="L37" s="13">
        <f t="shared" ca="1" si="6"/>
        <v>210</v>
      </c>
      <c r="M37" s="7">
        <f t="shared" ca="1" si="7"/>
        <v>790</v>
      </c>
      <c r="N37" s="43">
        <f t="shared" ca="1" si="8"/>
        <v>7</v>
      </c>
      <c r="O37" s="92">
        <f t="shared" ca="1" si="9"/>
        <v>2.264588428134358</v>
      </c>
      <c r="P37" s="92">
        <f t="shared" ca="1" si="10"/>
        <v>22.645884281343584</v>
      </c>
      <c r="Q37" s="92">
        <f t="shared" ca="1" si="11"/>
        <v>21.340021421504403</v>
      </c>
      <c r="R37" s="92">
        <f t="shared" ca="1" si="12"/>
        <v>2.1992952851423992</v>
      </c>
      <c r="S37" s="92">
        <f t="shared" ca="1" si="13"/>
        <v>2.264588428134358</v>
      </c>
      <c r="T37" s="4">
        <f t="shared" ca="1" si="14"/>
        <v>0</v>
      </c>
      <c r="U37" s="99">
        <f t="shared" ca="1" si="15"/>
        <v>1567.2486983548911</v>
      </c>
      <c r="V37" s="4">
        <f t="shared" ca="1" si="16"/>
        <v>0</v>
      </c>
      <c r="W37" s="13">
        <f t="shared" ca="1" si="17"/>
        <v>6796.100625</v>
      </c>
      <c r="X37" s="4">
        <f t="shared" ca="1" si="18"/>
        <v>0</v>
      </c>
    </row>
    <row r="38" spans="1:24">
      <c r="A38">
        <v>0</v>
      </c>
      <c r="B38">
        <v>0</v>
      </c>
      <c r="C38">
        <f t="shared" ca="1" si="0"/>
        <v>3</v>
      </c>
      <c r="D38">
        <f t="shared" ca="1" si="1"/>
        <v>1</v>
      </c>
      <c r="E38">
        <f t="shared" ca="1" si="2"/>
        <v>0</v>
      </c>
      <c r="F38" s="100">
        <f t="shared" ca="1" si="3"/>
        <v>0.28594809999999998</v>
      </c>
      <c r="G38">
        <v>0</v>
      </c>
      <c r="H38">
        <v>1</v>
      </c>
      <c r="I38">
        <v>3</v>
      </c>
      <c r="J38" s="1">
        <f t="shared" ca="1" si="4"/>
        <v>0</v>
      </c>
      <c r="K38" s="1">
        <f t="shared" ca="1" si="5"/>
        <v>0</v>
      </c>
      <c r="L38" s="13">
        <f t="shared" ca="1" si="6"/>
        <v>189</v>
      </c>
      <c r="M38" s="7">
        <f t="shared" ca="1" si="7"/>
        <v>811</v>
      </c>
      <c r="N38" s="43">
        <f t="shared" ca="1" si="8"/>
        <v>7</v>
      </c>
      <c r="O38" s="92">
        <f t="shared" ca="1" si="9"/>
        <v>2.264588428134358</v>
      </c>
      <c r="P38" s="92">
        <f t="shared" ca="1" si="10"/>
        <v>22.645884281343584</v>
      </c>
      <c r="Q38" s="92">
        <f t="shared" ca="1" si="11"/>
        <v>22.645884281343584</v>
      </c>
      <c r="R38" s="92">
        <f t="shared" ca="1" si="12"/>
        <v>2.2645884281343585</v>
      </c>
      <c r="S38" s="92">
        <f t="shared" ca="1" si="13"/>
        <v>2.264588428134358</v>
      </c>
      <c r="T38" s="4">
        <f t="shared" ca="1" si="14"/>
        <v>0</v>
      </c>
      <c r="U38" s="99">
        <f t="shared" ca="1" si="15"/>
        <v>1546.2486983548911</v>
      </c>
      <c r="V38" s="4">
        <f t="shared" ca="1" si="16"/>
        <v>0</v>
      </c>
      <c r="W38" s="13">
        <f t="shared" ca="1" si="17"/>
        <v>5443.9631250000002</v>
      </c>
      <c r="X38" s="4">
        <f t="shared" ca="1" si="18"/>
        <v>0</v>
      </c>
    </row>
    <row r="39" spans="1:24">
      <c r="A39">
        <v>0</v>
      </c>
      <c r="B39">
        <v>0</v>
      </c>
      <c r="C39">
        <f t="shared" ca="1" si="0"/>
        <v>3</v>
      </c>
      <c r="D39">
        <f t="shared" ca="1" si="1"/>
        <v>1</v>
      </c>
      <c r="E39">
        <f t="shared" ca="1" si="2"/>
        <v>0</v>
      </c>
      <c r="F39" s="100">
        <f t="shared" ca="1" si="3"/>
        <v>0.28594809999999998</v>
      </c>
      <c r="G39">
        <v>0</v>
      </c>
      <c r="H39">
        <v>1</v>
      </c>
      <c r="I39">
        <v>2</v>
      </c>
      <c r="J39" s="1">
        <f t="shared" ca="1" si="4"/>
        <v>0</v>
      </c>
      <c r="K39" s="1">
        <f t="shared" ca="1" si="5"/>
        <v>0</v>
      </c>
      <c r="L39" s="13">
        <f t="shared" ca="1" si="6"/>
        <v>168</v>
      </c>
      <c r="M39" s="7">
        <f t="shared" ca="1" si="7"/>
        <v>832</v>
      </c>
      <c r="N39" s="43">
        <f t="shared" ca="1" si="8"/>
        <v>7</v>
      </c>
      <c r="O39" s="92">
        <f t="shared" ca="1" si="9"/>
        <v>2.264588428134358</v>
      </c>
      <c r="P39" s="92">
        <f t="shared" ca="1" si="10"/>
        <v>22.645884281343584</v>
      </c>
      <c r="Q39" s="92">
        <f t="shared" ca="1" si="11"/>
        <v>22.645884281343584</v>
      </c>
      <c r="R39" s="92">
        <f t="shared" ca="1" si="12"/>
        <v>2.2645884281343585</v>
      </c>
      <c r="S39" s="92">
        <f t="shared" ca="1" si="13"/>
        <v>2.264588428134358</v>
      </c>
      <c r="T39" s="4">
        <f t="shared" ca="1" si="14"/>
        <v>0</v>
      </c>
      <c r="U39" s="99">
        <f t="shared" ca="1" si="15"/>
        <v>1525.2486983548911</v>
      </c>
      <c r="V39" s="4">
        <f t="shared" ca="1" si="16"/>
        <v>0</v>
      </c>
      <c r="W39" s="13">
        <f t="shared" ca="1" si="17"/>
        <v>4091.8256249999999</v>
      </c>
      <c r="X39" s="4">
        <f t="shared" ca="1" si="18"/>
        <v>0</v>
      </c>
    </row>
    <row r="40" spans="1:24">
      <c r="A40">
        <v>0</v>
      </c>
      <c r="B40">
        <v>0</v>
      </c>
      <c r="C40">
        <f t="shared" ca="1" si="0"/>
        <v>3</v>
      </c>
      <c r="D40">
        <f t="shared" ca="1" si="1"/>
        <v>1</v>
      </c>
      <c r="E40">
        <f t="shared" ca="1" si="2"/>
        <v>0</v>
      </c>
      <c r="F40" s="100">
        <f t="shared" ca="1" si="3"/>
        <v>0.28594809999999998</v>
      </c>
      <c r="G40">
        <v>0</v>
      </c>
      <c r="H40">
        <v>1</v>
      </c>
      <c r="I40">
        <v>1</v>
      </c>
      <c r="J40" s="1">
        <f t="shared" ca="1" si="4"/>
        <v>9.8010000000000094E-3</v>
      </c>
      <c r="K40" s="1">
        <f t="shared" ca="1" si="5"/>
        <v>2.8025773281000026E-3</v>
      </c>
      <c r="L40" s="13">
        <f t="shared" ca="1" si="6"/>
        <v>147</v>
      </c>
      <c r="M40" s="7">
        <f t="shared" ca="1" si="7"/>
        <v>853</v>
      </c>
      <c r="N40" s="43">
        <f t="shared" ca="1" si="8"/>
        <v>7</v>
      </c>
      <c r="O40" s="92">
        <f t="shared" ca="1" si="9"/>
        <v>2.264588428134358</v>
      </c>
      <c r="P40" s="92">
        <f t="shared" ca="1" si="10"/>
        <v>22.645884281343584</v>
      </c>
      <c r="Q40" s="92">
        <f t="shared" ca="1" si="11"/>
        <v>22.645884281343584</v>
      </c>
      <c r="R40" s="92">
        <f t="shared" ca="1" si="12"/>
        <v>2.2645884281343585</v>
      </c>
      <c r="S40" s="92">
        <f t="shared" ca="1" si="13"/>
        <v>2.264588428134358</v>
      </c>
      <c r="T40" s="4">
        <f t="shared" ca="1" si="14"/>
        <v>6.3466841861669733E-3</v>
      </c>
      <c r="U40" s="99">
        <f t="shared" ca="1" si="15"/>
        <v>1504.2486983548911</v>
      </c>
      <c r="V40" s="4">
        <f t="shared" ca="1" si="16"/>
        <v>4.2157732978333575</v>
      </c>
      <c r="W40" s="13">
        <f t="shared" ca="1" si="17"/>
        <v>2739.6881249999997</v>
      </c>
      <c r="X40" s="4">
        <f t="shared" ca="1" si="18"/>
        <v>7.6781878251898048</v>
      </c>
    </row>
    <row r="41" spans="1:24">
      <c r="A41">
        <v>0</v>
      </c>
      <c r="B41">
        <v>0</v>
      </c>
      <c r="C41">
        <f t="shared" ca="1" si="0"/>
        <v>3</v>
      </c>
      <c r="D41">
        <f t="shared" ca="1" si="1"/>
        <v>1</v>
      </c>
      <c r="E41">
        <f t="shared" ca="1" si="2"/>
        <v>0</v>
      </c>
      <c r="F41" s="100">
        <f t="shared" ca="1" si="3"/>
        <v>0.28594809999999998</v>
      </c>
      <c r="G41">
        <v>0</v>
      </c>
      <c r="H41">
        <v>1</v>
      </c>
      <c r="I41">
        <v>0</v>
      </c>
      <c r="J41" s="1">
        <f t="shared" ca="1" si="4"/>
        <v>9.9000000000000184E-5</v>
      </c>
      <c r="K41" s="1">
        <f t="shared" ca="1" si="5"/>
        <v>2.8308861900000051E-5</v>
      </c>
      <c r="L41" s="13">
        <f t="shared" ca="1" si="6"/>
        <v>126</v>
      </c>
      <c r="M41" s="7">
        <f t="shared" ca="1" si="7"/>
        <v>874</v>
      </c>
      <c r="N41" s="43">
        <f t="shared" ca="1" si="8"/>
        <v>7</v>
      </c>
      <c r="O41" s="92">
        <f t="shared" ca="1" si="9"/>
        <v>2.264588428134358</v>
      </c>
      <c r="P41" s="92">
        <f t="shared" ca="1" si="10"/>
        <v>22.645884281343584</v>
      </c>
      <c r="Q41" s="92">
        <f t="shared" ca="1" si="11"/>
        <v>22.645884281343584</v>
      </c>
      <c r="R41" s="92">
        <f t="shared" ca="1" si="12"/>
        <v>2.2645884281343585</v>
      </c>
      <c r="S41" s="92">
        <f t="shared" ca="1" si="13"/>
        <v>2.264588428134358</v>
      </c>
      <c r="T41" s="4">
        <f t="shared" ca="1" si="14"/>
        <v>6.4107921072393732E-5</v>
      </c>
      <c r="U41" s="99">
        <f t="shared" ca="1" si="15"/>
        <v>1483.2486983548911</v>
      </c>
      <c r="V41" s="4">
        <f t="shared" ca="1" si="16"/>
        <v>4.1989082565083442E-2</v>
      </c>
      <c r="W41" s="13">
        <f t="shared" ca="1" si="17"/>
        <v>1387.5506249999999</v>
      </c>
      <c r="X41" s="4">
        <f t="shared" ca="1" si="18"/>
        <v>3.9279979022383754E-2</v>
      </c>
    </row>
    <row r="42" spans="1:24">
      <c r="A42">
        <v>0</v>
      </c>
      <c r="B42">
        <v>0</v>
      </c>
      <c r="C42">
        <f t="shared" ca="1" si="0"/>
        <v>3</v>
      </c>
      <c r="D42">
        <f t="shared" ca="1" si="1"/>
        <v>1</v>
      </c>
      <c r="E42">
        <f t="shared" ca="1" si="2"/>
        <v>0</v>
      </c>
      <c r="F42" s="100">
        <f t="shared" ca="1" si="3"/>
        <v>0.28594809999999998</v>
      </c>
      <c r="G42">
        <v>0</v>
      </c>
      <c r="H42">
        <v>0</v>
      </c>
      <c r="I42">
        <v>7</v>
      </c>
      <c r="J42" s="1">
        <f t="shared" ca="1" si="4"/>
        <v>0</v>
      </c>
      <c r="K42" s="1">
        <f t="shared" ca="1" si="5"/>
        <v>0</v>
      </c>
      <c r="L42" s="13">
        <f t="shared" ca="1" si="6"/>
        <v>147</v>
      </c>
      <c r="M42" s="7">
        <f t="shared" ca="1" si="7"/>
        <v>853</v>
      </c>
      <c r="N42" s="43">
        <f t="shared" ca="1" si="8"/>
        <v>7</v>
      </c>
      <c r="O42" s="92">
        <f t="shared" ca="1" si="9"/>
        <v>2.264588428134358</v>
      </c>
      <c r="P42" s="92">
        <f t="shared" ca="1" si="10"/>
        <v>22.645884281343584</v>
      </c>
      <c r="Q42" s="92">
        <f t="shared" ca="1" si="11"/>
        <v>22.645884281343584</v>
      </c>
      <c r="R42" s="92">
        <f t="shared" ca="1" si="12"/>
        <v>2.2645884281343585</v>
      </c>
      <c r="S42" s="92">
        <f t="shared" ca="1" si="13"/>
        <v>2.264588428134358</v>
      </c>
      <c r="T42" s="4">
        <f t="shared" ca="1" si="14"/>
        <v>0</v>
      </c>
      <c r="U42" s="99">
        <f t="shared" ca="1" si="15"/>
        <v>1504.2486983548911</v>
      </c>
      <c r="V42" s="4">
        <f t="shared" ca="1" si="16"/>
        <v>0</v>
      </c>
      <c r="W42" s="13">
        <f t="shared" ca="1" si="17"/>
        <v>9464.9624999999996</v>
      </c>
      <c r="X42" s="4">
        <f t="shared" ca="1" si="18"/>
        <v>0</v>
      </c>
    </row>
    <row r="43" spans="1:24">
      <c r="A43">
        <v>0</v>
      </c>
      <c r="B43">
        <v>0</v>
      </c>
      <c r="C43">
        <f t="shared" ca="1" si="0"/>
        <v>3</v>
      </c>
      <c r="D43">
        <f t="shared" ca="1" si="1"/>
        <v>1</v>
      </c>
      <c r="E43">
        <f t="shared" ca="1" si="2"/>
        <v>0</v>
      </c>
      <c r="F43" s="100">
        <f t="shared" ca="1" si="3"/>
        <v>0.28594809999999998</v>
      </c>
      <c r="G43">
        <v>0</v>
      </c>
      <c r="H43">
        <v>0</v>
      </c>
      <c r="I43">
        <v>6</v>
      </c>
      <c r="J43" s="1">
        <f t="shared" ca="1" si="4"/>
        <v>0</v>
      </c>
      <c r="K43" s="1">
        <f t="shared" ca="1" si="5"/>
        <v>0</v>
      </c>
      <c r="L43" s="13">
        <f t="shared" ca="1" si="6"/>
        <v>126</v>
      </c>
      <c r="M43" s="7">
        <f t="shared" ca="1" si="7"/>
        <v>874</v>
      </c>
      <c r="N43" s="43">
        <f t="shared" ca="1" si="8"/>
        <v>7</v>
      </c>
      <c r="O43" s="92">
        <f t="shared" ca="1" si="9"/>
        <v>2.264588428134358</v>
      </c>
      <c r="P43" s="92">
        <f t="shared" ca="1" si="10"/>
        <v>22.645884281343584</v>
      </c>
      <c r="Q43" s="92">
        <f t="shared" ca="1" si="11"/>
        <v>22.645884281343584</v>
      </c>
      <c r="R43" s="92">
        <f t="shared" ca="1" si="12"/>
        <v>2.2645884281343585</v>
      </c>
      <c r="S43" s="92">
        <f t="shared" ca="1" si="13"/>
        <v>2.264588428134358</v>
      </c>
      <c r="T43" s="4">
        <f t="shared" ca="1" si="14"/>
        <v>0</v>
      </c>
      <c r="U43" s="99">
        <f t="shared" ca="1" si="15"/>
        <v>1483.2486983548911</v>
      </c>
      <c r="V43" s="4">
        <f t="shared" ca="1" si="16"/>
        <v>0</v>
      </c>
      <c r="W43" s="13">
        <f t="shared" ca="1" si="17"/>
        <v>8112.8249999999998</v>
      </c>
      <c r="X43" s="4">
        <f t="shared" ca="1" si="18"/>
        <v>0</v>
      </c>
    </row>
    <row r="44" spans="1:24">
      <c r="A44">
        <v>0</v>
      </c>
      <c r="B44">
        <v>0</v>
      </c>
      <c r="C44">
        <f t="shared" ca="1" si="0"/>
        <v>3</v>
      </c>
      <c r="D44">
        <f t="shared" ca="1" si="1"/>
        <v>1</v>
      </c>
      <c r="E44">
        <f t="shared" ca="1" si="2"/>
        <v>0</v>
      </c>
      <c r="F44" s="100">
        <f t="shared" ca="1" si="3"/>
        <v>0.28594809999999998</v>
      </c>
      <c r="G44">
        <v>0</v>
      </c>
      <c r="H44">
        <v>0</v>
      </c>
      <c r="I44">
        <v>5</v>
      </c>
      <c r="J44" s="1">
        <f t="shared" ca="1" si="4"/>
        <v>0</v>
      </c>
      <c r="K44" s="1">
        <f t="shared" ca="1" si="5"/>
        <v>0</v>
      </c>
      <c r="L44" s="13">
        <f t="shared" ca="1" si="6"/>
        <v>105</v>
      </c>
      <c r="M44" s="7">
        <f t="shared" ca="1" si="7"/>
        <v>895</v>
      </c>
      <c r="N44" s="43">
        <f t="shared" ca="1" si="8"/>
        <v>7</v>
      </c>
      <c r="O44" s="92">
        <f t="shared" ca="1" si="9"/>
        <v>2.264588428134358</v>
      </c>
      <c r="P44" s="92">
        <f t="shared" ca="1" si="10"/>
        <v>22.645884281343584</v>
      </c>
      <c r="Q44" s="92">
        <f t="shared" ca="1" si="11"/>
        <v>22.645884281343584</v>
      </c>
      <c r="R44" s="92">
        <f t="shared" ca="1" si="12"/>
        <v>2.2645884281343585</v>
      </c>
      <c r="S44" s="92">
        <f t="shared" ca="1" si="13"/>
        <v>2.264588428134358</v>
      </c>
      <c r="T44" s="4">
        <f t="shared" ca="1" si="14"/>
        <v>0</v>
      </c>
      <c r="U44" s="99">
        <f t="shared" ca="1" si="15"/>
        <v>1462.2486983548911</v>
      </c>
      <c r="V44" s="4">
        <f t="shared" ca="1" si="16"/>
        <v>0</v>
      </c>
      <c r="W44" s="13">
        <f t="shared" ca="1" si="17"/>
        <v>6760.6875</v>
      </c>
      <c r="X44" s="4">
        <f t="shared" ca="1" si="18"/>
        <v>0</v>
      </c>
    </row>
    <row r="45" spans="1:24">
      <c r="A45">
        <v>0</v>
      </c>
      <c r="B45">
        <v>0</v>
      </c>
      <c r="C45">
        <f t="shared" ca="1" si="0"/>
        <v>3</v>
      </c>
      <c r="D45">
        <f t="shared" ca="1" si="1"/>
        <v>1</v>
      </c>
      <c r="E45">
        <f t="shared" ca="1" si="2"/>
        <v>0</v>
      </c>
      <c r="F45" s="100">
        <f t="shared" ca="1" si="3"/>
        <v>0.28594809999999998</v>
      </c>
      <c r="G45">
        <v>0</v>
      </c>
      <c r="H45">
        <v>0</v>
      </c>
      <c r="I45">
        <v>4</v>
      </c>
      <c r="J45" s="1">
        <f t="shared" ca="1" si="4"/>
        <v>0</v>
      </c>
      <c r="K45" s="1">
        <f t="shared" ca="1" si="5"/>
        <v>0</v>
      </c>
      <c r="L45" s="13">
        <f t="shared" ca="1" si="6"/>
        <v>100</v>
      </c>
      <c r="M45" s="7">
        <f t="shared" ca="1" si="7"/>
        <v>900</v>
      </c>
      <c r="N45" s="43">
        <f t="shared" ca="1" si="8"/>
        <v>7</v>
      </c>
      <c r="O45" s="92">
        <f t="shared" ca="1" si="9"/>
        <v>2.264588428134358</v>
      </c>
      <c r="P45" s="92">
        <f t="shared" ca="1" si="10"/>
        <v>22.645884281343584</v>
      </c>
      <c r="Q45" s="92">
        <f t="shared" ca="1" si="11"/>
        <v>22.645884281343584</v>
      </c>
      <c r="R45" s="92">
        <f t="shared" ca="1" si="12"/>
        <v>2.2645884281343585</v>
      </c>
      <c r="S45" s="92">
        <f t="shared" ca="1" si="13"/>
        <v>2.264588428134358</v>
      </c>
      <c r="T45" s="4">
        <f t="shared" ca="1" si="14"/>
        <v>0</v>
      </c>
      <c r="U45" s="99">
        <f t="shared" ca="1" si="15"/>
        <v>1457.2486983548911</v>
      </c>
      <c r="V45" s="4">
        <f t="shared" ca="1" si="16"/>
        <v>0</v>
      </c>
      <c r="W45" s="13">
        <f t="shared" ca="1" si="17"/>
        <v>5408.55</v>
      </c>
      <c r="X45" s="4">
        <f t="shared" ca="1" si="18"/>
        <v>0</v>
      </c>
    </row>
    <row r="46" spans="1:24">
      <c r="A46">
        <v>0</v>
      </c>
      <c r="B46">
        <v>0</v>
      </c>
      <c r="C46">
        <f t="shared" ca="1" si="0"/>
        <v>3</v>
      </c>
      <c r="D46">
        <f t="shared" ca="1" si="1"/>
        <v>1</v>
      </c>
      <c r="E46">
        <f t="shared" ca="1" si="2"/>
        <v>0</v>
      </c>
      <c r="F46" s="100">
        <f t="shared" ca="1" si="3"/>
        <v>0.28594809999999998</v>
      </c>
      <c r="G46">
        <v>0</v>
      </c>
      <c r="H46">
        <v>0</v>
      </c>
      <c r="I46">
        <v>3</v>
      </c>
      <c r="J46" s="1">
        <f t="shared" ca="1" si="4"/>
        <v>0</v>
      </c>
      <c r="K46" s="1">
        <f t="shared" ca="1" si="5"/>
        <v>0</v>
      </c>
      <c r="L46" s="13">
        <f t="shared" ca="1" si="6"/>
        <v>100</v>
      </c>
      <c r="M46" s="7">
        <f t="shared" ca="1" si="7"/>
        <v>900</v>
      </c>
      <c r="N46" s="43">
        <f t="shared" ca="1" si="8"/>
        <v>7</v>
      </c>
      <c r="O46" s="92">
        <f t="shared" ca="1" si="9"/>
        <v>2.264588428134358</v>
      </c>
      <c r="P46" s="92">
        <f t="shared" ca="1" si="10"/>
        <v>22.645884281343584</v>
      </c>
      <c r="Q46" s="92">
        <f t="shared" ca="1" si="11"/>
        <v>22.645884281343584</v>
      </c>
      <c r="R46" s="92">
        <f t="shared" ca="1" si="12"/>
        <v>2.2645884281343585</v>
      </c>
      <c r="S46" s="92">
        <f t="shared" ca="1" si="13"/>
        <v>2.264588428134358</v>
      </c>
      <c r="T46" s="4">
        <f t="shared" ca="1" si="14"/>
        <v>0</v>
      </c>
      <c r="U46" s="99">
        <f t="shared" ca="1" si="15"/>
        <v>1457.2486983548911</v>
      </c>
      <c r="V46" s="4">
        <f t="shared" ca="1" si="16"/>
        <v>0</v>
      </c>
      <c r="W46" s="13">
        <f t="shared" ca="1" si="17"/>
        <v>4056.4124999999999</v>
      </c>
      <c r="X46" s="4">
        <f t="shared" ca="1" si="18"/>
        <v>0</v>
      </c>
    </row>
    <row r="47" spans="1:24">
      <c r="A47">
        <v>0</v>
      </c>
      <c r="B47">
        <v>0</v>
      </c>
      <c r="C47">
        <f t="shared" ca="1" si="0"/>
        <v>3</v>
      </c>
      <c r="D47">
        <f t="shared" ca="1" si="1"/>
        <v>1</v>
      </c>
      <c r="E47">
        <f t="shared" ca="1" si="2"/>
        <v>0</v>
      </c>
      <c r="F47" s="100">
        <f t="shared" ca="1" si="3"/>
        <v>0.28594809999999998</v>
      </c>
      <c r="G47">
        <v>0</v>
      </c>
      <c r="H47">
        <v>0</v>
      </c>
      <c r="I47">
        <v>2</v>
      </c>
      <c r="J47" s="1">
        <f t="shared" ca="1" si="4"/>
        <v>0</v>
      </c>
      <c r="K47" s="1">
        <f t="shared" ca="1" si="5"/>
        <v>0</v>
      </c>
      <c r="L47" s="13">
        <f t="shared" ca="1" si="6"/>
        <v>100</v>
      </c>
      <c r="M47" s="7">
        <f t="shared" ca="1" si="7"/>
        <v>900</v>
      </c>
      <c r="N47" s="43">
        <f t="shared" ca="1" si="8"/>
        <v>7</v>
      </c>
      <c r="O47" s="92">
        <f t="shared" ca="1" si="9"/>
        <v>2.264588428134358</v>
      </c>
      <c r="P47" s="92">
        <f t="shared" ca="1" si="10"/>
        <v>22.645884281343584</v>
      </c>
      <c r="Q47" s="92">
        <f t="shared" ca="1" si="11"/>
        <v>22.645884281343584</v>
      </c>
      <c r="R47" s="92">
        <f t="shared" ca="1" si="12"/>
        <v>2.2645884281343585</v>
      </c>
      <c r="S47" s="92">
        <f t="shared" ca="1" si="13"/>
        <v>2.264588428134358</v>
      </c>
      <c r="T47" s="4">
        <f t="shared" ca="1" si="14"/>
        <v>0</v>
      </c>
      <c r="U47" s="99">
        <f t="shared" ca="1" si="15"/>
        <v>1457.2486983548911</v>
      </c>
      <c r="V47" s="4">
        <f t="shared" ca="1" si="16"/>
        <v>0</v>
      </c>
      <c r="W47" s="13">
        <f t="shared" ca="1" si="17"/>
        <v>2704.2750000000001</v>
      </c>
      <c r="X47" s="4">
        <f t="shared" ca="1" si="18"/>
        <v>0</v>
      </c>
    </row>
    <row r="48" spans="1:24">
      <c r="A48">
        <v>0</v>
      </c>
      <c r="B48">
        <v>0</v>
      </c>
      <c r="C48">
        <f t="shared" ca="1" si="0"/>
        <v>3</v>
      </c>
      <c r="D48">
        <f t="shared" ca="1" si="1"/>
        <v>1</v>
      </c>
      <c r="E48">
        <f t="shared" ca="1" si="2"/>
        <v>0</v>
      </c>
      <c r="F48" s="100">
        <f t="shared" ca="1" si="3"/>
        <v>0.28594809999999998</v>
      </c>
      <c r="G48">
        <v>0</v>
      </c>
      <c r="H48">
        <v>0</v>
      </c>
      <c r="I48">
        <v>1</v>
      </c>
      <c r="J48" s="1">
        <f t="shared" ca="1" si="4"/>
        <v>9.9000000000000184E-5</v>
      </c>
      <c r="K48" s="1">
        <f t="shared" ca="1" si="5"/>
        <v>2.8308861900000051E-5</v>
      </c>
      <c r="L48" s="13">
        <f t="shared" ca="1" si="6"/>
        <v>100</v>
      </c>
      <c r="M48" s="7">
        <f t="shared" ca="1" si="7"/>
        <v>900</v>
      </c>
      <c r="N48" s="43">
        <f t="shared" ca="1" si="8"/>
        <v>7</v>
      </c>
      <c r="O48" s="92">
        <f t="shared" ca="1" si="9"/>
        <v>2.264588428134358</v>
      </c>
      <c r="P48" s="92">
        <f t="shared" ca="1" si="10"/>
        <v>22.645884281343584</v>
      </c>
      <c r="Q48" s="92">
        <f t="shared" ca="1" si="11"/>
        <v>22.645884281343584</v>
      </c>
      <c r="R48" s="92">
        <f t="shared" ca="1" si="12"/>
        <v>2.2645884281343585</v>
      </c>
      <c r="S48" s="92">
        <f t="shared" ca="1" si="13"/>
        <v>2.264588428134358</v>
      </c>
      <c r="T48" s="4">
        <f t="shared" ca="1" si="14"/>
        <v>6.4107921072393732E-5</v>
      </c>
      <c r="U48" s="99">
        <f t="shared" ca="1" si="15"/>
        <v>1457.2486983548911</v>
      </c>
      <c r="V48" s="4">
        <f t="shared" ca="1" si="16"/>
        <v>4.1253052155683444E-2</v>
      </c>
      <c r="W48" s="13">
        <f t="shared" ca="1" si="17"/>
        <v>1352.1375</v>
      </c>
      <c r="X48" s="4">
        <f t="shared" ca="1" si="18"/>
        <v>3.8277473757311317E-2</v>
      </c>
    </row>
    <row r="49" spans="1:24">
      <c r="A49">
        <v>0</v>
      </c>
      <c r="B49">
        <v>0</v>
      </c>
      <c r="C49">
        <f t="shared" ca="1" si="0"/>
        <v>3</v>
      </c>
      <c r="D49">
        <f t="shared" ca="1" si="1"/>
        <v>1</v>
      </c>
      <c r="E49">
        <f t="shared" ca="1" si="2"/>
        <v>0</v>
      </c>
      <c r="F49" s="100">
        <f t="shared" ca="1" si="3"/>
        <v>0.28594809999999998</v>
      </c>
      <c r="G49">
        <v>0</v>
      </c>
      <c r="H49">
        <v>0</v>
      </c>
      <c r="I49">
        <v>0</v>
      </c>
      <c r="J49" s="1">
        <f t="shared" ca="1" si="4"/>
        <v>1.0000000000000027E-6</v>
      </c>
      <c r="K49" s="1">
        <f t="shared" ca="1" si="5"/>
        <v>2.8594810000000077E-7</v>
      </c>
      <c r="L49" s="13">
        <f t="shared" ca="1" si="6"/>
        <v>100</v>
      </c>
      <c r="M49" s="7">
        <f t="shared" ca="1" si="7"/>
        <v>900</v>
      </c>
      <c r="N49" s="43">
        <f t="shared" ca="1" si="8"/>
        <v>7</v>
      </c>
      <c r="O49" s="92">
        <f t="shared" ca="1" si="9"/>
        <v>2.264588428134358</v>
      </c>
      <c r="P49" s="92">
        <f t="shared" ca="1" si="10"/>
        <v>22.645884281343584</v>
      </c>
      <c r="Q49" s="92">
        <f t="shared" ca="1" si="11"/>
        <v>22.645884281343584</v>
      </c>
      <c r="R49" s="92">
        <f t="shared" ca="1" si="12"/>
        <v>2.2645884281343585</v>
      </c>
      <c r="S49" s="92">
        <f t="shared" ca="1" si="13"/>
        <v>2.264588428134358</v>
      </c>
      <c r="T49" s="4">
        <f t="shared" ca="1" si="14"/>
        <v>6.4755475830700799E-7</v>
      </c>
      <c r="U49" s="99">
        <f t="shared" ca="1" si="15"/>
        <v>1457.2486983548911</v>
      </c>
      <c r="V49" s="4">
        <f t="shared" ca="1" si="16"/>
        <v>4.1669749652205535E-4</v>
      </c>
      <c r="W49" s="13">
        <f t="shared" ca="1" si="17"/>
        <v>0</v>
      </c>
      <c r="X49" s="4">
        <f t="shared" ca="1" si="18"/>
        <v>0</v>
      </c>
    </row>
    <row r="50" spans="1:24">
      <c r="A50">
        <v>0</v>
      </c>
      <c r="B50">
        <v>1</v>
      </c>
      <c r="C50">
        <f t="shared" ca="1" si="0"/>
        <v>4</v>
      </c>
      <c r="D50">
        <f t="shared" ca="1" si="1"/>
        <v>2</v>
      </c>
      <c r="E50">
        <f t="shared" ca="1" si="2"/>
        <v>0</v>
      </c>
      <c r="F50" s="100">
        <f t="shared" ca="1" si="3"/>
        <v>3.5341899999999996E-2</v>
      </c>
      <c r="G50">
        <v>1</v>
      </c>
      <c r="H50">
        <v>1</v>
      </c>
      <c r="I50">
        <v>7</v>
      </c>
      <c r="J50" s="1">
        <f t="shared" ca="1" si="4"/>
        <v>0</v>
      </c>
      <c r="K50" s="1">
        <f t="shared" ca="1" si="5"/>
        <v>0</v>
      </c>
      <c r="L50" s="13">
        <f t="shared" ca="1" si="6"/>
        <v>399</v>
      </c>
      <c r="M50" s="7">
        <f t="shared" ca="1" si="7"/>
        <v>601</v>
      </c>
      <c r="N50" s="43">
        <f t="shared" ca="1" si="8"/>
        <v>5</v>
      </c>
      <c r="O50" s="92">
        <f t="shared" ca="1" si="9"/>
        <v>1.7627004516625842</v>
      </c>
      <c r="P50" s="92">
        <f t="shared" ca="1" si="10"/>
        <v>17.627004516625838</v>
      </c>
      <c r="Q50" s="92">
        <f t="shared" ca="1" si="11"/>
        <v>17.627004516625838</v>
      </c>
      <c r="R50" s="92">
        <f t="shared" ca="1" si="12"/>
        <v>1.7627004516625839</v>
      </c>
      <c r="S50" s="92">
        <f t="shared" ca="1" si="13"/>
        <v>1.7627004516625842</v>
      </c>
      <c r="T50" s="4">
        <f t="shared" ca="1" si="14"/>
        <v>0</v>
      </c>
      <c r="U50" s="99">
        <f t="shared" ca="1" si="15"/>
        <v>1509.8515146533105</v>
      </c>
      <c r="V50" s="4">
        <f t="shared" ca="1" si="16"/>
        <v>0</v>
      </c>
      <c r="W50" s="13">
        <f t="shared" ca="1" si="17"/>
        <v>23319.800362499998</v>
      </c>
      <c r="X50" s="4">
        <f t="shared" ca="1" si="18"/>
        <v>0</v>
      </c>
    </row>
    <row r="51" spans="1:24">
      <c r="A51">
        <v>0</v>
      </c>
      <c r="B51">
        <v>1</v>
      </c>
      <c r="C51">
        <f t="shared" ca="1" si="0"/>
        <v>4</v>
      </c>
      <c r="D51">
        <f t="shared" ca="1" si="1"/>
        <v>2</v>
      </c>
      <c r="E51">
        <f t="shared" ca="1" si="2"/>
        <v>0</v>
      </c>
      <c r="F51" s="100">
        <f t="shared" ca="1" si="3"/>
        <v>3.5341899999999996E-2</v>
      </c>
      <c r="G51">
        <v>1</v>
      </c>
      <c r="H51">
        <v>1</v>
      </c>
      <c r="I51">
        <v>6</v>
      </c>
      <c r="J51" s="1">
        <f t="shared" ca="1" si="4"/>
        <v>0</v>
      </c>
      <c r="K51" s="1">
        <f t="shared" ca="1" si="5"/>
        <v>0</v>
      </c>
      <c r="L51" s="13">
        <f t="shared" ca="1" si="6"/>
        <v>378</v>
      </c>
      <c r="M51" s="7">
        <f t="shared" ca="1" si="7"/>
        <v>622</v>
      </c>
      <c r="N51" s="43">
        <f t="shared" ca="1" si="8"/>
        <v>5</v>
      </c>
      <c r="O51" s="92">
        <f t="shared" ca="1" si="9"/>
        <v>1.7627004516625842</v>
      </c>
      <c r="P51" s="92">
        <f t="shared" ca="1" si="10"/>
        <v>17.627004516625838</v>
      </c>
      <c r="Q51" s="92">
        <f t="shared" ca="1" si="11"/>
        <v>17.627004516625838</v>
      </c>
      <c r="R51" s="92">
        <f t="shared" ca="1" si="12"/>
        <v>1.7627004516625839</v>
      </c>
      <c r="S51" s="92">
        <f t="shared" ca="1" si="13"/>
        <v>1.7627004516625842</v>
      </c>
      <c r="T51" s="4">
        <f t="shared" ca="1" si="14"/>
        <v>0</v>
      </c>
      <c r="U51" s="99">
        <f t="shared" ca="1" si="15"/>
        <v>1488.8515146533105</v>
      </c>
      <c r="V51" s="4">
        <f t="shared" ca="1" si="16"/>
        <v>0</v>
      </c>
      <c r="W51" s="13">
        <f t="shared" ca="1" si="17"/>
        <v>21967.662862499998</v>
      </c>
      <c r="X51" s="4">
        <f t="shared" ca="1" si="18"/>
        <v>0</v>
      </c>
    </row>
    <row r="52" spans="1:24">
      <c r="A52">
        <v>0</v>
      </c>
      <c r="B52">
        <v>1</v>
      </c>
      <c r="C52">
        <f t="shared" ca="1" si="0"/>
        <v>4</v>
      </c>
      <c r="D52">
        <f t="shared" ca="1" si="1"/>
        <v>2</v>
      </c>
      <c r="E52">
        <f t="shared" ca="1" si="2"/>
        <v>0</v>
      </c>
      <c r="F52" s="100">
        <f t="shared" ca="1" si="3"/>
        <v>3.5341899999999996E-2</v>
      </c>
      <c r="G52">
        <v>1</v>
      </c>
      <c r="H52">
        <v>1</v>
      </c>
      <c r="I52">
        <v>5</v>
      </c>
      <c r="J52" s="1">
        <f t="shared" ca="1" si="4"/>
        <v>0</v>
      </c>
      <c r="K52" s="1">
        <f t="shared" ca="1" si="5"/>
        <v>0</v>
      </c>
      <c r="L52" s="13">
        <f t="shared" ca="1" si="6"/>
        <v>357</v>
      </c>
      <c r="M52" s="7">
        <f t="shared" ca="1" si="7"/>
        <v>643</v>
      </c>
      <c r="N52" s="43">
        <f t="shared" ca="1" si="8"/>
        <v>5</v>
      </c>
      <c r="O52" s="92">
        <f t="shared" ca="1" si="9"/>
        <v>1.7627004516625842</v>
      </c>
      <c r="P52" s="92">
        <f t="shared" ca="1" si="10"/>
        <v>17.627004516625838</v>
      </c>
      <c r="Q52" s="92">
        <f t="shared" ca="1" si="11"/>
        <v>17.627004516625838</v>
      </c>
      <c r="R52" s="92">
        <f t="shared" ca="1" si="12"/>
        <v>1.7627004516625839</v>
      </c>
      <c r="S52" s="92">
        <f t="shared" ca="1" si="13"/>
        <v>1.7627004516625842</v>
      </c>
      <c r="T52" s="4">
        <f t="shared" ca="1" si="14"/>
        <v>0</v>
      </c>
      <c r="U52" s="99">
        <f t="shared" ca="1" si="15"/>
        <v>1467.8515146533105</v>
      </c>
      <c r="V52" s="4">
        <f t="shared" ca="1" si="16"/>
        <v>0</v>
      </c>
      <c r="W52" s="13">
        <f t="shared" ca="1" si="17"/>
        <v>20615.525362499997</v>
      </c>
      <c r="X52" s="4">
        <f t="shared" ca="1" si="18"/>
        <v>0</v>
      </c>
    </row>
    <row r="53" spans="1:24">
      <c r="A53">
        <v>0</v>
      </c>
      <c r="B53">
        <v>1</v>
      </c>
      <c r="C53">
        <f t="shared" ca="1" si="0"/>
        <v>4</v>
      </c>
      <c r="D53">
        <f t="shared" ca="1" si="1"/>
        <v>2</v>
      </c>
      <c r="E53">
        <f t="shared" ca="1" si="2"/>
        <v>0</v>
      </c>
      <c r="F53" s="100">
        <f t="shared" ca="1" si="3"/>
        <v>3.5341899999999996E-2</v>
      </c>
      <c r="G53">
        <v>1</v>
      </c>
      <c r="H53">
        <v>1</v>
      </c>
      <c r="I53">
        <v>4</v>
      </c>
      <c r="J53" s="1">
        <f t="shared" ca="1" si="4"/>
        <v>0</v>
      </c>
      <c r="K53" s="1">
        <f t="shared" ca="1" si="5"/>
        <v>0</v>
      </c>
      <c r="L53" s="13">
        <f t="shared" ca="1" si="6"/>
        <v>336</v>
      </c>
      <c r="M53" s="7">
        <f t="shared" ca="1" si="7"/>
        <v>664</v>
      </c>
      <c r="N53" s="43">
        <f t="shared" ca="1" si="8"/>
        <v>6</v>
      </c>
      <c r="O53" s="92">
        <f t="shared" ca="1" si="9"/>
        <v>2.003415856166523</v>
      </c>
      <c r="P53" s="92">
        <f t="shared" ca="1" si="10"/>
        <v>20.03415856166523</v>
      </c>
      <c r="Q53" s="92">
        <f t="shared" ca="1" si="11"/>
        <v>19.552727752657354</v>
      </c>
      <c r="R53" s="92">
        <f t="shared" ca="1" si="12"/>
        <v>1.9793443157161292</v>
      </c>
      <c r="S53" s="92">
        <f t="shared" ca="1" si="13"/>
        <v>2.003415856166523</v>
      </c>
      <c r="T53" s="4">
        <f t="shared" ca="1" si="14"/>
        <v>0</v>
      </c>
      <c r="U53" s="99">
        <f t="shared" ca="1" si="15"/>
        <v>1565.0284794818213</v>
      </c>
      <c r="V53" s="4">
        <f t="shared" ca="1" si="16"/>
        <v>0</v>
      </c>
      <c r="W53" s="13">
        <f t="shared" ca="1" si="17"/>
        <v>19263.3878625</v>
      </c>
      <c r="X53" s="4">
        <f t="shared" ca="1" si="18"/>
        <v>0</v>
      </c>
    </row>
    <row r="54" spans="1:24">
      <c r="A54">
        <v>0</v>
      </c>
      <c r="B54">
        <v>1</v>
      </c>
      <c r="C54">
        <f t="shared" ca="1" si="0"/>
        <v>4</v>
      </c>
      <c r="D54">
        <f t="shared" ca="1" si="1"/>
        <v>2</v>
      </c>
      <c r="E54">
        <f t="shared" ca="1" si="2"/>
        <v>0</v>
      </c>
      <c r="F54" s="100">
        <f t="shared" ca="1" si="3"/>
        <v>3.5341899999999996E-2</v>
      </c>
      <c r="G54">
        <v>1</v>
      </c>
      <c r="H54">
        <v>1</v>
      </c>
      <c r="I54">
        <v>3</v>
      </c>
      <c r="J54" s="1">
        <f t="shared" ca="1" si="4"/>
        <v>0</v>
      </c>
      <c r="K54" s="1">
        <f t="shared" ca="1" si="5"/>
        <v>0</v>
      </c>
      <c r="L54" s="13">
        <f t="shared" ca="1" si="6"/>
        <v>315</v>
      </c>
      <c r="M54" s="7">
        <f t="shared" ca="1" si="7"/>
        <v>685</v>
      </c>
      <c r="N54" s="43">
        <f t="shared" ca="1" si="8"/>
        <v>6</v>
      </c>
      <c r="O54" s="92">
        <f t="shared" ca="1" si="9"/>
        <v>2.003415856166523</v>
      </c>
      <c r="P54" s="92">
        <f t="shared" ca="1" si="10"/>
        <v>20.03415856166523</v>
      </c>
      <c r="Q54" s="92">
        <f t="shared" ca="1" si="11"/>
        <v>20.03415856166523</v>
      </c>
      <c r="R54" s="92">
        <f t="shared" ca="1" si="12"/>
        <v>2.003415856166523</v>
      </c>
      <c r="S54" s="92">
        <f t="shared" ca="1" si="13"/>
        <v>2.003415856166523</v>
      </c>
      <c r="T54" s="4">
        <f t="shared" ca="1" si="14"/>
        <v>0</v>
      </c>
      <c r="U54" s="99">
        <f t="shared" ca="1" si="15"/>
        <v>1544.0284794818213</v>
      </c>
      <c r="V54" s="4">
        <f t="shared" ca="1" si="16"/>
        <v>0</v>
      </c>
      <c r="W54" s="13">
        <f t="shared" ca="1" si="17"/>
        <v>17911.250362499999</v>
      </c>
      <c r="X54" s="4">
        <f t="shared" ca="1" si="18"/>
        <v>0</v>
      </c>
    </row>
    <row r="55" spans="1:24">
      <c r="A55">
        <v>0</v>
      </c>
      <c r="B55">
        <v>1</v>
      </c>
      <c r="C55">
        <f t="shared" ca="1" si="0"/>
        <v>4</v>
      </c>
      <c r="D55">
        <f t="shared" ca="1" si="1"/>
        <v>2</v>
      </c>
      <c r="E55">
        <f t="shared" ca="1" si="2"/>
        <v>0</v>
      </c>
      <c r="F55" s="100">
        <f t="shared" ca="1" si="3"/>
        <v>3.5341899999999996E-2</v>
      </c>
      <c r="G55">
        <v>1</v>
      </c>
      <c r="H55">
        <v>1</v>
      </c>
      <c r="I55">
        <v>2</v>
      </c>
      <c r="J55" s="1">
        <f t="shared" ca="1" si="4"/>
        <v>0.96059600999999994</v>
      </c>
      <c r="K55" s="1">
        <f t="shared" ca="1" si="5"/>
        <v>3.3949288125818995E-2</v>
      </c>
      <c r="L55" s="13">
        <f t="shared" ca="1" si="6"/>
        <v>294</v>
      </c>
      <c r="M55" s="7">
        <f t="shared" ca="1" si="7"/>
        <v>706</v>
      </c>
      <c r="N55" s="43">
        <f t="shared" ca="1" si="8"/>
        <v>6</v>
      </c>
      <c r="O55" s="92">
        <f t="shared" ca="1" si="9"/>
        <v>2.003415856166523</v>
      </c>
      <c r="P55" s="92">
        <f t="shared" ca="1" si="10"/>
        <v>20.03415856166523</v>
      </c>
      <c r="Q55" s="92">
        <f t="shared" ca="1" si="11"/>
        <v>20.03415856166523</v>
      </c>
      <c r="R55" s="92">
        <f t="shared" ca="1" si="12"/>
        <v>2.003415856166523</v>
      </c>
      <c r="S55" s="92">
        <f t="shared" ca="1" si="13"/>
        <v>2.003415856166523</v>
      </c>
      <c r="T55" s="4">
        <f t="shared" ca="1" si="14"/>
        <v>6.8014542136831641E-2</v>
      </c>
      <c r="U55" s="99">
        <f t="shared" ca="1" si="15"/>
        <v>1523.0284794818213</v>
      </c>
      <c r="V55" s="4">
        <f t="shared" ca="1" si="16"/>
        <v>51.705732673756351</v>
      </c>
      <c r="W55" s="13">
        <f t="shared" ca="1" si="17"/>
        <v>16559.112862499998</v>
      </c>
      <c r="X55" s="4">
        <f t="shared" ca="1" si="18"/>
        <v>562.17009367696778</v>
      </c>
    </row>
    <row r="56" spans="1:24">
      <c r="A56">
        <v>0</v>
      </c>
      <c r="B56">
        <v>1</v>
      </c>
      <c r="C56">
        <f t="shared" ca="1" si="0"/>
        <v>4</v>
      </c>
      <c r="D56">
        <f t="shared" ca="1" si="1"/>
        <v>2</v>
      </c>
      <c r="E56">
        <f t="shared" ca="1" si="2"/>
        <v>0</v>
      </c>
      <c r="F56" s="100">
        <f t="shared" ca="1" si="3"/>
        <v>3.5341899999999996E-2</v>
      </c>
      <c r="G56">
        <v>1</v>
      </c>
      <c r="H56">
        <v>1</v>
      </c>
      <c r="I56">
        <v>1</v>
      </c>
      <c r="J56" s="1">
        <f t="shared" ca="1" si="4"/>
        <v>1.9405980000000017E-2</v>
      </c>
      <c r="K56" s="1">
        <f t="shared" ca="1" si="5"/>
        <v>6.8584420456200049E-4</v>
      </c>
      <c r="L56" s="13">
        <f t="shared" ca="1" si="6"/>
        <v>273</v>
      </c>
      <c r="M56" s="7">
        <f t="shared" ca="1" si="7"/>
        <v>727</v>
      </c>
      <c r="N56" s="43">
        <f t="shared" ca="1" si="8"/>
        <v>6</v>
      </c>
      <c r="O56" s="92">
        <f t="shared" ca="1" si="9"/>
        <v>2.003415856166523</v>
      </c>
      <c r="P56" s="92">
        <f t="shared" ca="1" si="10"/>
        <v>20.03415856166523</v>
      </c>
      <c r="Q56" s="92">
        <f t="shared" ca="1" si="11"/>
        <v>20.03415856166523</v>
      </c>
      <c r="R56" s="92">
        <f t="shared" ca="1" si="12"/>
        <v>2.003415856166523</v>
      </c>
      <c r="S56" s="92">
        <f t="shared" ca="1" si="13"/>
        <v>2.003415856166523</v>
      </c>
      <c r="T56" s="4">
        <f t="shared" ca="1" si="14"/>
        <v>1.3740311542794282E-3</v>
      </c>
      <c r="U56" s="99">
        <f t="shared" ca="1" si="15"/>
        <v>1502.0284794818213</v>
      </c>
      <c r="V56" s="4">
        <f t="shared" ca="1" si="16"/>
        <v>1.0301575277396808</v>
      </c>
      <c r="W56" s="13">
        <f t="shared" ca="1" si="17"/>
        <v>15206.975362499999</v>
      </c>
      <c r="X56" s="4">
        <f t="shared" ca="1" si="18"/>
        <v>10.429615921287752</v>
      </c>
    </row>
    <row r="57" spans="1:24">
      <c r="A57">
        <v>0</v>
      </c>
      <c r="B57">
        <v>1</v>
      </c>
      <c r="C57">
        <f t="shared" ca="1" si="0"/>
        <v>4</v>
      </c>
      <c r="D57">
        <f t="shared" ca="1" si="1"/>
        <v>2</v>
      </c>
      <c r="E57">
        <f t="shared" ca="1" si="2"/>
        <v>0</v>
      </c>
      <c r="F57" s="100">
        <f t="shared" ca="1" si="3"/>
        <v>3.5341899999999996E-2</v>
      </c>
      <c r="G57">
        <v>1</v>
      </c>
      <c r="H57">
        <v>1</v>
      </c>
      <c r="I57">
        <v>0</v>
      </c>
      <c r="J57" s="1">
        <f t="shared" ca="1" si="4"/>
        <v>9.8010000000000168E-5</v>
      </c>
      <c r="K57" s="1">
        <f t="shared" ca="1" si="5"/>
        <v>3.4638596190000057E-6</v>
      </c>
      <c r="L57" s="13">
        <f t="shared" ca="1" si="6"/>
        <v>252</v>
      </c>
      <c r="M57" s="7">
        <f t="shared" ca="1" si="7"/>
        <v>748</v>
      </c>
      <c r="N57" s="43">
        <f t="shared" ca="1" si="8"/>
        <v>6</v>
      </c>
      <c r="O57" s="92">
        <f t="shared" ca="1" si="9"/>
        <v>2.003415856166523</v>
      </c>
      <c r="P57" s="92">
        <f t="shared" ca="1" si="10"/>
        <v>20.03415856166523</v>
      </c>
      <c r="Q57" s="92">
        <f t="shared" ca="1" si="11"/>
        <v>20.03415856166523</v>
      </c>
      <c r="R57" s="92">
        <f t="shared" ca="1" si="12"/>
        <v>2.003415856166523</v>
      </c>
      <c r="S57" s="92">
        <f t="shared" ca="1" si="13"/>
        <v>2.003415856166523</v>
      </c>
      <c r="T57" s="4">
        <f t="shared" ca="1" si="14"/>
        <v>6.9395512842395421E-6</v>
      </c>
      <c r="U57" s="99">
        <f t="shared" ca="1" si="15"/>
        <v>1481.0284794818213</v>
      </c>
      <c r="V57" s="4">
        <f t="shared" ca="1" si="16"/>
        <v>5.1300747446660589E-3</v>
      </c>
      <c r="W57" s="13">
        <f t="shared" ca="1" si="17"/>
        <v>13854.837862499999</v>
      </c>
      <c r="X57" s="4">
        <f t="shared" ca="1" si="18"/>
        <v>4.7991213399706099E-2</v>
      </c>
    </row>
    <row r="58" spans="1:24">
      <c r="A58">
        <v>0</v>
      </c>
      <c r="B58">
        <v>1</v>
      </c>
      <c r="C58">
        <f t="shared" ca="1" si="0"/>
        <v>4</v>
      </c>
      <c r="D58">
        <f t="shared" ca="1" si="1"/>
        <v>2</v>
      </c>
      <c r="E58">
        <f t="shared" ca="1" si="2"/>
        <v>0</v>
      </c>
      <c r="F58" s="100">
        <f t="shared" ca="1" si="3"/>
        <v>3.5341899999999996E-2</v>
      </c>
      <c r="G58">
        <v>1</v>
      </c>
      <c r="H58">
        <v>0</v>
      </c>
      <c r="I58">
        <v>7</v>
      </c>
      <c r="J58" s="1">
        <f t="shared" ca="1" si="4"/>
        <v>0</v>
      </c>
      <c r="K58" s="1">
        <f t="shared" ca="1" si="5"/>
        <v>0</v>
      </c>
      <c r="L58" s="13">
        <f t="shared" ca="1" si="6"/>
        <v>273</v>
      </c>
      <c r="M58" s="7">
        <f t="shared" ca="1" si="7"/>
        <v>727</v>
      </c>
      <c r="N58" s="43">
        <f t="shared" ca="1" si="8"/>
        <v>6</v>
      </c>
      <c r="O58" s="92">
        <f t="shared" ca="1" si="9"/>
        <v>2.003415856166523</v>
      </c>
      <c r="P58" s="92">
        <f t="shared" ca="1" si="10"/>
        <v>20.03415856166523</v>
      </c>
      <c r="Q58" s="92">
        <f t="shared" ca="1" si="11"/>
        <v>20.03415856166523</v>
      </c>
      <c r="R58" s="92">
        <f t="shared" ca="1" si="12"/>
        <v>2.003415856166523</v>
      </c>
      <c r="S58" s="92">
        <f t="shared" ca="1" si="13"/>
        <v>2.003415856166523</v>
      </c>
      <c r="T58" s="4">
        <f t="shared" ca="1" si="14"/>
        <v>0</v>
      </c>
      <c r="U58" s="99">
        <f t="shared" ca="1" si="15"/>
        <v>1502.0284794818213</v>
      </c>
      <c r="V58" s="4">
        <f t="shared" ca="1" si="16"/>
        <v>0</v>
      </c>
      <c r="W58" s="13">
        <f t="shared" ca="1" si="17"/>
        <v>21932.249737499998</v>
      </c>
      <c r="X58" s="4">
        <f t="shared" ca="1" si="18"/>
        <v>0</v>
      </c>
    </row>
    <row r="59" spans="1:24">
      <c r="A59">
        <v>0</v>
      </c>
      <c r="B59">
        <v>1</v>
      </c>
      <c r="C59">
        <f t="shared" ca="1" si="0"/>
        <v>4</v>
      </c>
      <c r="D59">
        <f t="shared" ca="1" si="1"/>
        <v>2</v>
      </c>
      <c r="E59">
        <f t="shared" ca="1" si="2"/>
        <v>0</v>
      </c>
      <c r="F59" s="100">
        <f t="shared" ca="1" si="3"/>
        <v>3.5341899999999996E-2</v>
      </c>
      <c r="G59">
        <v>1</v>
      </c>
      <c r="H59">
        <v>0</v>
      </c>
      <c r="I59">
        <v>6</v>
      </c>
      <c r="J59" s="1">
        <f t="shared" ca="1" si="4"/>
        <v>0</v>
      </c>
      <c r="K59" s="1">
        <f t="shared" ca="1" si="5"/>
        <v>0</v>
      </c>
      <c r="L59" s="13">
        <f t="shared" ca="1" si="6"/>
        <v>252</v>
      </c>
      <c r="M59" s="7">
        <f t="shared" ca="1" si="7"/>
        <v>748</v>
      </c>
      <c r="N59" s="43">
        <f t="shared" ca="1" si="8"/>
        <v>6</v>
      </c>
      <c r="O59" s="92">
        <f t="shared" ca="1" si="9"/>
        <v>2.003415856166523</v>
      </c>
      <c r="P59" s="92">
        <f t="shared" ca="1" si="10"/>
        <v>20.03415856166523</v>
      </c>
      <c r="Q59" s="92">
        <f t="shared" ca="1" si="11"/>
        <v>20.03415856166523</v>
      </c>
      <c r="R59" s="92">
        <f t="shared" ca="1" si="12"/>
        <v>2.003415856166523</v>
      </c>
      <c r="S59" s="92">
        <f t="shared" ca="1" si="13"/>
        <v>2.003415856166523</v>
      </c>
      <c r="T59" s="4">
        <f t="shared" ca="1" si="14"/>
        <v>0</v>
      </c>
      <c r="U59" s="99">
        <f t="shared" ca="1" si="15"/>
        <v>1481.0284794818213</v>
      </c>
      <c r="V59" s="4">
        <f t="shared" ca="1" si="16"/>
        <v>0</v>
      </c>
      <c r="W59" s="13">
        <f t="shared" ca="1" si="17"/>
        <v>20580.112237499998</v>
      </c>
      <c r="X59" s="4">
        <f t="shared" ca="1" si="18"/>
        <v>0</v>
      </c>
    </row>
    <row r="60" spans="1:24">
      <c r="A60">
        <v>0</v>
      </c>
      <c r="B60">
        <v>1</v>
      </c>
      <c r="C60">
        <f t="shared" ca="1" si="0"/>
        <v>4</v>
      </c>
      <c r="D60">
        <f t="shared" ca="1" si="1"/>
        <v>2</v>
      </c>
      <c r="E60">
        <f t="shared" ca="1" si="2"/>
        <v>0</v>
      </c>
      <c r="F60" s="100">
        <f t="shared" ca="1" si="3"/>
        <v>3.5341899999999996E-2</v>
      </c>
      <c r="G60">
        <v>1</v>
      </c>
      <c r="H60">
        <v>0</v>
      </c>
      <c r="I60">
        <v>5</v>
      </c>
      <c r="J60" s="1">
        <f t="shared" ca="1" si="4"/>
        <v>0</v>
      </c>
      <c r="K60" s="1">
        <f t="shared" ca="1" si="5"/>
        <v>0</v>
      </c>
      <c r="L60" s="13">
        <f t="shared" ca="1" si="6"/>
        <v>231</v>
      </c>
      <c r="M60" s="7">
        <f t="shared" ca="1" si="7"/>
        <v>769</v>
      </c>
      <c r="N60" s="43">
        <f t="shared" ca="1" si="8"/>
        <v>6</v>
      </c>
      <c r="O60" s="92">
        <f t="shared" ca="1" si="9"/>
        <v>2.003415856166523</v>
      </c>
      <c r="P60" s="92">
        <f t="shared" ca="1" si="10"/>
        <v>20.03415856166523</v>
      </c>
      <c r="Q60" s="92">
        <f t="shared" ca="1" si="11"/>
        <v>20.03415856166523</v>
      </c>
      <c r="R60" s="92">
        <f t="shared" ca="1" si="12"/>
        <v>2.003415856166523</v>
      </c>
      <c r="S60" s="92">
        <f t="shared" ca="1" si="13"/>
        <v>2.003415856166523</v>
      </c>
      <c r="T60" s="4">
        <f t="shared" ca="1" si="14"/>
        <v>0</v>
      </c>
      <c r="U60" s="99">
        <f t="shared" ca="1" si="15"/>
        <v>1460.0284794818213</v>
      </c>
      <c r="V60" s="4">
        <f t="shared" ca="1" si="16"/>
        <v>0</v>
      </c>
      <c r="W60" s="13">
        <f t="shared" ca="1" si="17"/>
        <v>19227.974737500001</v>
      </c>
      <c r="X60" s="4">
        <f t="shared" ca="1" si="18"/>
        <v>0</v>
      </c>
    </row>
    <row r="61" spans="1:24">
      <c r="A61">
        <v>0</v>
      </c>
      <c r="B61">
        <v>1</v>
      </c>
      <c r="C61">
        <f t="shared" ca="1" si="0"/>
        <v>4</v>
      </c>
      <c r="D61">
        <f t="shared" ca="1" si="1"/>
        <v>2</v>
      </c>
      <c r="E61">
        <f t="shared" ca="1" si="2"/>
        <v>0</v>
      </c>
      <c r="F61" s="100">
        <f t="shared" ca="1" si="3"/>
        <v>3.5341899999999996E-2</v>
      </c>
      <c r="G61">
        <v>1</v>
      </c>
      <c r="H61">
        <v>0</v>
      </c>
      <c r="I61">
        <v>4</v>
      </c>
      <c r="J61" s="1">
        <f t="shared" ca="1" si="4"/>
        <v>0</v>
      </c>
      <c r="K61" s="1">
        <f t="shared" ca="1" si="5"/>
        <v>0</v>
      </c>
      <c r="L61" s="13">
        <f t="shared" ca="1" si="6"/>
        <v>210</v>
      </c>
      <c r="M61" s="7">
        <f t="shared" ca="1" si="7"/>
        <v>790</v>
      </c>
      <c r="N61" s="43">
        <f t="shared" ca="1" si="8"/>
        <v>7</v>
      </c>
      <c r="O61" s="92">
        <f t="shared" ca="1" si="9"/>
        <v>2.264588428134358</v>
      </c>
      <c r="P61" s="92">
        <f t="shared" ca="1" si="10"/>
        <v>22.645884281343584</v>
      </c>
      <c r="Q61" s="92">
        <f t="shared" ca="1" si="11"/>
        <v>21.340021421504403</v>
      </c>
      <c r="R61" s="92">
        <f t="shared" ca="1" si="12"/>
        <v>2.1992952851423992</v>
      </c>
      <c r="S61" s="92">
        <f t="shared" ca="1" si="13"/>
        <v>2.264588428134358</v>
      </c>
      <c r="T61" s="4">
        <f t="shared" ca="1" si="14"/>
        <v>0</v>
      </c>
      <c r="U61" s="99">
        <f t="shared" ca="1" si="15"/>
        <v>1567.2486983548911</v>
      </c>
      <c r="V61" s="4">
        <f t="shared" ca="1" si="16"/>
        <v>0</v>
      </c>
      <c r="W61" s="13">
        <f t="shared" ca="1" si="17"/>
        <v>17875.8372375</v>
      </c>
      <c r="X61" s="4">
        <f t="shared" ca="1" si="18"/>
        <v>0</v>
      </c>
    </row>
    <row r="62" spans="1:24">
      <c r="A62">
        <v>0</v>
      </c>
      <c r="B62">
        <v>1</v>
      </c>
      <c r="C62">
        <f t="shared" ca="1" si="0"/>
        <v>4</v>
      </c>
      <c r="D62">
        <f t="shared" ca="1" si="1"/>
        <v>2</v>
      </c>
      <c r="E62">
        <f t="shared" ca="1" si="2"/>
        <v>0</v>
      </c>
      <c r="F62" s="100">
        <f t="shared" ca="1" si="3"/>
        <v>3.5341899999999996E-2</v>
      </c>
      <c r="G62">
        <v>1</v>
      </c>
      <c r="H62">
        <v>0</v>
      </c>
      <c r="I62">
        <v>3</v>
      </c>
      <c r="J62" s="1">
        <f t="shared" ca="1" si="4"/>
        <v>0</v>
      </c>
      <c r="K62" s="1">
        <f t="shared" ca="1" si="5"/>
        <v>0</v>
      </c>
      <c r="L62" s="13">
        <f t="shared" ca="1" si="6"/>
        <v>189</v>
      </c>
      <c r="M62" s="7">
        <f t="shared" ca="1" si="7"/>
        <v>811</v>
      </c>
      <c r="N62" s="43">
        <f t="shared" ca="1" si="8"/>
        <v>7</v>
      </c>
      <c r="O62" s="92">
        <f t="shared" ca="1" si="9"/>
        <v>2.264588428134358</v>
      </c>
      <c r="P62" s="92">
        <f t="shared" ca="1" si="10"/>
        <v>22.645884281343584</v>
      </c>
      <c r="Q62" s="92">
        <f t="shared" ca="1" si="11"/>
        <v>22.645884281343584</v>
      </c>
      <c r="R62" s="92">
        <f t="shared" ca="1" si="12"/>
        <v>2.2645884281343585</v>
      </c>
      <c r="S62" s="92">
        <f t="shared" ca="1" si="13"/>
        <v>2.264588428134358</v>
      </c>
      <c r="T62" s="4">
        <f t="shared" ca="1" si="14"/>
        <v>0</v>
      </c>
      <c r="U62" s="99">
        <f t="shared" ca="1" si="15"/>
        <v>1546.2486983548911</v>
      </c>
      <c r="V62" s="4">
        <f t="shared" ca="1" si="16"/>
        <v>0</v>
      </c>
      <c r="W62" s="13">
        <f t="shared" ca="1" si="17"/>
        <v>16523.699737499999</v>
      </c>
      <c r="X62" s="4">
        <f t="shared" ca="1" si="18"/>
        <v>0</v>
      </c>
    </row>
    <row r="63" spans="1:24">
      <c r="A63">
        <v>0</v>
      </c>
      <c r="B63">
        <v>1</v>
      </c>
      <c r="C63">
        <f t="shared" ca="1" si="0"/>
        <v>4</v>
      </c>
      <c r="D63">
        <f t="shared" ca="1" si="1"/>
        <v>2</v>
      </c>
      <c r="E63">
        <f t="shared" ca="1" si="2"/>
        <v>0</v>
      </c>
      <c r="F63" s="100">
        <f t="shared" ca="1" si="3"/>
        <v>3.5341899999999996E-2</v>
      </c>
      <c r="G63">
        <v>1</v>
      </c>
      <c r="H63">
        <v>0</v>
      </c>
      <c r="I63">
        <v>2</v>
      </c>
      <c r="J63" s="1">
        <f t="shared" ca="1" si="4"/>
        <v>9.7029900000000086E-3</v>
      </c>
      <c r="K63" s="1">
        <f t="shared" ca="1" si="5"/>
        <v>3.4292210228100025E-4</v>
      </c>
      <c r="L63" s="13">
        <f t="shared" ca="1" si="6"/>
        <v>168</v>
      </c>
      <c r="M63" s="7">
        <f t="shared" ca="1" si="7"/>
        <v>832</v>
      </c>
      <c r="N63" s="43">
        <f t="shared" ca="1" si="8"/>
        <v>7</v>
      </c>
      <c r="O63" s="92">
        <f t="shared" ca="1" si="9"/>
        <v>2.264588428134358</v>
      </c>
      <c r="P63" s="92">
        <f t="shared" ca="1" si="10"/>
        <v>22.645884281343584</v>
      </c>
      <c r="Q63" s="92">
        <f t="shared" ca="1" si="11"/>
        <v>22.645884281343584</v>
      </c>
      <c r="R63" s="92">
        <f t="shared" ca="1" si="12"/>
        <v>2.2645884281343585</v>
      </c>
      <c r="S63" s="92">
        <f t="shared" ca="1" si="13"/>
        <v>2.264588428134358</v>
      </c>
      <c r="T63" s="4">
        <f t="shared" ca="1" si="14"/>
        <v>7.765774245770599E-4</v>
      </c>
      <c r="U63" s="99">
        <f t="shared" ca="1" si="15"/>
        <v>1525.2486983548911</v>
      </c>
      <c r="V63" s="4">
        <f t="shared" ca="1" si="16"/>
        <v>0.52304149014121848</v>
      </c>
      <c r="W63" s="13">
        <f t="shared" ca="1" si="17"/>
        <v>15171.562237499998</v>
      </c>
      <c r="X63" s="4">
        <f t="shared" ca="1" si="18"/>
        <v>5.2026640173705356</v>
      </c>
    </row>
    <row r="64" spans="1:24">
      <c r="A64">
        <v>0</v>
      </c>
      <c r="B64">
        <v>1</v>
      </c>
      <c r="C64">
        <f t="shared" ca="1" si="0"/>
        <v>4</v>
      </c>
      <c r="D64">
        <f t="shared" ca="1" si="1"/>
        <v>2</v>
      </c>
      <c r="E64">
        <f t="shared" ca="1" si="2"/>
        <v>0</v>
      </c>
      <c r="F64" s="100">
        <f t="shared" ca="1" si="3"/>
        <v>3.5341899999999996E-2</v>
      </c>
      <c r="G64">
        <v>1</v>
      </c>
      <c r="H64">
        <v>0</v>
      </c>
      <c r="I64">
        <v>1</v>
      </c>
      <c r="J64" s="1">
        <f t="shared" ca="1" si="4"/>
        <v>1.9602000000000036E-4</v>
      </c>
      <c r="K64" s="1">
        <f t="shared" ca="1" si="5"/>
        <v>6.9277192380000122E-6</v>
      </c>
      <c r="L64" s="13">
        <f t="shared" ca="1" si="6"/>
        <v>147</v>
      </c>
      <c r="M64" s="7">
        <f t="shared" ca="1" si="7"/>
        <v>853</v>
      </c>
      <c r="N64" s="43">
        <f t="shared" ca="1" si="8"/>
        <v>7</v>
      </c>
      <c r="O64" s="92">
        <f t="shared" ca="1" si="9"/>
        <v>2.264588428134358</v>
      </c>
      <c r="P64" s="92">
        <f t="shared" ca="1" si="10"/>
        <v>22.645884281343584</v>
      </c>
      <c r="Q64" s="92">
        <f t="shared" ca="1" si="11"/>
        <v>22.645884281343584</v>
      </c>
      <c r="R64" s="92">
        <f t="shared" ca="1" si="12"/>
        <v>2.2645884281343585</v>
      </c>
      <c r="S64" s="92">
        <f t="shared" ca="1" si="13"/>
        <v>2.264588428134358</v>
      </c>
      <c r="T64" s="4">
        <f t="shared" ca="1" si="14"/>
        <v>1.5688432819738599E-5</v>
      </c>
      <c r="U64" s="99">
        <f t="shared" ca="1" si="15"/>
        <v>1504.2486983548911</v>
      </c>
      <c r="V64" s="4">
        <f t="shared" ca="1" si="16"/>
        <v>1.0421012646329657E-2</v>
      </c>
      <c r="W64" s="13">
        <f t="shared" ca="1" si="17"/>
        <v>13819.4247375</v>
      </c>
      <c r="X64" s="4">
        <f t="shared" ca="1" si="18"/>
        <v>9.5737094612072013E-2</v>
      </c>
    </row>
    <row r="65" spans="1:24">
      <c r="A65">
        <v>0</v>
      </c>
      <c r="B65">
        <v>1</v>
      </c>
      <c r="C65">
        <f t="shared" ca="1" si="0"/>
        <v>4</v>
      </c>
      <c r="D65">
        <f t="shared" ca="1" si="1"/>
        <v>2</v>
      </c>
      <c r="E65">
        <f t="shared" ca="1" si="2"/>
        <v>0</v>
      </c>
      <c r="F65" s="100">
        <f t="shared" ca="1" si="3"/>
        <v>3.5341899999999996E-2</v>
      </c>
      <c r="G65">
        <v>1</v>
      </c>
      <c r="H65">
        <v>0</v>
      </c>
      <c r="I65">
        <v>0</v>
      </c>
      <c r="J65" s="1">
        <f t="shared" ca="1" si="4"/>
        <v>9.900000000000028E-7</v>
      </c>
      <c r="K65" s="1">
        <f t="shared" ca="1" si="5"/>
        <v>3.4988481000000092E-8</v>
      </c>
      <c r="L65" s="13">
        <f t="shared" ca="1" si="6"/>
        <v>126</v>
      </c>
      <c r="M65" s="7">
        <f t="shared" ca="1" si="7"/>
        <v>874</v>
      </c>
      <c r="N65" s="43">
        <f t="shared" ca="1" si="8"/>
        <v>7</v>
      </c>
      <c r="O65" s="92">
        <f t="shared" ca="1" si="9"/>
        <v>2.264588428134358</v>
      </c>
      <c r="P65" s="92">
        <f t="shared" ca="1" si="10"/>
        <v>22.645884281343584</v>
      </c>
      <c r="Q65" s="92">
        <f t="shared" ca="1" si="11"/>
        <v>22.645884281343584</v>
      </c>
      <c r="R65" s="92">
        <f t="shared" ca="1" si="12"/>
        <v>2.2645884281343585</v>
      </c>
      <c r="S65" s="92">
        <f t="shared" ca="1" si="13"/>
        <v>2.264588428134358</v>
      </c>
      <c r="T65" s="4">
        <f t="shared" ca="1" si="14"/>
        <v>7.9234509190599063E-8</v>
      </c>
      <c r="U65" s="99">
        <f t="shared" ca="1" si="15"/>
        <v>1483.2486983548911</v>
      </c>
      <c r="V65" s="4">
        <f t="shared" ca="1" si="16"/>
        <v>5.1896618900664976E-5</v>
      </c>
      <c r="W65" s="13">
        <f t="shared" ca="1" si="17"/>
        <v>12467.287237499999</v>
      </c>
      <c r="X65" s="4">
        <f t="shared" ca="1" si="18"/>
        <v>4.3621144263081236E-4</v>
      </c>
    </row>
    <row r="66" spans="1:24">
      <c r="A66">
        <v>0</v>
      </c>
      <c r="B66">
        <v>1</v>
      </c>
      <c r="C66">
        <f t="shared" ca="1" si="0"/>
        <v>4</v>
      </c>
      <c r="D66">
        <f t="shared" ca="1" si="1"/>
        <v>2</v>
      </c>
      <c r="E66">
        <f t="shared" ca="1" si="2"/>
        <v>0</v>
      </c>
      <c r="F66" s="100">
        <f t="shared" ca="1" si="3"/>
        <v>3.5341899999999996E-2</v>
      </c>
      <c r="G66">
        <v>0</v>
      </c>
      <c r="H66">
        <v>1</v>
      </c>
      <c r="I66">
        <v>7</v>
      </c>
      <c r="J66" s="1">
        <f t="shared" ca="1" si="4"/>
        <v>0</v>
      </c>
      <c r="K66" s="1">
        <f t="shared" ca="1" si="5"/>
        <v>0</v>
      </c>
      <c r="L66" s="13">
        <f t="shared" ca="1" si="6"/>
        <v>273</v>
      </c>
      <c r="M66" s="7">
        <f t="shared" ca="1" si="7"/>
        <v>727</v>
      </c>
      <c r="N66" s="43">
        <f t="shared" ca="1" si="8"/>
        <v>6</v>
      </c>
      <c r="O66" s="92">
        <f t="shared" ca="1" si="9"/>
        <v>2.003415856166523</v>
      </c>
      <c r="P66" s="92">
        <f t="shared" ca="1" si="10"/>
        <v>20.03415856166523</v>
      </c>
      <c r="Q66" s="92">
        <f t="shared" ca="1" si="11"/>
        <v>20.03415856166523</v>
      </c>
      <c r="R66" s="92">
        <f t="shared" ca="1" si="12"/>
        <v>2.003415856166523</v>
      </c>
      <c r="S66" s="92">
        <f t="shared" ca="1" si="13"/>
        <v>2.003415856166523</v>
      </c>
      <c r="T66" s="4">
        <f t="shared" ca="1" si="14"/>
        <v>0</v>
      </c>
      <c r="U66" s="99">
        <f t="shared" ca="1" si="15"/>
        <v>1502.0284794818213</v>
      </c>
      <c r="V66" s="4">
        <f t="shared" ca="1" si="16"/>
        <v>0</v>
      </c>
      <c r="W66" s="13">
        <f t="shared" ca="1" si="17"/>
        <v>10852.513124999999</v>
      </c>
      <c r="X66" s="4">
        <f t="shared" ca="1" si="18"/>
        <v>0</v>
      </c>
    </row>
    <row r="67" spans="1:24">
      <c r="A67">
        <v>0</v>
      </c>
      <c r="B67">
        <v>1</v>
      </c>
      <c r="C67">
        <f t="shared" ca="1" si="0"/>
        <v>4</v>
      </c>
      <c r="D67">
        <f t="shared" ca="1" si="1"/>
        <v>2</v>
      </c>
      <c r="E67">
        <f t="shared" ca="1" si="2"/>
        <v>0</v>
      </c>
      <c r="F67" s="100">
        <f t="shared" ca="1" si="3"/>
        <v>3.5341899999999996E-2</v>
      </c>
      <c r="G67">
        <v>0</v>
      </c>
      <c r="H67">
        <v>1</v>
      </c>
      <c r="I67">
        <v>6</v>
      </c>
      <c r="J67" s="1">
        <f t="shared" ca="1" si="4"/>
        <v>0</v>
      </c>
      <c r="K67" s="1">
        <f t="shared" ca="1" si="5"/>
        <v>0</v>
      </c>
      <c r="L67" s="13">
        <f t="shared" ca="1" si="6"/>
        <v>252</v>
      </c>
      <c r="M67" s="7">
        <f t="shared" ca="1" si="7"/>
        <v>748</v>
      </c>
      <c r="N67" s="43">
        <f t="shared" ca="1" si="8"/>
        <v>6</v>
      </c>
      <c r="O67" s="92">
        <f t="shared" ca="1" si="9"/>
        <v>2.003415856166523</v>
      </c>
      <c r="P67" s="92">
        <f t="shared" ca="1" si="10"/>
        <v>20.03415856166523</v>
      </c>
      <c r="Q67" s="92">
        <f t="shared" ca="1" si="11"/>
        <v>20.03415856166523</v>
      </c>
      <c r="R67" s="92">
        <f t="shared" ca="1" si="12"/>
        <v>2.003415856166523</v>
      </c>
      <c r="S67" s="92">
        <f t="shared" ca="1" si="13"/>
        <v>2.003415856166523</v>
      </c>
      <c r="T67" s="4">
        <f t="shared" ca="1" si="14"/>
        <v>0</v>
      </c>
      <c r="U67" s="99">
        <f t="shared" ca="1" si="15"/>
        <v>1481.0284794818213</v>
      </c>
      <c r="V67" s="4">
        <f t="shared" ca="1" si="16"/>
        <v>0</v>
      </c>
      <c r="W67" s="13">
        <f t="shared" ca="1" si="17"/>
        <v>9500.3756250000006</v>
      </c>
      <c r="X67" s="4">
        <f t="shared" ca="1" si="18"/>
        <v>0</v>
      </c>
    </row>
    <row r="68" spans="1:24">
      <c r="A68">
        <v>0</v>
      </c>
      <c r="B68">
        <v>1</v>
      </c>
      <c r="C68">
        <f t="shared" ca="1" si="0"/>
        <v>4</v>
      </c>
      <c r="D68">
        <f t="shared" ca="1" si="1"/>
        <v>2</v>
      </c>
      <c r="E68">
        <f t="shared" ca="1" si="2"/>
        <v>0</v>
      </c>
      <c r="F68" s="100">
        <f t="shared" ca="1" si="3"/>
        <v>3.5341899999999996E-2</v>
      </c>
      <c r="G68">
        <v>0</v>
      </c>
      <c r="H68">
        <v>1</v>
      </c>
      <c r="I68">
        <v>5</v>
      </c>
      <c r="J68" s="1">
        <f t="shared" ca="1" si="4"/>
        <v>0</v>
      </c>
      <c r="K68" s="1">
        <f t="shared" ca="1" si="5"/>
        <v>0</v>
      </c>
      <c r="L68" s="13">
        <f t="shared" ca="1" si="6"/>
        <v>231</v>
      </c>
      <c r="M68" s="7">
        <f t="shared" ca="1" si="7"/>
        <v>769</v>
      </c>
      <c r="N68" s="43">
        <f t="shared" ca="1" si="8"/>
        <v>6</v>
      </c>
      <c r="O68" s="92">
        <f t="shared" ca="1" si="9"/>
        <v>2.003415856166523</v>
      </c>
      <c r="P68" s="92">
        <f t="shared" ca="1" si="10"/>
        <v>20.03415856166523</v>
      </c>
      <c r="Q68" s="92">
        <f t="shared" ca="1" si="11"/>
        <v>20.03415856166523</v>
      </c>
      <c r="R68" s="92">
        <f t="shared" ca="1" si="12"/>
        <v>2.003415856166523</v>
      </c>
      <c r="S68" s="92">
        <f t="shared" ca="1" si="13"/>
        <v>2.003415856166523</v>
      </c>
      <c r="T68" s="4">
        <f t="shared" ca="1" si="14"/>
        <v>0</v>
      </c>
      <c r="U68" s="99">
        <f t="shared" ca="1" si="15"/>
        <v>1460.0284794818213</v>
      </c>
      <c r="V68" s="4">
        <f t="shared" ca="1" si="16"/>
        <v>0</v>
      </c>
      <c r="W68" s="13">
        <f t="shared" ca="1" si="17"/>
        <v>8148.2381249999999</v>
      </c>
      <c r="X68" s="4">
        <f t="shared" ca="1" si="18"/>
        <v>0</v>
      </c>
    </row>
    <row r="69" spans="1:24">
      <c r="A69">
        <v>0</v>
      </c>
      <c r="B69">
        <v>1</v>
      </c>
      <c r="C69">
        <f t="shared" ca="1" si="0"/>
        <v>4</v>
      </c>
      <c r="D69">
        <f t="shared" ca="1" si="1"/>
        <v>2</v>
      </c>
      <c r="E69">
        <f t="shared" ca="1" si="2"/>
        <v>0</v>
      </c>
      <c r="F69" s="100">
        <f t="shared" ca="1" si="3"/>
        <v>3.5341899999999996E-2</v>
      </c>
      <c r="G69">
        <v>0</v>
      </c>
      <c r="H69">
        <v>1</v>
      </c>
      <c r="I69">
        <v>4</v>
      </c>
      <c r="J69" s="1">
        <f t="shared" ca="1" si="4"/>
        <v>0</v>
      </c>
      <c r="K69" s="1">
        <f t="shared" ca="1" si="5"/>
        <v>0</v>
      </c>
      <c r="L69" s="13">
        <f t="shared" ca="1" si="6"/>
        <v>210</v>
      </c>
      <c r="M69" s="7">
        <f t="shared" ca="1" si="7"/>
        <v>790</v>
      </c>
      <c r="N69" s="43">
        <f t="shared" ca="1" si="8"/>
        <v>7</v>
      </c>
      <c r="O69" s="92">
        <f t="shared" ca="1" si="9"/>
        <v>2.264588428134358</v>
      </c>
      <c r="P69" s="92">
        <f t="shared" ca="1" si="10"/>
        <v>22.645884281343584</v>
      </c>
      <c r="Q69" s="92">
        <f t="shared" ca="1" si="11"/>
        <v>21.340021421504403</v>
      </c>
      <c r="R69" s="92">
        <f t="shared" ca="1" si="12"/>
        <v>2.1992952851423992</v>
      </c>
      <c r="S69" s="92">
        <f t="shared" ca="1" si="13"/>
        <v>2.264588428134358</v>
      </c>
      <c r="T69" s="4">
        <f t="shared" ca="1" si="14"/>
        <v>0</v>
      </c>
      <c r="U69" s="99">
        <f t="shared" ca="1" si="15"/>
        <v>1567.2486983548911</v>
      </c>
      <c r="V69" s="4">
        <f t="shared" ca="1" si="16"/>
        <v>0</v>
      </c>
      <c r="W69" s="13">
        <f t="shared" ca="1" si="17"/>
        <v>6796.100625</v>
      </c>
      <c r="X69" s="4">
        <f t="shared" ca="1" si="18"/>
        <v>0</v>
      </c>
    </row>
    <row r="70" spans="1:24">
      <c r="A70">
        <v>0</v>
      </c>
      <c r="B70">
        <v>1</v>
      </c>
      <c r="C70">
        <f t="shared" ca="1" si="0"/>
        <v>4</v>
      </c>
      <c r="D70">
        <f t="shared" ca="1" si="1"/>
        <v>2</v>
      </c>
      <c r="E70">
        <f t="shared" ca="1" si="2"/>
        <v>0</v>
      </c>
      <c r="F70" s="100">
        <f t="shared" ca="1" si="3"/>
        <v>3.5341899999999996E-2</v>
      </c>
      <c r="G70">
        <v>0</v>
      </c>
      <c r="H70">
        <v>1</v>
      </c>
      <c r="I70">
        <v>3</v>
      </c>
      <c r="J70" s="1">
        <f t="shared" ca="1" si="4"/>
        <v>0</v>
      </c>
      <c r="K70" s="1">
        <f t="shared" ca="1" si="5"/>
        <v>0</v>
      </c>
      <c r="L70" s="13">
        <f t="shared" ca="1" si="6"/>
        <v>189</v>
      </c>
      <c r="M70" s="7">
        <f t="shared" ca="1" si="7"/>
        <v>811</v>
      </c>
      <c r="N70" s="43">
        <f t="shared" ca="1" si="8"/>
        <v>7</v>
      </c>
      <c r="O70" s="92">
        <f t="shared" ca="1" si="9"/>
        <v>2.264588428134358</v>
      </c>
      <c r="P70" s="92">
        <f t="shared" ca="1" si="10"/>
        <v>22.645884281343584</v>
      </c>
      <c r="Q70" s="92">
        <f t="shared" ca="1" si="11"/>
        <v>22.645884281343584</v>
      </c>
      <c r="R70" s="92">
        <f t="shared" ca="1" si="12"/>
        <v>2.2645884281343585</v>
      </c>
      <c r="S70" s="92">
        <f t="shared" ca="1" si="13"/>
        <v>2.264588428134358</v>
      </c>
      <c r="T70" s="4">
        <f t="shared" ca="1" si="14"/>
        <v>0</v>
      </c>
      <c r="U70" s="99">
        <f t="shared" ca="1" si="15"/>
        <v>1546.2486983548911</v>
      </c>
      <c r="V70" s="4">
        <f t="shared" ca="1" si="16"/>
        <v>0</v>
      </c>
      <c r="W70" s="13">
        <f t="shared" ca="1" si="17"/>
        <v>5443.9631250000002</v>
      </c>
      <c r="X70" s="4">
        <f t="shared" ca="1" si="18"/>
        <v>0</v>
      </c>
    </row>
    <row r="71" spans="1:24">
      <c r="A71">
        <v>0</v>
      </c>
      <c r="B71">
        <v>1</v>
      </c>
      <c r="C71">
        <f t="shared" ca="1" si="0"/>
        <v>4</v>
      </c>
      <c r="D71">
        <f t="shared" ca="1" si="1"/>
        <v>2</v>
      </c>
      <c r="E71">
        <f t="shared" ca="1" si="2"/>
        <v>0</v>
      </c>
      <c r="F71" s="100">
        <f t="shared" ca="1" si="3"/>
        <v>3.5341899999999996E-2</v>
      </c>
      <c r="G71">
        <v>0</v>
      </c>
      <c r="H71">
        <v>1</v>
      </c>
      <c r="I71">
        <v>2</v>
      </c>
      <c r="J71" s="1">
        <f t="shared" ca="1" si="4"/>
        <v>9.7029900000000086E-3</v>
      </c>
      <c r="K71" s="1">
        <f t="shared" ca="1" si="5"/>
        <v>3.4292210228100025E-4</v>
      </c>
      <c r="L71" s="13">
        <f t="shared" ca="1" si="6"/>
        <v>168</v>
      </c>
      <c r="M71" s="7">
        <f t="shared" ca="1" si="7"/>
        <v>832</v>
      </c>
      <c r="N71" s="43">
        <f t="shared" ca="1" si="8"/>
        <v>7</v>
      </c>
      <c r="O71" s="92">
        <f t="shared" ca="1" si="9"/>
        <v>2.264588428134358</v>
      </c>
      <c r="P71" s="92">
        <f t="shared" ca="1" si="10"/>
        <v>22.645884281343584</v>
      </c>
      <c r="Q71" s="92">
        <f t="shared" ca="1" si="11"/>
        <v>22.645884281343584</v>
      </c>
      <c r="R71" s="92">
        <f t="shared" ca="1" si="12"/>
        <v>2.2645884281343585</v>
      </c>
      <c r="S71" s="92">
        <f t="shared" ca="1" si="13"/>
        <v>2.264588428134358</v>
      </c>
      <c r="T71" s="4">
        <f t="shared" ca="1" si="14"/>
        <v>7.765774245770599E-4</v>
      </c>
      <c r="U71" s="99">
        <f t="shared" ca="1" si="15"/>
        <v>1525.2486983548911</v>
      </c>
      <c r="V71" s="4">
        <f t="shared" ca="1" si="16"/>
        <v>0.52304149014121848</v>
      </c>
      <c r="W71" s="13">
        <f t="shared" ca="1" si="17"/>
        <v>4091.8256249999999</v>
      </c>
      <c r="X71" s="4">
        <f t="shared" ca="1" si="18"/>
        <v>1.4031774454922676</v>
      </c>
    </row>
    <row r="72" spans="1:24">
      <c r="A72">
        <v>0</v>
      </c>
      <c r="B72">
        <v>1</v>
      </c>
      <c r="C72">
        <f t="shared" ca="1" si="0"/>
        <v>4</v>
      </c>
      <c r="D72">
        <f t="shared" ca="1" si="1"/>
        <v>2</v>
      </c>
      <c r="E72">
        <f t="shared" ca="1" si="2"/>
        <v>0</v>
      </c>
      <c r="F72" s="100">
        <f t="shared" ca="1" si="3"/>
        <v>3.5341899999999996E-2</v>
      </c>
      <c r="G72">
        <v>0</v>
      </c>
      <c r="H72">
        <v>1</v>
      </c>
      <c r="I72">
        <v>1</v>
      </c>
      <c r="J72" s="1">
        <f t="shared" ca="1" si="4"/>
        <v>1.9602000000000036E-4</v>
      </c>
      <c r="K72" s="1">
        <f t="shared" ca="1" si="5"/>
        <v>6.9277192380000122E-6</v>
      </c>
      <c r="L72" s="13">
        <f t="shared" ca="1" si="6"/>
        <v>147</v>
      </c>
      <c r="M72" s="7">
        <f t="shared" ca="1" si="7"/>
        <v>853</v>
      </c>
      <c r="N72" s="43">
        <f t="shared" ca="1" si="8"/>
        <v>7</v>
      </c>
      <c r="O72" s="92">
        <f t="shared" ca="1" si="9"/>
        <v>2.264588428134358</v>
      </c>
      <c r="P72" s="92">
        <f t="shared" ca="1" si="10"/>
        <v>22.645884281343584</v>
      </c>
      <c r="Q72" s="92">
        <f t="shared" ca="1" si="11"/>
        <v>22.645884281343584</v>
      </c>
      <c r="R72" s="92">
        <f t="shared" ca="1" si="12"/>
        <v>2.2645884281343585</v>
      </c>
      <c r="S72" s="92">
        <f t="shared" ca="1" si="13"/>
        <v>2.264588428134358</v>
      </c>
      <c r="T72" s="4">
        <f t="shared" ca="1" si="14"/>
        <v>1.5688432819738599E-5</v>
      </c>
      <c r="U72" s="99">
        <f t="shared" ca="1" si="15"/>
        <v>1504.2486983548911</v>
      </c>
      <c r="V72" s="4">
        <f t="shared" ca="1" si="16"/>
        <v>1.0421012646329657E-2</v>
      </c>
      <c r="W72" s="13">
        <f t="shared" ca="1" si="17"/>
        <v>2739.6881249999997</v>
      </c>
      <c r="X72" s="4">
        <f t="shared" ca="1" si="18"/>
        <v>1.8979790129682681E-2</v>
      </c>
    </row>
    <row r="73" spans="1:24">
      <c r="A73">
        <v>0</v>
      </c>
      <c r="B73">
        <v>1</v>
      </c>
      <c r="C73">
        <f t="shared" ca="1" si="0"/>
        <v>4</v>
      </c>
      <c r="D73">
        <f t="shared" ca="1" si="1"/>
        <v>2</v>
      </c>
      <c r="E73">
        <f t="shared" ca="1" si="2"/>
        <v>0</v>
      </c>
      <c r="F73" s="100">
        <f t="shared" ca="1" si="3"/>
        <v>3.5341899999999996E-2</v>
      </c>
      <c r="G73">
        <v>0</v>
      </c>
      <c r="H73">
        <v>1</v>
      </c>
      <c r="I73">
        <v>0</v>
      </c>
      <c r="J73" s="1">
        <f t="shared" ca="1" si="4"/>
        <v>9.900000000000028E-7</v>
      </c>
      <c r="K73" s="1">
        <f t="shared" ca="1" si="5"/>
        <v>3.4988481000000092E-8</v>
      </c>
      <c r="L73" s="13">
        <f t="shared" ca="1" si="6"/>
        <v>126</v>
      </c>
      <c r="M73" s="7">
        <f t="shared" ca="1" si="7"/>
        <v>874</v>
      </c>
      <c r="N73" s="43">
        <f t="shared" ca="1" si="8"/>
        <v>7</v>
      </c>
      <c r="O73" s="92">
        <f t="shared" ca="1" si="9"/>
        <v>2.264588428134358</v>
      </c>
      <c r="P73" s="92">
        <f t="shared" ca="1" si="10"/>
        <v>22.645884281343584</v>
      </c>
      <c r="Q73" s="92">
        <f t="shared" ca="1" si="11"/>
        <v>22.645884281343584</v>
      </c>
      <c r="R73" s="92">
        <f t="shared" ca="1" si="12"/>
        <v>2.2645884281343585</v>
      </c>
      <c r="S73" s="92">
        <f t="shared" ca="1" si="13"/>
        <v>2.264588428134358</v>
      </c>
      <c r="T73" s="4">
        <f t="shared" ca="1" si="14"/>
        <v>7.9234509190599063E-8</v>
      </c>
      <c r="U73" s="99">
        <f t="shared" ca="1" si="15"/>
        <v>1483.2486983548911</v>
      </c>
      <c r="V73" s="4">
        <f t="shared" ca="1" si="16"/>
        <v>5.1896618900664976E-5</v>
      </c>
      <c r="W73" s="13">
        <f t="shared" ca="1" si="17"/>
        <v>1387.5506249999999</v>
      </c>
      <c r="X73" s="4">
        <f t="shared" ca="1" si="18"/>
        <v>4.8548288679350745E-5</v>
      </c>
    </row>
    <row r="74" spans="1:24">
      <c r="A74">
        <v>0</v>
      </c>
      <c r="B74">
        <v>1</v>
      </c>
      <c r="C74">
        <f t="shared" ca="1" si="0"/>
        <v>4</v>
      </c>
      <c r="D74">
        <f t="shared" ca="1" si="1"/>
        <v>2</v>
      </c>
      <c r="E74">
        <f t="shared" ca="1" si="2"/>
        <v>0</v>
      </c>
      <c r="F74" s="100">
        <f t="shared" ca="1" si="3"/>
        <v>3.5341899999999996E-2</v>
      </c>
      <c r="G74">
        <v>0</v>
      </c>
      <c r="H74">
        <v>0</v>
      </c>
      <c r="I74">
        <v>7</v>
      </c>
      <c r="J74" s="1">
        <f t="shared" ca="1" si="4"/>
        <v>0</v>
      </c>
      <c r="K74" s="1">
        <f t="shared" ca="1" si="5"/>
        <v>0</v>
      </c>
      <c r="L74" s="13">
        <f t="shared" ca="1" si="6"/>
        <v>147</v>
      </c>
      <c r="M74" s="7">
        <f t="shared" ca="1" si="7"/>
        <v>853</v>
      </c>
      <c r="N74" s="43">
        <f t="shared" ca="1" si="8"/>
        <v>7</v>
      </c>
      <c r="O74" s="92">
        <f t="shared" ca="1" si="9"/>
        <v>2.264588428134358</v>
      </c>
      <c r="P74" s="92">
        <f t="shared" ca="1" si="10"/>
        <v>22.645884281343584</v>
      </c>
      <c r="Q74" s="92">
        <f t="shared" ca="1" si="11"/>
        <v>22.645884281343584</v>
      </c>
      <c r="R74" s="92">
        <f t="shared" ca="1" si="12"/>
        <v>2.2645884281343585</v>
      </c>
      <c r="S74" s="92">
        <f t="shared" ca="1" si="13"/>
        <v>2.264588428134358</v>
      </c>
      <c r="T74" s="4">
        <f t="shared" ca="1" si="14"/>
        <v>0</v>
      </c>
      <c r="U74" s="99">
        <f t="shared" ca="1" si="15"/>
        <v>1504.2486983548911</v>
      </c>
      <c r="V74" s="4">
        <f t="shared" ca="1" si="16"/>
        <v>0</v>
      </c>
      <c r="W74" s="13">
        <f t="shared" ca="1" si="17"/>
        <v>9464.9624999999996</v>
      </c>
      <c r="X74" s="4">
        <f t="shared" ca="1" si="18"/>
        <v>0</v>
      </c>
    </row>
    <row r="75" spans="1:24">
      <c r="A75">
        <v>0</v>
      </c>
      <c r="B75">
        <v>1</v>
      </c>
      <c r="C75">
        <f t="shared" ca="1" si="0"/>
        <v>4</v>
      </c>
      <c r="D75">
        <f t="shared" ca="1" si="1"/>
        <v>2</v>
      </c>
      <c r="E75">
        <f t="shared" ca="1" si="2"/>
        <v>0</v>
      </c>
      <c r="F75" s="100">
        <f t="shared" ca="1" si="3"/>
        <v>3.5341899999999996E-2</v>
      </c>
      <c r="G75">
        <v>0</v>
      </c>
      <c r="H75">
        <v>0</v>
      </c>
      <c r="I75">
        <v>6</v>
      </c>
      <c r="J75" s="1">
        <f t="shared" ca="1" si="4"/>
        <v>0</v>
      </c>
      <c r="K75" s="1">
        <f t="shared" ca="1" si="5"/>
        <v>0</v>
      </c>
      <c r="L75" s="13">
        <f t="shared" ca="1" si="6"/>
        <v>126</v>
      </c>
      <c r="M75" s="7">
        <f t="shared" ca="1" si="7"/>
        <v>874</v>
      </c>
      <c r="N75" s="43">
        <f t="shared" ca="1" si="8"/>
        <v>7</v>
      </c>
      <c r="O75" s="92">
        <f t="shared" ca="1" si="9"/>
        <v>2.264588428134358</v>
      </c>
      <c r="P75" s="92">
        <f t="shared" ca="1" si="10"/>
        <v>22.645884281343584</v>
      </c>
      <c r="Q75" s="92">
        <f t="shared" ca="1" si="11"/>
        <v>22.645884281343584</v>
      </c>
      <c r="R75" s="92">
        <f t="shared" ca="1" si="12"/>
        <v>2.2645884281343585</v>
      </c>
      <c r="S75" s="92">
        <f t="shared" ca="1" si="13"/>
        <v>2.264588428134358</v>
      </c>
      <c r="T75" s="4">
        <f t="shared" ca="1" si="14"/>
        <v>0</v>
      </c>
      <c r="U75" s="99">
        <f t="shared" ca="1" si="15"/>
        <v>1483.2486983548911</v>
      </c>
      <c r="V75" s="4">
        <f t="shared" ca="1" si="16"/>
        <v>0</v>
      </c>
      <c r="W75" s="13">
        <f t="shared" ca="1" si="17"/>
        <v>8112.8249999999998</v>
      </c>
      <c r="X75" s="4">
        <f t="shared" ca="1" si="18"/>
        <v>0</v>
      </c>
    </row>
    <row r="76" spans="1:24">
      <c r="A76">
        <v>0</v>
      </c>
      <c r="B76">
        <v>1</v>
      </c>
      <c r="C76">
        <f t="shared" ca="1" si="0"/>
        <v>4</v>
      </c>
      <c r="D76">
        <f t="shared" ca="1" si="1"/>
        <v>2</v>
      </c>
      <c r="E76">
        <f t="shared" ca="1" si="2"/>
        <v>0</v>
      </c>
      <c r="F76" s="100">
        <f t="shared" ca="1" si="3"/>
        <v>3.5341899999999996E-2</v>
      </c>
      <c r="G76">
        <v>0</v>
      </c>
      <c r="H76">
        <v>0</v>
      </c>
      <c r="I76">
        <v>5</v>
      </c>
      <c r="J76" s="1">
        <f t="shared" ca="1" si="4"/>
        <v>0</v>
      </c>
      <c r="K76" s="1">
        <f t="shared" ca="1" si="5"/>
        <v>0</v>
      </c>
      <c r="L76" s="13">
        <f t="shared" ca="1" si="6"/>
        <v>105</v>
      </c>
      <c r="M76" s="7">
        <f t="shared" ca="1" si="7"/>
        <v>895</v>
      </c>
      <c r="N76" s="43">
        <f t="shared" ca="1" si="8"/>
        <v>7</v>
      </c>
      <c r="O76" s="92">
        <f t="shared" ca="1" si="9"/>
        <v>2.264588428134358</v>
      </c>
      <c r="P76" s="92">
        <f t="shared" ca="1" si="10"/>
        <v>22.645884281343584</v>
      </c>
      <c r="Q76" s="92">
        <f t="shared" ca="1" si="11"/>
        <v>22.645884281343584</v>
      </c>
      <c r="R76" s="92">
        <f t="shared" ca="1" si="12"/>
        <v>2.2645884281343585</v>
      </c>
      <c r="S76" s="92">
        <f t="shared" ca="1" si="13"/>
        <v>2.264588428134358</v>
      </c>
      <c r="T76" s="4">
        <f t="shared" ca="1" si="14"/>
        <v>0</v>
      </c>
      <c r="U76" s="99">
        <f t="shared" ca="1" si="15"/>
        <v>1462.2486983548911</v>
      </c>
      <c r="V76" s="4">
        <f t="shared" ca="1" si="16"/>
        <v>0</v>
      </c>
      <c r="W76" s="13">
        <f t="shared" ca="1" si="17"/>
        <v>6760.6875</v>
      </c>
      <c r="X76" s="4">
        <f t="shared" ca="1" si="18"/>
        <v>0</v>
      </c>
    </row>
    <row r="77" spans="1:24">
      <c r="A77">
        <v>0</v>
      </c>
      <c r="B77">
        <v>1</v>
      </c>
      <c r="C77">
        <f t="shared" ca="1" si="0"/>
        <v>4</v>
      </c>
      <c r="D77">
        <f t="shared" ca="1" si="1"/>
        <v>2</v>
      </c>
      <c r="E77">
        <f t="shared" ca="1" si="2"/>
        <v>0</v>
      </c>
      <c r="F77" s="100">
        <f t="shared" ca="1" si="3"/>
        <v>3.5341899999999996E-2</v>
      </c>
      <c r="G77">
        <v>0</v>
      </c>
      <c r="H77">
        <v>0</v>
      </c>
      <c r="I77">
        <v>4</v>
      </c>
      <c r="J77" s="1">
        <f t="shared" ca="1" si="4"/>
        <v>0</v>
      </c>
      <c r="K77" s="1">
        <f t="shared" ca="1" si="5"/>
        <v>0</v>
      </c>
      <c r="L77" s="13">
        <f t="shared" ca="1" si="6"/>
        <v>100</v>
      </c>
      <c r="M77" s="7">
        <f t="shared" ca="1" si="7"/>
        <v>900</v>
      </c>
      <c r="N77" s="43">
        <f t="shared" ca="1" si="8"/>
        <v>7</v>
      </c>
      <c r="O77" s="92">
        <f t="shared" ca="1" si="9"/>
        <v>2.264588428134358</v>
      </c>
      <c r="P77" s="92">
        <f t="shared" ca="1" si="10"/>
        <v>22.645884281343584</v>
      </c>
      <c r="Q77" s="92">
        <f t="shared" ca="1" si="11"/>
        <v>22.645884281343584</v>
      </c>
      <c r="R77" s="92">
        <f t="shared" ca="1" si="12"/>
        <v>2.2645884281343585</v>
      </c>
      <c r="S77" s="92">
        <f t="shared" ca="1" si="13"/>
        <v>2.264588428134358</v>
      </c>
      <c r="T77" s="4">
        <f t="shared" ca="1" si="14"/>
        <v>0</v>
      </c>
      <c r="U77" s="99">
        <f t="shared" ca="1" si="15"/>
        <v>1457.2486983548911</v>
      </c>
      <c r="V77" s="4">
        <f t="shared" ca="1" si="16"/>
        <v>0</v>
      </c>
      <c r="W77" s="13">
        <f t="shared" ca="1" si="17"/>
        <v>5408.55</v>
      </c>
      <c r="X77" s="4">
        <f t="shared" ca="1" si="18"/>
        <v>0</v>
      </c>
    </row>
    <row r="78" spans="1:24">
      <c r="A78">
        <v>0</v>
      </c>
      <c r="B78">
        <v>1</v>
      </c>
      <c r="C78">
        <f t="shared" ca="1" si="0"/>
        <v>4</v>
      </c>
      <c r="D78">
        <f t="shared" ca="1" si="1"/>
        <v>2</v>
      </c>
      <c r="E78">
        <f t="shared" ca="1" si="2"/>
        <v>0</v>
      </c>
      <c r="F78" s="100">
        <f t="shared" ca="1" si="3"/>
        <v>3.5341899999999996E-2</v>
      </c>
      <c r="G78">
        <v>0</v>
      </c>
      <c r="H78">
        <v>0</v>
      </c>
      <c r="I78">
        <v>3</v>
      </c>
      <c r="J78" s="1">
        <f t="shared" ca="1" si="4"/>
        <v>0</v>
      </c>
      <c r="K78" s="1">
        <f t="shared" ca="1" si="5"/>
        <v>0</v>
      </c>
      <c r="L78" s="13">
        <f t="shared" ca="1" si="6"/>
        <v>100</v>
      </c>
      <c r="M78" s="7">
        <f t="shared" ca="1" si="7"/>
        <v>900</v>
      </c>
      <c r="N78" s="43">
        <f t="shared" ca="1" si="8"/>
        <v>7</v>
      </c>
      <c r="O78" s="92">
        <f t="shared" ca="1" si="9"/>
        <v>2.264588428134358</v>
      </c>
      <c r="P78" s="92">
        <f t="shared" ca="1" si="10"/>
        <v>22.645884281343584</v>
      </c>
      <c r="Q78" s="92">
        <f t="shared" ca="1" si="11"/>
        <v>22.645884281343584</v>
      </c>
      <c r="R78" s="92">
        <f t="shared" ca="1" si="12"/>
        <v>2.2645884281343585</v>
      </c>
      <c r="S78" s="92">
        <f t="shared" ca="1" si="13"/>
        <v>2.264588428134358</v>
      </c>
      <c r="T78" s="4">
        <f t="shared" ca="1" si="14"/>
        <v>0</v>
      </c>
      <c r="U78" s="99">
        <f t="shared" ca="1" si="15"/>
        <v>1457.2486983548911</v>
      </c>
      <c r="V78" s="4">
        <f t="shared" ca="1" si="16"/>
        <v>0</v>
      </c>
      <c r="W78" s="13">
        <f t="shared" ca="1" si="17"/>
        <v>4056.4124999999999</v>
      </c>
      <c r="X78" s="4">
        <f t="shared" ca="1" si="18"/>
        <v>0</v>
      </c>
    </row>
    <row r="79" spans="1:24">
      <c r="A79">
        <v>0</v>
      </c>
      <c r="B79">
        <v>1</v>
      </c>
      <c r="C79">
        <f t="shared" ca="1" si="0"/>
        <v>4</v>
      </c>
      <c r="D79">
        <f t="shared" ca="1" si="1"/>
        <v>2</v>
      </c>
      <c r="E79">
        <f t="shared" ca="1" si="2"/>
        <v>0</v>
      </c>
      <c r="F79" s="100">
        <f t="shared" ca="1" si="3"/>
        <v>3.5341899999999996E-2</v>
      </c>
      <c r="G79">
        <v>0</v>
      </c>
      <c r="H79">
        <v>0</v>
      </c>
      <c r="I79">
        <v>2</v>
      </c>
      <c r="J79" s="1">
        <f t="shared" ca="1" si="4"/>
        <v>9.8010000000000168E-5</v>
      </c>
      <c r="K79" s="1">
        <f t="shared" ca="1" si="5"/>
        <v>3.4638596190000057E-6</v>
      </c>
      <c r="L79" s="13">
        <f t="shared" ca="1" si="6"/>
        <v>100</v>
      </c>
      <c r="M79" s="7">
        <f t="shared" ca="1" si="7"/>
        <v>900</v>
      </c>
      <c r="N79" s="43">
        <f t="shared" ca="1" si="8"/>
        <v>7</v>
      </c>
      <c r="O79" s="92">
        <f t="shared" ca="1" si="9"/>
        <v>2.264588428134358</v>
      </c>
      <c r="P79" s="92">
        <f t="shared" ca="1" si="10"/>
        <v>22.645884281343584</v>
      </c>
      <c r="Q79" s="92">
        <f t="shared" ca="1" si="11"/>
        <v>22.645884281343584</v>
      </c>
      <c r="R79" s="92">
        <f t="shared" ca="1" si="12"/>
        <v>2.2645884281343585</v>
      </c>
      <c r="S79" s="92">
        <f t="shared" ca="1" si="13"/>
        <v>2.264588428134358</v>
      </c>
      <c r="T79" s="4">
        <f t="shared" ca="1" si="14"/>
        <v>7.8442164098692997E-6</v>
      </c>
      <c r="U79" s="99">
        <f t="shared" ca="1" si="15"/>
        <v>1457.2486983548911</v>
      </c>
      <c r="V79" s="4">
        <f t="shared" ca="1" si="16"/>
        <v>5.0477049210718274E-3</v>
      </c>
      <c r="W79" s="13">
        <f t="shared" ca="1" si="17"/>
        <v>2704.2750000000001</v>
      </c>
      <c r="X79" s="4">
        <f t="shared" ca="1" si="18"/>
        <v>9.3672289711712407E-3</v>
      </c>
    </row>
    <row r="80" spans="1:24">
      <c r="A80">
        <v>0</v>
      </c>
      <c r="B80">
        <v>1</v>
      </c>
      <c r="C80">
        <f t="shared" ca="1" si="0"/>
        <v>4</v>
      </c>
      <c r="D80">
        <f t="shared" ca="1" si="1"/>
        <v>2</v>
      </c>
      <c r="E80">
        <f t="shared" ca="1" si="2"/>
        <v>0</v>
      </c>
      <c r="F80" s="100">
        <f t="shared" ca="1" si="3"/>
        <v>3.5341899999999996E-2</v>
      </c>
      <c r="G80">
        <v>0</v>
      </c>
      <c r="H80">
        <v>0</v>
      </c>
      <c r="I80">
        <v>1</v>
      </c>
      <c r="J80" s="1">
        <f t="shared" ca="1" si="4"/>
        <v>1.9800000000000056E-6</v>
      </c>
      <c r="K80" s="1">
        <f t="shared" ca="1" si="5"/>
        <v>6.9976962000000185E-8</v>
      </c>
      <c r="L80" s="13">
        <f t="shared" ca="1" si="6"/>
        <v>100</v>
      </c>
      <c r="M80" s="7">
        <f t="shared" ca="1" si="7"/>
        <v>900</v>
      </c>
      <c r="N80" s="43">
        <f t="shared" ca="1" si="8"/>
        <v>7</v>
      </c>
      <c r="O80" s="92">
        <f t="shared" ca="1" si="9"/>
        <v>2.264588428134358</v>
      </c>
      <c r="P80" s="92">
        <f t="shared" ca="1" si="10"/>
        <v>22.645884281343584</v>
      </c>
      <c r="Q80" s="92">
        <f t="shared" ca="1" si="11"/>
        <v>22.645884281343584</v>
      </c>
      <c r="R80" s="92">
        <f t="shared" ca="1" si="12"/>
        <v>2.2645884281343585</v>
      </c>
      <c r="S80" s="92">
        <f t="shared" ca="1" si="13"/>
        <v>2.264588428134358</v>
      </c>
      <c r="T80" s="4">
        <f t="shared" ca="1" si="14"/>
        <v>1.5846901838119813E-7</v>
      </c>
      <c r="U80" s="99">
        <f t="shared" ca="1" si="15"/>
        <v>1457.2486983548911</v>
      </c>
      <c r="V80" s="4">
        <f t="shared" ca="1" si="16"/>
        <v>1.0197383678932995E-4</v>
      </c>
      <c r="W80" s="13">
        <f t="shared" ca="1" si="17"/>
        <v>1352.1375</v>
      </c>
      <c r="X80" s="4">
        <f t="shared" ca="1" si="18"/>
        <v>9.4618474456275247E-5</v>
      </c>
    </row>
    <row r="81" spans="1:24">
      <c r="A81">
        <v>0</v>
      </c>
      <c r="B81">
        <v>1</v>
      </c>
      <c r="C81">
        <f t="shared" ca="1" si="0"/>
        <v>4</v>
      </c>
      <c r="D81">
        <f t="shared" ca="1" si="1"/>
        <v>2</v>
      </c>
      <c r="E81">
        <f t="shared" ca="1" si="2"/>
        <v>0</v>
      </c>
      <c r="F81" s="100">
        <f t="shared" ca="1" si="3"/>
        <v>3.5341899999999996E-2</v>
      </c>
      <c r="G81">
        <v>0</v>
      </c>
      <c r="H81">
        <v>0</v>
      </c>
      <c r="I81">
        <v>0</v>
      </c>
      <c r="J81" s="1">
        <f t="shared" ca="1" si="4"/>
        <v>1.0000000000000037E-8</v>
      </c>
      <c r="K81" s="1">
        <f t="shared" ca="1" si="5"/>
        <v>3.5341900000000124E-10</v>
      </c>
      <c r="L81" s="13">
        <f t="shared" ca="1" si="6"/>
        <v>100</v>
      </c>
      <c r="M81" s="7">
        <f t="shared" ca="1" si="7"/>
        <v>900</v>
      </c>
      <c r="N81" s="43">
        <f t="shared" ca="1" si="8"/>
        <v>7</v>
      </c>
      <c r="O81" s="92">
        <f t="shared" ca="1" si="9"/>
        <v>2.264588428134358</v>
      </c>
      <c r="P81" s="92">
        <f t="shared" ca="1" si="10"/>
        <v>22.645884281343584</v>
      </c>
      <c r="Q81" s="92">
        <f t="shared" ca="1" si="11"/>
        <v>22.645884281343584</v>
      </c>
      <c r="R81" s="92">
        <f t="shared" ca="1" si="12"/>
        <v>2.2645884281343585</v>
      </c>
      <c r="S81" s="92">
        <f t="shared" ca="1" si="13"/>
        <v>2.264588428134358</v>
      </c>
      <c r="T81" s="4">
        <f t="shared" ca="1" si="14"/>
        <v>8.0034857768281948E-10</v>
      </c>
      <c r="U81" s="99">
        <f t="shared" ca="1" si="15"/>
        <v>1457.2486983548911</v>
      </c>
      <c r="V81" s="4">
        <f t="shared" ca="1" si="16"/>
        <v>5.1501937772388911E-7</v>
      </c>
      <c r="W81" s="13">
        <f t="shared" ca="1" si="17"/>
        <v>0</v>
      </c>
      <c r="X81" s="4">
        <f t="shared" ca="1" si="18"/>
        <v>0</v>
      </c>
    </row>
    <row r="82" spans="1:24">
      <c r="A82">
        <v>0</v>
      </c>
      <c r="B82">
        <v>2</v>
      </c>
      <c r="C82">
        <f t="shared" ref="C82:C145" ca="1" si="19">MIN(8, 1+$B$10+$B$9+A82+B82)</f>
        <v>5</v>
      </c>
      <c r="D82">
        <f t="shared" ref="D82:D145" ca="1" si="20">C82-(1+$B$10)</f>
        <v>3</v>
      </c>
      <c r="E82">
        <f t="shared" ref="E82:E145" ca="1" si="21">MIN(A82, C82-(1+$B$10+$B$9))</f>
        <v>0</v>
      </c>
      <c r="F82" s="100">
        <f t="shared" ref="F82:F145" ca="1" si="22">IF(A82=3, $E$5, IF(A82=2, (1-$E$5)*$E$4 + (1-$E$5)*(1-$E$4)*(1-$E$3)*Set1AM3*Set1AM33, IF(A82=1, (1-$E$5)*(1-$E$4)*$E$3 + (1-$E$5)*(1-$E$4)*(1-$E$3)*Set1AM3*Set1AM32, (1-$E$5)*(1-$E$4)*(1-$E$3)*(1-Set1AM3)))) * IF($B$9+$B$10&gt;0, IF(B82=3, $E$5, IF(B82=2, (1-$E$5)*$E$4, IF(B82=1, (1-$E$5)*(1-$E$4)*$E$3, (1-$E$5)*(1-$E$4)*(1-$E$3)))), IF(B82=0, 1, 0))</f>
        <v>1.6910000000000001E-2</v>
      </c>
      <c r="G82">
        <v>1</v>
      </c>
      <c r="H82">
        <v>1</v>
      </c>
      <c r="I82">
        <v>7</v>
      </c>
      <c r="J82" s="1">
        <f t="shared" ref="J82:J145" ca="1" si="23">IF($B$8&lt;100%, POWER($B$8,G82)*POWER(1-$B$8, 1-G82), 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399</v>
      </c>
      <c r="M82" s="7">
        <f t="shared" ref="M82:M145" ca="1" si="26">MAX(Set1MinTP-(L82+Set1Regain), 0)</f>
        <v>601</v>
      </c>
      <c r="N82" s="43">
        <f t="shared" ref="N82:N145" ca="1" si="27">CEILING(M82/Set1MeleeTP, 1)</f>
        <v>5</v>
      </c>
      <c r="O82" s="92">
        <f t="shared" ref="O82:O145" ca="1" si="28">VLOOKUP(N82,AvgRoundsSet1,2)</f>
        <v>1.7627004516625842</v>
      </c>
      <c r="P82" s="92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17.627004516625838</v>
      </c>
      <c r="Q82" s="92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17.627004516625838</v>
      </c>
      <c r="R82" s="92">
        <f t="shared" ref="R82:R145" ca="1" si="31">(P82+Q82)/20</f>
        <v>1.7627004516625839</v>
      </c>
      <c r="S82" s="92">
        <f t="shared" ref="S82:S145" ca="1" si="32">R82*Set1ConserveTP + O82*(1-Set1ConserveTP)</f>
        <v>1.7627004516625842</v>
      </c>
      <c r="T82" s="4">
        <f t="shared" ref="T82:T145" ca="1" si="33">K82*S82</f>
        <v>0</v>
      </c>
      <c r="U82" s="99">
        <f t="shared" ref="U82:U145" ca="1" si="34">MIN(L82+(S82+Set1OverTP)*AvgHitsPerRound1*Set1MeleeTP + Set1Regain + 10.5*Set1ConserveTP, 3000)</f>
        <v>1509.8515146533105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23319.800362499998</v>
      </c>
      <c r="X82" s="4">
        <f t="shared" ref="X82:X145" ca="1" si="37">K82*W82</f>
        <v>0</v>
      </c>
    </row>
    <row r="83" spans="1:24">
      <c r="A83">
        <v>0</v>
      </c>
      <c r="B83">
        <v>2</v>
      </c>
      <c r="C83">
        <f t="shared" ca="1" si="19"/>
        <v>5</v>
      </c>
      <c r="D83">
        <f t="shared" ca="1" si="20"/>
        <v>3</v>
      </c>
      <c r="E83">
        <f t="shared" ca="1" si="21"/>
        <v>0</v>
      </c>
      <c r="F83" s="100">
        <f t="shared" ca="1" si="22"/>
        <v>1.6910000000000001E-2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378</v>
      </c>
      <c r="M83" s="7">
        <f t="shared" ca="1" si="26"/>
        <v>622</v>
      </c>
      <c r="N83" s="43">
        <f t="shared" ca="1" si="27"/>
        <v>5</v>
      </c>
      <c r="O83" s="92">
        <f t="shared" ca="1" si="28"/>
        <v>1.7627004516625842</v>
      </c>
      <c r="P83" s="92">
        <f t="shared" ca="1" si="29"/>
        <v>17.627004516625838</v>
      </c>
      <c r="Q83" s="92">
        <f t="shared" ca="1" si="30"/>
        <v>17.627004516625838</v>
      </c>
      <c r="R83" s="92">
        <f t="shared" ca="1" si="31"/>
        <v>1.7627004516625839</v>
      </c>
      <c r="S83" s="92">
        <f t="shared" ca="1" si="32"/>
        <v>1.7627004516625842</v>
      </c>
      <c r="T83" s="4">
        <f t="shared" ca="1" si="33"/>
        <v>0</v>
      </c>
      <c r="U83" s="99">
        <f t="shared" ca="1" si="34"/>
        <v>1488.8515146533105</v>
      </c>
      <c r="V83" s="4">
        <f t="shared" ca="1" si="35"/>
        <v>0</v>
      </c>
      <c r="W83" s="13">
        <f t="shared" ca="1" si="36"/>
        <v>21967.662862499998</v>
      </c>
      <c r="X83" s="4">
        <f t="shared" ca="1" si="37"/>
        <v>0</v>
      </c>
    </row>
    <row r="84" spans="1:24">
      <c r="A84">
        <v>0</v>
      </c>
      <c r="B84">
        <v>2</v>
      </c>
      <c r="C84">
        <f t="shared" ca="1" si="19"/>
        <v>5</v>
      </c>
      <c r="D84">
        <f t="shared" ca="1" si="20"/>
        <v>3</v>
      </c>
      <c r="E84">
        <f t="shared" ca="1" si="21"/>
        <v>0</v>
      </c>
      <c r="F84" s="100">
        <f t="shared" ca="1" si="22"/>
        <v>1.6910000000000001E-2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357</v>
      </c>
      <c r="M84" s="7">
        <f t="shared" ca="1" si="26"/>
        <v>643</v>
      </c>
      <c r="N84" s="43">
        <f t="shared" ca="1" si="27"/>
        <v>5</v>
      </c>
      <c r="O84" s="92">
        <f t="shared" ca="1" si="28"/>
        <v>1.7627004516625842</v>
      </c>
      <c r="P84" s="92">
        <f t="shared" ca="1" si="29"/>
        <v>17.627004516625838</v>
      </c>
      <c r="Q84" s="92">
        <f t="shared" ca="1" si="30"/>
        <v>17.627004516625838</v>
      </c>
      <c r="R84" s="92">
        <f t="shared" ca="1" si="31"/>
        <v>1.7627004516625839</v>
      </c>
      <c r="S84" s="92">
        <f t="shared" ca="1" si="32"/>
        <v>1.7627004516625842</v>
      </c>
      <c r="T84" s="4">
        <f t="shared" ca="1" si="33"/>
        <v>0</v>
      </c>
      <c r="U84" s="99">
        <f t="shared" ca="1" si="34"/>
        <v>1467.8515146533105</v>
      </c>
      <c r="V84" s="4">
        <f t="shared" ca="1" si="35"/>
        <v>0</v>
      </c>
      <c r="W84" s="13">
        <f t="shared" ca="1" si="36"/>
        <v>20615.525362499997</v>
      </c>
      <c r="X84" s="4">
        <f t="shared" ca="1" si="37"/>
        <v>0</v>
      </c>
    </row>
    <row r="85" spans="1:24">
      <c r="A85">
        <v>0</v>
      </c>
      <c r="B85">
        <v>2</v>
      </c>
      <c r="C85">
        <f t="shared" ca="1" si="19"/>
        <v>5</v>
      </c>
      <c r="D85">
        <f t="shared" ca="1" si="20"/>
        <v>3</v>
      </c>
      <c r="E85">
        <f t="shared" ca="1" si="21"/>
        <v>0</v>
      </c>
      <c r="F85" s="100">
        <f t="shared" ca="1" si="22"/>
        <v>1.6910000000000001E-2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336</v>
      </c>
      <c r="M85" s="7">
        <f t="shared" ca="1" si="26"/>
        <v>664</v>
      </c>
      <c r="N85" s="43">
        <f t="shared" ca="1" si="27"/>
        <v>6</v>
      </c>
      <c r="O85" s="92">
        <f t="shared" ca="1" si="28"/>
        <v>2.003415856166523</v>
      </c>
      <c r="P85" s="92">
        <f t="shared" ca="1" si="29"/>
        <v>20.03415856166523</v>
      </c>
      <c r="Q85" s="92">
        <f t="shared" ca="1" si="30"/>
        <v>19.552727752657354</v>
      </c>
      <c r="R85" s="92">
        <f t="shared" ca="1" si="31"/>
        <v>1.9793443157161292</v>
      </c>
      <c r="S85" s="92">
        <f t="shared" ca="1" si="32"/>
        <v>2.003415856166523</v>
      </c>
      <c r="T85" s="4">
        <f t="shared" ca="1" si="33"/>
        <v>0</v>
      </c>
      <c r="U85" s="99">
        <f t="shared" ca="1" si="34"/>
        <v>1565.0284794818213</v>
      </c>
      <c r="V85" s="4">
        <f t="shared" ca="1" si="35"/>
        <v>0</v>
      </c>
      <c r="W85" s="13">
        <f t="shared" ca="1" si="36"/>
        <v>19263.3878625</v>
      </c>
      <c r="X85" s="4">
        <f t="shared" ca="1" si="37"/>
        <v>0</v>
      </c>
    </row>
    <row r="86" spans="1:24">
      <c r="A86">
        <v>0</v>
      </c>
      <c r="B86">
        <v>2</v>
      </c>
      <c r="C86">
        <f t="shared" ca="1" si="19"/>
        <v>5</v>
      </c>
      <c r="D86">
        <f t="shared" ca="1" si="20"/>
        <v>3</v>
      </c>
      <c r="E86">
        <f t="shared" ca="1" si="21"/>
        <v>0</v>
      </c>
      <c r="F86" s="100">
        <f t="shared" ca="1" si="22"/>
        <v>1.6910000000000001E-2</v>
      </c>
      <c r="G86">
        <v>1</v>
      </c>
      <c r="H86">
        <v>1</v>
      </c>
      <c r="I86">
        <v>3</v>
      </c>
      <c r="J86" s="1">
        <f t="shared" ca="1" si="23"/>
        <v>0.95099004989999991</v>
      </c>
      <c r="K86" s="1">
        <f t="shared" ca="1" si="24"/>
        <v>1.6081241743809E-2</v>
      </c>
      <c r="L86" s="13">
        <f t="shared" ca="1" si="25"/>
        <v>315</v>
      </c>
      <c r="M86" s="7">
        <f t="shared" ca="1" si="26"/>
        <v>685</v>
      </c>
      <c r="N86" s="43">
        <f t="shared" ca="1" si="27"/>
        <v>6</v>
      </c>
      <c r="O86" s="92">
        <f t="shared" ca="1" si="28"/>
        <v>2.003415856166523</v>
      </c>
      <c r="P86" s="92">
        <f t="shared" ca="1" si="29"/>
        <v>20.03415856166523</v>
      </c>
      <c r="Q86" s="92">
        <f t="shared" ca="1" si="30"/>
        <v>20.03415856166523</v>
      </c>
      <c r="R86" s="92">
        <f t="shared" ca="1" si="31"/>
        <v>2.003415856166523</v>
      </c>
      <c r="S86" s="92">
        <f t="shared" ca="1" si="32"/>
        <v>2.003415856166523</v>
      </c>
      <c r="T86" s="4">
        <f t="shared" ca="1" si="33"/>
        <v>3.2217414696393935E-2</v>
      </c>
      <c r="U86" s="99">
        <f t="shared" ca="1" si="34"/>
        <v>1544.0284794818213</v>
      </c>
      <c r="V86" s="4">
        <f t="shared" ca="1" si="35"/>
        <v>24.829895237873004</v>
      </c>
      <c r="W86" s="13">
        <f t="shared" ca="1" si="36"/>
        <v>17911.250362499999</v>
      </c>
      <c r="X86" s="4">
        <f t="shared" ca="1" si="37"/>
        <v>288.03514701324906</v>
      </c>
    </row>
    <row r="87" spans="1:24">
      <c r="A87">
        <v>0</v>
      </c>
      <c r="B87">
        <v>2</v>
      </c>
      <c r="C87">
        <f t="shared" ca="1" si="19"/>
        <v>5</v>
      </c>
      <c r="D87">
        <f t="shared" ca="1" si="20"/>
        <v>3</v>
      </c>
      <c r="E87">
        <f t="shared" ca="1" si="21"/>
        <v>0</v>
      </c>
      <c r="F87" s="100">
        <f t="shared" ca="1" si="22"/>
        <v>1.6910000000000001E-2</v>
      </c>
      <c r="G87">
        <v>1</v>
      </c>
      <c r="H87">
        <v>1</v>
      </c>
      <c r="I87">
        <v>2</v>
      </c>
      <c r="J87" s="1">
        <f t="shared" ca="1" si="23"/>
        <v>2.8817880300000022E-2</v>
      </c>
      <c r="K87" s="1">
        <f t="shared" ca="1" si="24"/>
        <v>4.8731035587300042E-4</v>
      </c>
      <c r="L87" s="13">
        <f t="shared" ca="1" si="25"/>
        <v>294</v>
      </c>
      <c r="M87" s="7">
        <f t="shared" ca="1" si="26"/>
        <v>706</v>
      </c>
      <c r="N87" s="43">
        <f t="shared" ca="1" si="27"/>
        <v>6</v>
      </c>
      <c r="O87" s="92">
        <f t="shared" ca="1" si="28"/>
        <v>2.003415856166523</v>
      </c>
      <c r="P87" s="92">
        <f t="shared" ca="1" si="29"/>
        <v>20.03415856166523</v>
      </c>
      <c r="Q87" s="92">
        <f t="shared" ca="1" si="30"/>
        <v>20.03415856166523</v>
      </c>
      <c r="R87" s="92">
        <f t="shared" ca="1" si="31"/>
        <v>2.003415856166523</v>
      </c>
      <c r="S87" s="92">
        <f t="shared" ca="1" si="32"/>
        <v>2.003415856166523</v>
      </c>
      <c r="T87" s="4">
        <f t="shared" ca="1" si="33"/>
        <v>9.7628529383012009E-4</v>
      </c>
      <c r="U87" s="99">
        <f t="shared" ca="1" si="34"/>
        <v>1523.0284794818213</v>
      </c>
      <c r="V87" s="4">
        <f t="shared" ca="1" si="35"/>
        <v>0.74218755034100103</v>
      </c>
      <c r="W87" s="13">
        <f t="shared" ca="1" si="36"/>
        <v>16559.112862499998</v>
      </c>
      <c r="X87" s="4">
        <f t="shared" ca="1" si="37"/>
        <v>8.0694271819660521</v>
      </c>
    </row>
    <row r="88" spans="1:24">
      <c r="A88">
        <v>0</v>
      </c>
      <c r="B88">
        <v>2</v>
      </c>
      <c r="C88">
        <f t="shared" ca="1" si="19"/>
        <v>5</v>
      </c>
      <c r="D88">
        <f t="shared" ca="1" si="20"/>
        <v>3</v>
      </c>
      <c r="E88">
        <f t="shared" ca="1" si="21"/>
        <v>0</v>
      </c>
      <c r="F88" s="100">
        <f t="shared" ca="1" si="22"/>
        <v>1.6910000000000001E-2</v>
      </c>
      <c r="G88">
        <v>1</v>
      </c>
      <c r="H88">
        <v>1</v>
      </c>
      <c r="I88">
        <v>1</v>
      </c>
      <c r="J88" s="1">
        <f t="shared" ca="1" si="23"/>
        <v>2.9108970000000053E-4</v>
      </c>
      <c r="K88" s="1">
        <f t="shared" ca="1" si="24"/>
        <v>4.9223268270000096E-6</v>
      </c>
      <c r="L88" s="13">
        <f t="shared" ca="1" si="25"/>
        <v>273</v>
      </c>
      <c r="M88" s="7">
        <f t="shared" ca="1" si="26"/>
        <v>727</v>
      </c>
      <c r="N88" s="43">
        <f t="shared" ca="1" si="27"/>
        <v>6</v>
      </c>
      <c r="O88" s="92">
        <f t="shared" ca="1" si="28"/>
        <v>2.003415856166523</v>
      </c>
      <c r="P88" s="92">
        <f t="shared" ca="1" si="29"/>
        <v>20.03415856166523</v>
      </c>
      <c r="Q88" s="92">
        <f t="shared" ca="1" si="30"/>
        <v>20.03415856166523</v>
      </c>
      <c r="R88" s="92">
        <f t="shared" ca="1" si="31"/>
        <v>2.003415856166523</v>
      </c>
      <c r="S88" s="92">
        <f t="shared" ca="1" si="32"/>
        <v>2.003415856166523</v>
      </c>
      <c r="T88" s="4">
        <f t="shared" ca="1" si="33"/>
        <v>9.8614676144456689E-6</v>
      </c>
      <c r="U88" s="99">
        <f t="shared" ca="1" si="34"/>
        <v>1502.0284794818213</v>
      </c>
      <c r="V88" s="4">
        <f t="shared" ca="1" si="35"/>
        <v>7.3934750794714026E-3</v>
      </c>
      <c r="W88" s="13">
        <f t="shared" ca="1" si="36"/>
        <v>15206.975362499999</v>
      </c>
      <c r="X88" s="4">
        <f t="shared" ca="1" si="37"/>
        <v>7.4853702784361945E-2</v>
      </c>
    </row>
    <row r="89" spans="1:24">
      <c r="A89">
        <v>0</v>
      </c>
      <c r="B89">
        <v>2</v>
      </c>
      <c r="C89">
        <f t="shared" ca="1" si="19"/>
        <v>5</v>
      </c>
      <c r="D89">
        <f t="shared" ca="1" si="20"/>
        <v>3</v>
      </c>
      <c r="E89">
        <f t="shared" ca="1" si="21"/>
        <v>0</v>
      </c>
      <c r="F89" s="100">
        <f t="shared" ca="1" si="22"/>
        <v>1.6910000000000001E-2</v>
      </c>
      <c r="G89">
        <v>1</v>
      </c>
      <c r="H89">
        <v>1</v>
      </c>
      <c r="I89">
        <v>0</v>
      </c>
      <c r="J89" s="1">
        <f t="shared" ca="1" si="23"/>
        <v>9.8010000000000269E-7</v>
      </c>
      <c r="K89" s="1">
        <f t="shared" ca="1" si="24"/>
        <v>1.6573491000000046E-8</v>
      </c>
      <c r="L89" s="13">
        <f t="shared" ca="1" si="25"/>
        <v>252</v>
      </c>
      <c r="M89" s="7">
        <f t="shared" ca="1" si="26"/>
        <v>748</v>
      </c>
      <c r="N89" s="43">
        <f t="shared" ca="1" si="27"/>
        <v>6</v>
      </c>
      <c r="O89" s="92">
        <f t="shared" ca="1" si="28"/>
        <v>2.003415856166523</v>
      </c>
      <c r="P89" s="92">
        <f t="shared" ca="1" si="29"/>
        <v>20.03415856166523</v>
      </c>
      <c r="Q89" s="92">
        <f t="shared" ca="1" si="30"/>
        <v>20.03415856166523</v>
      </c>
      <c r="R89" s="92">
        <f t="shared" ca="1" si="31"/>
        <v>2.003415856166523</v>
      </c>
      <c r="S89" s="92">
        <f t="shared" ca="1" si="32"/>
        <v>2.003415856166523</v>
      </c>
      <c r="T89" s="4">
        <f t="shared" ca="1" si="33"/>
        <v>3.3203594661433252E-8</v>
      </c>
      <c r="U89" s="99">
        <f t="shared" ca="1" si="34"/>
        <v>1481.0284794818213</v>
      </c>
      <c r="V89" s="4">
        <f t="shared" ca="1" si="35"/>
        <v>2.4545812175435717E-5</v>
      </c>
      <c r="W89" s="13">
        <f t="shared" ca="1" si="36"/>
        <v>13854.837862499999</v>
      </c>
      <c r="X89" s="4">
        <f t="shared" ca="1" si="37"/>
        <v>2.2962303062060361E-4</v>
      </c>
    </row>
    <row r="90" spans="1:24">
      <c r="A90">
        <v>0</v>
      </c>
      <c r="B90">
        <v>2</v>
      </c>
      <c r="C90">
        <f t="shared" ca="1" si="19"/>
        <v>5</v>
      </c>
      <c r="D90">
        <f t="shared" ca="1" si="20"/>
        <v>3</v>
      </c>
      <c r="E90">
        <f t="shared" ca="1" si="21"/>
        <v>0</v>
      </c>
      <c r="F90" s="100">
        <f t="shared" ca="1" si="22"/>
        <v>1.6910000000000001E-2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273</v>
      </c>
      <c r="M90" s="7">
        <f t="shared" ca="1" si="26"/>
        <v>727</v>
      </c>
      <c r="N90" s="43">
        <f t="shared" ca="1" si="27"/>
        <v>6</v>
      </c>
      <c r="O90" s="92">
        <f t="shared" ca="1" si="28"/>
        <v>2.003415856166523</v>
      </c>
      <c r="P90" s="92">
        <f t="shared" ca="1" si="29"/>
        <v>20.03415856166523</v>
      </c>
      <c r="Q90" s="92">
        <f t="shared" ca="1" si="30"/>
        <v>20.03415856166523</v>
      </c>
      <c r="R90" s="92">
        <f t="shared" ca="1" si="31"/>
        <v>2.003415856166523</v>
      </c>
      <c r="S90" s="92">
        <f t="shared" ca="1" si="32"/>
        <v>2.003415856166523</v>
      </c>
      <c r="T90" s="4">
        <f t="shared" ca="1" si="33"/>
        <v>0</v>
      </c>
      <c r="U90" s="99">
        <f t="shared" ca="1" si="34"/>
        <v>1502.0284794818213</v>
      </c>
      <c r="V90" s="4">
        <f t="shared" ca="1" si="35"/>
        <v>0</v>
      </c>
      <c r="W90" s="13">
        <f t="shared" ca="1" si="36"/>
        <v>21932.249737499998</v>
      </c>
      <c r="X90" s="4">
        <f t="shared" ca="1" si="37"/>
        <v>0</v>
      </c>
    </row>
    <row r="91" spans="1:24">
      <c r="A91">
        <v>0</v>
      </c>
      <c r="B91">
        <v>2</v>
      </c>
      <c r="C91">
        <f t="shared" ca="1" si="19"/>
        <v>5</v>
      </c>
      <c r="D91">
        <f t="shared" ca="1" si="20"/>
        <v>3</v>
      </c>
      <c r="E91">
        <f t="shared" ca="1" si="21"/>
        <v>0</v>
      </c>
      <c r="F91" s="100">
        <f t="shared" ca="1" si="22"/>
        <v>1.6910000000000001E-2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252</v>
      </c>
      <c r="M91" s="7">
        <f t="shared" ca="1" si="26"/>
        <v>748</v>
      </c>
      <c r="N91" s="43">
        <f t="shared" ca="1" si="27"/>
        <v>6</v>
      </c>
      <c r="O91" s="92">
        <f t="shared" ca="1" si="28"/>
        <v>2.003415856166523</v>
      </c>
      <c r="P91" s="92">
        <f t="shared" ca="1" si="29"/>
        <v>20.03415856166523</v>
      </c>
      <c r="Q91" s="92">
        <f t="shared" ca="1" si="30"/>
        <v>20.03415856166523</v>
      </c>
      <c r="R91" s="92">
        <f t="shared" ca="1" si="31"/>
        <v>2.003415856166523</v>
      </c>
      <c r="S91" s="92">
        <f t="shared" ca="1" si="32"/>
        <v>2.003415856166523</v>
      </c>
      <c r="T91" s="4">
        <f t="shared" ca="1" si="33"/>
        <v>0</v>
      </c>
      <c r="U91" s="99">
        <f t="shared" ca="1" si="34"/>
        <v>1481.0284794818213</v>
      </c>
      <c r="V91" s="4">
        <f t="shared" ca="1" si="35"/>
        <v>0</v>
      </c>
      <c r="W91" s="13">
        <f t="shared" ca="1" si="36"/>
        <v>20580.112237499998</v>
      </c>
      <c r="X91" s="4">
        <f t="shared" ca="1" si="37"/>
        <v>0</v>
      </c>
    </row>
    <row r="92" spans="1:24">
      <c r="A92">
        <v>0</v>
      </c>
      <c r="B92">
        <v>2</v>
      </c>
      <c r="C92">
        <f t="shared" ca="1" si="19"/>
        <v>5</v>
      </c>
      <c r="D92">
        <f t="shared" ca="1" si="20"/>
        <v>3</v>
      </c>
      <c r="E92">
        <f t="shared" ca="1" si="21"/>
        <v>0</v>
      </c>
      <c r="F92" s="100">
        <f t="shared" ca="1" si="22"/>
        <v>1.6910000000000001E-2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231</v>
      </c>
      <c r="M92" s="7">
        <f t="shared" ca="1" si="26"/>
        <v>769</v>
      </c>
      <c r="N92" s="43">
        <f t="shared" ca="1" si="27"/>
        <v>6</v>
      </c>
      <c r="O92" s="92">
        <f t="shared" ca="1" si="28"/>
        <v>2.003415856166523</v>
      </c>
      <c r="P92" s="92">
        <f t="shared" ca="1" si="29"/>
        <v>20.03415856166523</v>
      </c>
      <c r="Q92" s="92">
        <f t="shared" ca="1" si="30"/>
        <v>20.03415856166523</v>
      </c>
      <c r="R92" s="92">
        <f t="shared" ca="1" si="31"/>
        <v>2.003415856166523</v>
      </c>
      <c r="S92" s="92">
        <f t="shared" ca="1" si="32"/>
        <v>2.003415856166523</v>
      </c>
      <c r="T92" s="4">
        <f t="shared" ca="1" si="33"/>
        <v>0</v>
      </c>
      <c r="U92" s="99">
        <f t="shared" ca="1" si="34"/>
        <v>1460.0284794818213</v>
      </c>
      <c r="V92" s="4">
        <f t="shared" ca="1" si="35"/>
        <v>0</v>
      </c>
      <c r="W92" s="13">
        <f t="shared" ca="1" si="36"/>
        <v>19227.974737500001</v>
      </c>
      <c r="X92" s="4">
        <f t="shared" ca="1" si="37"/>
        <v>0</v>
      </c>
    </row>
    <row r="93" spans="1:24">
      <c r="A93">
        <v>0</v>
      </c>
      <c r="B93">
        <v>2</v>
      </c>
      <c r="C93">
        <f t="shared" ca="1" si="19"/>
        <v>5</v>
      </c>
      <c r="D93">
        <f t="shared" ca="1" si="20"/>
        <v>3</v>
      </c>
      <c r="E93">
        <f t="shared" ca="1" si="21"/>
        <v>0</v>
      </c>
      <c r="F93" s="100">
        <f t="shared" ca="1" si="22"/>
        <v>1.6910000000000001E-2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210</v>
      </c>
      <c r="M93" s="7">
        <f t="shared" ca="1" si="26"/>
        <v>790</v>
      </c>
      <c r="N93" s="43">
        <f t="shared" ca="1" si="27"/>
        <v>7</v>
      </c>
      <c r="O93" s="92">
        <f t="shared" ca="1" si="28"/>
        <v>2.264588428134358</v>
      </c>
      <c r="P93" s="92">
        <f t="shared" ca="1" si="29"/>
        <v>22.645884281343584</v>
      </c>
      <c r="Q93" s="92">
        <f t="shared" ca="1" si="30"/>
        <v>21.340021421504403</v>
      </c>
      <c r="R93" s="92">
        <f t="shared" ca="1" si="31"/>
        <v>2.1992952851423992</v>
      </c>
      <c r="S93" s="92">
        <f t="shared" ca="1" si="32"/>
        <v>2.264588428134358</v>
      </c>
      <c r="T93" s="4">
        <f t="shared" ca="1" si="33"/>
        <v>0</v>
      </c>
      <c r="U93" s="99">
        <f t="shared" ca="1" si="34"/>
        <v>1567.2486983548911</v>
      </c>
      <c r="V93" s="4">
        <f t="shared" ca="1" si="35"/>
        <v>0</v>
      </c>
      <c r="W93" s="13">
        <f t="shared" ca="1" si="36"/>
        <v>17875.8372375</v>
      </c>
      <c r="X93" s="4">
        <f t="shared" ca="1" si="37"/>
        <v>0</v>
      </c>
    </row>
    <row r="94" spans="1:24">
      <c r="A94">
        <v>0</v>
      </c>
      <c r="B94">
        <v>2</v>
      </c>
      <c r="C94">
        <f t="shared" ca="1" si="19"/>
        <v>5</v>
      </c>
      <c r="D94">
        <f t="shared" ca="1" si="20"/>
        <v>3</v>
      </c>
      <c r="E94">
        <f t="shared" ca="1" si="21"/>
        <v>0</v>
      </c>
      <c r="F94" s="100">
        <f t="shared" ca="1" si="22"/>
        <v>1.6910000000000001E-2</v>
      </c>
      <c r="G94">
        <v>1</v>
      </c>
      <c r="H94">
        <v>0</v>
      </c>
      <c r="I94">
        <v>3</v>
      </c>
      <c r="J94" s="1">
        <f t="shared" ca="1" si="23"/>
        <v>9.6059601000000085E-3</v>
      </c>
      <c r="K94" s="1">
        <f t="shared" ca="1" si="24"/>
        <v>1.6243678529100016E-4</v>
      </c>
      <c r="L94" s="13">
        <f t="shared" ca="1" si="25"/>
        <v>189</v>
      </c>
      <c r="M94" s="7">
        <f t="shared" ca="1" si="26"/>
        <v>811</v>
      </c>
      <c r="N94" s="43">
        <f t="shared" ca="1" si="27"/>
        <v>7</v>
      </c>
      <c r="O94" s="92">
        <f t="shared" ca="1" si="28"/>
        <v>2.264588428134358</v>
      </c>
      <c r="P94" s="92">
        <f t="shared" ca="1" si="29"/>
        <v>22.645884281343584</v>
      </c>
      <c r="Q94" s="92">
        <f t="shared" ca="1" si="30"/>
        <v>22.645884281343584</v>
      </c>
      <c r="R94" s="92">
        <f t="shared" ca="1" si="31"/>
        <v>2.2645884281343585</v>
      </c>
      <c r="S94" s="92">
        <f t="shared" ca="1" si="32"/>
        <v>2.264588428134358</v>
      </c>
      <c r="T94" s="4">
        <f t="shared" ca="1" si="33"/>
        <v>3.6785246427334427E-4</v>
      </c>
      <c r="U94" s="99">
        <f t="shared" ca="1" si="34"/>
        <v>1546.2486983548911</v>
      </c>
      <c r="V94" s="4">
        <f t="shared" ca="1" si="35"/>
        <v>0.2511676678211619</v>
      </c>
      <c r="W94" s="13">
        <f t="shared" ca="1" si="36"/>
        <v>16523.699737499999</v>
      </c>
      <c r="X94" s="4">
        <f t="shared" ca="1" si="37"/>
        <v>2.6840566664732428</v>
      </c>
    </row>
    <row r="95" spans="1:24">
      <c r="A95">
        <v>0</v>
      </c>
      <c r="B95">
        <v>2</v>
      </c>
      <c r="C95">
        <f t="shared" ca="1" si="19"/>
        <v>5</v>
      </c>
      <c r="D95">
        <f t="shared" ca="1" si="20"/>
        <v>3</v>
      </c>
      <c r="E95">
        <f t="shared" ca="1" si="21"/>
        <v>0</v>
      </c>
      <c r="F95" s="100">
        <f t="shared" ca="1" si="22"/>
        <v>1.6910000000000001E-2</v>
      </c>
      <c r="G95">
        <v>1</v>
      </c>
      <c r="H95">
        <v>0</v>
      </c>
      <c r="I95">
        <v>2</v>
      </c>
      <c r="J95" s="1">
        <f t="shared" ca="1" si="23"/>
        <v>2.9108970000000053E-4</v>
      </c>
      <c r="K95" s="1">
        <f t="shared" ca="1" si="24"/>
        <v>4.9223268270000096E-6</v>
      </c>
      <c r="L95" s="13">
        <f t="shared" ca="1" si="25"/>
        <v>168</v>
      </c>
      <c r="M95" s="7">
        <f t="shared" ca="1" si="26"/>
        <v>832</v>
      </c>
      <c r="N95" s="43">
        <f t="shared" ca="1" si="27"/>
        <v>7</v>
      </c>
      <c r="O95" s="92">
        <f t="shared" ca="1" si="28"/>
        <v>2.264588428134358</v>
      </c>
      <c r="P95" s="92">
        <f t="shared" ca="1" si="29"/>
        <v>22.645884281343584</v>
      </c>
      <c r="Q95" s="92">
        <f t="shared" ca="1" si="30"/>
        <v>22.645884281343584</v>
      </c>
      <c r="R95" s="92">
        <f t="shared" ca="1" si="31"/>
        <v>2.2645884281343585</v>
      </c>
      <c r="S95" s="92">
        <f t="shared" ca="1" si="32"/>
        <v>2.264588428134358</v>
      </c>
      <c r="T95" s="4">
        <f t="shared" ca="1" si="33"/>
        <v>1.1147044371919533E-5</v>
      </c>
      <c r="U95" s="99">
        <f t="shared" ca="1" si="34"/>
        <v>1525.2486983548911</v>
      </c>
      <c r="V95" s="4">
        <f t="shared" ca="1" si="35"/>
        <v>7.5077725857591255E-3</v>
      </c>
      <c r="W95" s="13">
        <f t="shared" ca="1" si="36"/>
        <v>15171.562237499998</v>
      </c>
      <c r="X95" s="4">
        <f t="shared" ca="1" si="37"/>
        <v>7.4679387809146527E-2</v>
      </c>
    </row>
    <row r="96" spans="1:24">
      <c r="A96">
        <v>0</v>
      </c>
      <c r="B96">
        <v>2</v>
      </c>
      <c r="C96">
        <f t="shared" ca="1" si="19"/>
        <v>5</v>
      </c>
      <c r="D96">
        <f t="shared" ca="1" si="20"/>
        <v>3</v>
      </c>
      <c r="E96">
        <f t="shared" ca="1" si="21"/>
        <v>0</v>
      </c>
      <c r="F96" s="100">
        <f t="shared" ca="1" si="22"/>
        <v>1.6910000000000001E-2</v>
      </c>
      <c r="G96">
        <v>1</v>
      </c>
      <c r="H96">
        <v>0</v>
      </c>
      <c r="I96">
        <v>1</v>
      </c>
      <c r="J96" s="1">
        <f t="shared" ca="1" si="23"/>
        <v>2.9403000000000081E-6</v>
      </c>
      <c r="K96" s="1">
        <f t="shared" ca="1" si="24"/>
        <v>4.9720473000000139E-8</v>
      </c>
      <c r="L96" s="13">
        <f t="shared" ca="1" si="25"/>
        <v>147</v>
      </c>
      <c r="M96" s="7">
        <f t="shared" ca="1" si="26"/>
        <v>853</v>
      </c>
      <c r="N96" s="43">
        <f t="shared" ca="1" si="27"/>
        <v>7</v>
      </c>
      <c r="O96" s="92">
        <f t="shared" ca="1" si="28"/>
        <v>2.264588428134358</v>
      </c>
      <c r="P96" s="92">
        <f t="shared" ca="1" si="29"/>
        <v>22.645884281343584</v>
      </c>
      <c r="Q96" s="92">
        <f t="shared" ca="1" si="30"/>
        <v>22.645884281343584</v>
      </c>
      <c r="R96" s="92">
        <f t="shared" ca="1" si="31"/>
        <v>2.2645884281343585</v>
      </c>
      <c r="S96" s="92">
        <f t="shared" ca="1" si="32"/>
        <v>2.264588428134358</v>
      </c>
      <c r="T96" s="4">
        <f t="shared" ca="1" si="33"/>
        <v>1.125964077971671E-7</v>
      </c>
      <c r="U96" s="99">
        <f t="shared" ca="1" si="34"/>
        <v>1504.2486983548911</v>
      </c>
      <c r="V96" s="4">
        <f t="shared" ca="1" si="35"/>
        <v>7.4791956791839709E-5</v>
      </c>
      <c r="W96" s="13">
        <f t="shared" ca="1" si="36"/>
        <v>13819.4247375</v>
      </c>
      <c r="X96" s="4">
        <f t="shared" ca="1" si="37"/>
        <v>6.8710833453640278E-4</v>
      </c>
    </row>
    <row r="97" spans="1:24">
      <c r="A97">
        <v>0</v>
      </c>
      <c r="B97">
        <v>2</v>
      </c>
      <c r="C97">
        <f t="shared" ca="1" si="19"/>
        <v>5</v>
      </c>
      <c r="D97">
        <f t="shared" ca="1" si="20"/>
        <v>3</v>
      </c>
      <c r="E97">
        <f t="shared" ca="1" si="21"/>
        <v>0</v>
      </c>
      <c r="F97" s="100">
        <f t="shared" ca="1" si="22"/>
        <v>1.6910000000000001E-2</v>
      </c>
      <c r="G97">
        <v>1</v>
      </c>
      <c r="H97">
        <v>0</v>
      </c>
      <c r="I97">
        <v>0</v>
      </c>
      <c r="J97" s="1">
        <f t="shared" ca="1" si="23"/>
        <v>9.9000000000000357E-9</v>
      </c>
      <c r="K97" s="1">
        <f t="shared" ca="1" si="24"/>
        <v>1.6740900000000061E-10</v>
      </c>
      <c r="L97" s="13">
        <f t="shared" ca="1" si="25"/>
        <v>126</v>
      </c>
      <c r="M97" s="7">
        <f t="shared" ca="1" si="26"/>
        <v>874</v>
      </c>
      <c r="N97" s="43">
        <f t="shared" ca="1" si="27"/>
        <v>7</v>
      </c>
      <c r="O97" s="92">
        <f t="shared" ca="1" si="28"/>
        <v>2.264588428134358</v>
      </c>
      <c r="P97" s="92">
        <f t="shared" ca="1" si="29"/>
        <v>22.645884281343584</v>
      </c>
      <c r="Q97" s="92">
        <f t="shared" ca="1" si="30"/>
        <v>22.645884281343584</v>
      </c>
      <c r="R97" s="92">
        <f t="shared" ca="1" si="31"/>
        <v>2.2645884281343585</v>
      </c>
      <c r="S97" s="92">
        <f t="shared" ca="1" si="32"/>
        <v>2.264588428134358</v>
      </c>
      <c r="T97" s="4">
        <f t="shared" ca="1" si="33"/>
        <v>3.7911248416554609E-10</v>
      </c>
      <c r="U97" s="99">
        <f t="shared" ca="1" si="34"/>
        <v>1483.2486983548911</v>
      </c>
      <c r="V97" s="4">
        <f t="shared" ca="1" si="35"/>
        <v>2.4830918134289484E-7</v>
      </c>
      <c r="W97" s="13">
        <f t="shared" ca="1" si="36"/>
        <v>12467.287237499999</v>
      </c>
      <c r="X97" s="4">
        <f t="shared" ca="1" si="37"/>
        <v>2.0871360891426448E-6</v>
      </c>
    </row>
    <row r="98" spans="1:24">
      <c r="A98">
        <v>0</v>
      </c>
      <c r="B98">
        <v>2</v>
      </c>
      <c r="C98">
        <f t="shared" ca="1" si="19"/>
        <v>5</v>
      </c>
      <c r="D98">
        <f t="shared" ca="1" si="20"/>
        <v>3</v>
      </c>
      <c r="E98">
        <f t="shared" ca="1" si="21"/>
        <v>0</v>
      </c>
      <c r="F98" s="100">
        <f t="shared" ca="1" si="22"/>
        <v>1.6910000000000001E-2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273</v>
      </c>
      <c r="M98" s="7">
        <f t="shared" ca="1" si="26"/>
        <v>727</v>
      </c>
      <c r="N98" s="43">
        <f t="shared" ca="1" si="27"/>
        <v>6</v>
      </c>
      <c r="O98" s="92">
        <f t="shared" ca="1" si="28"/>
        <v>2.003415856166523</v>
      </c>
      <c r="P98" s="92">
        <f t="shared" ca="1" si="29"/>
        <v>20.03415856166523</v>
      </c>
      <c r="Q98" s="92">
        <f t="shared" ca="1" si="30"/>
        <v>20.03415856166523</v>
      </c>
      <c r="R98" s="92">
        <f t="shared" ca="1" si="31"/>
        <v>2.003415856166523</v>
      </c>
      <c r="S98" s="92">
        <f t="shared" ca="1" si="32"/>
        <v>2.003415856166523</v>
      </c>
      <c r="T98" s="4">
        <f t="shared" ca="1" si="33"/>
        <v>0</v>
      </c>
      <c r="U98" s="99">
        <f t="shared" ca="1" si="34"/>
        <v>1502.0284794818213</v>
      </c>
      <c r="V98" s="4">
        <f t="shared" ca="1" si="35"/>
        <v>0</v>
      </c>
      <c r="W98" s="13">
        <f t="shared" ca="1" si="36"/>
        <v>10852.513124999999</v>
      </c>
      <c r="X98" s="4">
        <f t="shared" ca="1" si="37"/>
        <v>0</v>
      </c>
    </row>
    <row r="99" spans="1:24">
      <c r="A99">
        <v>0</v>
      </c>
      <c r="B99">
        <v>2</v>
      </c>
      <c r="C99">
        <f t="shared" ca="1" si="19"/>
        <v>5</v>
      </c>
      <c r="D99">
        <f t="shared" ca="1" si="20"/>
        <v>3</v>
      </c>
      <c r="E99">
        <f t="shared" ca="1" si="21"/>
        <v>0</v>
      </c>
      <c r="F99" s="100">
        <f t="shared" ca="1" si="22"/>
        <v>1.6910000000000001E-2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252</v>
      </c>
      <c r="M99" s="7">
        <f t="shared" ca="1" si="26"/>
        <v>748</v>
      </c>
      <c r="N99" s="43">
        <f t="shared" ca="1" si="27"/>
        <v>6</v>
      </c>
      <c r="O99" s="92">
        <f t="shared" ca="1" si="28"/>
        <v>2.003415856166523</v>
      </c>
      <c r="P99" s="92">
        <f t="shared" ca="1" si="29"/>
        <v>20.03415856166523</v>
      </c>
      <c r="Q99" s="92">
        <f t="shared" ca="1" si="30"/>
        <v>20.03415856166523</v>
      </c>
      <c r="R99" s="92">
        <f t="shared" ca="1" si="31"/>
        <v>2.003415856166523</v>
      </c>
      <c r="S99" s="92">
        <f t="shared" ca="1" si="32"/>
        <v>2.003415856166523</v>
      </c>
      <c r="T99" s="4">
        <f t="shared" ca="1" si="33"/>
        <v>0</v>
      </c>
      <c r="U99" s="99">
        <f t="shared" ca="1" si="34"/>
        <v>1481.0284794818213</v>
      </c>
      <c r="V99" s="4">
        <f t="shared" ca="1" si="35"/>
        <v>0</v>
      </c>
      <c r="W99" s="13">
        <f t="shared" ca="1" si="36"/>
        <v>9500.3756250000006</v>
      </c>
      <c r="X99" s="4">
        <f t="shared" ca="1" si="37"/>
        <v>0</v>
      </c>
    </row>
    <row r="100" spans="1:24">
      <c r="A100">
        <v>0</v>
      </c>
      <c r="B100">
        <v>2</v>
      </c>
      <c r="C100">
        <f t="shared" ca="1" si="19"/>
        <v>5</v>
      </c>
      <c r="D100">
        <f t="shared" ca="1" si="20"/>
        <v>3</v>
      </c>
      <c r="E100">
        <f t="shared" ca="1" si="21"/>
        <v>0</v>
      </c>
      <c r="F100" s="100">
        <f t="shared" ca="1" si="22"/>
        <v>1.6910000000000001E-2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231</v>
      </c>
      <c r="M100" s="7">
        <f t="shared" ca="1" si="26"/>
        <v>769</v>
      </c>
      <c r="N100" s="43">
        <f t="shared" ca="1" si="27"/>
        <v>6</v>
      </c>
      <c r="O100" s="92">
        <f t="shared" ca="1" si="28"/>
        <v>2.003415856166523</v>
      </c>
      <c r="P100" s="92">
        <f t="shared" ca="1" si="29"/>
        <v>20.03415856166523</v>
      </c>
      <c r="Q100" s="92">
        <f t="shared" ca="1" si="30"/>
        <v>20.03415856166523</v>
      </c>
      <c r="R100" s="92">
        <f t="shared" ca="1" si="31"/>
        <v>2.003415856166523</v>
      </c>
      <c r="S100" s="92">
        <f t="shared" ca="1" si="32"/>
        <v>2.003415856166523</v>
      </c>
      <c r="T100" s="4">
        <f t="shared" ca="1" si="33"/>
        <v>0</v>
      </c>
      <c r="U100" s="99">
        <f t="shared" ca="1" si="34"/>
        <v>1460.0284794818213</v>
      </c>
      <c r="V100" s="4">
        <f t="shared" ca="1" si="35"/>
        <v>0</v>
      </c>
      <c r="W100" s="13">
        <f t="shared" ca="1" si="36"/>
        <v>8148.2381249999999</v>
      </c>
      <c r="X100" s="4">
        <f t="shared" ca="1" si="37"/>
        <v>0</v>
      </c>
    </row>
    <row r="101" spans="1:24">
      <c r="A101">
        <v>0</v>
      </c>
      <c r="B101">
        <v>2</v>
      </c>
      <c r="C101">
        <f t="shared" ca="1" si="19"/>
        <v>5</v>
      </c>
      <c r="D101">
        <f t="shared" ca="1" si="20"/>
        <v>3</v>
      </c>
      <c r="E101">
        <f t="shared" ca="1" si="21"/>
        <v>0</v>
      </c>
      <c r="F101" s="100">
        <f t="shared" ca="1" si="22"/>
        <v>1.6910000000000001E-2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210</v>
      </c>
      <c r="M101" s="7">
        <f t="shared" ca="1" si="26"/>
        <v>790</v>
      </c>
      <c r="N101" s="43">
        <f t="shared" ca="1" si="27"/>
        <v>7</v>
      </c>
      <c r="O101" s="92">
        <f t="shared" ca="1" si="28"/>
        <v>2.264588428134358</v>
      </c>
      <c r="P101" s="92">
        <f t="shared" ca="1" si="29"/>
        <v>22.645884281343584</v>
      </c>
      <c r="Q101" s="92">
        <f t="shared" ca="1" si="30"/>
        <v>21.340021421504403</v>
      </c>
      <c r="R101" s="92">
        <f t="shared" ca="1" si="31"/>
        <v>2.1992952851423992</v>
      </c>
      <c r="S101" s="92">
        <f t="shared" ca="1" si="32"/>
        <v>2.264588428134358</v>
      </c>
      <c r="T101" s="4">
        <f t="shared" ca="1" si="33"/>
        <v>0</v>
      </c>
      <c r="U101" s="99">
        <f t="shared" ca="1" si="34"/>
        <v>1567.2486983548911</v>
      </c>
      <c r="V101" s="4">
        <f t="shared" ca="1" si="35"/>
        <v>0</v>
      </c>
      <c r="W101" s="13">
        <f t="shared" ca="1" si="36"/>
        <v>6796.100625</v>
      </c>
      <c r="X101" s="4">
        <f t="shared" ca="1" si="37"/>
        <v>0</v>
      </c>
    </row>
    <row r="102" spans="1:24">
      <c r="A102">
        <v>0</v>
      </c>
      <c r="B102">
        <v>2</v>
      </c>
      <c r="C102">
        <f t="shared" ca="1" si="19"/>
        <v>5</v>
      </c>
      <c r="D102">
        <f t="shared" ca="1" si="20"/>
        <v>3</v>
      </c>
      <c r="E102">
        <f t="shared" ca="1" si="21"/>
        <v>0</v>
      </c>
      <c r="F102" s="100">
        <f t="shared" ca="1" si="22"/>
        <v>1.6910000000000001E-2</v>
      </c>
      <c r="G102">
        <v>0</v>
      </c>
      <c r="H102">
        <v>1</v>
      </c>
      <c r="I102">
        <v>3</v>
      </c>
      <c r="J102" s="1">
        <f t="shared" ca="1" si="23"/>
        <v>9.6059601000000085E-3</v>
      </c>
      <c r="K102" s="1">
        <f t="shared" ca="1" si="24"/>
        <v>1.6243678529100016E-4</v>
      </c>
      <c r="L102" s="13">
        <f t="shared" ca="1" si="25"/>
        <v>189</v>
      </c>
      <c r="M102" s="7">
        <f t="shared" ca="1" si="26"/>
        <v>811</v>
      </c>
      <c r="N102" s="43">
        <f t="shared" ca="1" si="27"/>
        <v>7</v>
      </c>
      <c r="O102" s="92">
        <f t="shared" ca="1" si="28"/>
        <v>2.264588428134358</v>
      </c>
      <c r="P102" s="92">
        <f t="shared" ca="1" si="29"/>
        <v>22.645884281343584</v>
      </c>
      <c r="Q102" s="92">
        <f t="shared" ca="1" si="30"/>
        <v>22.645884281343584</v>
      </c>
      <c r="R102" s="92">
        <f t="shared" ca="1" si="31"/>
        <v>2.2645884281343585</v>
      </c>
      <c r="S102" s="92">
        <f t="shared" ca="1" si="32"/>
        <v>2.264588428134358</v>
      </c>
      <c r="T102" s="4">
        <f t="shared" ca="1" si="33"/>
        <v>3.6785246427334427E-4</v>
      </c>
      <c r="U102" s="99">
        <f t="shared" ca="1" si="34"/>
        <v>1546.2486983548911</v>
      </c>
      <c r="V102" s="4">
        <f t="shared" ca="1" si="35"/>
        <v>0.2511676678211619</v>
      </c>
      <c r="W102" s="13">
        <f t="shared" ca="1" si="36"/>
        <v>5443.9631250000002</v>
      </c>
      <c r="X102" s="4">
        <f t="shared" ca="1" si="37"/>
        <v>0.88429986926774728</v>
      </c>
    </row>
    <row r="103" spans="1:24">
      <c r="A103">
        <v>0</v>
      </c>
      <c r="B103">
        <v>2</v>
      </c>
      <c r="C103">
        <f t="shared" ca="1" si="19"/>
        <v>5</v>
      </c>
      <c r="D103">
        <f t="shared" ca="1" si="20"/>
        <v>3</v>
      </c>
      <c r="E103">
        <f t="shared" ca="1" si="21"/>
        <v>0</v>
      </c>
      <c r="F103" s="100">
        <f t="shared" ca="1" si="22"/>
        <v>1.6910000000000001E-2</v>
      </c>
      <c r="G103">
        <v>0</v>
      </c>
      <c r="H103">
        <v>1</v>
      </c>
      <c r="I103">
        <v>2</v>
      </c>
      <c r="J103" s="1">
        <f t="shared" ca="1" si="23"/>
        <v>2.9108970000000053E-4</v>
      </c>
      <c r="K103" s="1">
        <f t="shared" ca="1" si="24"/>
        <v>4.9223268270000096E-6</v>
      </c>
      <c r="L103" s="13">
        <f t="shared" ca="1" si="25"/>
        <v>168</v>
      </c>
      <c r="M103" s="7">
        <f t="shared" ca="1" si="26"/>
        <v>832</v>
      </c>
      <c r="N103" s="43">
        <f t="shared" ca="1" si="27"/>
        <v>7</v>
      </c>
      <c r="O103" s="92">
        <f t="shared" ca="1" si="28"/>
        <v>2.264588428134358</v>
      </c>
      <c r="P103" s="92">
        <f t="shared" ca="1" si="29"/>
        <v>22.645884281343584</v>
      </c>
      <c r="Q103" s="92">
        <f t="shared" ca="1" si="30"/>
        <v>22.645884281343584</v>
      </c>
      <c r="R103" s="92">
        <f t="shared" ca="1" si="31"/>
        <v>2.2645884281343585</v>
      </c>
      <c r="S103" s="92">
        <f t="shared" ca="1" si="32"/>
        <v>2.264588428134358</v>
      </c>
      <c r="T103" s="4">
        <f t="shared" ca="1" si="33"/>
        <v>1.1147044371919533E-5</v>
      </c>
      <c r="U103" s="99">
        <f t="shared" ca="1" si="34"/>
        <v>1525.2486983548911</v>
      </c>
      <c r="V103" s="4">
        <f t="shared" ca="1" si="35"/>
        <v>7.5077725857591255E-3</v>
      </c>
      <c r="W103" s="13">
        <f t="shared" ca="1" si="36"/>
        <v>4091.8256249999999</v>
      </c>
      <c r="X103" s="4">
        <f t="shared" ca="1" si="37"/>
        <v>2.0141303045343582E-2</v>
      </c>
    </row>
    <row r="104" spans="1:24">
      <c r="A104">
        <v>0</v>
      </c>
      <c r="B104">
        <v>2</v>
      </c>
      <c r="C104">
        <f t="shared" ca="1" si="19"/>
        <v>5</v>
      </c>
      <c r="D104">
        <f t="shared" ca="1" si="20"/>
        <v>3</v>
      </c>
      <c r="E104">
        <f t="shared" ca="1" si="21"/>
        <v>0</v>
      </c>
      <c r="F104" s="100">
        <f t="shared" ca="1" si="22"/>
        <v>1.6910000000000001E-2</v>
      </c>
      <c r="G104">
        <v>0</v>
      </c>
      <c r="H104">
        <v>1</v>
      </c>
      <c r="I104">
        <v>1</v>
      </c>
      <c r="J104" s="1">
        <f t="shared" ca="1" si="23"/>
        <v>2.9403000000000081E-6</v>
      </c>
      <c r="K104" s="1">
        <f t="shared" ca="1" si="24"/>
        <v>4.9720473000000139E-8</v>
      </c>
      <c r="L104" s="13">
        <f t="shared" ca="1" si="25"/>
        <v>147</v>
      </c>
      <c r="M104" s="7">
        <f t="shared" ca="1" si="26"/>
        <v>853</v>
      </c>
      <c r="N104" s="43">
        <f t="shared" ca="1" si="27"/>
        <v>7</v>
      </c>
      <c r="O104" s="92">
        <f t="shared" ca="1" si="28"/>
        <v>2.264588428134358</v>
      </c>
      <c r="P104" s="92">
        <f t="shared" ca="1" si="29"/>
        <v>22.645884281343584</v>
      </c>
      <c r="Q104" s="92">
        <f t="shared" ca="1" si="30"/>
        <v>22.645884281343584</v>
      </c>
      <c r="R104" s="92">
        <f t="shared" ca="1" si="31"/>
        <v>2.2645884281343585</v>
      </c>
      <c r="S104" s="92">
        <f t="shared" ca="1" si="32"/>
        <v>2.264588428134358</v>
      </c>
      <c r="T104" s="4">
        <f t="shared" ca="1" si="33"/>
        <v>1.125964077971671E-7</v>
      </c>
      <c r="U104" s="99">
        <f t="shared" ca="1" si="34"/>
        <v>1504.2486983548911</v>
      </c>
      <c r="V104" s="4">
        <f t="shared" ca="1" si="35"/>
        <v>7.4791956791839709E-5</v>
      </c>
      <c r="W104" s="13">
        <f t="shared" ca="1" si="36"/>
        <v>2739.6881249999997</v>
      </c>
      <c r="X104" s="4">
        <f t="shared" ca="1" si="37"/>
        <v>1.3621858944748349E-4</v>
      </c>
    </row>
    <row r="105" spans="1:24">
      <c r="A105">
        <v>0</v>
      </c>
      <c r="B105">
        <v>2</v>
      </c>
      <c r="C105">
        <f t="shared" ca="1" si="19"/>
        <v>5</v>
      </c>
      <c r="D105">
        <f t="shared" ca="1" si="20"/>
        <v>3</v>
      </c>
      <c r="E105">
        <f t="shared" ca="1" si="21"/>
        <v>0</v>
      </c>
      <c r="F105" s="100">
        <f t="shared" ca="1" si="22"/>
        <v>1.6910000000000001E-2</v>
      </c>
      <c r="G105">
        <v>0</v>
      </c>
      <c r="H105">
        <v>1</v>
      </c>
      <c r="I105">
        <v>0</v>
      </c>
      <c r="J105" s="1">
        <f t="shared" ca="1" si="23"/>
        <v>9.9000000000000357E-9</v>
      </c>
      <c r="K105" s="1">
        <f t="shared" ca="1" si="24"/>
        <v>1.6740900000000061E-10</v>
      </c>
      <c r="L105" s="13">
        <f t="shared" ca="1" si="25"/>
        <v>126</v>
      </c>
      <c r="M105" s="7">
        <f t="shared" ca="1" si="26"/>
        <v>874</v>
      </c>
      <c r="N105" s="43">
        <f t="shared" ca="1" si="27"/>
        <v>7</v>
      </c>
      <c r="O105" s="92">
        <f t="shared" ca="1" si="28"/>
        <v>2.264588428134358</v>
      </c>
      <c r="P105" s="92">
        <f t="shared" ca="1" si="29"/>
        <v>22.645884281343584</v>
      </c>
      <c r="Q105" s="92">
        <f t="shared" ca="1" si="30"/>
        <v>22.645884281343584</v>
      </c>
      <c r="R105" s="92">
        <f t="shared" ca="1" si="31"/>
        <v>2.2645884281343585</v>
      </c>
      <c r="S105" s="92">
        <f t="shared" ca="1" si="32"/>
        <v>2.264588428134358</v>
      </c>
      <c r="T105" s="4">
        <f t="shared" ca="1" si="33"/>
        <v>3.7911248416554609E-10</v>
      </c>
      <c r="U105" s="99">
        <f t="shared" ca="1" si="34"/>
        <v>1483.2486983548911</v>
      </c>
      <c r="V105" s="4">
        <f t="shared" ca="1" si="35"/>
        <v>2.4830918134289484E-7</v>
      </c>
      <c r="W105" s="13">
        <f t="shared" ca="1" si="36"/>
        <v>1387.5506249999999</v>
      </c>
      <c r="X105" s="4">
        <f t="shared" ca="1" si="37"/>
        <v>2.3228846258062582E-7</v>
      </c>
    </row>
    <row r="106" spans="1:24">
      <c r="A106">
        <v>0</v>
      </c>
      <c r="B106">
        <v>2</v>
      </c>
      <c r="C106">
        <f t="shared" ca="1" si="19"/>
        <v>5</v>
      </c>
      <c r="D106">
        <f t="shared" ca="1" si="20"/>
        <v>3</v>
      </c>
      <c r="E106">
        <f t="shared" ca="1" si="21"/>
        <v>0</v>
      </c>
      <c r="F106" s="100">
        <f t="shared" ca="1" si="22"/>
        <v>1.6910000000000001E-2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3">
        <f t="shared" ca="1" si="27"/>
        <v>7</v>
      </c>
      <c r="O106" s="92">
        <f t="shared" ca="1" si="28"/>
        <v>2.264588428134358</v>
      </c>
      <c r="P106" s="92">
        <f t="shared" ca="1" si="29"/>
        <v>22.645884281343584</v>
      </c>
      <c r="Q106" s="92">
        <f t="shared" ca="1" si="30"/>
        <v>22.645884281343584</v>
      </c>
      <c r="R106" s="92">
        <f t="shared" ca="1" si="31"/>
        <v>2.2645884281343585</v>
      </c>
      <c r="S106" s="92">
        <f t="shared" ca="1" si="32"/>
        <v>2.264588428134358</v>
      </c>
      <c r="T106" s="4">
        <f t="shared" ca="1" si="33"/>
        <v>0</v>
      </c>
      <c r="U106" s="99">
        <f t="shared" ca="1" si="34"/>
        <v>1504.2486983548911</v>
      </c>
      <c r="V106" s="4">
        <f t="shared" ca="1" si="35"/>
        <v>0</v>
      </c>
      <c r="W106" s="13">
        <f t="shared" ca="1" si="36"/>
        <v>9464.9624999999996</v>
      </c>
      <c r="X106" s="4">
        <f t="shared" ca="1" si="37"/>
        <v>0</v>
      </c>
    </row>
    <row r="107" spans="1:24">
      <c r="A107">
        <v>0</v>
      </c>
      <c r="B107">
        <v>2</v>
      </c>
      <c r="C107">
        <f t="shared" ca="1" si="19"/>
        <v>5</v>
      </c>
      <c r="D107">
        <f t="shared" ca="1" si="20"/>
        <v>3</v>
      </c>
      <c r="E107">
        <f t="shared" ca="1" si="21"/>
        <v>0</v>
      </c>
      <c r="F107" s="100">
        <f t="shared" ca="1" si="22"/>
        <v>1.6910000000000001E-2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126</v>
      </c>
      <c r="M107" s="7">
        <f t="shared" ca="1" si="26"/>
        <v>874</v>
      </c>
      <c r="N107" s="43">
        <f t="shared" ca="1" si="27"/>
        <v>7</v>
      </c>
      <c r="O107" s="92">
        <f t="shared" ca="1" si="28"/>
        <v>2.264588428134358</v>
      </c>
      <c r="P107" s="92">
        <f t="shared" ca="1" si="29"/>
        <v>22.645884281343584</v>
      </c>
      <c r="Q107" s="92">
        <f t="shared" ca="1" si="30"/>
        <v>22.645884281343584</v>
      </c>
      <c r="R107" s="92">
        <f t="shared" ca="1" si="31"/>
        <v>2.2645884281343585</v>
      </c>
      <c r="S107" s="92">
        <f t="shared" ca="1" si="32"/>
        <v>2.264588428134358</v>
      </c>
      <c r="T107" s="4">
        <f t="shared" ca="1" si="33"/>
        <v>0</v>
      </c>
      <c r="U107" s="99">
        <f t="shared" ca="1" si="34"/>
        <v>1483.2486983548911</v>
      </c>
      <c r="V107" s="4">
        <f t="shared" ca="1" si="35"/>
        <v>0</v>
      </c>
      <c r="W107" s="13">
        <f t="shared" ca="1" si="36"/>
        <v>8112.8249999999998</v>
      </c>
      <c r="X107" s="4">
        <f t="shared" ca="1" si="37"/>
        <v>0</v>
      </c>
    </row>
    <row r="108" spans="1:24">
      <c r="A108">
        <v>0</v>
      </c>
      <c r="B108">
        <v>2</v>
      </c>
      <c r="C108">
        <f t="shared" ca="1" si="19"/>
        <v>5</v>
      </c>
      <c r="D108">
        <f t="shared" ca="1" si="20"/>
        <v>3</v>
      </c>
      <c r="E108">
        <f t="shared" ca="1" si="21"/>
        <v>0</v>
      </c>
      <c r="F108" s="100">
        <f t="shared" ca="1" si="22"/>
        <v>1.6910000000000001E-2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105</v>
      </c>
      <c r="M108" s="7">
        <f t="shared" ca="1" si="26"/>
        <v>895</v>
      </c>
      <c r="N108" s="43">
        <f t="shared" ca="1" si="27"/>
        <v>7</v>
      </c>
      <c r="O108" s="92">
        <f t="shared" ca="1" si="28"/>
        <v>2.264588428134358</v>
      </c>
      <c r="P108" s="92">
        <f t="shared" ca="1" si="29"/>
        <v>22.645884281343584</v>
      </c>
      <c r="Q108" s="92">
        <f t="shared" ca="1" si="30"/>
        <v>22.645884281343584</v>
      </c>
      <c r="R108" s="92">
        <f t="shared" ca="1" si="31"/>
        <v>2.2645884281343585</v>
      </c>
      <c r="S108" s="92">
        <f t="shared" ca="1" si="32"/>
        <v>2.264588428134358</v>
      </c>
      <c r="T108" s="4">
        <f t="shared" ca="1" si="33"/>
        <v>0</v>
      </c>
      <c r="U108" s="99">
        <f t="shared" ca="1" si="34"/>
        <v>1462.2486983548911</v>
      </c>
      <c r="V108" s="4">
        <f t="shared" ca="1" si="35"/>
        <v>0</v>
      </c>
      <c r="W108" s="13">
        <f t="shared" ca="1" si="36"/>
        <v>6760.6875</v>
      </c>
      <c r="X108" s="4">
        <f t="shared" ca="1" si="37"/>
        <v>0</v>
      </c>
    </row>
    <row r="109" spans="1:24">
      <c r="A109">
        <v>0</v>
      </c>
      <c r="B109">
        <v>2</v>
      </c>
      <c r="C109">
        <f t="shared" ca="1" si="19"/>
        <v>5</v>
      </c>
      <c r="D109">
        <f t="shared" ca="1" si="20"/>
        <v>3</v>
      </c>
      <c r="E109">
        <f t="shared" ca="1" si="21"/>
        <v>0</v>
      </c>
      <c r="F109" s="100">
        <f t="shared" ca="1" si="22"/>
        <v>1.6910000000000001E-2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100</v>
      </c>
      <c r="M109" s="7">
        <f t="shared" ca="1" si="26"/>
        <v>900</v>
      </c>
      <c r="N109" s="43">
        <f t="shared" ca="1" si="27"/>
        <v>7</v>
      </c>
      <c r="O109" s="92">
        <f t="shared" ca="1" si="28"/>
        <v>2.264588428134358</v>
      </c>
      <c r="P109" s="92">
        <f t="shared" ca="1" si="29"/>
        <v>22.645884281343584</v>
      </c>
      <c r="Q109" s="92">
        <f t="shared" ca="1" si="30"/>
        <v>22.645884281343584</v>
      </c>
      <c r="R109" s="92">
        <f t="shared" ca="1" si="31"/>
        <v>2.2645884281343585</v>
      </c>
      <c r="S109" s="92">
        <f t="shared" ca="1" si="32"/>
        <v>2.264588428134358</v>
      </c>
      <c r="T109" s="4">
        <f t="shared" ca="1" si="33"/>
        <v>0</v>
      </c>
      <c r="U109" s="99">
        <f t="shared" ca="1" si="34"/>
        <v>1457.2486983548911</v>
      </c>
      <c r="V109" s="4">
        <f t="shared" ca="1" si="35"/>
        <v>0</v>
      </c>
      <c r="W109" s="13">
        <f t="shared" ca="1" si="36"/>
        <v>5408.55</v>
      </c>
      <c r="X109" s="4">
        <f t="shared" ca="1" si="37"/>
        <v>0</v>
      </c>
    </row>
    <row r="110" spans="1:24">
      <c r="A110">
        <v>0</v>
      </c>
      <c r="B110">
        <v>2</v>
      </c>
      <c r="C110">
        <f t="shared" ca="1" si="19"/>
        <v>5</v>
      </c>
      <c r="D110">
        <f t="shared" ca="1" si="20"/>
        <v>3</v>
      </c>
      <c r="E110">
        <f t="shared" ca="1" si="21"/>
        <v>0</v>
      </c>
      <c r="F110" s="100">
        <f t="shared" ca="1" si="22"/>
        <v>1.6910000000000001E-2</v>
      </c>
      <c r="G110">
        <v>0</v>
      </c>
      <c r="H110">
        <v>0</v>
      </c>
      <c r="I110">
        <v>3</v>
      </c>
      <c r="J110" s="1">
        <f t="shared" ca="1" si="23"/>
        <v>9.7029900000000167E-5</v>
      </c>
      <c r="K110" s="1">
        <f t="shared" ca="1" si="24"/>
        <v>1.6407756090000029E-6</v>
      </c>
      <c r="L110" s="13">
        <f t="shared" ca="1" si="25"/>
        <v>100</v>
      </c>
      <c r="M110" s="7">
        <f t="shared" ca="1" si="26"/>
        <v>900</v>
      </c>
      <c r="N110" s="43">
        <f t="shared" ca="1" si="27"/>
        <v>7</v>
      </c>
      <c r="O110" s="92">
        <f t="shared" ca="1" si="28"/>
        <v>2.264588428134358</v>
      </c>
      <c r="P110" s="92">
        <f t="shared" ca="1" si="29"/>
        <v>22.645884281343584</v>
      </c>
      <c r="Q110" s="92">
        <f t="shared" ca="1" si="30"/>
        <v>22.645884281343584</v>
      </c>
      <c r="R110" s="92">
        <f t="shared" ca="1" si="31"/>
        <v>2.2645884281343585</v>
      </c>
      <c r="S110" s="92">
        <f t="shared" ca="1" si="32"/>
        <v>2.264588428134358</v>
      </c>
      <c r="T110" s="4">
        <f t="shared" ca="1" si="33"/>
        <v>3.7156814573065105E-6</v>
      </c>
      <c r="U110" s="99">
        <f t="shared" ca="1" si="34"/>
        <v>1457.2486983548911</v>
      </c>
      <c r="V110" s="4">
        <f t="shared" ca="1" si="35"/>
        <v>2.3910181205077079E-3</v>
      </c>
      <c r="W110" s="13">
        <f t="shared" ca="1" si="36"/>
        <v>4056.4124999999999</v>
      </c>
      <c r="X110" s="4">
        <f t="shared" ca="1" si="37"/>
        <v>6.655662690042724E-3</v>
      </c>
    </row>
    <row r="111" spans="1:24">
      <c r="A111">
        <v>0</v>
      </c>
      <c r="B111">
        <v>2</v>
      </c>
      <c r="C111">
        <f t="shared" ca="1" si="19"/>
        <v>5</v>
      </c>
      <c r="D111">
        <f t="shared" ca="1" si="20"/>
        <v>3</v>
      </c>
      <c r="E111">
        <f t="shared" ca="1" si="21"/>
        <v>0</v>
      </c>
      <c r="F111" s="100">
        <f t="shared" ca="1" si="22"/>
        <v>1.6910000000000001E-2</v>
      </c>
      <c r="G111">
        <v>0</v>
      </c>
      <c r="H111">
        <v>0</v>
      </c>
      <c r="I111">
        <v>2</v>
      </c>
      <c r="J111" s="1">
        <f t="shared" ca="1" si="23"/>
        <v>2.9403000000000077E-6</v>
      </c>
      <c r="K111" s="1">
        <f t="shared" ca="1" si="24"/>
        <v>4.9720473000000132E-8</v>
      </c>
      <c r="L111" s="13">
        <f t="shared" ca="1" si="25"/>
        <v>100</v>
      </c>
      <c r="M111" s="7">
        <f t="shared" ca="1" si="26"/>
        <v>900</v>
      </c>
      <c r="N111" s="43">
        <f t="shared" ca="1" si="27"/>
        <v>7</v>
      </c>
      <c r="O111" s="92">
        <f t="shared" ca="1" si="28"/>
        <v>2.264588428134358</v>
      </c>
      <c r="P111" s="92">
        <f t="shared" ca="1" si="29"/>
        <v>22.645884281343584</v>
      </c>
      <c r="Q111" s="92">
        <f t="shared" ca="1" si="30"/>
        <v>22.645884281343584</v>
      </c>
      <c r="R111" s="92">
        <f t="shared" ca="1" si="31"/>
        <v>2.2645884281343585</v>
      </c>
      <c r="S111" s="92">
        <f t="shared" ca="1" si="32"/>
        <v>2.264588428134358</v>
      </c>
      <c r="T111" s="4">
        <f t="shared" ca="1" si="33"/>
        <v>1.1259640779716709E-7</v>
      </c>
      <c r="U111" s="99">
        <f t="shared" ca="1" si="34"/>
        <v>1457.2486983548911</v>
      </c>
      <c r="V111" s="4">
        <f t="shared" ca="1" si="35"/>
        <v>7.2455094560839705E-5</v>
      </c>
      <c r="W111" s="13">
        <f t="shared" ca="1" si="36"/>
        <v>2704.2750000000001</v>
      </c>
      <c r="X111" s="4">
        <f t="shared" ca="1" si="37"/>
        <v>1.3445783212207536E-4</v>
      </c>
    </row>
    <row r="112" spans="1:24">
      <c r="A112">
        <v>0</v>
      </c>
      <c r="B112">
        <v>2</v>
      </c>
      <c r="C112">
        <f t="shared" ca="1" si="19"/>
        <v>5</v>
      </c>
      <c r="D112">
        <f t="shared" ca="1" si="20"/>
        <v>3</v>
      </c>
      <c r="E112">
        <f t="shared" ca="1" si="21"/>
        <v>0</v>
      </c>
      <c r="F112" s="100">
        <f t="shared" ca="1" si="22"/>
        <v>1.6910000000000001E-2</v>
      </c>
      <c r="G112">
        <v>0</v>
      </c>
      <c r="H112">
        <v>0</v>
      </c>
      <c r="I112">
        <v>1</v>
      </c>
      <c r="J112" s="1">
        <f t="shared" ca="1" si="23"/>
        <v>2.970000000000011E-8</v>
      </c>
      <c r="K112" s="1">
        <f t="shared" ca="1" si="24"/>
        <v>5.0222700000000187E-10</v>
      </c>
      <c r="L112" s="13">
        <f t="shared" ca="1" si="25"/>
        <v>100</v>
      </c>
      <c r="M112" s="7">
        <f t="shared" ca="1" si="26"/>
        <v>900</v>
      </c>
      <c r="N112" s="43">
        <f t="shared" ca="1" si="27"/>
        <v>7</v>
      </c>
      <c r="O112" s="92">
        <f t="shared" ca="1" si="28"/>
        <v>2.264588428134358</v>
      </c>
      <c r="P112" s="92">
        <f t="shared" ca="1" si="29"/>
        <v>22.645884281343584</v>
      </c>
      <c r="Q112" s="92">
        <f t="shared" ca="1" si="30"/>
        <v>22.645884281343584</v>
      </c>
      <c r="R112" s="92">
        <f t="shared" ca="1" si="31"/>
        <v>2.2645884281343585</v>
      </c>
      <c r="S112" s="92">
        <f t="shared" ca="1" si="32"/>
        <v>2.264588428134358</v>
      </c>
      <c r="T112" s="4">
        <f t="shared" ca="1" si="33"/>
        <v>1.1373374524966384E-9</v>
      </c>
      <c r="U112" s="99">
        <f t="shared" ca="1" si="34"/>
        <v>1457.2486983548911</v>
      </c>
      <c r="V112" s="4">
        <f t="shared" ca="1" si="35"/>
        <v>7.3186964202868459E-7</v>
      </c>
      <c r="W112" s="13">
        <f t="shared" ca="1" si="36"/>
        <v>1352.1375</v>
      </c>
      <c r="X112" s="4">
        <f t="shared" ca="1" si="37"/>
        <v>6.790799602125026E-7</v>
      </c>
    </row>
    <row r="113" spans="1:24">
      <c r="A113">
        <v>0</v>
      </c>
      <c r="B113">
        <v>2</v>
      </c>
      <c r="C113">
        <f t="shared" ca="1" si="19"/>
        <v>5</v>
      </c>
      <c r="D113">
        <f t="shared" ca="1" si="20"/>
        <v>3</v>
      </c>
      <c r="E113">
        <f t="shared" ca="1" si="21"/>
        <v>0</v>
      </c>
      <c r="F113" s="100">
        <f t="shared" ca="1" si="22"/>
        <v>1.6910000000000001E-2</v>
      </c>
      <c r="G113">
        <v>0</v>
      </c>
      <c r="H113">
        <v>0</v>
      </c>
      <c r="I113">
        <v>0</v>
      </c>
      <c r="J113" s="1">
        <f t="shared" ca="1" si="23"/>
        <v>1.0000000000000046E-10</v>
      </c>
      <c r="K113" s="1">
        <f t="shared" ca="1" si="24"/>
        <v>1.6910000000000078E-12</v>
      </c>
      <c r="L113" s="13">
        <f t="shared" ca="1" si="25"/>
        <v>100</v>
      </c>
      <c r="M113" s="7">
        <f t="shared" ca="1" si="26"/>
        <v>900</v>
      </c>
      <c r="N113" s="43">
        <f t="shared" ca="1" si="27"/>
        <v>7</v>
      </c>
      <c r="O113" s="92">
        <f t="shared" ca="1" si="28"/>
        <v>2.264588428134358</v>
      </c>
      <c r="P113" s="92">
        <f t="shared" ca="1" si="29"/>
        <v>22.645884281343584</v>
      </c>
      <c r="Q113" s="92">
        <f t="shared" ca="1" si="30"/>
        <v>22.645884281343584</v>
      </c>
      <c r="R113" s="92">
        <f t="shared" ca="1" si="31"/>
        <v>2.2645884281343585</v>
      </c>
      <c r="S113" s="92">
        <f t="shared" ca="1" si="32"/>
        <v>2.264588428134358</v>
      </c>
      <c r="T113" s="4">
        <f t="shared" ca="1" si="33"/>
        <v>3.829419031975217E-12</v>
      </c>
      <c r="U113" s="99">
        <f t="shared" ca="1" si="34"/>
        <v>1457.2486983548911</v>
      </c>
      <c r="V113" s="4">
        <f t="shared" ca="1" si="35"/>
        <v>2.4642075489181323E-9</v>
      </c>
      <c r="W113" s="13">
        <f t="shared" ca="1" si="36"/>
        <v>0</v>
      </c>
      <c r="X113" s="4">
        <f t="shared" ca="1" si="37"/>
        <v>0</v>
      </c>
    </row>
    <row r="114" spans="1:24">
      <c r="A114">
        <v>0</v>
      </c>
      <c r="B114">
        <v>3</v>
      </c>
      <c r="C114">
        <f t="shared" ca="1" si="19"/>
        <v>6</v>
      </c>
      <c r="D114">
        <f t="shared" ca="1" si="20"/>
        <v>4</v>
      </c>
      <c r="E114">
        <f t="shared" ca="1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399</v>
      </c>
      <c r="M114" s="7">
        <f t="shared" ca="1" si="26"/>
        <v>601</v>
      </c>
      <c r="N114" s="43">
        <f t="shared" ca="1" si="27"/>
        <v>5</v>
      </c>
      <c r="O114" s="92">
        <f t="shared" ca="1" si="28"/>
        <v>1.7627004516625842</v>
      </c>
      <c r="P114" s="92">
        <f t="shared" ca="1" si="29"/>
        <v>17.627004516625838</v>
      </c>
      <c r="Q114" s="92">
        <f t="shared" ca="1" si="30"/>
        <v>17.627004516625838</v>
      </c>
      <c r="R114" s="92">
        <f t="shared" ca="1" si="31"/>
        <v>1.7627004516625839</v>
      </c>
      <c r="S114" s="92">
        <f t="shared" ca="1" si="32"/>
        <v>1.7627004516625842</v>
      </c>
      <c r="T114" s="4">
        <f t="shared" ca="1" si="33"/>
        <v>0</v>
      </c>
      <c r="U114" s="99">
        <f t="shared" ca="1" si="34"/>
        <v>1509.8515146533105</v>
      </c>
      <c r="V114" s="4">
        <f t="shared" ca="1" si="35"/>
        <v>0</v>
      </c>
      <c r="W114" s="13">
        <f t="shared" ca="1" si="36"/>
        <v>23319.800362499998</v>
      </c>
      <c r="X114" s="4">
        <f t="shared" ca="1" si="37"/>
        <v>0</v>
      </c>
    </row>
    <row r="115" spans="1:24">
      <c r="A115">
        <v>0</v>
      </c>
      <c r="B115">
        <v>3</v>
      </c>
      <c r="C115">
        <f t="shared" ca="1" si="19"/>
        <v>6</v>
      </c>
      <c r="D115">
        <f t="shared" ca="1" si="20"/>
        <v>4</v>
      </c>
      <c r="E115">
        <f t="shared" ca="1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378</v>
      </c>
      <c r="M115" s="7">
        <f t="shared" ca="1" si="26"/>
        <v>622</v>
      </c>
      <c r="N115" s="43">
        <f t="shared" ca="1" si="27"/>
        <v>5</v>
      </c>
      <c r="O115" s="92">
        <f t="shared" ca="1" si="28"/>
        <v>1.7627004516625842</v>
      </c>
      <c r="P115" s="92">
        <f t="shared" ca="1" si="29"/>
        <v>17.627004516625838</v>
      </c>
      <c r="Q115" s="92">
        <f t="shared" ca="1" si="30"/>
        <v>17.627004516625838</v>
      </c>
      <c r="R115" s="92">
        <f t="shared" ca="1" si="31"/>
        <v>1.7627004516625839</v>
      </c>
      <c r="S115" s="92">
        <f t="shared" ca="1" si="32"/>
        <v>1.7627004516625842</v>
      </c>
      <c r="T115" s="4">
        <f t="shared" ca="1" si="33"/>
        <v>0</v>
      </c>
      <c r="U115" s="99">
        <f t="shared" ca="1" si="34"/>
        <v>1488.8515146533105</v>
      </c>
      <c r="V115" s="4">
        <f t="shared" ca="1" si="35"/>
        <v>0</v>
      </c>
      <c r="W115" s="13">
        <f t="shared" ca="1" si="36"/>
        <v>21967.662862499998</v>
      </c>
      <c r="X115" s="4">
        <f t="shared" ca="1" si="37"/>
        <v>0</v>
      </c>
    </row>
    <row r="116" spans="1:24">
      <c r="A116">
        <v>0</v>
      </c>
      <c r="B116">
        <v>3</v>
      </c>
      <c r="C116">
        <f t="shared" ca="1" si="19"/>
        <v>6</v>
      </c>
      <c r="D116">
        <f t="shared" ca="1" si="20"/>
        <v>4</v>
      </c>
      <c r="E116">
        <f t="shared" ca="1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357</v>
      </c>
      <c r="M116" s="7">
        <f t="shared" ca="1" si="26"/>
        <v>643</v>
      </c>
      <c r="N116" s="43">
        <f t="shared" ca="1" si="27"/>
        <v>5</v>
      </c>
      <c r="O116" s="92">
        <f t="shared" ca="1" si="28"/>
        <v>1.7627004516625842</v>
      </c>
      <c r="P116" s="92">
        <f t="shared" ca="1" si="29"/>
        <v>17.627004516625838</v>
      </c>
      <c r="Q116" s="92">
        <f t="shared" ca="1" si="30"/>
        <v>17.627004516625838</v>
      </c>
      <c r="R116" s="92">
        <f t="shared" ca="1" si="31"/>
        <v>1.7627004516625839</v>
      </c>
      <c r="S116" s="92">
        <f t="shared" ca="1" si="32"/>
        <v>1.7627004516625842</v>
      </c>
      <c r="T116" s="4">
        <f t="shared" ca="1" si="33"/>
        <v>0</v>
      </c>
      <c r="U116" s="99">
        <f t="shared" ca="1" si="34"/>
        <v>1467.8515146533105</v>
      </c>
      <c r="V116" s="4">
        <f t="shared" ca="1" si="35"/>
        <v>0</v>
      </c>
      <c r="W116" s="13">
        <f t="shared" ca="1" si="36"/>
        <v>20615.525362499997</v>
      </c>
      <c r="X116" s="4">
        <f t="shared" ca="1" si="37"/>
        <v>0</v>
      </c>
    </row>
    <row r="117" spans="1:24">
      <c r="A117">
        <v>0</v>
      </c>
      <c r="B117">
        <v>3</v>
      </c>
      <c r="C117">
        <f t="shared" ca="1" si="19"/>
        <v>6</v>
      </c>
      <c r="D117">
        <f t="shared" ca="1" si="20"/>
        <v>4</v>
      </c>
      <c r="E117">
        <f t="shared" ca="1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0.94148014940099989</v>
      </c>
      <c r="K117" s="1">
        <f t="shared" ca="1" si="24"/>
        <v>0</v>
      </c>
      <c r="L117" s="13">
        <f t="shared" ca="1" si="25"/>
        <v>336</v>
      </c>
      <c r="M117" s="7">
        <f t="shared" ca="1" si="26"/>
        <v>664</v>
      </c>
      <c r="N117" s="43">
        <f t="shared" ca="1" si="27"/>
        <v>6</v>
      </c>
      <c r="O117" s="92">
        <f t="shared" ca="1" si="28"/>
        <v>2.003415856166523</v>
      </c>
      <c r="P117" s="92">
        <f t="shared" ca="1" si="29"/>
        <v>20.03415856166523</v>
      </c>
      <c r="Q117" s="92">
        <f t="shared" ca="1" si="30"/>
        <v>19.552727752657354</v>
      </c>
      <c r="R117" s="92">
        <f t="shared" ca="1" si="31"/>
        <v>1.9793443157161292</v>
      </c>
      <c r="S117" s="92">
        <f t="shared" ca="1" si="32"/>
        <v>2.003415856166523</v>
      </c>
      <c r="T117" s="4">
        <f t="shared" ca="1" si="33"/>
        <v>0</v>
      </c>
      <c r="U117" s="99">
        <f t="shared" ca="1" si="34"/>
        <v>1565.0284794818213</v>
      </c>
      <c r="V117" s="4">
        <f t="shared" ca="1" si="35"/>
        <v>0</v>
      </c>
      <c r="W117" s="13">
        <f t="shared" ca="1" si="36"/>
        <v>19263.3878625</v>
      </c>
      <c r="X117" s="4">
        <f t="shared" ca="1" si="37"/>
        <v>0</v>
      </c>
    </row>
    <row r="118" spans="1:24">
      <c r="A118">
        <v>0</v>
      </c>
      <c r="B118">
        <v>3</v>
      </c>
      <c r="C118">
        <f t="shared" ca="1" si="19"/>
        <v>6</v>
      </c>
      <c r="D118">
        <f t="shared" ca="1" si="20"/>
        <v>4</v>
      </c>
      <c r="E118">
        <f t="shared" ca="1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3.8039601996000032E-2</v>
      </c>
      <c r="K118" s="1">
        <f t="shared" ca="1" si="24"/>
        <v>0</v>
      </c>
      <c r="L118" s="13">
        <f t="shared" ca="1" si="25"/>
        <v>315</v>
      </c>
      <c r="M118" s="7">
        <f t="shared" ca="1" si="26"/>
        <v>685</v>
      </c>
      <c r="N118" s="43">
        <f t="shared" ca="1" si="27"/>
        <v>6</v>
      </c>
      <c r="O118" s="92">
        <f t="shared" ca="1" si="28"/>
        <v>2.003415856166523</v>
      </c>
      <c r="P118" s="92">
        <f t="shared" ca="1" si="29"/>
        <v>20.03415856166523</v>
      </c>
      <c r="Q118" s="92">
        <f t="shared" ca="1" si="30"/>
        <v>20.03415856166523</v>
      </c>
      <c r="R118" s="92">
        <f t="shared" ca="1" si="31"/>
        <v>2.003415856166523</v>
      </c>
      <c r="S118" s="92">
        <f t="shared" ca="1" si="32"/>
        <v>2.003415856166523</v>
      </c>
      <c r="T118" s="4">
        <f t="shared" ca="1" si="33"/>
        <v>0</v>
      </c>
      <c r="U118" s="99">
        <f t="shared" ca="1" si="34"/>
        <v>1544.0284794818213</v>
      </c>
      <c r="V118" s="4">
        <f t="shared" ca="1" si="35"/>
        <v>0</v>
      </c>
      <c r="W118" s="13">
        <f t="shared" ca="1" si="36"/>
        <v>17911.250362499999</v>
      </c>
      <c r="X118" s="4">
        <f t="shared" ca="1" si="37"/>
        <v>0</v>
      </c>
    </row>
    <row r="119" spans="1:24">
      <c r="A119">
        <v>0</v>
      </c>
      <c r="B119">
        <v>3</v>
      </c>
      <c r="C119">
        <f t="shared" ca="1" si="19"/>
        <v>6</v>
      </c>
      <c r="D119">
        <f t="shared" ca="1" si="20"/>
        <v>4</v>
      </c>
      <c r="E119">
        <f t="shared" ca="1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5.7635760600000105E-4</v>
      </c>
      <c r="K119" s="1">
        <f t="shared" ca="1" si="24"/>
        <v>0</v>
      </c>
      <c r="L119" s="13">
        <f t="shared" ca="1" si="25"/>
        <v>294</v>
      </c>
      <c r="M119" s="7">
        <f t="shared" ca="1" si="26"/>
        <v>706</v>
      </c>
      <c r="N119" s="43">
        <f t="shared" ca="1" si="27"/>
        <v>6</v>
      </c>
      <c r="O119" s="92">
        <f t="shared" ca="1" si="28"/>
        <v>2.003415856166523</v>
      </c>
      <c r="P119" s="92">
        <f t="shared" ca="1" si="29"/>
        <v>20.03415856166523</v>
      </c>
      <c r="Q119" s="92">
        <f t="shared" ca="1" si="30"/>
        <v>20.03415856166523</v>
      </c>
      <c r="R119" s="92">
        <f t="shared" ca="1" si="31"/>
        <v>2.003415856166523</v>
      </c>
      <c r="S119" s="92">
        <f t="shared" ca="1" si="32"/>
        <v>2.003415856166523</v>
      </c>
      <c r="T119" s="4">
        <f t="shared" ca="1" si="33"/>
        <v>0</v>
      </c>
      <c r="U119" s="99">
        <f t="shared" ca="1" si="34"/>
        <v>1523.0284794818213</v>
      </c>
      <c r="V119" s="4">
        <f t="shared" ca="1" si="35"/>
        <v>0</v>
      </c>
      <c r="W119" s="13">
        <f t="shared" ca="1" si="36"/>
        <v>16559.112862499998</v>
      </c>
      <c r="X119" s="4">
        <f t="shared" ca="1" si="37"/>
        <v>0</v>
      </c>
    </row>
    <row r="120" spans="1:24">
      <c r="A120">
        <v>0</v>
      </c>
      <c r="B120">
        <v>3</v>
      </c>
      <c r="C120">
        <f t="shared" ca="1" si="19"/>
        <v>6</v>
      </c>
      <c r="D120">
        <f t="shared" ca="1" si="20"/>
        <v>4</v>
      </c>
      <c r="E120">
        <f t="shared" ca="1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3.8811960000000103E-6</v>
      </c>
      <c r="K120" s="1">
        <f t="shared" ca="1" si="24"/>
        <v>0</v>
      </c>
      <c r="L120" s="13">
        <f t="shared" ca="1" si="25"/>
        <v>273</v>
      </c>
      <c r="M120" s="7">
        <f t="shared" ca="1" si="26"/>
        <v>727</v>
      </c>
      <c r="N120" s="43">
        <f t="shared" ca="1" si="27"/>
        <v>6</v>
      </c>
      <c r="O120" s="92">
        <f t="shared" ca="1" si="28"/>
        <v>2.003415856166523</v>
      </c>
      <c r="P120" s="92">
        <f t="shared" ca="1" si="29"/>
        <v>20.03415856166523</v>
      </c>
      <c r="Q120" s="92">
        <f t="shared" ca="1" si="30"/>
        <v>20.03415856166523</v>
      </c>
      <c r="R120" s="92">
        <f t="shared" ca="1" si="31"/>
        <v>2.003415856166523</v>
      </c>
      <c r="S120" s="92">
        <f t="shared" ca="1" si="32"/>
        <v>2.003415856166523</v>
      </c>
      <c r="T120" s="4">
        <f t="shared" ca="1" si="33"/>
        <v>0</v>
      </c>
      <c r="U120" s="99">
        <f t="shared" ca="1" si="34"/>
        <v>1502.0284794818213</v>
      </c>
      <c r="V120" s="4">
        <f t="shared" ca="1" si="35"/>
        <v>0</v>
      </c>
      <c r="W120" s="13">
        <f t="shared" ca="1" si="36"/>
        <v>15206.975362499999</v>
      </c>
      <c r="X120" s="4">
        <f t="shared" ca="1" si="37"/>
        <v>0</v>
      </c>
    </row>
    <row r="121" spans="1:24">
      <c r="A121">
        <v>0</v>
      </c>
      <c r="B121">
        <v>3</v>
      </c>
      <c r="C121">
        <f t="shared" ca="1" si="19"/>
        <v>6</v>
      </c>
      <c r="D121">
        <f t="shared" ca="1" si="20"/>
        <v>4</v>
      </c>
      <c r="E121">
        <f t="shared" ca="1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9.8010000000000359E-9</v>
      </c>
      <c r="K121" s="1">
        <f t="shared" ca="1" si="24"/>
        <v>0</v>
      </c>
      <c r="L121" s="13">
        <f t="shared" ca="1" si="25"/>
        <v>252</v>
      </c>
      <c r="M121" s="7">
        <f t="shared" ca="1" si="26"/>
        <v>748</v>
      </c>
      <c r="N121" s="43">
        <f t="shared" ca="1" si="27"/>
        <v>6</v>
      </c>
      <c r="O121" s="92">
        <f t="shared" ca="1" si="28"/>
        <v>2.003415856166523</v>
      </c>
      <c r="P121" s="92">
        <f t="shared" ca="1" si="29"/>
        <v>20.03415856166523</v>
      </c>
      <c r="Q121" s="92">
        <f t="shared" ca="1" si="30"/>
        <v>20.03415856166523</v>
      </c>
      <c r="R121" s="92">
        <f t="shared" ca="1" si="31"/>
        <v>2.003415856166523</v>
      </c>
      <c r="S121" s="92">
        <f t="shared" ca="1" si="32"/>
        <v>2.003415856166523</v>
      </c>
      <c r="T121" s="4">
        <f t="shared" ca="1" si="33"/>
        <v>0</v>
      </c>
      <c r="U121" s="99">
        <f t="shared" ca="1" si="34"/>
        <v>1481.0284794818213</v>
      </c>
      <c r="V121" s="4">
        <f t="shared" ca="1" si="35"/>
        <v>0</v>
      </c>
      <c r="W121" s="13">
        <f t="shared" ca="1" si="36"/>
        <v>13854.837862499999</v>
      </c>
      <c r="X121" s="4">
        <f t="shared" ca="1" si="37"/>
        <v>0</v>
      </c>
    </row>
    <row r="122" spans="1:24">
      <c r="A122">
        <v>0</v>
      </c>
      <c r="B122">
        <v>3</v>
      </c>
      <c r="C122">
        <f t="shared" ca="1" si="19"/>
        <v>6</v>
      </c>
      <c r="D122">
        <f t="shared" ca="1" si="20"/>
        <v>4</v>
      </c>
      <c r="E122">
        <f t="shared" ca="1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273</v>
      </c>
      <c r="M122" s="7">
        <f t="shared" ca="1" si="26"/>
        <v>727</v>
      </c>
      <c r="N122" s="43">
        <f t="shared" ca="1" si="27"/>
        <v>6</v>
      </c>
      <c r="O122" s="92">
        <f t="shared" ca="1" si="28"/>
        <v>2.003415856166523</v>
      </c>
      <c r="P122" s="92">
        <f t="shared" ca="1" si="29"/>
        <v>20.03415856166523</v>
      </c>
      <c r="Q122" s="92">
        <f t="shared" ca="1" si="30"/>
        <v>20.03415856166523</v>
      </c>
      <c r="R122" s="92">
        <f t="shared" ca="1" si="31"/>
        <v>2.003415856166523</v>
      </c>
      <c r="S122" s="92">
        <f t="shared" ca="1" si="32"/>
        <v>2.003415856166523</v>
      </c>
      <c r="T122" s="4">
        <f t="shared" ca="1" si="33"/>
        <v>0</v>
      </c>
      <c r="U122" s="99">
        <f t="shared" ca="1" si="34"/>
        <v>1502.0284794818213</v>
      </c>
      <c r="V122" s="4">
        <f t="shared" ca="1" si="35"/>
        <v>0</v>
      </c>
      <c r="W122" s="13">
        <f t="shared" ca="1" si="36"/>
        <v>21932.249737499998</v>
      </c>
      <c r="X122" s="4">
        <f t="shared" ca="1" si="37"/>
        <v>0</v>
      </c>
    </row>
    <row r="123" spans="1:24">
      <c r="A123">
        <v>0</v>
      </c>
      <c r="B123">
        <v>3</v>
      </c>
      <c r="C123">
        <f t="shared" ca="1" si="19"/>
        <v>6</v>
      </c>
      <c r="D123">
        <f t="shared" ca="1" si="20"/>
        <v>4</v>
      </c>
      <c r="E123">
        <f t="shared" ca="1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252</v>
      </c>
      <c r="M123" s="7">
        <f t="shared" ca="1" si="26"/>
        <v>748</v>
      </c>
      <c r="N123" s="43">
        <f t="shared" ca="1" si="27"/>
        <v>6</v>
      </c>
      <c r="O123" s="92">
        <f t="shared" ca="1" si="28"/>
        <v>2.003415856166523</v>
      </c>
      <c r="P123" s="92">
        <f t="shared" ca="1" si="29"/>
        <v>20.03415856166523</v>
      </c>
      <c r="Q123" s="92">
        <f t="shared" ca="1" si="30"/>
        <v>20.03415856166523</v>
      </c>
      <c r="R123" s="92">
        <f t="shared" ca="1" si="31"/>
        <v>2.003415856166523</v>
      </c>
      <c r="S123" s="92">
        <f t="shared" ca="1" si="32"/>
        <v>2.003415856166523</v>
      </c>
      <c r="T123" s="4">
        <f t="shared" ca="1" si="33"/>
        <v>0</v>
      </c>
      <c r="U123" s="99">
        <f t="shared" ca="1" si="34"/>
        <v>1481.0284794818213</v>
      </c>
      <c r="V123" s="4">
        <f t="shared" ca="1" si="35"/>
        <v>0</v>
      </c>
      <c r="W123" s="13">
        <f t="shared" ca="1" si="36"/>
        <v>20580.112237499998</v>
      </c>
      <c r="X123" s="4">
        <f t="shared" ca="1" si="37"/>
        <v>0</v>
      </c>
    </row>
    <row r="124" spans="1:24">
      <c r="A124">
        <v>0</v>
      </c>
      <c r="B124">
        <v>3</v>
      </c>
      <c r="C124">
        <f t="shared" ca="1" si="19"/>
        <v>6</v>
      </c>
      <c r="D124">
        <f t="shared" ca="1" si="20"/>
        <v>4</v>
      </c>
      <c r="E124">
        <f t="shared" ca="1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231</v>
      </c>
      <c r="M124" s="7">
        <f t="shared" ca="1" si="26"/>
        <v>769</v>
      </c>
      <c r="N124" s="43">
        <f t="shared" ca="1" si="27"/>
        <v>6</v>
      </c>
      <c r="O124" s="92">
        <f t="shared" ca="1" si="28"/>
        <v>2.003415856166523</v>
      </c>
      <c r="P124" s="92">
        <f t="shared" ca="1" si="29"/>
        <v>20.03415856166523</v>
      </c>
      <c r="Q124" s="92">
        <f t="shared" ca="1" si="30"/>
        <v>20.03415856166523</v>
      </c>
      <c r="R124" s="92">
        <f t="shared" ca="1" si="31"/>
        <v>2.003415856166523</v>
      </c>
      <c r="S124" s="92">
        <f t="shared" ca="1" si="32"/>
        <v>2.003415856166523</v>
      </c>
      <c r="T124" s="4">
        <f t="shared" ca="1" si="33"/>
        <v>0</v>
      </c>
      <c r="U124" s="99">
        <f t="shared" ca="1" si="34"/>
        <v>1460.0284794818213</v>
      </c>
      <c r="V124" s="4">
        <f t="shared" ca="1" si="35"/>
        <v>0</v>
      </c>
      <c r="W124" s="13">
        <f t="shared" ca="1" si="36"/>
        <v>19227.974737500001</v>
      </c>
      <c r="X124" s="4">
        <f t="shared" ca="1" si="37"/>
        <v>0</v>
      </c>
    </row>
    <row r="125" spans="1:24">
      <c r="A125">
        <v>0</v>
      </c>
      <c r="B125">
        <v>3</v>
      </c>
      <c r="C125">
        <f t="shared" ca="1" si="19"/>
        <v>6</v>
      </c>
      <c r="D125">
        <f t="shared" ca="1" si="20"/>
        <v>4</v>
      </c>
      <c r="E125">
        <f t="shared" ca="1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9.5099004990000079E-3</v>
      </c>
      <c r="K125" s="1">
        <f t="shared" ca="1" si="24"/>
        <v>0</v>
      </c>
      <c r="L125" s="13">
        <f t="shared" ca="1" si="25"/>
        <v>210</v>
      </c>
      <c r="M125" s="7">
        <f t="shared" ca="1" si="26"/>
        <v>790</v>
      </c>
      <c r="N125" s="43">
        <f t="shared" ca="1" si="27"/>
        <v>7</v>
      </c>
      <c r="O125" s="92">
        <f t="shared" ca="1" si="28"/>
        <v>2.264588428134358</v>
      </c>
      <c r="P125" s="92">
        <f t="shared" ca="1" si="29"/>
        <v>22.645884281343584</v>
      </c>
      <c r="Q125" s="92">
        <f t="shared" ca="1" si="30"/>
        <v>21.340021421504403</v>
      </c>
      <c r="R125" s="92">
        <f t="shared" ca="1" si="31"/>
        <v>2.1992952851423992</v>
      </c>
      <c r="S125" s="92">
        <f t="shared" ca="1" si="32"/>
        <v>2.264588428134358</v>
      </c>
      <c r="T125" s="4">
        <f t="shared" ca="1" si="33"/>
        <v>0</v>
      </c>
      <c r="U125" s="99">
        <f t="shared" ca="1" si="34"/>
        <v>1567.2486983548911</v>
      </c>
      <c r="V125" s="4">
        <f t="shared" ca="1" si="35"/>
        <v>0</v>
      </c>
      <c r="W125" s="13">
        <f t="shared" ca="1" si="36"/>
        <v>17875.8372375</v>
      </c>
      <c r="X125" s="4">
        <f t="shared" ca="1" si="37"/>
        <v>0</v>
      </c>
    </row>
    <row r="126" spans="1:24">
      <c r="A126">
        <v>0</v>
      </c>
      <c r="B126">
        <v>3</v>
      </c>
      <c r="C126">
        <f t="shared" ca="1" si="19"/>
        <v>6</v>
      </c>
      <c r="D126">
        <f t="shared" ca="1" si="20"/>
        <v>4</v>
      </c>
      <c r="E126">
        <f t="shared" ca="1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3.8423840400000073E-4</v>
      </c>
      <c r="K126" s="1">
        <f t="shared" ca="1" si="24"/>
        <v>0</v>
      </c>
      <c r="L126" s="13">
        <f t="shared" ca="1" si="25"/>
        <v>189</v>
      </c>
      <c r="M126" s="7">
        <f t="shared" ca="1" si="26"/>
        <v>811</v>
      </c>
      <c r="N126" s="43">
        <f t="shared" ca="1" si="27"/>
        <v>7</v>
      </c>
      <c r="O126" s="92">
        <f t="shared" ca="1" si="28"/>
        <v>2.264588428134358</v>
      </c>
      <c r="P126" s="92">
        <f t="shared" ca="1" si="29"/>
        <v>22.645884281343584</v>
      </c>
      <c r="Q126" s="92">
        <f t="shared" ca="1" si="30"/>
        <v>22.645884281343584</v>
      </c>
      <c r="R126" s="92">
        <f t="shared" ca="1" si="31"/>
        <v>2.2645884281343585</v>
      </c>
      <c r="S126" s="92">
        <f t="shared" ca="1" si="32"/>
        <v>2.264588428134358</v>
      </c>
      <c r="T126" s="4">
        <f t="shared" ca="1" si="33"/>
        <v>0</v>
      </c>
      <c r="U126" s="99">
        <f t="shared" ca="1" si="34"/>
        <v>1546.2486983548911</v>
      </c>
      <c r="V126" s="4">
        <f t="shared" ca="1" si="35"/>
        <v>0</v>
      </c>
      <c r="W126" s="13">
        <f t="shared" ca="1" si="36"/>
        <v>16523.699737499999</v>
      </c>
      <c r="X126" s="4">
        <f t="shared" ca="1" si="37"/>
        <v>0</v>
      </c>
    </row>
    <row r="127" spans="1:24">
      <c r="A127">
        <v>0</v>
      </c>
      <c r="B127">
        <v>3</v>
      </c>
      <c r="C127">
        <f t="shared" ca="1" si="19"/>
        <v>6</v>
      </c>
      <c r="D127">
        <f t="shared" ca="1" si="20"/>
        <v>4</v>
      </c>
      <c r="E127">
        <f t="shared" ca="1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5.8217940000000154E-6</v>
      </c>
      <c r="K127" s="1">
        <f t="shared" ca="1" si="24"/>
        <v>0</v>
      </c>
      <c r="L127" s="13">
        <f t="shared" ca="1" si="25"/>
        <v>168</v>
      </c>
      <c r="M127" s="7">
        <f t="shared" ca="1" si="26"/>
        <v>832</v>
      </c>
      <c r="N127" s="43">
        <f t="shared" ca="1" si="27"/>
        <v>7</v>
      </c>
      <c r="O127" s="92">
        <f t="shared" ca="1" si="28"/>
        <v>2.264588428134358</v>
      </c>
      <c r="P127" s="92">
        <f t="shared" ca="1" si="29"/>
        <v>22.645884281343584</v>
      </c>
      <c r="Q127" s="92">
        <f t="shared" ca="1" si="30"/>
        <v>22.645884281343584</v>
      </c>
      <c r="R127" s="92">
        <f t="shared" ca="1" si="31"/>
        <v>2.2645884281343585</v>
      </c>
      <c r="S127" s="92">
        <f t="shared" ca="1" si="32"/>
        <v>2.264588428134358</v>
      </c>
      <c r="T127" s="4">
        <f t="shared" ca="1" si="33"/>
        <v>0</v>
      </c>
      <c r="U127" s="99">
        <f t="shared" ca="1" si="34"/>
        <v>1525.2486983548911</v>
      </c>
      <c r="V127" s="4">
        <f t="shared" ca="1" si="35"/>
        <v>0</v>
      </c>
      <c r="W127" s="13">
        <f t="shared" ca="1" si="36"/>
        <v>15171.562237499998</v>
      </c>
      <c r="X127" s="4">
        <f t="shared" ca="1" si="37"/>
        <v>0</v>
      </c>
    </row>
    <row r="128" spans="1:24">
      <c r="A128">
        <v>0</v>
      </c>
      <c r="B128">
        <v>3</v>
      </c>
      <c r="C128">
        <f t="shared" ca="1" si="19"/>
        <v>6</v>
      </c>
      <c r="D128">
        <f t="shared" ca="1" si="20"/>
        <v>4</v>
      </c>
      <c r="E128">
        <f t="shared" ca="1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3.9204000000000137E-8</v>
      </c>
      <c r="K128" s="1">
        <f t="shared" ca="1" si="24"/>
        <v>0</v>
      </c>
      <c r="L128" s="13">
        <f t="shared" ca="1" si="25"/>
        <v>147</v>
      </c>
      <c r="M128" s="7">
        <f t="shared" ca="1" si="26"/>
        <v>853</v>
      </c>
      <c r="N128" s="43">
        <f t="shared" ca="1" si="27"/>
        <v>7</v>
      </c>
      <c r="O128" s="92">
        <f t="shared" ca="1" si="28"/>
        <v>2.264588428134358</v>
      </c>
      <c r="P128" s="92">
        <f t="shared" ca="1" si="29"/>
        <v>22.645884281343584</v>
      </c>
      <c r="Q128" s="92">
        <f t="shared" ca="1" si="30"/>
        <v>22.645884281343584</v>
      </c>
      <c r="R128" s="92">
        <f t="shared" ca="1" si="31"/>
        <v>2.2645884281343585</v>
      </c>
      <c r="S128" s="92">
        <f t="shared" ca="1" si="32"/>
        <v>2.264588428134358</v>
      </c>
      <c r="T128" s="4">
        <f t="shared" ca="1" si="33"/>
        <v>0</v>
      </c>
      <c r="U128" s="99">
        <f t="shared" ca="1" si="34"/>
        <v>1504.2486983548911</v>
      </c>
      <c r="V128" s="4">
        <f t="shared" ca="1" si="35"/>
        <v>0</v>
      </c>
      <c r="W128" s="13">
        <f t="shared" ca="1" si="36"/>
        <v>13819.4247375</v>
      </c>
      <c r="X128" s="4">
        <f t="shared" ca="1" si="37"/>
        <v>0</v>
      </c>
    </row>
    <row r="129" spans="1:24">
      <c r="A129">
        <v>0</v>
      </c>
      <c r="B129">
        <v>3</v>
      </c>
      <c r="C129">
        <f t="shared" ca="1" si="19"/>
        <v>6</v>
      </c>
      <c r="D129">
        <f t="shared" ca="1" si="20"/>
        <v>4</v>
      </c>
      <c r="E129">
        <f t="shared" ca="1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9.9000000000000459E-11</v>
      </c>
      <c r="K129" s="1">
        <f t="shared" ca="1" si="24"/>
        <v>0</v>
      </c>
      <c r="L129" s="13">
        <f t="shared" ca="1" si="25"/>
        <v>126</v>
      </c>
      <c r="M129" s="7">
        <f t="shared" ca="1" si="26"/>
        <v>874</v>
      </c>
      <c r="N129" s="43">
        <f t="shared" ca="1" si="27"/>
        <v>7</v>
      </c>
      <c r="O129" s="92">
        <f t="shared" ca="1" si="28"/>
        <v>2.264588428134358</v>
      </c>
      <c r="P129" s="92">
        <f t="shared" ca="1" si="29"/>
        <v>22.645884281343584</v>
      </c>
      <c r="Q129" s="92">
        <f t="shared" ca="1" si="30"/>
        <v>22.645884281343584</v>
      </c>
      <c r="R129" s="92">
        <f t="shared" ca="1" si="31"/>
        <v>2.2645884281343585</v>
      </c>
      <c r="S129" s="92">
        <f t="shared" ca="1" si="32"/>
        <v>2.264588428134358</v>
      </c>
      <c r="T129" s="4">
        <f t="shared" ca="1" si="33"/>
        <v>0</v>
      </c>
      <c r="U129" s="99">
        <f t="shared" ca="1" si="34"/>
        <v>1483.2486983548911</v>
      </c>
      <c r="V129" s="4">
        <f t="shared" ca="1" si="35"/>
        <v>0</v>
      </c>
      <c r="W129" s="13">
        <f t="shared" ca="1" si="36"/>
        <v>12467.287237499999</v>
      </c>
      <c r="X129" s="4">
        <f t="shared" ca="1" si="37"/>
        <v>0</v>
      </c>
    </row>
    <row r="130" spans="1:24">
      <c r="A130">
        <v>0</v>
      </c>
      <c r="B130">
        <v>3</v>
      </c>
      <c r="C130">
        <f t="shared" ca="1" si="19"/>
        <v>6</v>
      </c>
      <c r="D130">
        <f t="shared" ca="1" si="20"/>
        <v>4</v>
      </c>
      <c r="E130">
        <f t="shared" ca="1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273</v>
      </c>
      <c r="M130" s="7">
        <f t="shared" ca="1" si="26"/>
        <v>727</v>
      </c>
      <c r="N130" s="43">
        <f t="shared" ca="1" si="27"/>
        <v>6</v>
      </c>
      <c r="O130" s="92">
        <f t="shared" ca="1" si="28"/>
        <v>2.003415856166523</v>
      </c>
      <c r="P130" s="92">
        <f t="shared" ca="1" si="29"/>
        <v>20.03415856166523</v>
      </c>
      <c r="Q130" s="92">
        <f t="shared" ca="1" si="30"/>
        <v>20.03415856166523</v>
      </c>
      <c r="R130" s="92">
        <f t="shared" ca="1" si="31"/>
        <v>2.003415856166523</v>
      </c>
      <c r="S130" s="92">
        <f t="shared" ca="1" si="32"/>
        <v>2.003415856166523</v>
      </c>
      <c r="T130" s="4">
        <f t="shared" ca="1" si="33"/>
        <v>0</v>
      </c>
      <c r="U130" s="99">
        <f t="shared" ca="1" si="34"/>
        <v>1502.0284794818213</v>
      </c>
      <c r="V130" s="4">
        <f t="shared" ca="1" si="35"/>
        <v>0</v>
      </c>
      <c r="W130" s="13">
        <f t="shared" ca="1" si="36"/>
        <v>10852.513124999999</v>
      </c>
      <c r="X130" s="4">
        <f t="shared" ca="1" si="37"/>
        <v>0</v>
      </c>
    </row>
    <row r="131" spans="1:24">
      <c r="A131">
        <v>0</v>
      </c>
      <c r="B131">
        <v>3</v>
      </c>
      <c r="C131">
        <f t="shared" ca="1" si="19"/>
        <v>6</v>
      </c>
      <c r="D131">
        <f t="shared" ca="1" si="20"/>
        <v>4</v>
      </c>
      <c r="E131">
        <f t="shared" ca="1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252</v>
      </c>
      <c r="M131" s="7">
        <f t="shared" ca="1" si="26"/>
        <v>748</v>
      </c>
      <c r="N131" s="43">
        <f t="shared" ca="1" si="27"/>
        <v>6</v>
      </c>
      <c r="O131" s="92">
        <f t="shared" ca="1" si="28"/>
        <v>2.003415856166523</v>
      </c>
      <c r="P131" s="92">
        <f t="shared" ca="1" si="29"/>
        <v>20.03415856166523</v>
      </c>
      <c r="Q131" s="92">
        <f t="shared" ca="1" si="30"/>
        <v>20.03415856166523</v>
      </c>
      <c r="R131" s="92">
        <f t="shared" ca="1" si="31"/>
        <v>2.003415856166523</v>
      </c>
      <c r="S131" s="92">
        <f t="shared" ca="1" si="32"/>
        <v>2.003415856166523</v>
      </c>
      <c r="T131" s="4">
        <f t="shared" ca="1" si="33"/>
        <v>0</v>
      </c>
      <c r="U131" s="99">
        <f t="shared" ca="1" si="34"/>
        <v>1481.0284794818213</v>
      </c>
      <c r="V131" s="4">
        <f t="shared" ca="1" si="35"/>
        <v>0</v>
      </c>
      <c r="W131" s="13">
        <f t="shared" ca="1" si="36"/>
        <v>9500.3756250000006</v>
      </c>
      <c r="X131" s="4">
        <f t="shared" ca="1" si="37"/>
        <v>0</v>
      </c>
    </row>
    <row r="132" spans="1:24">
      <c r="A132">
        <v>0</v>
      </c>
      <c r="B132">
        <v>3</v>
      </c>
      <c r="C132">
        <f t="shared" ca="1" si="19"/>
        <v>6</v>
      </c>
      <c r="D132">
        <f t="shared" ca="1" si="20"/>
        <v>4</v>
      </c>
      <c r="E132">
        <f t="shared" ca="1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231</v>
      </c>
      <c r="M132" s="7">
        <f t="shared" ca="1" si="26"/>
        <v>769</v>
      </c>
      <c r="N132" s="43">
        <f t="shared" ca="1" si="27"/>
        <v>6</v>
      </c>
      <c r="O132" s="92">
        <f t="shared" ca="1" si="28"/>
        <v>2.003415856166523</v>
      </c>
      <c r="P132" s="92">
        <f t="shared" ca="1" si="29"/>
        <v>20.03415856166523</v>
      </c>
      <c r="Q132" s="92">
        <f t="shared" ca="1" si="30"/>
        <v>20.03415856166523</v>
      </c>
      <c r="R132" s="92">
        <f t="shared" ca="1" si="31"/>
        <v>2.003415856166523</v>
      </c>
      <c r="S132" s="92">
        <f t="shared" ca="1" si="32"/>
        <v>2.003415856166523</v>
      </c>
      <c r="T132" s="4">
        <f t="shared" ca="1" si="33"/>
        <v>0</v>
      </c>
      <c r="U132" s="99">
        <f t="shared" ca="1" si="34"/>
        <v>1460.0284794818213</v>
      </c>
      <c r="V132" s="4">
        <f t="shared" ca="1" si="35"/>
        <v>0</v>
      </c>
      <c r="W132" s="13">
        <f t="shared" ca="1" si="36"/>
        <v>8148.2381249999999</v>
      </c>
      <c r="X132" s="4">
        <f t="shared" ca="1" si="37"/>
        <v>0</v>
      </c>
    </row>
    <row r="133" spans="1:24">
      <c r="A133">
        <v>0</v>
      </c>
      <c r="B133">
        <v>3</v>
      </c>
      <c r="C133">
        <f t="shared" ca="1" si="19"/>
        <v>6</v>
      </c>
      <c r="D133">
        <f t="shared" ca="1" si="20"/>
        <v>4</v>
      </c>
      <c r="E133">
        <f t="shared" ca="1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9.5099004990000079E-3</v>
      </c>
      <c r="K133" s="1">
        <f t="shared" ca="1" si="24"/>
        <v>0</v>
      </c>
      <c r="L133" s="13">
        <f t="shared" ca="1" si="25"/>
        <v>210</v>
      </c>
      <c r="M133" s="7">
        <f t="shared" ca="1" si="26"/>
        <v>790</v>
      </c>
      <c r="N133" s="43">
        <f t="shared" ca="1" si="27"/>
        <v>7</v>
      </c>
      <c r="O133" s="92">
        <f t="shared" ca="1" si="28"/>
        <v>2.264588428134358</v>
      </c>
      <c r="P133" s="92">
        <f t="shared" ca="1" si="29"/>
        <v>22.645884281343584</v>
      </c>
      <c r="Q133" s="92">
        <f t="shared" ca="1" si="30"/>
        <v>21.340021421504403</v>
      </c>
      <c r="R133" s="92">
        <f t="shared" ca="1" si="31"/>
        <v>2.1992952851423992</v>
      </c>
      <c r="S133" s="92">
        <f t="shared" ca="1" si="32"/>
        <v>2.264588428134358</v>
      </c>
      <c r="T133" s="4">
        <f t="shared" ca="1" si="33"/>
        <v>0</v>
      </c>
      <c r="U133" s="99">
        <f t="shared" ca="1" si="34"/>
        <v>1567.2486983548911</v>
      </c>
      <c r="V133" s="4">
        <f t="shared" ca="1" si="35"/>
        <v>0</v>
      </c>
      <c r="W133" s="13">
        <f t="shared" ca="1" si="36"/>
        <v>6796.100625</v>
      </c>
      <c r="X133" s="4">
        <f t="shared" ca="1" si="37"/>
        <v>0</v>
      </c>
    </row>
    <row r="134" spans="1:24">
      <c r="A134">
        <v>0</v>
      </c>
      <c r="B134">
        <v>3</v>
      </c>
      <c r="C134">
        <f t="shared" ca="1" si="19"/>
        <v>6</v>
      </c>
      <c r="D134">
        <f t="shared" ca="1" si="20"/>
        <v>4</v>
      </c>
      <c r="E134">
        <f t="shared" ca="1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3.8423840400000073E-4</v>
      </c>
      <c r="K134" s="1">
        <f t="shared" ca="1" si="24"/>
        <v>0</v>
      </c>
      <c r="L134" s="13">
        <f t="shared" ca="1" si="25"/>
        <v>189</v>
      </c>
      <c r="M134" s="7">
        <f t="shared" ca="1" si="26"/>
        <v>811</v>
      </c>
      <c r="N134" s="43">
        <f t="shared" ca="1" si="27"/>
        <v>7</v>
      </c>
      <c r="O134" s="92">
        <f t="shared" ca="1" si="28"/>
        <v>2.264588428134358</v>
      </c>
      <c r="P134" s="92">
        <f t="shared" ca="1" si="29"/>
        <v>22.645884281343584</v>
      </c>
      <c r="Q134" s="92">
        <f t="shared" ca="1" si="30"/>
        <v>22.645884281343584</v>
      </c>
      <c r="R134" s="92">
        <f t="shared" ca="1" si="31"/>
        <v>2.2645884281343585</v>
      </c>
      <c r="S134" s="92">
        <f t="shared" ca="1" si="32"/>
        <v>2.264588428134358</v>
      </c>
      <c r="T134" s="4">
        <f t="shared" ca="1" si="33"/>
        <v>0</v>
      </c>
      <c r="U134" s="99">
        <f t="shared" ca="1" si="34"/>
        <v>1546.2486983548911</v>
      </c>
      <c r="V134" s="4">
        <f t="shared" ca="1" si="35"/>
        <v>0</v>
      </c>
      <c r="W134" s="13">
        <f t="shared" ca="1" si="36"/>
        <v>5443.9631250000002</v>
      </c>
      <c r="X134" s="4">
        <f t="shared" ca="1" si="37"/>
        <v>0</v>
      </c>
    </row>
    <row r="135" spans="1:24">
      <c r="A135">
        <v>0</v>
      </c>
      <c r="B135">
        <v>3</v>
      </c>
      <c r="C135">
        <f t="shared" ca="1" si="19"/>
        <v>6</v>
      </c>
      <c r="D135">
        <f t="shared" ca="1" si="20"/>
        <v>4</v>
      </c>
      <c r="E135">
        <f t="shared" ca="1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5.8217940000000154E-6</v>
      </c>
      <c r="K135" s="1">
        <f t="shared" ca="1" si="24"/>
        <v>0</v>
      </c>
      <c r="L135" s="13">
        <f t="shared" ca="1" si="25"/>
        <v>168</v>
      </c>
      <c r="M135" s="7">
        <f t="shared" ca="1" si="26"/>
        <v>832</v>
      </c>
      <c r="N135" s="43">
        <f t="shared" ca="1" si="27"/>
        <v>7</v>
      </c>
      <c r="O135" s="92">
        <f t="shared" ca="1" si="28"/>
        <v>2.264588428134358</v>
      </c>
      <c r="P135" s="92">
        <f t="shared" ca="1" si="29"/>
        <v>22.645884281343584</v>
      </c>
      <c r="Q135" s="92">
        <f t="shared" ca="1" si="30"/>
        <v>22.645884281343584</v>
      </c>
      <c r="R135" s="92">
        <f t="shared" ca="1" si="31"/>
        <v>2.2645884281343585</v>
      </c>
      <c r="S135" s="92">
        <f t="shared" ca="1" si="32"/>
        <v>2.264588428134358</v>
      </c>
      <c r="T135" s="4">
        <f t="shared" ca="1" si="33"/>
        <v>0</v>
      </c>
      <c r="U135" s="99">
        <f t="shared" ca="1" si="34"/>
        <v>1525.2486983548911</v>
      </c>
      <c r="V135" s="4">
        <f t="shared" ca="1" si="35"/>
        <v>0</v>
      </c>
      <c r="W135" s="13">
        <f t="shared" ca="1" si="36"/>
        <v>4091.8256249999999</v>
      </c>
      <c r="X135" s="4">
        <f t="shared" ca="1" si="37"/>
        <v>0</v>
      </c>
    </row>
    <row r="136" spans="1:24">
      <c r="A136">
        <v>0</v>
      </c>
      <c r="B136">
        <v>3</v>
      </c>
      <c r="C136">
        <f t="shared" ca="1" si="19"/>
        <v>6</v>
      </c>
      <c r="D136">
        <f t="shared" ca="1" si="20"/>
        <v>4</v>
      </c>
      <c r="E136">
        <f t="shared" ca="1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3.9204000000000137E-8</v>
      </c>
      <c r="K136" s="1">
        <f t="shared" ca="1" si="24"/>
        <v>0</v>
      </c>
      <c r="L136" s="13">
        <f t="shared" ca="1" si="25"/>
        <v>147</v>
      </c>
      <c r="M136" s="7">
        <f t="shared" ca="1" si="26"/>
        <v>853</v>
      </c>
      <c r="N136" s="43">
        <f t="shared" ca="1" si="27"/>
        <v>7</v>
      </c>
      <c r="O136" s="92">
        <f t="shared" ca="1" si="28"/>
        <v>2.264588428134358</v>
      </c>
      <c r="P136" s="92">
        <f t="shared" ca="1" si="29"/>
        <v>22.645884281343584</v>
      </c>
      <c r="Q136" s="92">
        <f t="shared" ca="1" si="30"/>
        <v>22.645884281343584</v>
      </c>
      <c r="R136" s="92">
        <f t="shared" ca="1" si="31"/>
        <v>2.2645884281343585</v>
      </c>
      <c r="S136" s="92">
        <f t="shared" ca="1" si="32"/>
        <v>2.264588428134358</v>
      </c>
      <c r="T136" s="4">
        <f t="shared" ca="1" si="33"/>
        <v>0</v>
      </c>
      <c r="U136" s="99">
        <f t="shared" ca="1" si="34"/>
        <v>1504.2486983548911</v>
      </c>
      <c r="V136" s="4">
        <f t="shared" ca="1" si="35"/>
        <v>0</v>
      </c>
      <c r="W136" s="13">
        <f t="shared" ca="1" si="36"/>
        <v>2739.6881249999997</v>
      </c>
      <c r="X136" s="4">
        <f t="shared" ca="1" si="37"/>
        <v>0</v>
      </c>
    </row>
    <row r="137" spans="1:24">
      <c r="A137">
        <v>0</v>
      </c>
      <c r="B137">
        <v>3</v>
      </c>
      <c r="C137">
        <f t="shared" ca="1" si="19"/>
        <v>6</v>
      </c>
      <c r="D137">
        <f t="shared" ca="1" si="20"/>
        <v>4</v>
      </c>
      <c r="E137">
        <f t="shared" ca="1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9.9000000000000459E-11</v>
      </c>
      <c r="K137" s="1">
        <f t="shared" ca="1" si="24"/>
        <v>0</v>
      </c>
      <c r="L137" s="13">
        <f t="shared" ca="1" si="25"/>
        <v>126</v>
      </c>
      <c r="M137" s="7">
        <f t="shared" ca="1" si="26"/>
        <v>874</v>
      </c>
      <c r="N137" s="43">
        <f t="shared" ca="1" si="27"/>
        <v>7</v>
      </c>
      <c r="O137" s="92">
        <f t="shared" ca="1" si="28"/>
        <v>2.264588428134358</v>
      </c>
      <c r="P137" s="92">
        <f t="shared" ca="1" si="29"/>
        <v>22.645884281343584</v>
      </c>
      <c r="Q137" s="92">
        <f t="shared" ca="1" si="30"/>
        <v>22.645884281343584</v>
      </c>
      <c r="R137" s="92">
        <f t="shared" ca="1" si="31"/>
        <v>2.2645884281343585</v>
      </c>
      <c r="S137" s="92">
        <f t="shared" ca="1" si="32"/>
        <v>2.264588428134358</v>
      </c>
      <c r="T137" s="4">
        <f t="shared" ca="1" si="33"/>
        <v>0</v>
      </c>
      <c r="U137" s="99">
        <f t="shared" ca="1" si="34"/>
        <v>1483.2486983548911</v>
      </c>
      <c r="V137" s="4">
        <f t="shared" ca="1" si="35"/>
        <v>0</v>
      </c>
      <c r="W137" s="13">
        <f t="shared" ca="1" si="36"/>
        <v>1387.5506249999999</v>
      </c>
      <c r="X137" s="4">
        <f t="shared" ca="1" si="37"/>
        <v>0</v>
      </c>
    </row>
    <row r="138" spans="1:24">
      <c r="A138">
        <v>0</v>
      </c>
      <c r="B138">
        <v>3</v>
      </c>
      <c r="C138">
        <f t="shared" ca="1" si="19"/>
        <v>6</v>
      </c>
      <c r="D138">
        <f t="shared" ca="1" si="20"/>
        <v>4</v>
      </c>
      <c r="E138">
        <f t="shared" ca="1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3">
        <f t="shared" ca="1" si="27"/>
        <v>7</v>
      </c>
      <c r="O138" s="92">
        <f t="shared" ca="1" si="28"/>
        <v>2.264588428134358</v>
      </c>
      <c r="P138" s="92">
        <f t="shared" ca="1" si="29"/>
        <v>22.645884281343584</v>
      </c>
      <c r="Q138" s="92">
        <f t="shared" ca="1" si="30"/>
        <v>22.645884281343584</v>
      </c>
      <c r="R138" s="92">
        <f t="shared" ca="1" si="31"/>
        <v>2.2645884281343585</v>
      </c>
      <c r="S138" s="92">
        <f t="shared" ca="1" si="32"/>
        <v>2.264588428134358</v>
      </c>
      <c r="T138" s="4">
        <f t="shared" ca="1" si="33"/>
        <v>0</v>
      </c>
      <c r="U138" s="99">
        <f t="shared" ca="1" si="34"/>
        <v>1504.2486983548911</v>
      </c>
      <c r="V138" s="4">
        <f t="shared" ca="1" si="35"/>
        <v>0</v>
      </c>
      <c r="W138" s="13">
        <f t="shared" ca="1" si="36"/>
        <v>9464.9624999999996</v>
      </c>
      <c r="X138" s="4">
        <f t="shared" ca="1" si="37"/>
        <v>0</v>
      </c>
    </row>
    <row r="139" spans="1:24">
      <c r="A139">
        <v>0</v>
      </c>
      <c r="B139">
        <v>3</v>
      </c>
      <c r="C139">
        <f t="shared" ca="1" si="19"/>
        <v>6</v>
      </c>
      <c r="D139">
        <f t="shared" ca="1" si="20"/>
        <v>4</v>
      </c>
      <c r="E139">
        <f t="shared" ca="1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3">
        <f t="shared" ca="1" si="27"/>
        <v>7</v>
      </c>
      <c r="O139" s="92">
        <f t="shared" ca="1" si="28"/>
        <v>2.264588428134358</v>
      </c>
      <c r="P139" s="92">
        <f t="shared" ca="1" si="29"/>
        <v>22.645884281343584</v>
      </c>
      <c r="Q139" s="92">
        <f t="shared" ca="1" si="30"/>
        <v>22.645884281343584</v>
      </c>
      <c r="R139" s="92">
        <f t="shared" ca="1" si="31"/>
        <v>2.2645884281343585</v>
      </c>
      <c r="S139" s="92">
        <f t="shared" ca="1" si="32"/>
        <v>2.264588428134358</v>
      </c>
      <c r="T139" s="4">
        <f t="shared" ca="1" si="33"/>
        <v>0</v>
      </c>
      <c r="U139" s="99">
        <f t="shared" ca="1" si="34"/>
        <v>1483.2486983548911</v>
      </c>
      <c r="V139" s="4">
        <f t="shared" ca="1" si="35"/>
        <v>0</v>
      </c>
      <c r="W139" s="13">
        <f t="shared" ca="1" si="36"/>
        <v>8112.8249999999998</v>
      </c>
      <c r="X139" s="4">
        <f t="shared" ca="1" si="37"/>
        <v>0</v>
      </c>
    </row>
    <row r="140" spans="1:24">
      <c r="A140">
        <v>0</v>
      </c>
      <c r="B140">
        <v>3</v>
      </c>
      <c r="C140">
        <f t="shared" ca="1" si="19"/>
        <v>6</v>
      </c>
      <c r="D140">
        <f t="shared" ca="1" si="20"/>
        <v>4</v>
      </c>
      <c r="E140">
        <f t="shared" ca="1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3">
        <f t="shared" ca="1" si="27"/>
        <v>7</v>
      </c>
      <c r="O140" s="92">
        <f t="shared" ca="1" si="28"/>
        <v>2.264588428134358</v>
      </c>
      <c r="P140" s="92">
        <f t="shared" ca="1" si="29"/>
        <v>22.645884281343584</v>
      </c>
      <c r="Q140" s="92">
        <f t="shared" ca="1" si="30"/>
        <v>22.645884281343584</v>
      </c>
      <c r="R140" s="92">
        <f t="shared" ca="1" si="31"/>
        <v>2.2645884281343585</v>
      </c>
      <c r="S140" s="92">
        <f t="shared" ca="1" si="32"/>
        <v>2.264588428134358</v>
      </c>
      <c r="T140" s="4">
        <f t="shared" ca="1" si="33"/>
        <v>0</v>
      </c>
      <c r="U140" s="99">
        <f t="shared" ca="1" si="34"/>
        <v>1462.2486983548911</v>
      </c>
      <c r="V140" s="4">
        <f t="shared" ca="1" si="35"/>
        <v>0</v>
      </c>
      <c r="W140" s="13">
        <f t="shared" ca="1" si="36"/>
        <v>6760.6875</v>
      </c>
      <c r="X140" s="4">
        <f t="shared" ca="1" si="37"/>
        <v>0</v>
      </c>
    </row>
    <row r="141" spans="1:24">
      <c r="A141">
        <v>0</v>
      </c>
      <c r="B141">
        <v>3</v>
      </c>
      <c r="C141">
        <f t="shared" ca="1" si="19"/>
        <v>6</v>
      </c>
      <c r="D141">
        <f t="shared" ca="1" si="20"/>
        <v>4</v>
      </c>
      <c r="E141">
        <f t="shared" ca="1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9.605960100000017E-5</v>
      </c>
      <c r="K141" s="1">
        <f t="shared" ca="1" si="24"/>
        <v>0</v>
      </c>
      <c r="L141" s="13">
        <f t="shared" ca="1" si="25"/>
        <v>100</v>
      </c>
      <c r="M141" s="7">
        <f t="shared" ca="1" si="26"/>
        <v>900</v>
      </c>
      <c r="N141" s="43">
        <f t="shared" ca="1" si="27"/>
        <v>7</v>
      </c>
      <c r="O141" s="92">
        <f t="shared" ca="1" si="28"/>
        <v>2.264588428134358</v>
      </c>
      <c r="P141" s="92">
        <f t="shared" ca="1" si="29"/>
        <v>22.645884281343584</v>
      </c>
      <c r="Q141" s="92">
        <f t="shared" ca="1" si="30"/>
        <v>22.645884281343584</v>
      </c>
      <c r="R141" s="92">
        <f t="shared" ca="1" si="31"/>
        <v>2.2645884281343585</v>
      </c>
      <c r="S141" s="92">
        <f t="shared" ca="1" si="32"/>
        <v>2.264588428134358</v>
      </c>
      <c r="T141" s="4">
        <f t="shared" ca="1" si="33"/>
        <v>0</v>
      </c>
      <c r="U141" s="99">
        <f t="shared" ca="1" si="34"/>
        <v>1457.2486983548911</v>
      </c>
      <c r="V141" s="4">
        <f t="shared" ca="1" si="35"/>
        <v>0</v>
      </c>
      <c r="W141" s="13">
        <f t="shared" ca="1" si="36"/>
        <v>5408.55</v>
      </c>
      <c r="X141" s="4">
        <f t="shared" ca="1" si="37"/>
        <v>0</v>
      </c>
    </row>
    <row r="142" spans="1:24">
      <c r="A142">
        <v>0</v>
      </c>
      <c r="B142">
        <v>3</v>
      </c>
      <c r="C142">
        <f t="shared" ca="1" si="19"/>
        <v>6</v>
      </c>
      <c r="D142">
        <f t="shared" ca="1" si="20"/>
        <v>4</v>
      </c>
      <c r="E142">
        <f t="shared" ca="1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3.8811960000000103E-6</v>
      </c>
      <c r="K142" s="1">
        <f t="shared" ca="1" si="24"/>
        <v>0</v>
      </c>
      <c r="L142" s="13">
        <f t="shared" ca="1" si="25"/>
        <v>100</v>
      </c>
      <c r="M142" s="7">
        <f t="shared" ca="1" si="26"/>
        <v>900</v>
      </c>
      <c r="N142" s="43">
        <f t="shared" ca="1" si="27"/>
        <v>7</v>
      </c>
      <c r="O142" s="92">
        <f t="shared" ca="1" si="28"/>
        <v>2.264588428134358</v>
      </c>
      <c r="P142" s="92">
        <f t="shared" ca="1" si="29"/>
        <v>22.645884281343584</v>
      </c>
      <c r="Q142" s="92">
        <f t="shared" ca="1" si="30"/>
        <v>22.645884281343584</v>
      </c>
      <c r="R142" s="92">
        <f t="shared" ca="1" si="31"/>
        <v>2.2645884281343585</v>
      </c>
      <c r="S142" s="92">
        <f t="shared" ca="1" si="32"/>
        <v>2.264588428134358</v>
      </c>
      <c r="T142" s="4">
        <f t="shared" ca="1" si="33"/>
        <v>0</v>
      </c>
      <c r="U142" s="99">
        <f t="shared" ca="1" si="34"/>
        <v>1457.2486983548911</v>
      </c>
      <c r="V142" s="4">
        <f t="shared" ca="1" si="35"/>
        <v>0</v>
      </c>
      <c r="W142" s="13">
        <f t="shared" ca="1" si="36"/>
        <v>4056.4124999999999</v>
      </c>
      <c r="X142" s="4">
        <f t="shared" ca="1" si="37"/>
        <v>0</v>
      </c>
    </row>
    <row r="143" spans="1:24">
      <c r="A143">
        <v>0</v>
      </c>
      <c r="B143">
        <v>3</v>
      </c>
      <c r="C143">
        <f t="shared" ca="1" si="19"/>
        <v>6</v>
      </c>
      <c r="D143">
        <f t="shared" ca="1" si="20"/>
        <v>4</v>
      </c>
      <c r="E143">
        <f t="shared" ca="1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5.8806000000000209E-8</v>
      </c>
      <c r="K143" s="1">
        <f t="shared" ca="1" si="24"/>
        <v>0</v>
      </c>
      <c r="L143" s="13">
        <f t="shared" ca="1" si="25"/>
        <v>100</v>
      </c>
      <c r="M143" s="7">
        <f t="shared" ca="1" si="26"/>
        <v>900</v>
      </c>
      <c r="N143" s="43">
        <f t="shared" ca="1" si="27"/>
        <v>7</v>
      </c>
      <c r="O143" s="92">
        <f t="shared" ca="1" si="28"/>
        <v>2.264588428134358</v>
      </c>
      <c r="P143" s="92">
        <f t="shared" ca="1" si="29"/>
        <v>22.645884281343584</v>
      </c>
      <c r="Q143" s="92">
        <f t="shared" ca="1" si="30"/>
        <v>22.645884281343584</v>
      </c>
      <c r="R143" s="92">
        <f t="shared" ca="1" si="31"/>
        <v>2.2645884281343585</v>
      </c>
      <c r="S143" s="92">
        <f t="shared" ca="1" si="32"/>
        <v>2.264588428134358</v>
      </c>
      <c r="T143" s="4">
        <f t="shared" ca="1" si="33"/>
        <v>0</v>
      </c>
      <c r="U143" s="99">
        <f t="shared" ca="1" si="34"/>
        <v>1457.2486983548911</v>
      </c>
      <c r="V143" s="4">
        <f t="shared" ca="1" si="35"/>
        <v>0</v>
      </c>
      <c r="W143" s="13">
        <f t="shared" ca="1" si="36"/>
        <v>2704.2750000000001</v>
      </c>
      <c r="X143" s="4">
        <f t="shared" ca="1" si="37"/>
        <v>0</v>
      </c>
    </row>
    <row r="144" spans="1:24">
      <c r="A144">
        <v>0</v>
      </c>
      <c r="B144">
        <v>3</v>
      </c>
      <c r="C144">
        <f t="shared" ca="1" si="19"/>
        <v>6</v>
      </c>
      <c r="D144">
        <f t="shared" ca="1" si="20"/>
        <v>4</v>
      </c>
      <c r="E144">
        <f t="shared" ca="1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3.9600000000000173E-10</v>
      </c>
      <c r="K144" s="1">
        <f t="shared" ca="1" si="24"/>
        <v>0</v>
      </c>
      <c r="L144" s="13">
        <f t="shared" ca="1" si="25"/>
        <v>100</v>
      </c>
      <c r="M144" s="7">
        <f t="shared" ca="1" si="26"/>
        <v>900</v>
      </c>
      <c r="N144" s="43">
        <f t="shared" ca="1" si="27"/>
        <v>7</v>
      </c>
      <c r="O144" s="92">
        <f t="shared" ca="1" si="28"/>
        <v>2.264588428134358</v>
      </c>
      <c r="P144" s="92">
        <f t="shared" ca="1" si="29"/>
        <v>22.645884281343584</v>
      </c>
      <c r="Q144" s="92">
        <f t="shared" ca="1" si="30"/>
        <v>22.645884281343584</v>
      </c>
      <c r="R144" s="92">
        <f t="shared" ca="1" si="31"/>
        <v>2.2645884281343585</v>
      </c>
      <c r="S144" s="92">
        <f t="shared" ca="1" si="32"/>
        <v>2.264588428134358</v>
      </c>
      <c r="T144" s="4">
        <f t="shared" ca="1" si="33"/>
        <v>0</v>
      </c>
      <c r="U144" s="99">
        <f t="shared" ca="1" si="34"/>
        <v>1457.2486983548911</v>
      </c>
      <c r="V144" s="4">
        <f t="shared" ca="1" si="35"/>
        <v>0</v>
      </c>
      <c r="W144" s="13">
        <f t="shared" ca="1" si="36"/>
        <v>1352.1375</v>
      </c>
      <c r="X144" s="4">
        <f t="shared" ca="1" si="37"/>
        <v>0</v>
      </c>
    </row>
    <row r="145" spans="1:24">
      <c r="A145">
        <v>0</v>
      </c>
      <c r="B145">
        <v>3</v>
      </c>
      <c r="C145">
        <f t="shared" ca="1" si="19"/>
        <v>6</v>
      </c>
      <c r="D145">
        <f t="shared" ca="1" si="20"/>
        <v>4</v>
      </c>
      <c r="E145">
        <f t="shared" ca="1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1.0000000000000054E-12</v>
      </c>
      <c r="K145" s="1">
        <f t="shared" ca="1" si="24"/>
        <v>0</v>
      </c>
      <c r="L145" s="13">
        <f t="shared" ca="1" si="25"/>
        <v>100</v>
      </c>
      <c r="M145" s="7">
        <f t="shared" ca="1" si="26"/>
        <v>900</v>
      </c>
      <c r="N145" s="43">
        <f t="shared" ca="1" si="27"/>
        <v>7</v>
      </c>
      <c r="O145" s="92">
        <f t="shared" ca="1" si="28"/>
        <v>2.264588428134358</v>
      </c>
      <c r="P145" s="92">
        <f t="shared" ca="1" si="29"/>
        <v>22.645884281343584</v>
      </c>
      <c r="Q145" s="92">
        <f t="shared" ca="1" si="30"/>
        <v>22.645884281343584</v>
      </c>
      <c r="R145" s="92">
        <f t="shared" ca="1" si="31"/>
        <v>2.2645884281343585</v>
      </c>
      <c r="S145" s="92">
        <f t="shared" ca="1" si="32"/>
        <v>2.264588428134358</v>
      </c>
      <c r="T145" s="4">
        <f t="shared" ca="1" si="33"/>
        <v>0</v>
      </c>
      <c r="U145" s="99">
        <f t="shared" ca="1" si="34"/>
        <v>1457.2486983548911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</row>
    <row r="146" spans="1:24">
      <c r="A146">
        <v>1</v>
      </c>
      <c r="B146">
        <v>0</v>
      </c>
      <c r="C146">
        <f t="shared" ref="C146:C209" ca="1" si="38">MIN(8, 1+$B$10+$B$9+A146+B146)</f>
        <v>4</v>
      </c>
      <c r="D146">
        <f t="shared" ref="D146:D209" ca="1" si="39">C146-(1+$B$10)</f>
        <v>2</v>
      </c>
      <c r="E146">
        <f t="shared" ref="E146:E209" ca="1" si="40">MIN(A146, C146-(1+$B$10+$B$9))</f>
        <v>1</v>
      </c>
      <c r="F146" s="100">
        <f t="shared" ref="F146:F209" ca="1" si="41">IF(A146=3, $E$5, IF(A146=2, (1-$E$5)*$E$4 + (1-$E$5)*(1-$E$4)*(1-$E$3)*Set1AM3*Set1AM33, IF(A146=1, (1-$E$5)*(1-$E$4)*$E$3 + (1-$E$5)*(1-$E$4)*(1-$E$3)*Set1AM3*Set1AM32, (1-$E$5)*(1-$E$4)*(1-$E$3)*(1-Set1AM3)))) * IF($B$9+$B$10&gt;0, IF(B146=3, $E$5, IF(B146=2, (1-$E$5)*$E$4, IF(B146=1, (1-$E$5)*(1-$E$4)*$E$3, (1-$E$5)*(1-$E$4)*(1-$E$3)))), IF(B146=0, 1, 0))</f>
        <v>0.37573259049999996</v>
      </c>
      <c r="G146">
        <v>1</v>
      </c>
      <c r="H146">
        <v>1</v>
      </c>
      <c r="I146">
        <v>7</v>
      </c>
      <c r="J146" s="1">
        <f t="shared" ref="J146:J209" ca="1" si="42">IF($B$8&lt;100%, POWER($B$8,G146)*POWER(1-$B$8, 1-G146), 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399</v>
      </c>
      <c r="M146" s="7">
        <f t="shared" ref="M146:M209" ca="1" si="45">MAX(Set1MinTP-(L146+Set1Regain), 0)</f>
        <v>601</v>
      </c>
      <c r="N146" s="43">
        <f t="shared" ref="N146:N209" ca="1" si="46">CEILING(M146/Set1MeleeTP, 1)</f>
        <v>5</v>
      </c>
      <c r="O146" s="92">
        <f t="shared" ref="O146:O209" ca="1" si="47">VLOOKUP(N146,AvgRoundsSet1,2)</f>
        <v>1.7627004516625842</v>
      </c>
      <c r="P146" s="92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17.627004516625838</v>
      </c>
      <c r="Q146" s="92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17.627004516625838</v>
      </c>
      <c r="R146" s="92">
        <f t="shared" ref="R146:R209" ca="1" si="50">(P146+Q146)/20</f>
        <v>1.7627004516625839</v>
      </c>
      <c r="S146" s="92">
        <f t="shared" ref="S146:S209" ca="1" si="51">R146*Set1ConserveTP + O146*(1-Set1ConserveTP)</f>
        <v>1.7627004516625842</v>
      </c>
      <c r="T146" s="4">
        <f t="shared" ref="T146:T209" ca="1" si="52">K146*S146</f>
        <v>0</v>
      </c>
      <c r="U146" s="99">
        <f t="shared" ref="U146:U209" ca="1" si="53">MIN(L146+(S146+Set1OverTP)*AvgHitsPerRound1*Set1MeleeTP + Set1Regain + 10.5*Set1ConserveTP, 3000)</f>
        <v>1509.8515146533105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23319.800362499998</v>
      </c>
      <c r="X146" s="4">
        <f t="shared" ref="X146:X209" ca="1" si="56">K146*W146</f>
        <v>0</v>
      </c>
    </row>
    <row r="147" spans="1:24">
      <c r="A147">
        <v>1</v>
      </c>
      <c r="B147">
        <v>0</v>
      </c>
      <c r="C147">
        <f t="shared" ca="1" si="38"/>
        <v>4</v>
      </c>
      <c r="D147">
        <f t="shared" ca="1" si="39"/>
        <v>2</v>
      </c>
      <c r="E147">
        <f t="shared" ca="1" si="40"/>
        <v>1</v>
      </c>
      <c r="F147" s="100">
        <f t="shared" ca="1" si="41"/>
        <v>0.37573259049999996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378</v>
      </c>
      <c r="M147" s="7">
        <f t="shared" ca="1" si="45"/>
        <v>622</v>
      </c>
      <c r="N147" s="43">
        <f t="shared" ca="1" si="46"/>
        <v>5</v>
      </c>
      <c r="O147" s="92">
        <f t="shared" ca="1" si="47"/>
        <v>1.7627004516625842</v>
      </c>
      <c r="P147" s="92">
        <f t="shared" ca="1" si="48"/>
        <v>17.627004516625838</v>
      </c>
      <c r="Q147" s="92">
        <f t="shared" ca="1" si="49"/>
        <v>17.627004516625838</v>
      </c>
      <c r="R147" s="92">
        <f t="shared" ca="1" si="50"/>
        <v>1.7627004516625839</v>
      </c>
      <c r="S147" s="92">
        <f t="shared" ca="1" si="51"/>
        <v>1.7627004516625842</v>
      </c>
      <c r="T147" s="4">
        <f t="shared" ca="1" si="52"/>
        <v>0</v>
      </c>
      <c r="U147" s="99">
        <f t="shared" ca="1" si="53"/>
        <v>1488.8515146533105</v>
      </c>
      <c r="V147" s="4">
        <f t="shared" ca="1" si="54"/>
        <v>0</v>
      </c>
      <c r="W147" s="13">
        <f t="shared" ca="1" si="55"/>
        <v>21967.662862499998</v>
      </c>
      <c r="X147" s="4">
        <f t="shared" ca="1" si="56"/>
        <v>0</v>
      </c>
    </row>
    <row r="148" spans="1:24">
      <c r="A148">
        <v>1</v>
      </c>
      <c r="B148">
        <v>0</v>
      </c>
      <c r="C148">
        <f t="shared" ca="1" si="38"/>
        <v>4</v>
      </c>
      <c r="D148">
        <f t="shared" ca="1" si="39"/>
        <v>2</v>
      </c>
      <c r="E148">
        <f t="shared" ca="1" si="40"/>
        <v>1</v>
      </c>
      <c r="F148" s="100">
        <f t="shared" ca="1" si="41"/>
        <v>0.37573259049999996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357</v>
      </c>
      <c r="M148" s="7">
        <f t="shared" ca="1" si="45"/>
        <v>643</v>
      </c>
      <c r="N148" s="43">
        <f t="shared" ca="1" si="46"/>
        <v>5</v>
      </c>
      <c r="O148" s="92">
        <f t="shared" ca="1" si="47"/>
        <v>1.7627004516625842</v>
      </c>
      <c r="P148" s="92">
        <f t="shared" ca="1" si="48"/>
        <v>17.627004516625838</v>
      </c>
      <c r="Q148" s="92">
        <f t="shared" ca="1" si="49"/>
        <v>17.627004516625838</v>
      </c>
      <c r="R148" s="92">
        <f t="shared" ca="1" si="50"/>
        <v>1.7627004516625839</v>
      </c>
      <c r="S148" s="92">
        <f t="shared" ca="1" si="51"/>
        <v>1.7627004516625842</v>
      </c>
      <c r="T148" s="4">
        <f t="shared" ca="1" si="52"/>
        <v>0</v>
      </c>
      <c r="U148" s="99">
        <f t="shared" ca="1" si="53"/>
        <v>1467.8515146533105</v>
      </c>
      <c r="V148" s="4">
        <f t="shared" ca="1" si="54"/>
        <v>0</v>
      </c>
      <c r="W148" s="13">
        <f t="shared" ca="1" si="55"/>
        <v>20615.525362499997</v>
      </c>
      <c r="X148" s="4">
        <f t="shared" ca="1" si="56"/>
        <v>0</v>
      </c>
    </row>
    <row r="149" spans="1:24">
      <c r="A149">
        <v>1</v>
      </c>
      <c r="B149">
        <v>0</v>
      </c>
      <c r="C149">
        <f t="shared" ca="1" si="38"/>
        <v>4</v>
      </c>
      <c r="D149">
        <f t="shared" ca="1" si="39"/>
        <v>2</v>
      </c>
      <c r="E149">
        <f t="shared" ca="1" si="40"/>
        <v>1</v>
      </c>
      <c r="F149" s="100">
        <f t="shared" ca="1" si="41"/>
        <v>0.37573259049999996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336</v>
      </c>
      <c r="M149" s="7">
        <f t="shared" ca="1" si="45"/>
        <v>664</v>
      </c>
      <c r="N149" s="43">
        <f t="shared" ca="1" si="46"/>
        <v>6</v>
      </c>
      <c r="O149" s="92">
        <f t="shared" ca="1" si="47"/>
        <v>2.003415856166523</v>
      </c>
      <c r="P149" s="92">
        <f t="shared" ca="1" si="48"/>
        <v>20.03415856166523</v>
      </c>
      <c r="Q149" s="92">
        <f t="shared" ca="1" si="49"/>
        <v>19.552727752657354</v>
      </c>
      <c r="R149" s="92">
        <f t="shared" ca="1" si="50"/>
        <v>1.9793443157161292</v>
      </c>
      <c r="S149" s="92">
        <f t="shared" ca="1" si="51"/>
        <v>2.003415856166523</v>
      </c>
      <c r="T149" s="4">
        <f t="shared" ca="1" si="52"/>
        <v>0</v>
      </c>
      <c r="U149" s="99">
        <f t="shared" ca="1" si="53"/>
        <v>1565.0284794818213</v>
      </c>
      <c r="V149" s="4">
        <f t="shared" ca="1" si="54"/>
        <v>0</v>
      </c>
      <c r="W149" s="13">
        <f t="shared" ca="1" si="55"/>
        <v>19263.3878625</v>
      </c>
      <c r="X149" s="4">
        <f t="shared" ca="1" si="56"/>
        <v>0</v>
      </c>
    </row>
    <row r="150" spans="1:24">
      <c r="A150">
        <v>1</v>
      </c>
      <c r="B150">
        <v>0</v>
      </c>
      <c r="C150">
        <f t="shared" ca="1" si="38"/>
        <v>4</v>
      </c>
      <c r="D150">
        <f t="shared" ca="1" si="39"/>
        <v>2</v>
      </c>
      <c r="E150">
        <f t="shared" ca="1" si="40"/>
        <v>1</v>
      </c>
      <c r="F150" s="100">
        <f t="shared" ca="1" si="41"/>
        <v>0.37573259049999996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315</v>
      </c>
      <c r="M150" s="7">
        <f t="shared" ca="1" si="45"/>
        <v>685</v>
      </c>
      <c r="N150" s="43">
        <f t="shared" ca="1" si="46"/>
        <v>6</v>
      </c>
      <c r="O150" s="92">
        <f t="shared" ca="1" si="47"/>
        <v>2.003415856166523</v>
      </c>
      <c r="P150" s="92">
        <f t="shared" ca="1" si="48"/>
        <v>20.03415856166523</v>
      </c>
      <c r="Q150" s="92">
        <f t="shared" ca="1" si="49"/>
        <v>20.03415856166523</v>
      </c>
      <c r="R150" s="92">
        <f t="shared" ca="1" si="50"/>
        <v>2.003415856166523</v>
      </c>
      <c r="S150" s="92">
        <f t="shared" ca="1" si="51"/>
        <v>2.003415856166523</v>
      </c>
      <c r="T150" s="4">
        <f t="shared" ca="1" si="52"/>
        <v>0</v>
      </c>
      <c r="U150" s="99">
        <f t="shared" ca="1" si="53"/>
        <v>1544.0284794818213</v>
      </c>
      <c r="V150" s="4">
        <f t="shared" ca="1" si="54"/>
        <v>0</v>
      </c>
      <c r="W150" s="13">
        <f t="shared" ca="1" si="55"/>
        <v>17911.250362499999</v>
      </c>
      <c r="X150" s="4">
        <f t="shared" ca="1" si="56"/>
        <v>0</v>
      </c>
    </row>
    <row r="151" spans="1:24">
      <c r="A151">
        <v>1</v>
      </c>
      <c r="B151">
        <v>0</v>
      </c>
      <c r="C151">
        <f t="shared" ca="1" si="38"/>
        <v>4</v>
      </c>
      <c r="D151">
        <f t="shared" ca="1" si="39"/>
        <v>2</v>
      </c>
      <c r="E151">
        <f t="shared" ca="1" si="40"/>
        <v>1</v>
      </c>
      <c r="F151" s="100">
        <f t="shared" ca="1" si="41"/>
        <v>0.37573259049999996</v>
      </c>
      <c r="G151">
        <v>1</v>
      </c>
      <c r="H151">
        <v>1</v>
      </c>
      <c r="I151">
        <v>2</v>
      </c>
      <c r="J151" s="1">
        <f t="shared" ca="1" si="42"/>
        <v>0.96059600999999994</v>
      </c>
      <c r="K151" s="1">
        <f t="shared" ca="1" si="43"/>
        <v>0.36092722726126386</v>
      </c>
      <c r="L151" s="13">
        <f t="shared" ca="1" si="44"/>
        <v>294</v>
      </c>
      <c r="M151" s="7">
        <f t="shared" ca="1" si="45"/>
        <v>706</v>
      </c>
      <c r="N151" s="43">
        <f t="shared" ca="1" si="46"/>
        <v>6</v>
      </c>
      <c r="O151" s="92">
        <f t="shared" ca="1" si="47"/>
        <v>2.003415856166523</v>
      </c>
      <c r="P151" s="92">
        <f t="shared" ca="1" si="48"/>
        <v>20.03415856166523</v>
      </c>
      <c r="Q151" s="92">
        <f t="shared" ca="1" si="49"/>
        <v>20.03415856166523</v>
      </c>
      <c r="R151" s="92">
        <f t="shared" ca="1" si="50"/>
        <v>2.003415856166523</v>
      </c>
      <c r="S151" s="92">
        <f t="shared" ca="1" si="51"/>
        <v>2.003415856166523</v>
      </c>
      <c r="T151" s="4">
        <f t="shared" ca="1" si="52"/>
        <v>0.72308733001743419</v>
      </c>
      <c r="U151" s="99">
        <f t="shared" ca="1" si="53"/>
        <v>1523.0284794818213</v>
      </c>
      <c r="V151" s="4">
        <f t="shared" ca="1" si="54"/>
        <v>549.70244613931243</v>
      </c>
      <c r="W151" s="13">
        <f t="shared" ca="1" si="55"/>
        <v>16559.112862499998</v>
      </c>
      <c r="X151" s="4">
        <f t="shared" ca="1" si="56"/>
        <v>5976.6346913684547</v>
      </c>
    </row>
    <row r="152" spans="1:24">
      <c r="A152">
        <v>1</v>
      </c>
      <c r="B152">
        <v>0</v>
      </c>
      <c r="C152">
        <f t="shared" ca="1" si="38"/>
        <v>4</v>
      </c>
      <c r="D152">
        <f t="shared" ca="1" si="39"/>
        <v>2</v>
      </c>
      <c r="E152">
        <f t="shared" ca="1" si="40"/>
        <v>1</v>
      </c>
      <c r="F152" s="100">
        <f t="shared" ca="1" si="41"/>
        <v>0.37573259049999996</v>
      </c>
      <c r="G152">
        <v>1</v>
      </c>
      <c r="H152">
        <v>1</v>
      </c>
      <c r="I152">
        <v>1</v>
      </c>
      <c r="J152" s="1">
        <f t="shared" ca="1" si="42"/>
        <v>1.9405980000000017E-2</v>
      </c>
      <c r="K152" s="1">
        <f t="shared" ca="1" si="43"/>
        <v>7.291459136591196E-3</v>
      </c>
      <c r="L152" s="13">
        <f t="shared" ca="1" si="44"/>
        <v>273</v>
      </c>
      <c r="M152" s="7">
        <f t="shared" ca="1" si="45"/>
        <v>727</v>
      </c>
      <c r="N152" s="43">
        <f t="shared" ca="1" si="46"/>
        <v>6</v>
      </c>
      <c r="O152" s="92">
        <f t="shared" ca="1" si="47"/>
        <v>2.003415856166523</v>
      </c>
      <c r="P152" s="92">
        <f t="shared" ca="1" si="48"/>
        <v>20.03415856166523</v>
      </c>
      <c r="Q152" s="92">
        <f t="shared" ca="1" si="49"/>
        <v>20.03415856166523</v>
      </c>
      <c r="R152" s="92">
        <f t="shared" ca="1" si="50"/>
        <v>2.003415856166523</v>
      </c>
      <c r="S152" s="92">
        <f t="shared" ca="1" si="51"/>
        <v>2.003415856166523</v>
      </c>
      <c r="T152" s="4">
        <f t="shared" ca="1" si="52"/>
        <v>1.4607824848837067E-2</v>
      </c>
      <c r="U152" s="99">
        <f t="shared" ca="1" si="53"/>
        <v>1502.0284794818213</v>
      </c>
      <c r="V152" s="4">
        <f t="shared" ca="1" si="54"/>
        <v>10.951979280137907</v>
      </c>
      <c r="W152" s="13">
        <f t="shared" ca="1" si="55"/>
        <v>15206.975362499999</v>
      </c>
      <c r="X152" s="4">
        <f t="shared" ca="1" si="56"/>
        <v>110.88103944681784</v>
      </c>
    </row>
    <row r="153" spans="1:24">
      <c r="A153">
        <v>1</v>
      </c>
      <c r="B153">
        <v>0</v>
      </c>
      <c r="C153">
        <f t="shared" ca="1" si="38"/>
        <v>4</v>
      </c>
      <c r="D153">
        <f t="shared" ca="1" si="39"/>
        <v>2</v>
      </c>
      <c r="E153">
        <f t="shared" ca="1" si="40"/>
        <v>1</v>
      </c>
      <c r="F153" s="100">
        <f t="shared" ca="1" si="41"/>
        <v>0.37573259049999996</v>
      </c>
      <c r="G153">
        <v>1</v>
      </c>
      <c r="H153">
        <v>1</v>
      </c>
      <c r="I153">
        <v>0</v>
      </c>
      <c r="J153" s="1">
        <f t="shared" ca="1" si="42"/>
        <v>9.8010000000000168E-5</v>
      </c>
      <c r="K153" s="1">
        <f t="shared" ca="1" si="43"/>
        <v>3.6825551194905061E-5</v>
      </c>
      <c r="L153" s="13">
        <f t="shared" ca="1" si="44"/>
        <v>252</v>
      </c>
      <c r="M153" s="7">
        <f t="shared" ca="1" si="45"/>
        <v>748</v>
      </c>
      <c r="N153" s="43">
        <f t="shared" ca="1" si="46"/>
        <v>6</v>
      </c>
      <c r="O153" s="92">
        <f t="shared" ca="1" si="47"/>
        <v>2.003415856166523</v>
      </c>
      <c r="P153" s="92">
        <f t="shared" ca="1" si="48"/>
        <v>20.03415856166523</v>
      </c>
      <c r="Q153" s="92">
        <f t="shared" ca="1" si="49"/>
        <v>20.03415856166523</v>
      </c>
      <c r="R153" s="92">
        <f t="shared" ca="1" si="50"/>
        <v>2.003415856166523</v>
      </c>
      <c r="S153" s="92">
        <f t="shared" ca="1" si="51"/>
        <v>2.003415856166523</v>
      </c>
      <c r="T153" s="4">
        <f t="shared" ca="1" si="52"/>
        <v>7.3776893175944846E-5</v>
      </c>
      <c r="U153" s="99">
        <f t="shared" ca="1" si="53"/>
        <v>1481.0284794818213</v>
      </c>
      <c r="V153" s="4">
        <f t="shared" ca="1" si="54"/>
        <v>5.4539690092270207E-2</v>
      </c>
      <c r="W153" s="13">
        <f t="shared" ca="1" si="55"/>
        <v>13854.837862499999</v>
      </c>
      <c r="X153" s="4">
        <f t="shared" ca="1" si="56"/>
        <v>0.51021204100260276</v>
      </c>
    </row>
    <row r="154" spans="1:24">
      <c r="A154">
        <v>1</v>
      </c>
      <c r="B154">
        <v>0</v>
      </c>
      <c r="C154">
        <f t="shared" ca="1" si="38"/>
        <v>4</v>
      </c>
      <c r="D154">
        <f t="shared" ca="1" si="39"/>
        <v>2</v>
      </c>
      <c r="E154">
        <f t="shared" ca="1" si="40"/>
        <v>1</v>
      </c>
      <c r="F154" s="100">
        <f t="shared" ca="1" si="41"/>
        <v>0.37573259049999996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273</v>
      </c>
      <c r="M154" s="7">
        <f t="shared" ca="1" si="45"/>
        <v>727</v>
      </c>
      <c r="N154" s="43">
        <f t="shared" ca="1" si="46"/>
        <v>6</v>
      </c>
      <c r="O154" s="92">
        <f t="shared" ca="1" si="47"/>
        <v>2.003415856166523</v>
      </c>
      <c r="P154" s="92">
        <f t="shared" ca="1" si="48"/>
        <v>20.03415856166523</v>
      </c>
      <c r="Q154" s="92">
        <f t="shared" ca="1" si="49"/>
        <v>20.03415856166523</v>
      </c>
      <c r="R154" s="92">
        <f t="shared" ca="1" si="50"/>
        <v>2.003415856166523</v>
      </c>
      <c r="S154" s="92">
        <f t="shared" ca="1" si="51"/>
        <v>2.003415856166523</v>
      </c>
      <c r="T154" s="4">
        <f t="shared" ca="1" si="52"/>
        <v>0</v>
      </c>
      <c r="U154" s="99">
        <f t="shared" ca="1" si="53"/>
        <v>1502.0284794818213</v>
      </c>
      <c r="V154" s="4">
        <f t="shared" ca="1" si="54"/>
        <v>0</v>
      </c>
      <c r="W154" s="13">
        <f t="shared" ca="1" si="55"/>
        <v>21932.249737499998</v>
      </c>
      <c r="X154" s="4">
        <f t="shared" ca="1" si="56"/>
        <v>0</v>
      </c>
    </row>
    <row r="155" spans="1:24">
      <c r="A155">
        <v>1</v>
      </c>
      <c r="B155">
        <v>0</v>
      </c>
      <c r="C155">
        <f t="shared" ca="1" si="38"/>
        <v>4</v>
      </c>
      <c r="D155">
        <f t="shared" ca="1" si="39"/>
        <v>2</v>
      </c>
      <c r="E155">
        <f t="shared" ca="1" si="40"/>
        <v>1</v>
      </c>
      <c r="F155" s="100">
        <f t="shared" ca="1" si="41"/>
        <v>0.37573259049999996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252</v>
      </c>
      <c r="M155" s="7">
        <f t="shared" ca="1" si="45"/>
        <v>748</v>
      </c>
      <c r="N155" s="43">
        <f t="shared" ca="1" si="46"/>
        <v>6</v>
      </c>
      <c r="O155" s="92">
        <f t="shared" ca="1" si="47"/>
        <v>2.003415856166523</v>
      </c>
      <c r="P155" s="92">
        <f t="shared" ca="1" si="48"/>
        <v>20.03415856166523</v>
      </c>
      <c r="Q155" s="92">
        <f t="shared" ca="1" si="49"/>
        <v>20.03415856166523</v>
      </c>
      <c r="R155" s="92">
        <f t="shared" ca="1" si="50"/>
        <v>2.003415856166523</v>
      </c>
      <c r="S155" s="92">
        <f t="shared" ca="1" si="51"/>
        <v>2.003415856166523</v>
      </c>
      <c r="T155" s="4">
        <f t="shared" ca="1" si="52"/>
        <v>0</v>
      </c>
      <c r="U155" s="99">
        <f t="shared" ca="1" si="53"/>
        <v>1481.0284794818213</v>
      </c>
      <c r="V155" s="4">
        <f t="shared" ca="1" si="54"/>
        <v>0</v>
      </c>
      <c r="W155" s="13">
        <f t="shared" ca="1" si="55"/>
        <v>20580.112237499998</v>
      </c>
      <c r="X155" s="4">
        <f t="shared" ca="1" si="56"/>
        <v>0</v>
      </c>
    </row>
    <row r="156" spans="1:24">
      <c r="A156">
        <v>1</v>
      </c>
      <c r="B156">
        <v>0</v>
      </c>
      <c r="C156">
        <f t="shared" ca="1" si="38"/>
        <v>4</v>
      </c>
      <c r="D156">
        <f t="shared" ca="1" si="39"/>
        <v>2</v>
      </c>
      <c r="E156">
        <f t="shared" ca="1" si="40"/>
        <v>1</v>
      </c>
      <c r="F156" s="100">
        <f t="shared" ca="1" si="41"/>
        <v>0.37573259049999996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231</v>
      </c>
      <c r="M156" s="7">
        <f t="shared" ca="1" si="45"/>
        <v>769</v>
      </c>
      <c r="N156" s="43">
        <f t="shared" ca="1" si="46"/>
        <v>6</v>
      </c>
      <c r="O156" s="92">
        <f t="shared" ca="1" si="47"/>
        <v>2.003415856166523</v>
      </c>
      <c r="P156" s="92">
        <f t="shared" ca="1" si="48"/>
        <v>20.03415856166523</v>
      </c>
      <c r="Q156" s="92">
        <f t="shared" ca="1" si="49"/>
        <v>20.03415856166523</v>
      </c>
      <c r="R156" s="92">
        <f t="shared" ca="1" si="50"/>
        <v>2.003415856166523</v>
      </c>
      <c r="S156" s="92">
        <f t="shared" ca="1" si="51"/>
        <v>2.003415856166523</v>
      </c>
      <c r="T156" s="4">
        <f t="shared" ca="1" si="52"/>
        <v>0</v>
      </c>
      <c r="U156" s="99">
        <f t="shared" ca="1" si="53"/>
        <v>1460.0284794818213</v>
      </c>
      <c r="V156" s="4">
        <f t="shared" ca="1" si="54"/>
        <v>0</v>
      </c>
      <c r="W156" s="13">
        <f t="shared" ca="1" si="55"/>
        <v>19227.974737500001</v>
      </c>
      <c r="X156" s="4">
        <f t="shared" ca="1" si="56"/>
        <v>0</v>
      </c>
    </row>
    <row r="157" spans="1:24">
      <c r="A157">
        <v>1</v>
      </c>
      <c r="B157">
        <v>0</v>
      </c>
      <c r="C157">
        <f t="shared" ca="1" si="38"/>
        <v>4</v>
      </c>
      <c r="D157">
        <f t="shared" ca="1" si="39"/>
        <v>2</v>
      </c>
      <c r="E157">
        <f t="shared" ca="1" si="40"/>
        <v>1</v>
      </c>
      <c r="F157" s="100">
        <f t="shared" ca="1" si="41"/>
        <v>0.37573259049999996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210</v>
      </c>
      <c r="M157" s="7">
        <f t="shared" ca="1" si="45"/>
        <v>790</v>
      </c>
      <c r="N157" s="43">
        <f t="shared" ca="1" si="46"/>
        <v>7</v>
      </c>
      <c r="O157" s="92">
        <f t="shared" ca="1" si="47"/>
        <v>2.264588428134358</v>
      </c>
      <c r="P157" s="92">
        <f t="shared" ca="1" si="48"/>
        <v>22.645884281343584</v>
      </c>
      <c r="Q157" s="92">
        <f t="shared" ca="1" si="49"/>
        <v>21.340021421504403</v>
      </c>
      <c r="R157" s="92">
        <f t="shared" ca="1" si="50"/>
        <v>2.1992952851423992</v>
      </c>
      <c r="S157" s="92">
        <f t="shared" ca="1" si="51"/>
        <v>2.264588428134358</v>
      </c>
      <c r="T157" s="4">
        <f t="shared" ca="1" si="52"/>
        <v>0</v>
      </c>
      <c r="U157" s="99">
        <f t="shared" ca="1" si="53"/>
        <v>1567.2486983548911</v>
      </c>
      <c r="V157" s="4">
        <f t="shared" ca="1" si="54"/>
        <v>0</v>
      </c>
      <c r="W157" s="13">
        <f t="shared" ca="1" si="55"/>
        <v>17875.8372375</v>
      </c>
      <c r="X157" s="4">
        <f t="shared" ca="1" si="56"/>
        <v>0</v>
      </c>
    </row>
    <row r="158" spans="1:24">
      <c r="A158">
        <v>1</v>
      </c>
      <c r="B158">
        <v>0</v>
      </c>
      <c r="C158">
        <f t="shared" ca="1" si="38"/>
        <v>4</v>
      </c>
      <c r="D158">
        <f t="shared" ca="1" si="39"/>
        <v>2</v>
      </c>
      <c r="E158">
        <f t="shared" ca="1" si="40"/>
        <v>1</v>
      </c>
      <c r="F158" s="100">
        <f t="shared" ca="1" si="41"/>
        <v>0.37573259049999996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189</v>
      </c>
      <c r="M158" s="7">
        <f t="shared" ca="1" si="45"/>
        <v>811</v>
      </c>
      <c r="N158" s="43">
        <f t="shared" ca="1" si="46"/>
        <v>7</v>
      </c>
      <c r="O158" s="92">
        <f t="shared" ca="1" si="47"/>
        <v>2.264588428134358</v>
      </c>
      <c r="P158" s="92">
        <f t="shared" ca="1" si="48"/>
        <v>22.645884281343584</v>
      </c>
      <c r="Q158" s="92">
        <f t="shared" ca="1" si="49"/>
        <v>22.645884281343584</v>
      </c>
      <c r="R158" s="92">
        <f t="shared" ca="1" si="50"/>
        <v>2.2645884281343585</v>
      </c>
      <c r="S158" s="92">
        <f t="shared" ca="1" si="51"/>
        <v>2.264588428134358</v>
      </c>
      <c r="T158" s="4">
        <f t="shared" ca="1" si="52"/>
        <v>0</v>
      </c>
      <c r="U158" s="99">
        <f t="shared" ca="1" si="53"/>
        <v>1546.2486983548911</v>
      </c>
      <c r="V158" s="4">
        <f t="shared" ca="1" si="54"/>
        <v>0</v>
      </c>
      <c r="W158" s="13">
        <f t="shared" ca="1" si="55"/>
        <v>16523.699737499999</v>
      </c>
      <c r="X158" s="4">
        <f t="shared" ca="1" si="56"/>
        <v>0</v>
      </c>
    </row>
    <row r="159" spans="1:24">
      <c r="A159">
        <v>1</v>
      </c>
      <c r="B159">
        <v>0</v>
      </c>
      <c r="C159">
        <f t="shared" ca="1" si="38"/>
        <v>4</v>
      </c>
      <c r="D159">
        <f t="shared" ca="1" si="39"/>
        <v>2</v>
      </c>
      <c r="E159">
        <f t="shared" ca="1" si="40"/>
        <v>1</v>
      </c>
      <c r="F159" s="100">
        <f t="shared" ca="1" si="41"/>
        <v>0.37573259049999996</v>
      </c>
      <c r="G159">
        <v>1</v>
      </c>
      <c r="H159">
        <v>0</v>
      </c>
      <c r="I159">
        <v>2</v>
      </c>
      <c r="J159" s="1">
        <f t="shared" ca="1" si="42"/>
        <v>9.7029900000000086E-3</v>
      </c>
      <c r="K159" s="1">
        <f t="shared" ca="1" si="43"/>
        <v>3.645729568295598E-3</v>
      </c>
      <c r="L159" s="13">
        <f t="shared" ca="1" si="44"/>
        <v>168</v>
      </c>
      <c r="M159" s="7">
        <f t="shared" ca="1" si="45"/>
        <v>832</v>
      </c>
      <c r="N159" s="43">
        <f t="shared" ca="1" si="46"/>
        <v>7</v>
      </c>
      <c r="O159" s="92">
        <f t="shared" ca="1" si="47"/>
        <v>2.264588428134358</v>
      </c>
      <c r="P159" s="92">
        <f t="shared" ca="1" si="48"/>
        <v>22.645884281343584</v>
      </c>
      <c r="Q159" s="92">
        <f t="shared" ca="1" si="49"/>
        <v>22.645884281343584</v>
      </c>
      <c r="R159" s="92">
        <f t="shared" ca="1" si="50"/>
        <v>2.2645884281343585</v>
      </c>
      <c r="S159" s="92">
        <f t="shared" ca="1" si="51"/>
        <v>2.264588428134358</v>
      </c>
      <c r="T159" s="4">
        <f t="shared" ca="1" si="52"/>
        <v>8.2560769924694792E-3</v>
      </c>
      <c r="U159" s="99">
        <f t="shared" ca="1" si="53"/>
        <v>1525.2486983548911</v>
      </c>
      <c r="V159" s="4">
        <f t="shared" ca="1" si="54"/>
        <v>5.5606442785967998</v>
      </c>
      <c r="W159" s="13">
        <f t="shared" ca="1" si="55"/>
        <v>15171.562237499998</v>
      </c>
      <c r="X159" s="4">
        <f t="shared" ca="1" si="56"/>
        <v>55.311413046490664</v>
      </c>
    </row>
    <row r="160" spans="1:24">
      <c r="A160">
        <v>1</v>
      </c>
      <c r="B160">
        <v>0</v>
      </c>
      <c r="C160">
        <f t="shared" ca="1" si="38"/>
        <v>4</v>
      </c>
      <c r="D160">
        <f t="shared" ca="1" si="39"/>
        <v>2</v>
      </c>
      <c r="E160">
        <f t="shared" ca="1" si="40"/>
        <v>1</v>
      </c>
      <c r="F160" s="100">
        <f t="shared" ca="1" si="41"/>
        <v>0.37573259049999996</v>
      </c>
      <c r="G160">
        <v>1</v>
      </c>
      <c r="H160">
        <v>0</v>
      </c>
      <c r="I160">
        <v>1</v>
      </c>
      <c r="J160" s="1">
        <f t="shared" ca="1" si="42"/>
        <v>1.9602000000000036E-4</v>
      </c>
      <c r="K160" s="1">
        <f t="shared" ca="1" si="43"/>
        <v>7.3651102389810135E-5</v>
      </c>
      <c r="L160" s="13">
        <f t="shared" ca="1" si="44"/>
        <v>147</v>
      </c>
      <c r="M160" s="7">
        <f t="shared" ca="1" si="45"/>
        <v>853</v>
      </c>
      <c r="N160" s="43">
        <f t="shared" ca="1" si="46"/>
        <v>7</v>
      </c>
      <c r="O160" s="92">
        <f t="shared" ca="1" si="47"/>
        <v>2.264588428134358</v>
      </c>
      <c r="P160" s="92">
        <f t="shared" ca="1" si="48"/>
        <v>22.645884281343584</v>
      </c>
      <c r="Q160" s="92">
        <f t="shared" ca="1" si="49"/>
        <v>22.645884281343584</v>
      </c>
      <c r="R160" s="92">
        <f t="shared" ca="1" si="50"/>
        <v>2.2645884281343585</v>
      </c>
      <c r="S160" s="92">
        <f t="shared" ca="1" si="51"/>
        <v>2.264588428134358</v>
      </c>
      <c r="T160" s="4">
        <f t="shared" ca="1" si="52"/>
        <v>1.6678943419130279E-4</v>
      </c>
      <c r="U160" s="99">
        <f t="shared" ca="1" si="53"/>
        <v>1504.2486983548911</v>
      </c>
      <c r="V160" s="4">
        <f t="shared" ca="1" si="54"/>
        <v>0.1107895749022747</v>
      </c>
      <c r="W160" s="13">
        <f t="shared" ca="1" si="55"/>
        <v>13819.4247375</v>
      </c>
      <c r="X160" s="4">
        <f t="shared" ca="1" si="56"/>
        <v>1.0178158663098875</v>
      </c>
    </row>
    <row r="161" spans="1:24">
      <c r="A161">
        <v>1</v>
      </c>
      <c r="B161">
        <v>0</v>
      </c>
      <c r="C161">
        <f t="shared" ca="1" si="38"/>
        <v>4</v>
      </c>
      <c r="D161">
        <f t="shared" ca="1" si="39"/>
        <v>2</v>
      </c>
      <c r="E161">
        <f t="shared" ca="1" si="40"/>
        <v>1</v>
      </c>
      <c r="F161" s="100">
        <f t="shared" ca="1" si="41"/>
        <v>0.37573259049999996</v>
      </c>
      <c r="G161">
        <v>1</v>
      </c>
      <c r="H161">
        <v>0</v>
      </c>
      <c r="I161">
        <v>0</v>
      </c>
      <c r="J161" s="1">
        <f t="shared" ca="1" si="42"/>
        <v>9.900000000000028E-7</v>
      </c>
      <c r="K161" s="1">
        <f t="shared" ca="1" si="43"/>
        <v>3.7197526459500099E-7</v>
      </c>
      <c r="L161" s="13">
        <f t="shared" ca="1" si="44"/>
        <v>126</v>
      </c>
      <c r="M161" s="7">
        <f t="shared" ca="1" si="45"/>
        <v>874</v>
      </c>
      <c r="N161" s="43">
        <f t="shared" ca="1" si="46"/>
        <v>7</v>
      </c>
      <c r="O161" s="92">
        <f t="shared" ca="1" si="47"/>
        <v>2.264588428134358</v>
      </c>
      <c r="P161" s="92">
        <f t="shared" ca="1" si="48"/>
        <v>22.645884281343584</v>
      </c>
      <c r="Q161" s="92">
        <f t="shared" ca="1" si="49"/>
        <v>22.645884281343584</v>
      </c>
      <c r="R161" s="92">
        <f t="shared" ca="1" si="50"/>
        <v>2.2645884281343585</v>
      </c>
      <c r="S161" s="92">
        <f t="shared" ca="1" si="51"/>
        <v>2.264588428134358</v>
      </c>
      <c r="T161" s="4">
        <f t="shared" ca="1" si="52"/>
        <v>8.423708797540552E-7</v>
      </c>
      <c r="U161" s="99">
        <f t="shared" ca="1" si="53"/>
        <v>1483.2486983548911</v>
      </c>
      <c r="V161" s="4">
        <f t="shared" ca="1" si="54"/>
        <v>5.5173182703075147E-4</v>
      </c>
      <c r="W161" s="13">
        <f t="shared" ca="1" si="55"/>
        <v>12467.287237499999</v>
      </c>
      <c r="X161" s="4">
        <f t="shared" ca="1" si="56"/>
        <v>4.6375224689509413E-3</v>
      </c>
    </row>
    <row r="162" spans="1:24">
      <c r="A162">
        <v>1</v>
      </c>
      <c r="B162">
        <v>0</v>
      </c>
      <c r="C162">
        <f t="shared" ca="1" si="38"/>
        <v>4</v>
      </c>
      <c r="D162">
        <f t="shared" ca="1" si="39"/>
        <v>2</v>
      </c>
      <c r="E162">
        <f t="shared" ca="1" si="40"/>
        <v>1</v>
      </c>
      <c r="F162" s="100">
        <f t="shared" ca="1" si="41"/>
        <v>0.37573259049999996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273</v>
      </c>
      <c r="M162" s="7">
        <f t="shared" ca="1" si="45"/>
        <v>727</v>
      </c>
      <c r="N162" s="43">
        <f t="shared" ca="1" si="46"/>
        <v>6</v>
      </c>
      <c r="O162" s="92">
        <f t="shared" ca="1" si="47"/>
        <v>2.003415856166523</v>
      </c>
      <c r="P162" s="92">
        <f t="shared" ca="1" si="48"/>
        <v>20.03415856166523</v>
      </c>
      <c r="Q162" s="92">
        <f t="shared" ca="1" si="49"/>
        <v>20.03415856166523</v>
      </c>
      <c r="R162" s="92">
        <f t="shared" ca="1" si="50"/>
        <v>2.003415856166523</v>
      </c>
      <c r="S162" s="92">
        <f t="shared" ca="1" si="51"/>
        <v>2.003415856166523</v>
      </c>
      <c r="T162" s="4">
        <f t="shared" ca="1" si="52"/>
        <v>0</v>
      </c>
      <c r="U162" s="99">
        <f t="shared" ca="1" si="53"/>
        <v>1502.0284794818213</v>
      </c>
      <c r="V162" s="4">
        <f t="shared" ca="1" si="54"/>
        <v>0</v>
      </c>
      <c r="W162" s="13">
        <f t="shared" ca="1" si="55"/>
        <v>10852.513124999999</v>
      </c>
      <c r="X162" s="4">
        <f t="shared" ca="1" si="56"/>
        <v>0</v>
      </c>
    </row>
    <row r="163" spans="1:24">
      <c r="A163">
        <v>1</v>
      </c>
      <c r="B163">
        <v>0</v>
      </c>
      <c r="C163">
        <f t="shared" ca="1" si="38"/>
        <v>4</v>
      </c>
      <c r="D163">
        <f t="shared" ca="1" si="39"/>
        <v>2</v>
      </c>
      <c r="E163">
        <f t="shared" ca="1" si="40"/>
        <v>1</v>
      </c>
      <c r="F163" s="100">
        <f t="shared" ca="1" si="41"/>
        <v>0.37573259049999996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252</v>
      </c>
      <c r="M163" s="7">
        <f t="shared" ca="1" si="45"/>
        <v>748</v>
      </c>
      <c r="N163" s="43">
        <f t="shared" ca="1" si="46"/>
        <v>6</v>
      </c>
      <c r="O163" s="92">
        <f t="shared" ca="1" si="47"/>
        <v>2.003415856166523</v>
      </c>
      <c r="P163" s="92">
        <f t="shared" ca="1" si="48"/>
        <v>20.03415856166523</v>
      </c>
      <c r="Q163" s="92">
        <f t="shared" ca="1" si="49"/>
        <v>20.03415856166523</v>
      </c>
      <c r="R163" s="92">
        <f t="shared" ca="1" si="50"/>
        <v>2.003415856166523</v>
      </c>
      <c r="S163" s="92">
        <f t="shared" ca="1" si="51"/>
        <v>2.003415856166523</v>
      </c>
      <c r="T163" s="4">
        <f t="shared" ca="1" si="52"/>
        <v>0</v>
      </c>
      <c r="U163" s="99">
        <f t="shared" ca="1" si="53"/>
        <v>1481.0284794818213</v>
      </c>
      <c r="V163" s="4">
        <f t="shared" ca="1" si="54"/>
        <v>0</v>
      </c>
      <c r="W163" s="13">
        <f t="shared" ca="1" si="55"/>
        <v>9500.3756250000006</v>
      </c>
      <c r="X163" s="4">
        <f t="shared" ca="1" si="56"/>
        <v>0</v>
      </c>
    </row>
    <row r="164" spans="1:24">
      <c r="A164">
        <v>1</v>
      </c>
      <c r="B164">
        <v>0</v>
      </c>
      <c r="C164">
        <f t="shared" ca="1" si="38"/>
        <v>4</v>
      </c>
      <c r="D164">
        <f t="shared" ca="1" si="39"/>
        <v>2</v>
      </c>
      <c r="E164">
        <f t="shared" ca="1" si="40"/>
        <v>1</v>
      </c>
      <c r="F164" s="100">
        <f t="shared" ca="1" si="41"/>
        <v>0.37573259049999996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231</v>
      </c>
      <c r="M164" s="7">
        <f t="shared" ca="1" si="45"/>
        <v>769</v>
      </c>
      <c r="N164" s="43">
        <f t="shared" ca="1" si="46"/>
        <v>6</v>
      </c>
      <c r="O164" s="92">
        <f t="shared" ca="1" si="47"/>
        <v>2.003415856166523</v>
      </c>
      <c r="P164" s="92">
        <f t="shared" ca="1" si="48"/>
        <v>20.03415856166523</v>
      </c>
      <c r="Q164" s="92">
        <f t="shared" ca="1" si="49"/>
        <v>20.03415856166523</v>
      </c>
      <c r="R164" s="92">
        <f t="shared" ca="1" si="50"/>
        <v>2.003415856166523</v>
      </c>
      <c r="S164" s="92">
        <f t="shared" ca="1" si="51"/>
        <v>2.003415856166523</v>
      </c>
      <c r="T164" s="4">
        <f t="shared" ca="1" si="52"/>
        <v>0</v>
      </c>
      <c r="U164" s="99">
        <f t="shared" ca="1" si="53"/>
        <v>1460.0284794818213</v>
      </c>
      <c r="V164" s="4">
        <f t="shared" ca="1" si="54"/>
        <v>0</v>
      </c>
      <c r="W164" s="13">
        <f t="shared" ca="1" si="55"/>
        <v>8148.2381249999999</v>
      </c>
      <c r="X164" s="4">
        <f t="shared" ca="1" si="56"/>
        <v>0</v>
      </c>
    </row>
    <row r="165" spans="1:24">
      <c r="A165">
        <v>1</v>
      </c>
      <c r="B165">
        <v>0</v>
      </c>
      <c r="C165">
        <f t="shared" ca="1" si="38"/>
        <v>4</v>
      </c>
      <c r="D165">
        <f t="shared" ca="1" si="39"/>
        <v>2</v>
      </c>
      <c r="E165">
        <f t="shared" ca="1" si="40"/>
        <v>1</v>
      </c>
      <c r="F165" s="100">
        <f t="shared" ca="1" si="41"/>
        <v>0.37573259049999996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210</v>
      </c>
      <c r="M165" s="7">
        <f t="shared" ca="1" si="45"/>
        <v>790</v>
      </c>
      <c r="N165" s="43">
        <f t="shared" ca="1" si="46"/>
        <v>7</v>
      </c>
      <c r="O165" s="92">
        <f t="shared" ca="1" si="47"/>
        <v>2.264588428134358</v>
      </c>
      <c r="P165" s="92">
        <f t="shared" ca="1" si="48"/>
        <v>22.645884281343584</v>
      </c>
      <c r="Q165" s="92">
        <f t="shared" ca="1" si="49"/>
        <v>21.340021421504403</v>
      </c>
      <c r="R165" s="92">
        <f t="shared" ca="1" si="50"/>
        <v>2.1992952851423992</v>
      </c>
      <c r="S165" s="92">
        <f t="shared" ca="1" si="51"/>
        <v>2.264588428134358</v>
      </c>
      <c r="T165" s="4">
        <f t="shared" ca="1" si="52"/>
        <v>0</v>
      </c>
      <c r="U165" s="99">
        <f t="shared" ca="1" si="53"/>
        <v>1567.2486983548911</v>
      </c>
      <c r="V165" s="4">
        <f t="shared" ca="1" si="54"/>
        <v>0</v>
      </c>
      <c r="W165" s="13">
        <f t="shared" ca="1" si="55"/>
        <v>6796.100625</v>
      </c>
      <c r="X165" s="4">
        <f t="shared" ca="1" si="56"/>
        <v>0</v>
      </c>
    </row>
    <row r="166" spans="1:24">
      <c r="A166">
        <v>1</v>
      </c>
      <c r="B166">
        <v>0</v>
      </c>
      <c r="C166">
        <f t="shared" ca="1" si="38"/>
        <v>4</v>
      </c>
      <c r="D166">
        <f t="shared" ca="1" si="39"/>
        <v>2</v>
      </c>
      <c r="E166">
        <f t="shared" ca="1" si="40"/>
        <v>1</v>
      </c>
      <c r="F166" s="100">
        <f t="shared" ca="1" si="41"/>
        <v>0.37573259049999996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189</v>
      </c>
      <c r="M166" s="7">
        <f t="shared" ca="1" si="45"/>
        <v>811</v>
      </c>
      <c r="N166" s="43">
        <f t="shared" ca="1" si="46"/>
        <v>7</v>
      </c>
      <c r="O166" s="92">
        <f t="shared" ca="1" si="47"/>
        <v>2.264588428134358</v>
      </c>
      <c r="P166" s="92">
        <f t="shared" ca="1" si="48"/>
        <v>22.645884281343584</v>
      </c>
      <c r="Q166" s="92">
        <f t="shared" ca="1" si="49"/>
        <v>22.645884281343584</v>
      </c>
      <c r="R166" s="92">
        <f t="shared" ca="1" si="50"/>
        <v>2.2645884281343585</v>
      </c>
      <c r="S166" s="92">
        <f t="shared" ca="1" si="51"/>
        <v>2.264588428134358</v>
      </c>
      <c r="T166" s="4">
        <f t="shared" ca="1" si="52"/>
        <v>0</v>
      </c>
      <c r="U166" s="99">
        <f t="shared" ca="1" si="53"/>
        <v>1546.2486983548911</v>
      </c>
      <c r="V166" s="4">
        <f t="shared" ca="1" si="54"/>
        <v>0</v>
      </c>
      <c r="W166" s="13">
        <f t="shared" ca="1" si="55"/>
        <v>5443.9631250000002</v>
      </c>
      <c r="X166" s="4">
        <f t="shared" ca="1" si="56"/>
        <v>0</v>
      </c>
    </row>
    <row r="167" spans="1:24">
      <c r="A167">
        <v>1</v>
      </c>
      <c r="B167">
        <v>0</v>
      </c>
      <c r="C167">
        <f t="shared" ca="1" si="38"/>
        <v>4</v>
      </c>
      <c r="D167">
        <f t="shared" ca="1" si="39"/>
        <v>2</v>
      </c>
      <c r="E167">
        <f t="shared" ca="1" si="40"/>
        <v>1</v>
      </c>
      <c r="F167" s="100">
        <f t="shared" ca="1" si="41"/>
        <v>0.37573259049999996</v>
      </c>
      <c r="G167">
        <v>0</v>
      </c>
      <c r="H167">
        <v>1</v>
      </c>
      <c r="I167">
        <v>2</v>
      </c>
      <c r="J167" s="1">
        <f t="shared" ca="1" si="42"/>
        <v>9.7029900000000086E-3</v>
      </c>
      <c r="K167" s="1">
        <f t="shared" ca="1" si="43"/>
        <v>3.645729568295598E-3</v>
      </c>
      <c r="L167" s="13">
        <f t="shared" ca="1" si="44"/>
        <v>168</v>
      </c>
      <c r="M167" s="7">
        <f t="shared" ca="1" si="45"/>
        <v>832</v>
      </c>
      <c r="N167" s="43">
        <f t="shared" ca="1" si="46"/>
        <v>7</v>
      </c>
      <c r="O167" s="92">
        <f t="shared" ca="1" si="47"/>
        <v>2.264588428134358</v>
      </c>
      <c r="P167" s="92">
        <f t="shared" ca="1" si="48"/>
        <v>22.645884281343584</v>
      </c>
      <c r="Q167" s="92">
        <f t="shared" ca="1" si="49"/>
        <v>22.645884281343584</v>
      </c>
      <c r="R167" s="92">
        <f t="shared" ca="1" si="50"/>
        <v>2.2645884281343585</v>
      </c>
      <c r="S167" s="92">
        <f t="shared" ca="1" si="51"/>
        <v>2.264588428134358</v>
      </c>
      <c r="T167" s="4">
        <f t="shared" ca="1" si="52"/>
        <v>8.2560769924694792E-3</v>
      </c>
      <c r="U167" s="99">
        <f t="shared" ca="1" si="53"/>
        <v>1525.2486983548911</v>
      </c>
      <c r="V167" s="4">
        <f t="shared" ca="1" si="54"/>
        <v>5.5606442785967998</v>
      </c>
      <c r="W167" s="13">
        <f t="shared" ca="1" si="55"/>
        <v>4091.8256249999999</v>
      </c>
      <c r="X167" s="4">
        <f t="shared" ca="1" si="56"/>
        <v>14.917689669372114</v>
      </c>
    </row>
    <row r="168" spans="1:24">
      <c r="A168">
        <v>1</v>
      </c>
      <c r="B168">
        <v>0</v>
      </c>
      <c r="C168">
        <f t="shared" ca="1" si="38"/>
        <v>4</v>
      </c>
      <c r="D168">
        <f t="shared" ca="1" si="39"/>
        <v>2</v>
      </c>
      <c r="E168">
        <f t="shared" ca="1" si="40"/>
        <v>1</v>
      </c>
      <c r="F168" s="100">
        <f t="shared" ca="1" si="41"/>
        <v>0.37573259049999996</v>
      </c>
      <c r="G168">
        <v>0</v>
      </c>
      <c r="H168">
        <v>1</v>
      </c>
      <c r="I168">
        <v>1</v>
      </c>
      <c r="J168" s="1">
        <f t="shared" ca="1" si="42"/>
        <v>1.9602000000000036E-4</v>
      </c>
      <c r="K168" s="1">
        <f t="shared" ca="1" si="43"/>
        <v>7.3651102389810135E-5</v>
      </c>
      <c r="L168" s="13">
        <f t="shared" ca="1" si="44"/>
        <v>147</v>
      </c>
      <c r="M168" s="7">
        <f t="shared" ca="1" si="45"/>
        <v>853</v>
      </c>
      <c r="N168" s="43">
        <f t="shared" ca="1" si="46"/>
        <v>7</v>
      </c>
      <c r="O168" s="92">
        <f t="shared" ca="1" si="47"/>
        <v>2.264588428134358</v>
      </c>
      <c r="P168" s="92">
        <f t="shared" ca="1" si="48"/>
        <v>22.645884281343584</v>
      </c>
      <c r="Q168" s="92">
        <f t="shared" ca="1" si="49"/>
        <v>22.645884281343584</v>
      </c>
      <c r="R168" s="92">
        <f t="shared" ca="1" si="50"/>
        <v>2.2645884281343585</v>
      </c>
      <c r="S168" s="92">
        <f t="shared" ca="1" si="51"/>
        <v>2.264588428134358</v>
      </c>
      <c r="T168" s="4">
        <f t="shared" ca="1" si="52"/>
        <v>1.6678943419130279E-4</v>
      </c>
      <c r="U168" s="99">
        <f t="shared" ca="1" si="53"/>
        <v>1504.2486983548911</v>
      </c>
      <c r="V168" s="4">
        <f t="shared" ca="1" si="54"/>
        <v>0.1107895749022747</v>
      </c>
      <c r="W168" s="13">
        <f t="shared" ca="1" si="55"/>
        <v>2739.6881249999997</v>
      </c>
      <c r="X168" s="4">
        <f t="shared" ca="1" si="56"/>
        <v>0.20178105061052193</v>
      </c>
    </row>
    <row r="169" spans="1:24">
      <c r="A169">
        <v>1</v>
      </c>
      <c r="B169">
        <v>0</v>
      </c>
      <c r="C169">
        <f t="shared" ca="1" si="38"/>
        <v>4</v>
      </c>
      <c r="D169">
        <f t="shared" ca="1" si="39"/>
        <v>2</v>
      </c>
      <c r="E169">
        <f t="shared" ca="1" si="40"/>
        <v>1</v>
      </c>
      <c r="F169" s="100">
        <f t="shared" ca="1" si="41"/>
        <v>0.37573259049999996</v>
      </c>
      <c r="G169">
        <v>0</v>
      </c>
      <c r="H169">
        <v>1</v>
      </c>
      <c r="I169">
        <v>0</v>
      </c>
      <c r="J169" s="1">
        <f t="shared" ca="1" si="42"/>
        <v>9.900000000000028E-7</v>
      </c>
      <c r="K169" s="1">
        <f t="shared" ca="1" si="43"/>
        <v>3.7197526459500099E-7</v>
      </c>
      <c r="L169" s="13">
        <f t="shared" ca="1" si="44"/>
        <v>126</v>
      </c>
      <c r="M169" s="7">
        <f t="shared" ca="1" si="45"/>
        <v>874</v>
      </c>
      <c r="N169" s="43">
        <f t="shared" ca="1" si="46"/>
        <v>7</v>
      </c>
      <c r="O169" s="92">
        <f t="shared" ca="1" si="47"/>
        <v>2.264588428134358</v>
      </c>
      <c r="P169" s="92">
        <f t="shared" ca="1" si="48"/>
        <v>22.645884281343584</v>
      </c>
      <c r="Q169" s="92">
        <f t="shared" ca="1" si="49"/>
        <v>22.645884281343584</v>
      </c>
      <c r="R169" s="92">
        <f t="shared" ca="1" si="50"/>
        <v>2.2645884281343585</v>
      </c>
      <c r="S169" s="92">
        <f t="shared" ca="1" si="51"/>
        <v>2.264588428134358</v>
      </c>
      <c r="T169" s="4">
        <f t="shared" ca="1" si="52"/>
        <v>8.423708797540552E-7</v>
      </c>
      <c r="U169" s="99">
        <f t="shared" ca="1" si="53"/>
        <v>1483.2486983548911</v>
      </c>
      <c r="V169" s="4">
        <f t="shared" ca="1" si="54"/>
        <v>5.5173182703075147E-4</v>
      </c>
      <c r="W169" s="13">
        <f t="shared" ca="1" si="55"/>
        <v>1387.5506249999999</v>
      </c>
      <c r="X169" s="4">
        <f t="shared" ca="1" si="56"/>
        <v>5.1613451087333399E-4</v>
      </c>
    </row>
    <row r="170" spans="1:24">
      <c r="A170">
        <v>1</v>
      </c>
      <c r="B170">
        <v>0</v>
      </c>
      <c r="C170">
        <f t="shared" ca="1" si="38"/>
        <v>4</v>
      </c>
      <c r="D170">
        <f t="shared" ca="1" si="39"/>
        <v>2</v>
      </c>
      <c r="E170">
        <f t="shared" ca="1" si="40"/>
        <v>1</v>
      </c>
      <c r="F170" s="100">
        <f t="shared" ca="1" si="41"/>
        <v>0.37573259049999996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3">
        <f t="shared" ca="1" si="46"/>
        <v>7</v>
      </c>
      <c r="O170" s="92">
        <f t="shared" ca="1" si="47"/>
        <v>2.264588428134358</v>
      </c>
      <c r="P170" s="92">
        <f t="shared" ca="1" si="48"/>
        <v>22.645884281343584</v>
      </c>
      <c r="Q170" s="92">
        <f t="shared" ca="1" si="49"/>
        <v>22.645884281343584</v>
      </c>
      <c r="R170" s="92">
        <f t="shared" ca="1" si="50"/>
        <v>2.2645884281343585</v>
      </c>
      <c r="S170" s="92">
        <f t="shared" ca="1" si="51"/>
        <v>2.264588428134358</v>
      </c>
      <c r="T170" s="4">
        <f t="shared" ca="1" si="52"/>
        <v>0</v>
      </c>
      <c r="U170" s="99">
        <f t="shared" ca="1" si="53"/>
        <v>1504.2486983548911</v>
      </c>
      <c r="V170" s="4">
        <f t="shared" ca="1" si="54"/>
        <v>0</v>
      </c>
      <c r="W170" s="13">
        <f t="shared" ca="1" si="55"/>
        <v>9464.9624999999996</v>
      </c>
      <c r="X170" s="4">
        <f t="shared" ca="1" si="56"/>
        <v>0</v>
      </c>
    </row>
    <row r="171" spans="1:24">
      <c r="A171">
        <v>1</v>
      </c>
      <c r="B171">
        <v>0</v>
      </c>
      <c r="C171">
        <f t="shared" ca="1" si="38"/>
        <v>4</v>
      </c>
      <c r="D171">
        <f t="shared" ca="1" si="39"/>
        <v>2</v>
      </c>
      <c r="E171">
        <f t="shared" ca="1" si="40"/>
        <v>1</v>
      </c>
      <c r="F171" s="100">
        <f t="shared" ca="1" si="41"/>
        <v>0.37573259049999996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3">
        <f t="shared" ca="1" si="46"/>
        <v>7</v>
      </c>
      <c r="O171" s="92">
        <f t="shared" ca="1" si="47"/>
        <v>2.264588428134358</v>
      </c>
      <c r="P171" s="92">
        <f t="shared" ca="1" si="48"/>
        <v>22.645884281343584</v>
      </c>
      <c r="Q171" s="92">
        <f t="shared" ca="1" si="49"/>
        <v>22.645884281343584</v>
      </c>
      <c r="R171" s="92">
        <f t="shared" ca="1" si="50"/>
        <v>2.2645884281343585</v>
      </c>
      <c r="S171" s="92">
        <f t="shared" ca="1" si="51"/>
        <v>2.264588428134358</v>
      </c>
      <c r="T171" s="4">
        <f t="shared" ca="1" si="52"/>
        <v>0</v>
      </c>
      <c r="U171" s="99">
        <f t="shared" ca="1" si="53"/>
        <v>1483.2486983548911</v>
      </c>
      <c r="V171" s="4">
        <f t="shared" ca="1" si="54"/>
        <v>0</v>
      </c>
      <c r="W171" s="13">
        <f t="shared" ca="1" si="55"/>
        <v>8112.8249999999998</v>
      </c>
      <c r="X171" s="4">
        <f t="shared" ca="1" si="56"/>
        <v>0</v>
      </c>
    </row>
    <row r="172" spans="1:24">
      <c r="A172">
        <v>1</v>
      </c>
      <c r="B172">
        <v>0</v>
      </c>
      <c r="C172">
        <f t="shared" ca="1" si="38"/>
        <v>4</v>
      </c>
      <c r="D172">
        <f t="shared" ca="1" si="39"/>
        <v>2</v>
      </c>
      <c r="E172">
        <f t="shared" ca="1" si="40"/>
        <v>1</v>
      </c>
      <c r="F172" s="100">
        <f t="shared" ca="1" si="41"/>
        <v>0.37573259049999996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105</v>
      </c>
      <c r="M172" s="7">
        <f t="shared" ca="1" si="45"/>
        <v>895</v>
      </c>
      <c r="N172" s="43">
        <f t="shared" ca="1" si="46"/>
        <v>7</v>
      </c>
      <c r="O172" s="92">
        <f t="shared" ca="1" si="47"/>
        <v>2.264588428134358</v>
      </c>
      <c r="P172" s="92">
        <f t="shared" ca="1" si="48"/>
        <v>22.645884281343584</v>
      </c>
      <c r="Q172" s="92">
        <f t="shared" ca="1" si="49"/>
        <v>22.645884281343584</v>
      </c>
      <c r="R172" s="92">
        <f t="shared" ca="1" si="50"/>
        <v>2.2645884281343585</v>
      </c>
      <c r="S172" s="92">
        <f t="shared" ca="1" si="51"/>
        <v>2.264588428134358</v>
      </c>
      <c r="T172" s="4">
        <f t="shared" ca="1" si="52"/>
        <v>0</v>
      </c>
      <c r="U172" s="99">
        <f t="shared" ca="1" si="53"/>
        <v>1462.2486983548911</v>
      </c>
      <c r="V172" s="4">
        <f t="shared" ca="1" si="54"/>
        <v>0</v>
      </c>
      <c r="W172" s="13">
        <f t="shared" ca="1" si="55"/>
        <v>6760.6875</v>
      </c>
      <c r="X172" s="4">
        <f t="shared" ca="1" si="56"/>
        <v>0</v>
      </c>
    </row>
    <row r="173" spans="1:24">
      <c r="A173">
        <v>1</v>
      </c>
      <c r="B173">
        <v>0</v>
      </c>
      <c r="C173">
        <f t="shared" ca="1" si="38"/>
        <v>4</v>
      </c>
      <c r="D173">
        <f t="shared" ca="1" si="39"/>
        <v>2</v>
      </c>
      <c r="E173">
        <f t="shared" ca="1" si="40"/>
        <v>1</v>
      </c>
      <c r="F173" s="100">
        <f t="shared" ca="1" si="41"/>
        <v>0.37573259049999996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100</v>
      </c>
      <c r="M173" s="7">
        <f t="shared" ca="1" si="45"/>
        <v>900</v>
      </c>
      <c r="N173" s="43">
        <f t="shared" ca="1" si="46"/>
        <v>7</v>
      </c>
      <c r="O173" s="92">
        <f t="shared" ca="1" si="47"/>
        <v>2.264588428134358</v>
      </c>
      <c r="P173" s="92">
        <f t="shared" ca="1" si="48"/>
        <v>22.645884281343584</v>
      </c>
      <c r="Q173" s="92">
        <f t="shared" ca="1" si="49"/>
        <v>22.645884281343584</v>
      </c>
      <c r="R173" s="92">
        <f t="shared" ca="1" si="50"/>
        <v>2.2645884281343585</v>
      </c>
      <c r="S173" s="92">
        <f t="shared" ca="1" si="51"/>
        <v>2.264588428134358</v>
      </c>
      <c r="T173" s="4">
        <f t="shared" ca="1" si="52"/>
        <v>0</v>
      </c>
      <c r="U173" s="99">
        <f t="shared" ca="1" si="53"/>
        <v>1457.2486983548911</v>
      </c>
      <c r="V173" s="4">
        <f t="shared" ca="1" si="54"/>
        <v>0</v>
      </c>
      <c r="W173" s="13">
        <f t="shared" ca="1" si="55"/>
        <v>5408.55</v>
      </c>
      <c r="X173" s="4">
        <f t="shared" ca="1" si="56"/>
        <v>0</v>
      </c>
    </row>
    <row r="174" spans="1:24">
      <c r="A174">
        <v>1</v>
      </c>
      <c r="B174">
        <v>0</v>
      </c>
      <c r="C174">
        <f t="shared" ca="1" si="38"/>
        <v>4</v>
      </c>
      <c r="D174">
        <f t="shared" ca="1" si="39"/>
        <v>2</v>
      </c>
      <c r="E174">
        <f t="shared" ca="1" si="40"/>
        <v>1</v>
      </c>
      <c r="F174" s="100">
        <f t="shared" ca="1" si="41"/>
        <v>0.37573259049999996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100</v>
      </c>
      <c r="M174" s="7">
        <f t="shared" ca="1" si="45"/>
        <v>900</v>
      </c>
      <c r="N174" s="43">
        <f t="shared" ca="1" si="46"/>
        <v>7</v>
      </c>
      <c r="O174" s="92">
        <f t="shared" ca="1" si="47"/>
        <v>2.264588428134358</v>
      </c>
      <c r="P174" s="92">
        <f t="shared" ca="1" si="48"/>
        <v>22.645884281343584</v>
      </c>
      <c r="Q174" s="92">
        <f t="shared" ca="1" si="49"/>
        <v>22.645884281343584</v>
      </c>
      <c r="R174" s="92">
        <f t="shared" ca="1" si="50"/>
        <v>2.2645884281343585</v>
      </c>
      <c r="S174" s="92">
        <f t="shared" ca="1" si="51"/>
        <v>2.264588428134358</v>
      </c>
      <c r="T174" s="4">
        <f t="shared" ca="1" si="52"/>
        <v>0</v>
      </c>
      <c r="U174" s="99">
        <f t="shared" ca="1" si="53"/>
        <v>1457.2486983548911</v>
      </c>
      <c r="V174" s="4">
        <f t="shared" ca="1" si="54"/>
        <v>0</v>
      </c>
      <c r="W174" s="13">
        <f t="shared" ca="1" si="55"/>
        <v>4056.4124999999999</v>
      </c>
      <c r="X174" s="4">
        <f t="shared" ca="1" si="56"/>
        <v>0</v>
      </c>
    </row>
    <row r="175" spans="1:24">
      <c r="A175">
        <v>1</v>
      </c>
      <c r="B175">
        <v>0</v>
      </c>
      <c r="C175">
        <f t="shared" ca="1" si="38"/>
        <v>4</v>
      </c>
      <c r="D175">
        <f t="shared" ca="1" si="39"/>
        <v>2</v>
      </c>
      <c r="E175">
        <f t="shared" ca="1" si="40"/>
        <v>1</v>
      </c>
      <c r="F175" s="100">
        <f t="shared" ca="1" si="41"/>
        <v>0.37573259049999996</v>
      </c>
      <c r="G175">
        <v>0</v>
      </c>
      <c r="H175">
        <v>0</v>
      </c>
      <c r="I175">
        <v>2</v>
      </c>
      <c r="J175" s="1">
        <f t="shared" ca="1" si="42"/>
        <v>9.8010000000000168E-5</v>
      </c>
      <c r="K175" s="1">
        <f t="shared" ca="1" si="43"/>
        <v>3.6825551194905061E-5</v>
      </c>
      <c r="L175" s="13">
        <f t="shared" ca="1" si="44"/>
        <v>100</v>
      </c>
      <c r="M175" s="7">
        <f t="shared" ca="1" si="45"/>
        <v>900</v>
      </c>
      <c r="N175" s="43">
        <f t="shared" ca="1" si="46"/>
        <v>7</v>
      </c>
      <c r="O175" s="92">
        <f t="shared" ca="1" si="47"/>
        <v>2.264588428134358</v>
      </c>
      <c r="P175" s="92">
        <f t="shared" ca="1" si="48"/>
        <v>22.645884281343584</v>
      </c>
      <c r="Q175" s="92">
        <f t="shared" ca="1" si="49"/>
        <v>22.645884281343584</v>
      </c>
      <c r="R175" s="92">
        <f t="shared" ca="1" si="50"/>
        <v>2.2645884281343585</v>
      </c>
      <c r="S175" s="92">
        <f t="shared" ca="1" si="51"/>
        <v>2.264588428134358</v>
      </c>
      <c r="T175" s="4">
        <f t="shared" ca="1" si="52"/>
        <v>8.3394717095651381E-5</v>
      </c>
      <c r="U175" s="99">
        <f t="shared" ca="1" si="53"/>
        <v>1457.2486983548911</v>
      </c>
      <c r="V175" s="4">
        <f t="shared" ca="1" si="54"/>
        <v>5.3663986544976804E-2</v>
      </c>
      <c r="W175" s="13">
        <f t="shared" ca="1" si="55"/>
        <v>2704.2750000000001</v>
      </c>
      <c r="X175" s="4">
        <f t="shared" ca="1" si="56"/>
        <v>9.9586417457601883E-2</v>
      </c>
    </row>
    <row r="176" spans="1:24">
      <c r="A176">
        <v>1</v>
      </c>
      <c r="B176">
        <v>0</v>
      </c>
      <c r="C176">
        <f t="shared" ca="1" si="38"/>
        <v>4</v>
      </c>
      <c r="D176">
        <f t="shared" ca="1" si="39"/>
        <v>2</v>
      </c>
      <c r="E176">
        <f t="shared" ca="1" si="40"/>
        <v>1</v>
      </c>
      <c r="F176" s="100">
        <f t="shared" ca="1" si="41"/>
        <v>0.37573259049999996</v>
      </c>
      <c r="G176">
        <v>0</v>
      </c>
      <c r="H176">
        <v>0</v>
      </c>
      <c r="I176">
        <v>1</v>
      </c>
      <c r="J176" s="1">
        <f t="shared" ca="1" si="42"/>
        <v>1.9800000000000056E-6</v>
      </c>
      <c r="K176" s="1">
        <f t="shared" ca="1" si="43"/>
        <v>7.4395052919000198E-7</v>
      </c>
      <c r="L176" s="13">
        <f t="shared" ca="1" si="44"/>
        <v>100</v>
      </c>
      <c r="M176" s="7">
        <f t="shared" ca="1" si="45"/>
        <v>900</v>
      </c>
      <c r="N176" s="43">
        <f t="shared" ca="1" si="46"/>
        <v>7</v>
      </c>
      <c r="O176" s="92">
        <f t="shared" ca="1" si="47"/>
        <v>2.264588428134358</v>
      </c>
      <c r="P176" s="92">
        <f t="shared" ca="1" si="48"/>
        <v>22.645884281343584</v>
      </c>
      <c r="Q176" s="92">
        <f t="shared" ca="1" si="49"/>
        <v>22.645884281343584</v>
      </c>
      <c r="R176" s="92">
        <f t="shared" ca="1" si="50"/>
        <v>2.2645884281343585</v>
      </c>
      <c r="S176" s="92">
        <f t="shared" ca="1" si="51"/>
        <v>2.264588428134358</v>
      </c>
      <c r="T176" s="4">
        <f t="shared" ca="1" si="52"/>
        <v>1.6847417595081104E-6</v>
      </c>
      <c r="U176" s="99">
        <f t="shared" ca="1" si="53"/>
        <v>1457.2486983548911</v>
      </c>
      <c r="V176" s="4">
        <f t="shared" ca="1" si="54"/>
        <v>1.0841209403025629E-3</v>
      </c>
      <c r="W176" s="13">
        <f t="shared" ca="1" si="55"/>
        <v>1352.1375</v>
      </c>
      <c r="X176" s="4">
        <f t="shared" ca="1" si="56"/>
        <v>1.0059234086626464E-3</v>
      </c>
    </row>
    <row r="177" spans="1:24">
      <c r="A177">
        <v>1</v>
      </c>
      <c r="B177">
        <v>0</v>
      </c>
      <c r="C177">
        <f t="shared" ca="1" si="38"/>
        <v>4</v>
      </c>
      <c r="D177">
        <f t="shared" ca="1" si="39"/>
        <v>2</v>
      </c>
      <c r="E177">
        <f t="shared" ca="1" si="40"/>
        <v>1</v>
      </c>
      <c r="F177" s="100">
        <f t="shared" ca="1" si="41"/>
        <v>0.37573259049999996</v>
      </c>
      <c r="G177">
        <v>0</v>
      </c>
      <c r="H177">
        <v>0</v>
      </c>
      <c r="I177">
        <v>0</v>
      </c>
      <c r="J177" s="1">
        <f t="shared" ca="1" si="42"/>
        <v>1.0000000000000037E-8</v>
      </c>
      <c r="K177" s="1">
        <f t="shared" ca="1" si="43"/>
        <v>3.757325905000013E-9</v>
      </c>
      <c r="L177" s="13">
        <f t="shared" ca="1" si="44"/>
        <v>100</v>
      </c>
      <c r="M177" s="7">
        <f t="shared" ca="1" si="45"/>
        <v>900</v>
      </c>
      <c r="N177" s="43">
        <f t="shared" ca="1" si="46"/>
        <v>7</v>
      </c>
      <c r="O177" s="92">
        <f t="shared" ca="1" si="47"/>
        <v>2.264588428134358</v>
      </c>
      <c r="P177" s="92">
        <f t="shared" ca="1" si="48"/>
        <v>22.645884281343584</v>
      </c>
      <c r="Q177" s="92">
        <f t="shared" ca="1" si="49"/>
        <v>22.645884281343584</v>
      </c>
      <c r="R177" s="92">
        <f t="shared" ca="1" si="50"/>
        <v>2.2645884281343585</v>
      </c>
      <c r="S177" s="92">
        <f t="shared" ca="1" si="51"/>
        <v>2.264588428134358</v>
      </c>
      <c r="T177" s="4">
        <f t="shared" ca="1" si="52"/>
        <v>8.5087967651924831E-9</v>
      </c>
      <c r="U177" s="99">
        <f t="shared" ca="1" si="53"/>
        <v>1457.2486983548911</v>
      </c>
      <c r="V177" s="4">
        <f t="shared" ca="1" si="54"/>
        <v>5.4753582843563823E-6</v>
      </c>
      <c r="W177" s="13">
        <f t="shared" ca="1" si="55"/>
        <v>0</v>
      </c>
      <c r="X177" s="4">
        <f t="shared" ca="1" si="56"/>
        <v>0</v>
      </c>
    </row>
    <row r="178" spans="1:24">
      <c r="A178">
        <v>1</v>
      </c>
      <c r="B178">
        <v>1</v>
      </c>
      <c r="C178">
        <f t="shared" ca="1" si="38"/>
        <v>5</v>
      </c>
      <c r="D178">
        <f t="shared" ca="1" si="39"/>
        <v>3</v>
      </c>
      <c r="E178">
        <f t="shared" ca="1" si="40"/>
        <v>1</v>
      </c>
      <c r="F178" s="100">
        <f t="shared" ca="1" si="41"/>
        <v>4.6438859499999999E-2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399</v>
      </c>
      <c r="M178" s="7">
        <f t="shared" ca="1" si="45"/>
        <v>601</v>
      </c>
      <c r="N178" s="43">
        <f t="shared" ca="1" si="46"/>
        <v>5</v>
      </c>
      <c r="O178" s="92">
        <f t="shared" ca="1" si="47"/>
        <v>1.7627004516625842</v>
      </c>
      <c r="P178" s="92">
        <f t="shared" ca="1" si="48"/>
        <v>17.627004516625838</v>
      </c>
      <c r="Q178" s="92">
        <f t="shared" ca="1" si="49"/>
        <v>17.627004516625838</v>
      </c>
      <c r="R178" s="92">
        <f t="shared" ca="1" si="50"/>
        <v>1.7627004516625839</v>
      </c>
      <c r="S178" s="92">
        <f t="shared" ca="1" si="51"/>
        <v>1.7627004516625842</v>
      </c>
      <c r="T178" s="4">
        <f t="shared" ca="1" si="52"/>
        <v>0</v>
      </c>
      <c r="U178" s="99">
        <f t="shared" ca="1" si="53"/>
        <v>1509.8515146533105</v>
      </c>
      <c r="V178" s="4">
        <f t="shared" ca="1" si="54"/>
        <v>0</v>
      </c>
      <c r="W178" s="13">
        <f t="shared" ca="1" si="55"/>
        <v>23319.800362499998</v>
      </c>
      <c r="X178" s="4">
        <f t="shared" ca="1" si="56"/>
        <v>0</v>
      </c>
    </row>
    <row r="179" spans="1:24">
      <c r="A179">
        <v>1</v>
      </c>
      <c r="B179">
        <v>1</v>
      </c>
      <c r="C179">
        <f t="shared" ca="1" si="38"/>
        <v>5</v>
      </c>
      <c r="D179">
        <f t="shared" ca="1" si="39"/>
        <v>3</v>
      </c>
      <c r="E179">
        <f t="shared" ca="1" si="40"/>
        <v>1</v>
      </c>
      <c r="F179" s="100">
        <f t="shared" ca="1" si="41"/>
        <v>4.6438859499999999E-2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378</v>
      </c>
      <c r="M179" s="7">
        <f t="shared" ca="1" si="45"/>
        <v>622</v>
      </c>
      <c r="N179" s="43">
        <f t="shared" ca="1" si="46"/>
        <v>5</v>
      </c>
      <c r="O179" s="92">
        <f t="shared" ca="1" si="47"/>
        <v>1.7627004516625842</v>
      </c>
      <c r="P179" s="92">
        <f t="shared" ca="1" si="48"/>
        <v>17.627004516625838</v>
      </c>
      <c r="Q179" s="92">
        <f t="shared" ca="1" si="49"/>
        <v>17.627004516625838</v>
      </c>
      <c r="R179" s="92">
        <f t="shared" ca="1" si="50"/>
        <v>1.7627004516625839</v>
      </c>
      <c r="S179" s="92">
        <f t="shared" ca="1" si="51"/>
        <v>1.7627004516625842</v>
      </c>
      <c r="T179" s="4">
        <f t="shared" ca="1" si="52"/>
        <v>0</v>
      </c>
      <c r="U179" s="99">
        <f t="shared" ca="1" si="53"/>
        <v>1488.8515146533105</v>
      </c>
      <c r="V179" s="4">
        <f t="shared" ca="1" si="54"/>
        <v>0</v>
      </c>
      <c r="W179" s="13">
        <f t="shared" ca="1" si="55"/>
        <v>21967.662862499998</v>
      </c>
      <c r="X179" s="4">
        <f t="shared" ca="1" si="56"/>
        <v>0</v>
      </c>
    </row>
    <row r="180" spans="1:24">
      <c r="A180">
        <v>1</v>
      </c>
      <c r="B180">
        <v>1</v>
      </c>
      <c r="C180">
        <f t="shared" ca="1" si="38"/>
        <v>5</v>
      </c>
      <c r="D180">
        <f t="shared" ca="1" si="39"/>
        <v>3</v>
      </c>
      <c r="E180">
        <f t="shared" ca="1" si="40"/>
        <v>1</v>
      </c>
      <c r="F180" s="100">
        <f t="shared" ca="1" si="41"/>
        <v>4.6438859499999999E-2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357</v>
      </c>
      <c r="M180" s="7">
        <f t="shared" ca="1" si="45"/>
        <v>643</v>
      </c>
      <c r="N180" s="43">
        <f t="shared" ca="1" si="46"/>
        <v>5</v>
      </c>
      <c r="O180" s="92">
        <f t="shared" ca="1" si="47"/>
        <v>1.7627004516625842</v>
      </c>
      <c r="P180" s="92">
        <f t="shared" ca="1" si="48"/>
        <v>17.627004516625838</v>
      </c>
      <c r="Q180" s="92">
        <f t="shared" ca="1" si="49"/>
        <v>17.627004516625838</v>
      </c>
      <c r="R180" s="92">
        <f t="shared" ca="1" si="50"/>
        <v>1.7627004516625839</v>
      </c>
      <c r="S180" s="92">
        <f t="shared" ca="1" si="51"/>
        <v>1.7627004516625842</v>
      </c>
      <c r="T180" s="4">
        <f t="shared" ca="1" si="52"/>
        <v>0</v>
      </c>
      <c r="U180" s="99">
        <f t="shared" ca="1" si="53"/>
        <v>1467.8515146533105</v>
      </c>
      <c r="V180" s="4">
        <f t="shared" ca="1" si="54"/>
        <v>0</v>
      </c>
      <c r="W180" s="13">
        <f t="shared" ca="1" si="55"/>
        <v>20615.525362499997</v>
      </c>
      <c r="X180" s="4">
        <f t="shared" ca="1" si="56"/>
        <v>0</v>
      </c>
    </row>
    <row r="181" spans="1:24">
      <c r="A181">
        <v>1</v>
      </c>
      <c r="B181">
        <v>1</v>
      </c>
      <c r="C181">
        <f t="shared" ca="1" si="38"/>
        <v>5</v>
      </c>
      <c r="D181">
        <f t="shared" ca="1" si="39"/>
        <v>3</v>
      </c>
      <c r="E181">
        <f t="shared" ca="1" si="40"/>
        <v>1</v>
      </c>
      <c r="F181" s="100">
        <f t="shared" ca="1" si="41"/>
        <v>4.6438859499999999E-2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336</v>
      </c>
      <c r="M181" s="7">
        <f t="shared" ca="1" si="45"/>
        <v>664</v>
      </c>
      <c r="N181" s="43">
        <f t="shared" ca="1" si="46"/>
        <v>6</v>
      </c>
      <c r="O181" s="92">
        <f t="shared" ca="1" si="47"/>
        <v>2.003415856166523</v>
      </c>
      <c r="P181" s="92">
        <f t="shared" ca="1" si="48"/>
        <v>20.03415856166523</v>
      </c>
      <c r="Q181" s="92">
        <f t="shared" ca="1" si="49"/>
        <v>19.552727752657354</v>
      </c>
      <c r="R181" s="92">
        <f t="shared" ca="1" si="50"/>
        <v>1.9793443157161292</v>
      </c>
      <c r="S181" s="92">
        <f t="shared" ca="1" si="51"/>
        <v>2.003415856166523</v>
      </c>
      <c r="T181" s="4">
        <f t="shared" ca="1" si="52"/>
        <v>0</v>
      </c>
      <c r="U181" s="99">
        <f t="shared" ca="1" si="53"/>
        <v>1565.0284794818213</v>
      </c>
      <c r="V181" s="4">
        <f t="shared" ca="1" si="54"/>
        <v>0</v>
      </c>
      <c r="W181" s="13">
        <f t="shared" ca="1" si="55"/>
        <v>19263.3878625</v>
      </c>
      <c r="X181" s="4">
        <f t="shared" ca="1" si="56"/>
        <v>0</v>
      </c>
    </row>
    <row r="182" spans="1:24">
      <c r="A182">
        <v>1</v>
      </c>
      <c r="B182">
        <v>1</v>
      </c>
      <c r="C182">
        <f t="shared" ca="1" si="38"/>
        <v>5</v>
      </c>
      <c r="D182">
        <f t="shared" ca="1" si="39"/>
        <v>3</v>
      </c>
      <c r="E182">
        <f t="shared" ca="1" si="40"/>
        <v>1</v>
      </c>
      <c r="F182" s="100">
        <f t="shared" ca="1" si="41"/>
        <v>4.6438859499999999E-2</v>
      </c>
      <c r="G182">
        <v>1</v>
      </c>
      <c r="H182">
        <v>1</v>
      </c>
      <c r="I182">
        <v>3</v>
      </c>
      <c r="J182" s="1">
        <f t="shared" ca="1" si="42"/>
        <v>0.95099004989999991</v>
      </c>
      <c r="K182" s="1">
        <f t="shared" ca="1" si="43"/>
        <v>4.4162893313204082E-2</v>
      </c>
      <c r="L182" s="13">
        <f t="shared" ca="1" si="44"/>
        <v>315</v>
      </c>
      <c r="M182" s="7">
        <f t="shared" ca="1" si="45"/>
        <v>685</v>
      </c>
      <c r="N182" s="43">
        <f t="shared" ca="1" si="46"/>
        <v>6</v>
      </c>
      <c r="O182" s="92">
        <f t="shared" ca="1" si="47"/>
        <v>2.003415856166523</v>
      </c>
      <c r="P182" s="92">
        <f t="shared" ca="1" si="48"/>
        <v>20.03415856166523</v>
      </c>
      <c r="Q182" s="92">
        <f t="shared" ca="1" si="49"/>
        <v>20.03415856166523</v>
      </c>
      <c r="R182" s="92">
        <f t="shared" ca="1" si="50"/>
        <v>2.003415856166523</v>
      </c>
      <c r="S182" s="92">
        <f t="shared" ca="1" si="51"/>
        <v>2.003415856166523</v>
      </c>
      <c r="T182" s="4">
        <f t="shared" ca="1" si="52"/>
        <v>8.8476640717863569E-2</v>
      </c>
      <c r="U182" s="99">
        <f t="shared" ca="1" si="53"/>
        <v>1544.0284794818213</v>
      </c>
      <c r="V182" s="4">
        <f t="shared" ca="1" si="54"/>
        <v>68.188765011904394</v>
      </c>
      <c r="W182" s="13">
        <f t="shared" ca="1" si="55"/>
        <v>17911.250362499999</v>
      </c>
      <c r="X182" s="4">
        <f t="shared" ca="1" si="56"/>
        <v>791.0126388651754</v>
      </c>
    </row>
    <row r="183" spans="1:24">
      <c r="A183">
        <v>1</v>
      </c>
      <c r="B183">
        <v>1</v>
      </c>
      <c r="C183">
        <f t="shared" ca="1" si="38"/>
        <v>5</v>
      </c>
      <c r="D183">
        <f t="shared" ca="1" si="39"/>
        <v>3</v>
      </c>
      <c r="E183">
        <f t="shared" ca="1" si="40"/>
        <v>1</v>
      </c>
      <c r="F183" s="100">
        <f t="shared" ca="1" si="41"/>
        <v>4.6438859499999999E-2</v>
      </c>
      <c r="G183">
        <v>1</v>
      </c>
      <c r="H183">
        <v>1</v>
      </c>
      <c r="I183">
        <v>2</v>
      </c>
      <c r="J183" s="1">
        <f t="shared" ca="1" si="42"/>
        <v>2.8817880300000022E-2</v>
      </c>
      <c r="K183" s="1">
        <f t="shared" ca="1" si="43"/>
        <v>1.3382694943395188E-3</v>
      </c>
      <c r="L183" s="13">
        <f t="shared" ca="1" si="44"/>
        <v>294</v>
      </c>
      <c r="M183" s="7">
        <f t="shared" ca="1" si="45"/>
        <v>706</v>
      </c>
      <c r="N183" s="43">
        <f t="shared" ca="1" si="46"/>
        <v>6</v>
      </c>
      <c r="O183" s="92">
        <f t="shared" ca="1" si="47"/>
        <v>2.003415856166523</v>
      </c>
      <c r="P183" s="92">
        <f t="shared" ca="1" si="48"/>
        <v>20.03415856166523</v>
      </c>
      <c r="Q183" s="92">
        <f t="shared" ca="1" si="49"/>
        <v>20.03415856166523</v>
      </c>
      <c r="R183" s="92">
        <f t="shared" ca="1" si="50"/>
        <v>2.003415856166523</v>
      </c>
      <c r="S183" s="92">
        <f t="shared" ca="1" si="51"/>
        <v>2.003415856166523</v>
      </c>
      <c r="T183" s="4">
        <f t="shared" ca="1" si="52"/>
        <v>2.6811103247837468E-3</v>
      </c>
      <c r="U183" s="99">
        <f t="shared" ca="1" si="53"/>
        <v>1523.0284794818213</v>
      </c>
      <c r="V183" s="4">
        <f t="shared" ca="1" si="54"/>
        <v>2.0382225531008231</v>
      </c>
      <c r="W183" s="13">
        <f t="shared" ca="1" si="55"/>
        <v>16559.112862499998</v>
      </c>
      <c r="X183" s="4">
        <f t="shared" ca="1" si="56"/>
        <v>22.160555597208894</v>
      </c>
    </row>
    <row r="184" spans="1:24">
      <c r="A184">
        <v>1</v>
      </c>
      <c r="B184">
        <v>1</v>
      </c>
      <c r="C184">
        <f t="shared" ca="1" si="38"/>
        <v>5</v>
      </c>
      <c r="D184">
        <f t="shared" ca="1" si="39"/>
        <v>3</v>
      </c>
      <c r="E184">
        <f t="shared" ca="1" si="40"/>
        <v>1</v>
      </c>
      <c r="F184" s="100">
        <f t="shared" ca="1" si="41"/>
        <v>4.6438859499999999E-2</v>
      </c>
      <c r="G184">
        <v>1</v>
      </c>
      <c r="H184">
        <v>1</v>
      </c>
      <c r="I184">
        <v>1</v>
      </c>
      <c r="J184" s="1">
        <f t="shared" ca="1" si="42"/>
        <v>2.9108970000000053E-4</v>
      </c>
      <c r="K184" s="1">
        <f t="shared" ca="1" si="43"/>
        <v>1.3517873680197175E-5</v>
      </c>
      <c r="L184" s="13">
        <f t="shared" ca="1" si="44"/>
        <v>273</v>
      </c>
      <c r="M184" s="7">
        <f t="shared" ca="1" si="45"/>
        <v>727</v>
      </c>
      <c r="N184" s="43">
        <f t="shared" ca="1" si="46"/>
        <v>6</v>
      </c>
      <c r="O184" s="92">
        <f t="shared" ca="1" si="47"/>
        <v>2.003415856166523</v>
      </c>
      <c r="P184" s="92">
        <f t="shared" ca="1" si="48"/>
        <v>20.03415856166523</v>
      </c>
      <c r="Q184" s="92">
        <f t="shared" ca="1" si="49"/>
        <v>20.03415856166523</v>
      </c>
      <c r="R184" s="92">
        <f t="shared" ca="1" si="50"/>
        <v>2.003415856166523</v>
      </c>
      <c r="S184" s="92">
        <f t="shared" ca="1" si="51"/>
        <v>2.003415856166523</v>
      </c>
      <c r="T184" s="4">
        <f t="shared" ca="1" si="52"/>
        <v>2.708192247256313E-5</v>
      </c>
      <c r="U184" s="99">
        <f t="shared" ca="1" si="53"/>
        <v>1502.0284794818213</v>
      </c>
      <c r="V184" s="4">
        <f t="shared" ca="1" si="54"/>
        <v>2.0304231249693893E-2</v>
      </c>
      <c r="W184" s="13">
        <f t="shared" ca="1" si="55"/>
        <v>15206.975362499999</v>
      </c>
      <c r="X184" s="4">
        <f t="shared" ca="1" si="56"/>
        <v>0.20556597200814564</v>
      </c>
    </row>
    <row r="185" spans="1:24">
      <c r="A185">
        <v>1</v>
      </c>
      <c r="B185">
        <v>1</v>
      </c>
      <c r="C185">
        <f t="shared" ca="1" si="38"/>
        <v>5</v>
      </c>
      <c r="D185">
        <f t="shared" ca="1" si="39"/>
        <v>3</v>
      </c>
      <c r="E185">
        <f t="shared" ca="1" si="40"/>
        <v>1</v>
      </c>
      <c r="F185" s="100">
        <f t="shared" ca="1" si="41"/>
        <v>4.6438859499999999E-2</v>
      </c>
      <c r="G185">
        <v>1</v>
      </c>
      <c r="H185">
        <v>1</v>
      </c>
      <c r="I185">
        <v>0</v>
      </c>
      <c r="J185" s="1">
        <f t="shared" ca="1" si="42"/>
        <v>9.8010000000000269E-7</v>
      </c>
      <c r="K185" s="1">
        <f t="shared" ca="1" si="43"/>
        <v>4.5514726195950127E-8</v>
      </c>
      <c r="L185" s="13">
        <f t="shared" ca="1" si="44"/>
        <v>252</v>
      </c>
      <c r="M185" s="7">
        <f t="shared" ca="1" si="45"/>
        <v>748</v>
      </c>
      <c r="N185" s="43">
        <f t="shared" ca="1" si="46"/>
        <v>6</v>
      </c>
      <c r="O185" s="92">
        <f t="shared" ca="1" si="47"/>
        <v>2.003415856166523</v>
      </c>
      <c r="P185" s="92">
        <f t="shared" ca="1" si="48"/>
        <v>20.03415856166523</v>
      </c>
      <c r="Q185" s="92">
        <f t="shared" ca="1" si="49"/>
        <v>20.03415856166523</v>
      </c>
      <c r="R185" s="92">
        <f t="shared" ca="1" si="50"/>
        <v>2.003415856166523</v>
      </c>
      <c r="S185" s="92">
        <f t="shared" ca="1" si="51"/>
        <v>2.003415856166523</v>
      </c>
      <c r="T185" s="4">
        <f t="shared" ca="1" si="52"/>
        <v>9.1184924150044298E-8</v>
      </c>
      <c r="U185" s="99">
        <f t="shared" ca="1" si="53"/>
        <v>1481.0284794818213</v>
      </c>
      <c r="V185" s="4">
        <f t="shared" ca="1" si="54"/>
        <v>6.7408605732019436E-5</v>
      </c>
      <c r="W185" s="13">
        <f t="shared" ca="1" si="55"/>
        <v>13854.837862499999</v>
      </c>
      <c r="X185" s="4">
        <f t="shared" ca="1" si="56"/>
        <v>6.3059915180097036E-4</v>
      </c>
    </row>
    <row r="186" spans="1:24">
      <c r="A186">
        <v>1</v>
      </c>
      <c r="B186">
        <v>1</v>
      </c>
      <c r="C186">
        <f t="shared" ca="1" si="38"/>
        <v>5</v>
      </c>
      <c r="D186">
        <f t="shared" ca="1" si="39"/>
        <v>3</v>
      </c>
      <c r="E186">
        <f t="shared" ca="1" si="40"/>
        <v>1</v>
      </c>
      <c r="F186" s="100">
        <f t="shared" ca="1" si="41"/>
        <v>4.6438859499999999E-2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273</v>
      </c>
      <c r="M186" s="7">
        <f t="shared" ca="1" si="45"/>
        <v>727</v>
      </c>
      <c r="N186" s="43">
        <f t="shared" ca="1" si="46"/>
        <v>6</v>
      </c>
      <c r="O186" s="92">
        <f t="shared" ca="1" si="47"/>
        <v>2.003415856166523</v>
      </c>
      <c r="P186" s="92">
        <f t="shared" ca="1" si="48"/>
        <v>20.03415856166523</v>
      </c>
      <c r="Q186" s="92">
        <f t="shared" ca="1" si="49"/>
        <v>20.03415856166523</v>
      </c>
      <c r="R186" s="92">
        <f t="shared" ca="1" si="50"/>
        <v>2.003415856166523</v>
      </c>
      <c r="S186" s="92">
        <f t="shared" ca="1" si="51"/>
        <v>2.003415856166523</v>
      </c>
      <c r="T186" s="4">
        <f t="shared" ca="1" si="52"/>
        <v>0</v>
      </c>
      <c r="U186" s="99">
        <f t="shared" ca="1" si="53"/>
        <v>1502.0284794818213</v>
      </c>
      <c r="V186" s="4">
        <f t="shared" ca="1" si="54"/>
        <v>0</v>
      </c>
      <c r="W186" s="13">
        <f t="shared" ca="1" si="55"/>
        <v>21932.249737499998</v>
      </c>
      <c r="X186" s="4">
        <f t="shared" ca="1" si="56"/>
        <v>0</v>
      </c>
    </row>
    <row r="187" spans="1:24">
      <c r="A187">
        <v>1</v>
      </c>
      <c r="B187">
        <v>1</v>
      </c>
      <c r="C187">
        <f t="shared" ca="1" si="38"/>
        <v>5</v>
      </c>
      <c r="D187">
        <f t="shared" ca="1" si="39"/>
        <v>3</v>
      </c>
      <c r="E187">
        <f t="shared" ca="1" si="40"/>
        <v>1</v>
      </c>
      <c r="F187" s="100">
        <f t="shared" ca="1" si="41"/>
        <v>4.6438859499999999E-2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252</v>
      </c>
      <c r="M187" s="7">
        <f t="shared" ca="1" si="45"/>
        <v>748</v>
      </c>
      <c r="N187" s="43">
        <f t="shared" ca="1" si="46"/>
        <v>6</v>
      </c>
      <c r="O187" s="92">
        <f t="shared" ca="1" si="47"/>
        <v>2.003415856166523</v>
      </c>
      <c r="P187" s="92">
        <f t="shared" ca="1" si="48"/>
        <v>20.03415856166523</v>
      </c>
      <c r="Q187" s="92">
        <f t="shared" ca="1" si="49"/>
        <v>20.03415856166523</v>
      </c>
      <c r="R187" s="92">
        <f t="shared" ca="1" si="50"/>
        <v>2.003415856166523</v>
      </c>
      <c r="S187" s="92">
        <f t="shared" ca="1" si="51"/>
        <v>2.003415856166523</v>
      </c>
      <c r="T187" s="4">
        <f t="shared" ca="1" si="52"/>
        <v>0</v>
      </c>
      <c r="U187" s="99">
        <f t="shared" ca="1" si="53"/>
        <v>1481.0284794818213</v>
      </c>
      <c r="V187" s="4">
        <f t="shared" ca="1" si="54"/>
        <v>0</v>
      </c>
      <c r="W187" s="13">
        <f t="shared" ca="1" si="55"/>
        <v>20580.112237499998</v>
      </c>
      <c r="X187" s="4">
        <f t="shared" ca="1" si="56"/>
        <v>0</v>
      </c>
    </row>
    <row r="188" spans="1:24">
      <c r="A188">
        <v>1</v>
      </c>
      <c r="B188">
        <v>1</v>
      </c>
      <c r="C188">
        <f t="shared" ca="1" si="38"/>
        <v>5</v>
      </c>
      <c r="D188">
        <f t="shared" ca="1" si="39"/>
        <v>3</v>
      </c>
      <c r="E188">
        <f t="shared" ca="1" si="40"/>
        <v>1</v>
      </c>
      <c r="F188" s="100">
        <f t="shared" ca="1" si="41"/>
        <v>4.6438859499999999E-2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231</v>
      </c>
      <c r="M188" s="7">
        <f t="shared" ca="1" si="45"/>
        <v>769</v>
      </c>
      <c r="N188" s="43">
        <f t="shared" ca="1" si="46"/>
        <v>6</v>
      </c>
      <c r="O188" s="92">
        <f t="shared" ca="1" si="47"/>
        <v>2.003415856166523</v>
      </c>
      <c r="P188" s="92">
        <f t="shared" ca="1" si="48"/>
        <v>20.03415856166523</v>
      </c>
      <c r="Q188" s="92">
        <f t="shared" ca="1" si="49"/>
        <v>20.03415856166523</v>
      </c>
      <c r="R188" s="92">
        <f t="shared" ca="1" si="50"/>
        <v>2.003415856166523</v>
      </c>
      <c r="S188" s="92">
        <f t="shared" ca="1" si="51"/>
        <v>2.003415856166523</v>
      </c>
      <c r="T188" s="4">
        <f t="shared" ca="1" si="52"/>
        <v>0</v>
      </c>
      <c r="U188" s="99">
        <f t="shared" ca="1" si="53"/>
        <v>1460.0284794818213</v>
      </c>
      <c r="V188" s="4">
        <f t="shared" ca="1" si="54"/>
        <v>0</v>
      </c>
      <c r="W188" s="13">
        <f t="shared" ca="1" si="55"/>
        <v>19227.974737500001</v>
      </c>
      <c r="X188" s="4">
        <f t="shared" ca="1" si="56"/>
        <v>0</v>
      </c>
    </row>
    <row r="189" spans="1:24">
      <c r="A189">
        <v>1</v>
      </c>
      <c r="B189">
        <v>1</v>
      </c>
      <c r="C189">
        <f t="shared" ca="1" si="38"/>
        <v>5</v>
      </c>
      <c r="D189">
        <f t="shared" ca="1" si="39"/>
        <v>3</v>
      </c>
      <c r="E189">
        <f t="shared" ca="1" si="40"/>
        <v>1</v>
      </c>
      <c r="F189" s="100">
        <f t="shared" ca="1" si="41"/>
        <v>4.6438859499999999E-2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210</v>
      </c>
      <c r="M189" s="7">
        <f t="shared" ca="1" si="45"/>
        <v>790</v>
      </c>
      <c r="N189" s="43">
        <f t="shared" ca="1" si="46"/>
        <v>7</v>
      </c>
      <c r="O189" s="92">
        <f t="shared" ca="1" si="47"/>
        <v>2.264588428134358</v>
      </c>
      <c r="P189" s="92">
        <f t="shared" ca="1" si="48"/>
        <v>22.645884281343584</v>
      </c>
      <c r="Q189" s="92">
        <f t="shared" ca="1" si="49"/>
        <v>21.340021421504403</v>
      </c>
      <c r="R189" s="92">
        <f t="shared" ca="1" si="50"/>
        <v>2.1992952851423992</v>
      </c>
      <c r="S189" s="92">
        <f t="shared" ca="1" si="51"/>
        <v>2.264588428134358</v>
      </c>
      <c r="T189" s="4">
        <f t="shared" ca="1" si="52"/>
        <v>0</v>
      </c>
      <c r="U189" s="99">
        <f t="shared" ca="1" si="53"/>
        <v>1567.2486983548911</v>
      </c>
      <c r="V189" s="4">
        <f t="shared" ca="1" si="54"/>
        <v>0</v>
      </c>
      <c r="W189" s="13">
        <f t="shared" ca="1" si="55"/>
        <v>17875.8372375</v>
      </c>
      <c r="X189" s="4">
        <f t="shared" ca="1" si="56"/>
        <v>0</v>
      </c>
    </row>
    <row r="190" spans="1:24">
      <c r="A190">
        <v>1</v>
      </c>
      <c r="B190">
        <v>1</v>
      </c>
      <c r="C190">
        <f t="shared" ca="1" si="38"/>
        <v>5</v>
      </c>
      <c r="D190">
        <f t="shared" ca="1" si="39"/>
        <v>3</v>
      </c>
      <c r="E190">
        <f t="shared" ca="1" si="40"/>
        <v>1</v>
      </c>
      <c r="F190" s="100">
        <f t="shared" ca="1" si="41"/>
        <v>4.6438859499999999E-2</v>
      </c>
      <c r="G190">
        <v>1</v>
      </c>
      <c r="H190">
        <v>0</v>
      </c>
      <c r="I190">
        <v>3</v>
      </c>
      <c r="J190" s="1">
        <f t="shared" ca="1" si="42"/>
        <v>9.6059601000000085E-3</v>
      </c>
      <c r="K190" s="1">
        <f t="shared" ca="1" si="43"/>
        <v>4.4608983144650631E-4</v>
      </c>
      <c r="L190" s="13">
        <f t="shared" ca="1" si="44"/>
        <v>189</v>
      </c>
      <c r="M190" s="7">
        <f t="shared" ca="1" si="45"/>
        <v>811</v>
      </c>
      <c r="N190" s="43">
        <f t="shared" ca="1" si="46"/>
        <v>7</v>
      </c>
      <c r="O190" s="92">
        <f t="shared" ca="1" si="47"/>
        <v>2.264588428134358</v>
      </c>
      <c r="P190" s="92">
        <f t="shared" ca="1" si="48"/>
        <v>22.645884281343584</v>
      </c>
      <c r="Q190" s="92">
        <f t="shared" ca="1" si="49"/>
        <v>22.645884281343584</v>
      </c>
      <c r="R190" s="92">
        <f t="shared" ca="1" si="50"/>
        <v>2.2645884281343585</v>
      </c>
      <c r="S190" s="92">
        <f t="shared" ca="1" si="51"/>
        <v>2.264588428134358</v>
      </c>
      <c r="T190" s="4">
        <f t="shared" ca="1" si="52"/>
        <v>1.0102098702021644E-3</v>
      </c>
      <c r="U190" s="99">
        <f t="shared" ca="1" si="53"/>
        <v>1546.2486983548911</v>
      </c>
      <c r="V190" s="4">
        <f t="shared" ca="1" si="54"/>
        <v>0.68976582122351315</v>
      </c>
      <c r="W190" s="13">
        <f t="shared" ca="1" si="55"/>
        <v>16523.699737499999</v>
      </c>
      <c r="X190" s="4">
        <f t="shared" ca="1" si="56"/>
        <v>7.3710544307740555</v>
      </c>
    </row>
    <row r="191" spans="1:24">
      <c r="A191">
        <v>1</v>
      </c>
      <c r="B191">
        <v>1</v>
      </c>
      <c r="C191">
        <f t="shared" ca="1" si="38"/>
        <v>5</v>
      </c>
      <c r="D191">
        <f t="shared" ca="1" si="39"/>
        <v>3</v>
      </c>
      <c r="E191">
        <f t="shared" ca="1" si="40"/>
        <v>1</v>
      </c>
      <c r="F191" s="100">
        <f t="shared" ca="1" si="41"/>
        <v>4.6438859499999999E-2</v>
      </c>
      <c r="G191">
        <v>1</v>
      </c>
      <c r="H191">
        <v>0</v>
      </c>
      <c r="I191">
        <v>2</v>
      </c>
      <c r="J191" s="1">
        <f t="shared" ca="1" si="42"/>
        <v>2.9108970000000053E-4</v>
      </c>
      <c r="K191" s="1">
        <f t="shared" ca="1" si="43"/>
        <v>1.3517873680197175E-5</v>
      </c>
      <c r="L191" s="13">
        <f t="shared" ca="1" si="44"/>
        <v>168</v>
      </c>
      <c r="M191" s="7">
        <f t="shared" ca="1" si="45"/>
        <v>832</v>
      </c>
      <c r="N191" s="43">
        <f t="shared" ca="1" si="46"/>
        <v>7</v>
      </c>
      <c r="O191" s="92">
        <f t="shared" ca="1" si="47"/>
        <v>2.264588428134358</v>
      </c>
      <c r="P191" s="92">
        <f t="shared" ca="1" si="48"/>
        <v>22.645884281343584</v>
      </c>
      <c r="Q191" s="92">
        <f t="shared" ca="1" si="49"/>
        <v>22.645884281343584</v>
      </c>
      <c r="R191" s="92">
        <f t="shared" ca="1" si="50"/>
        <v>2.2645884281343585</v>
      </c>
      <c r="S191" s="92">
        <f t="shared" ca="1" si="51"/>
        <v>2.264588428134358</v>
      </c>
      <c r="T191" s="4">
        <f t="shared" ca="1" si="52"/>
        <v>3.0612420309156529E-5</v>
      </c>
      <c r="U191" s="99">
        <f t="shared" ca="1" si="53"/>
        <v>1525.2486983548911</v>
      </c>
      <c r="V191" s="4">
        <f t="shared" ca="1" si="54"/>
        <v>2.0618119235246583E-2</v>
      </c>
      <c r="W191" s="13">
        <f t="shared" ca="1" si="55"/>
        <v>15171.562237499998</v>
      </c>
      <c r="X191" s="4">
        <f t="shared" ca="1" si="56"/>
        <v>0.20508726185777459</v>
      </c>
    </row>
    <row r="192" spans="1:24">
      <c r="A192">
        <v>1</v>
      </c>
      <c r="B192">
        <v>1</v>
      </c>
      <c r="C192">
        <f t="shared" ca="1" si="38"/>
        <v>5</v>
      </c>
      <c r="D192">
        <f t="shared" ca="1" si="39"/>
        <v>3</v>
      </c>
      <c r="E192">
        <f t="shared" ca="1" si="40"/>
        <v>1</v>
      </c>
      <c r="F192" s="100">
        <f t="shared" ca="1" si="41"/>
        <v>4.6438859499999999E-2</v>
      </c>
      <c r="G192">
        <v>1</v>
      </c>
      <c r="H192">
        <v>0</v>
      </c>
      <c r="I192">
        <v>1</v>
      </c>
      <c r="J192" s="1">
        <f t="shared" ca="1" si="42"/>
        <v>2.9403000000000081E-6</v>
      </c>
      <c r="K192" s="1">
        <f t="shared" ca="1" si="43"/>
        <v>1.3654417858785036E-7</v>
      </c>
      <c r="L192" s="13">
        <f t="shared" ca="1" si="44"/>
        <v>147</v>
      </c>
      <c r="M192" s="7">
        <f t="shared" ca="1" si="45"/>
        <v>853</v>
      </c>
      <c r="N192" s="43">
        <f t="shared" ca="1" si="46"/>
        <v>7</v>
      </c>
      <c r="O192" s="92">
        <f t="shared" ca="1" si="47"/>
        <v>2.264588428134358</v>
      </c>
      <c r="P192" s="92">
        <f t="shared" ca="1" si="48"/>
        <v>22.645884281343584</v>
      </c>
      <c r="Q192" s="92">
        <f t="shared" ca="1" si="49"/>
        <v>22.645884281343584</v>
      </c>
      <c r="R192" s="92">
        <f t="shared" ca="1" si="50"/>
        <v>2.2645884281343585</v>
      </c>
      <c r="S192" s="92">
        <f t="shared" ca="1" si="51"/>
        <v>2.264588428134358</v>
      </c>
      <c r="T192" s="4">
        <f t="shared" ca="1" si="52"/>
        <v>3.092163667591571E-7</v>
      </c>
      <c r="U192" s="99">
        <f t="shared" ca="1" si="53"/>
        <v>1504.2486983548911</v>
      </c>
      <c r="V192" s="4">
        <f t="shared" ca="1" si="54"/>
        <v>2.0539640290871168E-4</v>
      </c>
      <c r="W192" s="13">
        <f t="shared" ca="1" si="55"/>
        <v>13819.4247375</v>
      </c>
      <c r="X192" s="4">
        <f t="shared" ca="1" si="56"/>
        <v>1.8869619993385569E-3</v>
      </c>
    </row>
    <row r="193" spans="1:24">
      <c r="A193">
        <v>1</v>
      </c>
      <c r="B193">
        <v>1</v>
      </c>
      <c r="C193">
        <f t="shared" ca="1" si="38"/>
        <v>5</v>
      </c>
      <c r="D193">
        <f t="shared" ca="1" si="39"/>
        <v>3</v>
      </c>
      <c r="E193">
        <f t="shared" ca="1" si="40"/>
        <v>1</v>
      </c>
      <c r="F193" s="100">
        <f t="shared" ca="1" si="41"/>
        <v>4.6438859499999999E-2</v>
      </c>
      <c r="G193">
        <v>1</v>
      </c>
      <c r="H193">
        <v>0</v>
      </c>
      <c r="I193">
        <v>0</v>
      </c>
      <c r="J193" s="1">
        <f t="shared" ca="1" si="42"/>
        <v>9.9000000000000357E-9</v>
      </c>
      <c r="K193" s="1">
        <f t="shared" ca="1" si="43"/>
        <v>4.5974470905000162E-10</v>
      </c>
      <c r="L193" s="13">
        <f t="shared" ca="1" si="44"/>
        <v>126</v>
      </c>
      <c r="M193" s="7">
        <f t="shared" ca="1" si="45"/>
        <v>874</v>
      </c>
      <c r="N193" s="43">
        <f t="shared" ca="1" si="46"/>
        <v>7</v>
      </c>
      <c r="O193" s="92">
        <f t="shared" ca="1" si="47"/>
        <v>2.264588428134358</v>
      </c>
      <c r="P193" s="92">
        <f t="shared" ca="1" si="48"/>
        <v>22.645884281343584</v>
      </c>
      <c r="Q193" s="92">
        <f t="shared" ca="1" si="49"/>
        <v>22.645884281343584</v>
      </c>
      <c r="R193" s="92">
        <f t="shared" ca="1" si="50"/>
        <v>2.2645884281343585</v>
      </c>
      <c r="S193" s="92">
        <f t="shared" ca="1" si="51"/>
        <v>2.264588428134358</v>
      </c>
      <c r="T193" s="4">
        <f t="shared" ca="1" si="52"/>
        <v>1.0411325480106309E-9</v>
      </c>
      <c r="U193" s="99">
        <f t="shared" ca="1" si="53"/>
        <v>1483.2486983548911</v>
      </c>
      <c r="V193" s="4">
        <f t="shared" ca="1" si="54"/>
        <v>6.8191574127396298E-7</v>
      </c>
      <c r="W193" s="13">
        <f t="shared" ca="1" si="55"/>
        <v>12467.287237499999</v>
      </c>
      <c r="X193" s="4">
        <f t="shared" ca="1" si="56"/>
        <v>5.7317693436472359E-6</v>
      </c>
    </row>
    <row r="194" spans="1:24">
      <c r="A194">
        <v>1</v>
      </c>
      <c r="B194">
        <v>1</v>
      </c>
      <c r="C194">
        <f t="shared" ca="1" si="38"/>
        <v>5</v>
      </c>
      <c r="D194">
        <f t="shared" ca="1" si="39"/>
        <v>3</v>
      </c>
      <c r="E194">
        <f t="shared" ca="1" si="40"/>
        <v>1</v>
      </c>
      <c r="F194" s="100">
        <f t="shared" ca="1" si="41"/>
        <v>4.6438859499999999E-2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273</v>
      </c>
      <c r="M194" s="7">
        <f t="shared" ca="1" si="45"/>
        <v>727</v>
      </c>
      <c r="N194" s="43">
        <f t="shared" ca="1" si="46"/>
        <v>6</v>
      </c>
      <c r="O194" s="92">
        <f t="shared" ca="1" si="47"/>
        <v>2.003415856166523</v>
      </c>
      <c r="P194" s="92">
        <f t="shared" ca="1" si="48"/>
        <v>20.03415856166523</v>
      </c>
      <c r="Q194" s="92">
        <f t="shared" ca="1" si="49"/>
        <v>20.03415856166523</v>
      </c>
      <c r="R194" s="92">
        <f t="shared" ca="1" si="50"/>
        <v>2.003415856166523</v>
      </c>
      <c r="S194" s="92">
        <f t="shared" ca="1" si="51"/>
        <v>2.003415856166523</v>
      </c>
      <c r="T194" s="4">
        <f t="shared" ca="1" si="52"/>
        <v>0</v>
      </c>
      <c r="U194" s="99">
        <f t="shared" ca="1" si="53"/>
        <v>1502.0284794818213</v>
      </c>
      <c r="V194" s="4">
        <f t="shared" ca="1" si="54"/>
        <v>0</v>
      </c>
      <c r="W194" s="13">
        <f t="shared" ca="1" si="55"/>
        <v>10852.513124999999</v>
      </c>
      <c r="X194" s="4">
        <f t="shared" ca="1" si="56"/>
        <v>0</v>
      </c>
    </row>
    <row r="195" spans="1:24">
      <c r="A195">
        <v>1</v>
      </c>
      <c r="B195">
        <v>1</v>
      </c>
      <c r="C195">
        <f t="shared" ca="1" si="38"/>
        <v>5</v>
      </c>
      <c r="D195">
        <f t="shared" ca="1" si="39"/>
        <v>3</v>
      </c>
      <c r="E195">
        <f t="shared" ca="1" si="40"/>
        <v>1</v>
      </c>
      <c r="F195" s="100">
        <f t="shared" ca="1" si="41"/>
        <v>4.6438859499999999E-2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252</v>
      </c>
      <c r="M195" s="7">
        <f t="shared" ca="1" si="45"/>
        <v>748</v>
      </c>
      <c r="N195" s="43">
        <f t="shared" ca="1" si="46"/>
        <v>6</v>
      </c>
      <c r="O195" s="92">
        <f t="shared" ca="1" si="47"/>
        <v>2.003415856166523</v>
      </c>
      <c r="P195" s="92">
        <f t="shared" ca="1" si="48"/>
        <v>20.03415856166523</v>
      </c>
      <c r="Q195" s="92">
        <f t="shared" ca="1" si="49"/>
        <v>20.03415856166523</v>
      </c>
      <c r="R195" s="92">
        <f t="shared" ca="1" si="50"/>
        <v>2.003415856166523</v>
      </c>
      <c r="S195" s="92">
        <f t="shared" ca="1" si="51"/>
        <v>2.003415856166523</v>
      </c>
      <c r="T195" s="4">
        <f t="shared" ca="1" si="52"/>
        <v>0</v>
      </c>
      <c r="U195" s="99">
        <f t="shared" ca="1" si="53"/>
        <v>1481.0284794818213</v>
      </c>
      <c r="V195" s="4">
        <f t="shared" ca="1" si="54"/>
        <v>0</v>
      </c>
      <c r="W195" s="13">
        <f t="shared" ca="1" si="55"/>
        <v>9500.3756250000006</v>
      </c>
      <c r="X195" s="4">
        <f t="shared" ca="1" si="56"/>
        <v>0</v>
      </c>
    </row>
    <row r="196" spans="1:24">
      <c r="A196">
        <v>1</v>
      </c>
      <c r="B196">
        <v>1</v>
      </c>
      <c r="C196">
        <f t="shared" ca="1" si="38"/>
        <v>5</v>
      </c>
      <c r="D196">
        <f t="shared" ca="1" si="39"/>
        <v>3</v>
      </c>
      <c r="E196">
        <f t="shared" ca="1" si="40"/>
        <v>1</v>
      </c>
      <c r="F196" s="100">
        <f t="shared" ca="1" si="41"/>
        <v>4.6438859499999999E-2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231</v>
      </c>
      <c r="M196" s="7">
        <f t="shared" ca="1" si="45"/>
        <v>769</v>
      </c>
      <c r="N196" s="43">
        <f t="shared" ca="1" si="46"/>
        <v>6</v>
      </c>
      <c r="O196" s="92">
        <f t="shared" ca="1" si="47"/>
        <v>2.003415856166523</v>
      </c>
      <c r="P196" s="92">
        <f t="shared" ca="1" si="48"/>
        <v>20.03415856166523</v>
      </c>
      <c r="Q196" s="92">
        <f t="shared" ca="1" si="49"/>
        <v>20.03415856166523</v>
      </c>
      <c r="R196" s="92">
        <f t="shared" ca="1" si="50"/>
        <v>2.003415856166523</v>
      </c>
      <c r="S196" s="92">
        <f t="shared" ca="1" si="51"/>
        <v>2.003415856166523</v>
      </c>
      <c r="T196" s="4">
        <f t="shared" ca="1" si="52"/>
        <v>0</v>
      </c>
      <c r="U196" s="99">
        <f t="shared" ca="1" si="53"/>
        <v>1460.0284794818213</v>
      </c>
      <c r="V196" s="4">
        <f t="shared" ca="1" si="54"/>
        <v>0</v>
      </c>
      <c r="W196" s="13">
        <f t="shared" ca="1" si="55"/>
        <v>8148.2381249999999</v>
      </c>
      <c r="X196" s="4">
        <f t="shared" ca="1" si="56"/>
        <v>0</v>
      </c>
    </row>
    <row r="197" spans="1:24">
      <c r="A197">
        <v>1</v>
      </c>
      <c r="B197">
        <v>1</v>
      </c>
      <c r="C197">
        <f t="shared" ca="1" si="38"/>
        <v>5</v>
      </c>
      <c r="D197">
        <f t="shared" ca="1" si="39"/>
        <v>3</v>
      </c>
      <c r="E197">
        <f t="shared" ca="1" si="40"/>
        <v>1</v>
      </c>
      <c r="F197" s="100">
        <f t="shared" ca="1" si="41"/>
        <v>4.6438859499999999E-2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210</v>
      </c>
      <c r="M197" s="7">
        <f t="shared" ca="1" si="45"/>
        <v>790</v>
      </c>
      <c r="N197" s="43">
        <f t="shared" ca="1" si="46"/>
        <v>7</v>
      </c>
      <c r="O197" s="92">
        <f t="shared" ca="1" si="47"/>
        <v>2.264588428134358</v>
      </c>
      <c r="P197" s="92">
        <f t="shared" ca="1" si="48"/>
        <v>22.645884281343584</v>
      </c>
      <c r="Q197" s="92">
        <f t="shared" ca="1" si="49"/>
        <v>21.340021421504403</v>
      </c>
      <c r="R197" s="92">
        <f t="shared" ca="1" si="50"/>
        <v>2.1992952851423992</v>
      </c>
      <c r="S197" s="92">
        <f t="shared" ca="1" si="51"/>
        <v>2.264588428134358</v>
      </c>
      <c r="T197" s="4">
        <f t="shared" ca="1" si="52"/>
        <v>0</v>
      </c>
      <c r="U197" s="99">
        <f t="shared" ca="1" si="53"/>
        <v>1567.2486983548911</v>
      </c>
      <c r="V197" s="4">
        <f t="shared" ca="1" si="54"/>
        <v>0</v>
      </c>
      <c r="W197" s="13">
        <f t="shared" ca="1" si="55"/>
        <v>6796.100625</v>
      </c>
      <c r="X197" s="4">
        <f t="shared" ca="1" si="56"/>
        <v>0</v>
      </c>
    </row>
    <row r="198" spans="1:24">
      <c r="A198">
        <v>1</v>
      </c>
      <c r="B198">
        <v>1</v>
      </c>
      <c r="C198">
        <f t="shared" ca="1" si="38"/>
        <v>5</v>
      </c>
      <c r="D198">
        <f t="shared" ca="1" si="39"/>
        <v>3</v>
      </c>
      <c r="E198">
        <f t="shared" ca="1" si="40"/>
        <v>1</v>
      </c>
      <c r="F198" s="100">
        <f t="shared" ca="1" si="41"/>
        <v>4.6438859499999999E-2</v>
      </c>
      <c r="G198">
        <v>0</v>
      </c>
      <c r="H198">
        <v>1</v>
      </c>
      <c r="I198">
        <v>3</v>
      </c>
      <c r="J198" s="1">
        <f t="shared" ca="1" si="42"/>
        <v>9.6059601000000085E-3</v>
      </c>
      <c r="K198" s="1">
        <f t="shared" ca="1" si="43"/>
        <v>4.4608983144650631E-4</v>
      </c>
      <c r="L198" s="13">
        <f t="shared" ca="1" si="44"/>
        <v>189</v>
      </c>
      <c r="M198" s="7">
        <f t="shared" ca="1" si="45"/>
        <v>811</v>
      </c>
      <c r="N198" s="43">
        <f t="shared" ca="1" si="46"/>
        <v>7</v>
      </c>
      <c r="O198" s="92">
        <f t="shared" ca="1" si="47"/>
        <v>2.264588428134358</v>
      </c>
      <c r="P198" s="92">
        <f t="shared" ca="1" si="48"/>
        <v>22.645884281343584</v>
      </c>
      <c r="Q198" s="92">
        <f t="shared" ca="1" si="49"/>
        <v>22.645884281343584</v>
      </c>
      <c r="R198" s="92">
        <f t="shared" ca="1" si="50"/>
        <v>2.2645884281343585</v>
      </c>
      <c r="S198" s="92">
        <f t="shared" ca="1" si="51"/>
        <v>2.264588428134358</v>
      </c>
      <c r="T198" s="4">
        <f t="shared" ca="1" si="52"/>
        <v>1.0102098702021644E-3</v>
      </c>
      <c r="U198" s="99">
        <f t="shared" ca="1" si="53"/>
        <v>1546.2486983548911</v>
      </c>
      <c r="V198" s="4">
        <f t="shared" ca="1" si="54"/>
        <v>0.68976582122351315</v>
      </c>
      <c r="W198" s="13">
        <f t="shared" ca="1" si="55"/>
        <v>5443.9631250000002</v>
      </c>
      <c r="X198" s="4">
        <f t="shared" ca="1" si="56"/>
        <v>2.4284965928322459</v>
      </c>
    </row>
    <row r="199" spans="1:24">
      <c r="A199">
        <v>1</v>
      </c>
      <c r="B199">
        <v>1</v>
      </c>
      <c r="C199">
        <f t="shared" ca="1" si="38"/>
        <v>5</v>
      </c>
      <c r="D199">
        <f t="shared" ca="1" si="39"/>
        <v>3</v>
      </c>
      <c r="E199">
        <f t="shared" ca="1" si="40"/>
        <v>1</v>
      </c>
      <c r="F199" s="100">
        <f t="shared" ca="1" si="41"/>
        <v>4.6438859499999999E-2</v>
      </c>
      <c r="G199">
        <v>0</v>
      </c>
      <c r="H199">
        <v>1</v>
      </c>
      <c r="I199">
        <v>2</v>
      </c>
      <c r="J199" s="1">
        <f t="shared" ca="1" si="42"/>
        <v>2.9108970000000053E-4</v>
      </c>
      <c r="K199" s="1">
        <f t="shared" ca="1" si="43"/>
        <v>1.3517873680197175E-5</v>
      </c>
      <c r="L199" s="13">
        <f t="shared" ca="1" si="44"/>
        <v>168</v>
      </c>
      <c r="M199" s="7">
        <f t="shared" ca="1" si="45"/>
        <v>832</v>
      </c>
      <c r="N199" s="43">
        <f t="shared" ca="1" si="46"/>
        <v>7</v>
      </c>
      <c r="O199" s="92">
        <f t="shared" ca="1" si="47"/>
        <v>2.264588428134358</v>
      </c>
      <c r="P199" s="92">
        <f t="shared" ca="1" si="48"/>
        <v>22.645884281343584</v>
      </c>
      <c r="Q199" s="92">
        <f t="shared" ca="1" si="49"/>
        <v>22.645884281343584</v>
      </c>
      <c r="R199" s="92">
        <f t="shared" ca="1" si="50"/>
        <v>2.2645884281343585</v>
      </c>
      <c r="S199" s="92">
        <f t="shared" ca="1" si="51"/>
        <v>2.264588428134358</v>
      </c>
      <c r="T199" s="4">
        <f t="shared" ca="1" si="52"/>
        <v>3.0612420309156529E-5</v>
      </c>
      <c r="U199" s="99">
        <f t="shared" ca="1" si="53"/>
        <v>1525.2486983548911</v>
      </c>
      <c r="V199" s="4">
        <f t="shared" ca="1" si="54"/>
        <v>2.0618119235246583E-2</v>
      </c>
      <c r="W199" s="13">
        <f t="shared" ca="1" si="55"/>
        <v>4091.8256249999999</v>
      </c>
      <c r="X199" s="4">
        <f t="shared" ca="1" si="56"/>
        <v>5.5312781920143855E-2</v>
      </c>
    </row>
    <row r="200" spans="1:24">
      <c r="A200">
        <v>1</v>
      </c>
      <c r="B200">
        <v>1</v>
      </c>
      <c r="C200">
        <f t="shared" ca="1" si="38"/>
        <v>5</v>
      </c>
      <c r="D200">
        <f t="shared" ca="1" si="39"/>
        <v>3</v>
      </c>
      <c r="E200">
        <f t="shared" ca="1" si="40"/>
        <v>1</v>
      </c>
      <c r="F200" s="100">
        <f t="shared" ca="1" si="41"/>
        <v>4.6438859499999999E-2</v>
      </c>
      <c r="G200">
        <v>0</v>
      </c>
      <c r="H200">
        <v>1</v>
      </c>
      <c r="I200">
        <v>1</v>
      </c>
      <c r="J200" s="1">
        <f t="shared" ca="1" si="42"/>
        <v>2.9403000000000081E-6</v>
      </c>
      <c r="K200" s="1">
        <f t="shared" ca="1" si="43"/>
        <v>1.3654417858785036E-7</v>
      </c>
      <c r="L200" s="13">
        <f t="shared" ca="1" si="44"/>
        <v>147</v>
      </c>
      <c r="M200" s="7">
        <f t="shared" ca="1" si="45"/>
        <v>853</v>
      </c>
      <c r="N200" s="43">
        <f t="shared" ca="1" si="46"/>
        <v>7</v>
      </c>
      <c r="O200" s="92">
        <f t="shared" ca="1" si="47"/>
        <v>2.264588428134358</v>
      </c>
      <c r="P200" s="92">
        <f t="shared" ca="1" si="48"/>
        <v>22.645884281343584</v>
      </c>
      <c r="Q200" s="92">
        <f t="shared" ca="1" si="49"/>
        <v>22.645884281343584</v>
      </c>
      <c r="R200" s="92">
        <f t="shared" ca="1" si="50"/>
        <v>2.2645884281343585</v>
      </c>
      <c r="S200" s="92">
        <f t="shared" ca="1" si="51"/>
        <v>2.264588428134358</v>
      </c>
      <c r="T200" s="4">
        <f t="shared" ca="1" si="52"/>
        <v>3.092163667591571E-7</v>
      </c>
      <c r="U200" s="99">
        <f t="shared" ca="1" si="53"/>
        <v>1504.2486983548911</v>
      </c>
      <c r="V200" s="4">
        <f t="shared" ca="1" si="54"/>
        <v>2.0539640290871168E-4</v>
      </c>
      <c r="W200" s="13">
        <f t="shared" ca="1" si="55"/>
        <v>2739.6881249999997</v>
      </c>
      <c r="X200" s="4">
        <f t="shared" ca="1" si="56"/>
        <v>3.7408846461501287E-4</v>
      </c>
    </row>
    <row r="201" spans="1:24">
      <c r="A201">
        <v>1</v>
      </c>
      <c r="B201">
        <v>1</v>
      </c>
      <c r="C201">
        <f t="shared" ca="1" si="38"/>
        <v>5</v>
      </c>
      <c r="D201">
        <f t="shared" ca="1" si="39"/>
        <v>3</v>
      </c>
      <c r="E201">
        <f t="shared" ca="1" si="40"/>
        <v>1</v>
      </c>
      <c r="F201" s="100">
        <f t="shared" ca="1" si="41"/>
        <v>4.6438859499999999E-2</v>
      </c>
      <c r="G201">
        <v>0</v>
      </c>
      <c r="H201">
        <v>1</v>
      </c>
      <c r="I201">
        <v>0</v>
      </c>
      <c r="J201" s="1">
        <f t="shared" ca="1" si="42"/>
        <v>9.9000000000000357E-9</v>
      </c>
      <c r="K201" s="1">
        <f t="shared" ca="1" si="43"/>
        <v>4.5974470905000162E-10</v>
      </c>
      <c r="L201" s="13">
        <f t="shared" ca="1" si="44"/>
        <v>126</v>
      </c>
      <c r="M201" s="7">
        <f t="shared" ca="1" si="45"/>
        <v>874</v>
      </c>
      <c r="N201" s="43">
        <f t="shared" ca="1" si="46"/>
        <v>7</v>
      </c>
      <c r="O201" s="92">
        <f t="shared" ca="1" si="47"/>
        <v>2.264588428134358</v>
      </c>
      <c r="P201" s="92">
        <f t="shared" ca="1" si="48"/>
        <v>22.645884281343584</v>
      </c>
      <c r="Q201" s="92">
        <f t="shared" ca="1" si="49"/>
        <v>22.645884281343584</v>
      </c>
      <c r="R201" s="92">
        <f t="shared" ca="1" si="50"/>
        <v>2.2645884281343585</v>
      </c>
      <c r="S201" s="92">
        <f t="shared" ca="1" si="51"/>
        <v>2.264588428134358</v>
      </c>
      <c r="T201" s="4">
        <f t="shared" ca="1" si="52"/>
        <v>1.0411325480106309E-9</v>
      </c>
      <c r="U201" s="99">
        <f t="shared" ca="1" si="53"/>
        <v>1483.2486983548911</v>
      </c>
      <c r="V201" s="4">
        <f t="shared" ca="1" si="54"/>
        <v>6.8191574127396298E-7</v>
      </c>
      <c r="W201" s="13">
        <f t="shared" ca="1" si="55"/>
        <v>1387.5506249999999</v>
      </c>
      <c r="X201" s="4">
        <f t="shared" ca="1" si="56"/>
        <v>6.3791905838277287E-7</v>
      </c>
    </row>
    <row r="202" spans="1:24">
      <c r="A202">
        <v>1</v>
      </c>
      <c r="B202">
        <v>1</v>
      </c>
      <c r="C202">
        <f t="shared" ca="1" si="38"/>
        <v>5</v>
      </c>
      <c r="D202">
        <f t="shared" ca="1" si="39"/>
        <v>3</v>
      </c>
      <c r="E202">
        <f t="shared" ca="1" si="40"/>
        <v>1</v>
      </c>
      <c r="F202" s="100">
        <f t="shared" ca="1" si="41"/>
        <v>4.6438859499999999E-2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3">
        <f t="shared" ca="1" si="46"/>
        <v>7</v>
      </c>
      <c r="O202" s="92">
        <f t="shared" ca="1" si="47"/>
        <v>2.264588428134358</v>
      </c>
      <c r="P202" s="92">
        <f t="shared" ca="1" si="48"/>
        <v>22.645884281343584</v>
      </c>
      <c r="Q202" s="92">
        <f t="shared" ca="1" si="49"/>
        <v>22.645884281343584</v>
      </c>
      <c r="R202" s="92">
        <f t="shared" ca="1" si="50"/>
        <v>2.2645884281343585</v>
      </c>
      <c r="S202" s="92">
        <f t="shared" ca="1" si="51"/>
        <v>2.264588428134358</v>
      </c>
      <c r="T202" s="4">
        <f t="shared" ca="1" si="52"/>
        <v>0</v>
      </c>
      <c r="U202" s="99">
        <f t="shared" ca="1" si="53"/>
        <v>1504.2486983548911</v>
      </c>
      <c r="V202" s="4">
        <f t="shared" ca="1" si="54"/>
        <v>0</v>
      </c>
      <c r="W202" s="13">
        <f t="shared" ca="1" si="55"/>
        <v>9464.9624999999996</v>
      </c>
      <c r="X202" s="4">
        <f t="shared" ca="1" si="56"/>
        <v>0</v>
      </c>
    </row>
    <row r="203" spans="1:24">
      <c r="A203">
        <v>1</v>
      </c>
      <c r="B203">
        <v>1</v>
      </c>
      <c r="C203">
        <f t="shared" ca="1" si="38"/>
        <v>5</v>
      </c>
      <c r="D203">
        <f t="shared" ca="1" si="39"/>
        <v>3</v>
      </c>
      <c r="E203">
        <f t="shared" ca="1" si="40"/>
        <v>1</v>
      </c>
      <c r="F203" s="100">
        <f t="shared" ca="1" si="41"/>
        <v>4.6438859499999999E-2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126</v>
      </c>
      <c r="M203" s="7">
        <f t="shared" ca="1" si="45"/>
        <v>874</v>
      </c>
      <c r="N203" s="43">
        <f t="shared" ca="1" si="46"/>
        <v>7</v>
      </c>
      <c r="O203" s="92">
        <f t="shared" ca="1" si="47"/>
        <v>2.264588428134358</v>
      </c>
      <c r="P203" s="92">
        <f t="shared" ca="1" si="48"/>
        <v>22.645884281343584</v>
      </c>
      <c r="Q203" s="92">
        <f t="shared" ca="1" si="49"/>
        <v>22.645884281343584</v>
      </c>
      <c r="R203" s="92">
        <f t="shared" ca="1" si="50"/>
        <v>2.2645884281343585</v>
      </c>
      <c r="S203" s="92">
        <f t="shared" ca="1" si="51"/>
        <v>2.264588428134358</v>
      </c>
      <c r="T203" s="4">
        <f t="shared" ca="1" si="52"/>
        <v>0</v>
      </c>
      <c r="U203" s="99">
        <f t="shared" ca="1" si="53"/>
        <v>1483.2486983548911</v>
      </c>
      <c r="V203" s="4">
        <f t="shared" ca="1" si="54"/>
        <v>0</v>
      </c>
      <c r="W203" s="13">
        <f t="shared" ca="1" si="55"/>
        <v>8112.8249999999998</v>
      </c>
      <c r="X203" s="4">
        <f t="shared" ca="1" si="56"/>
        <v>0</v>
      </c>
    </row>
    <row r="204" spans="1:24">
      <c r="A204">
        <v>1</v>
      </c>
      <c r="B204">
        <v>1</v>
      </c>
      <c r="C204">
        <f t="shared" ca="1" si="38"/>
        <v>5</v>
      </c>
      <c r="D204">
        <f t="shared" ca="1" si="39"/>
        <v>3</v>
      </c>
      <c r="E204">
        <f t="shared" ca="1" si="40"/>
        <v>1</v>
      </c>
      <c r="F204" s="100">
        <f t="shared" ca="1" si="41"/>
        <v>4.6438859499999999E-2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105</v>
      </c>
      <c r="M204" s="7">
        <f t="shared" ca="1" si="45"/>
        <v>895</v>
      </c>
      <c r="N204" s="43">
        <f t="shared" ca="1" si="46"/>
        <v>7</v>
      </c>
      <c r="O204" s="92">
        <f t="shared" ca="1" si="47"/>
        <v>2.264588428134358</v>
      </c>
      <c r="P204" s="92">
        <f t="shared" ca="1" si="48"/>
        <v>22.645884281343584</v>
      </c>
      <c r="Q204" s="92">
        <f t="shared" ca="1" si="49"/>
        <v>22.645884281343584</v>
      </c>
      <c r="R204" s="92">
        <f t="shared" ca="1" si="50"/>
        <v>2.2645884281343585</v>
      </c>
      <c r="S204" s="92">
        <f t="shared" ca="1" si="51"/>
        <v>2.264588428134358</v>
      </c>
      <c r="T204" s="4">
        <f t="shared" ca="1" si="52"/>
        <v>0</v>
      </c>
      <c r="U204" s="99">
        <f t="shared" ca="1" si="53"/>
        <v>1462.2486983548911</v>
      </c>
      <c r="V204" s="4">
        <f t="shared" ca="1" si="54"/>
        <v>0</v>
      </c>
      <c r="W204" s="13">
        <f t="shared" ca="1" si="55"/>
        <v>6760.6875</v>
      </c>
      <c r="X204" s="4">
        <f t="shared" ca="1" si="56"/>
        <v>0</v>
      </c>
    </row>
    <row r="205" spans="1:24">
      <c r="A205">
        <v>1</v>
      </c>
      <c r="B205">
        <v>1</v>
      </c>
      <c r="C205">
        <f t="shared" ca="1" si="38"/>
        <v>5</v>
      </c>
      <c r="D205">
        <f t="shared" ca="1" si="39"/>
        <v>3</v>
      </c>
      <c r="E205">
        <f t="shared" ca="1" si="40"/>
        <v>1</v>
      </c>
      <c r="F205" s="100">
        <f t="shared" ca="1" si="41"/>
        <v>4.6438859499999999E-2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100</v>
      </c>
      <c r="M205" s="7">
        <f t="shared" ca="1" si="45"/>
        <v>900</v>
      </c>
      <c r="N205" s="43">
        <f t="shared" ca="1" si="46"/>
        <v>7</v>
      </c>
      <c r="O205" s="92">
        <f t="shared" ca="1" si="47"/>
        <v>2.264588428134358</v>
      </c>
      <c r="P205" s="92">
        <f t="shared" ca="1" si="48"/>
        <v>22.645884281343584</v>
      </c>
      <c r="Q205" s="92">
        <f t="shared" ca="1" si="49"/>
        <v>22.645884281343584</v>
      </c>
      <c r="R205" s="92">
        <f t="shared" ca="1" si="50"/>
        <v>2.2645884281343585</v>
      </c>
      <c r="S205" s="92">
        <f t="shared" ca="1" si="51"/>
        <v>2.264588428134358</v>
      </c>
      <c r="T205" s="4">
        <f t="shared" ca="1" si="52"/>
        <v>0</v>
      </c>
      <c r="U205" s="99">
        <f t="shared" ca="1" si="53"/>
        <v>1457.2486983548911</v>
      </c>
      <c r="V205" s="4">
        <f t="shared" ca="1" si="54"/>
        <v>0</v>
      </c>
      <c r="W205" s="13">
        <f t="shared" ca="1" si="55"/>
        <v>5408.55</v>
      </c>
      <c r="X205" s="4">
        <f t="shared" ca="1" si="56"/>
        <v>0</v>
      </c>
    </row>
    <row r="206" spans="1:24">
      <c r="A206">
        <v>1</v>
      </c>
      <c r="B206">
        <v>1</v>
      </c>
      <c r="C206">
        <f t="shared" ca="1" si="38"/>
        <v>5</v>
      </c>
      <c r="D206">
        <f t="shared" ca="1" si="39"/>
        <v>3</v>
      </c>
      <c r="E206">
        <f t="shared" ca="1" si="40"/>
        <v>1</v>
      </c>
      <c r="F206" s="100">
        <f t="shared" ca="1" si="41"/>
        <v>4.6438859499999999E-2</v>
      </c>
      <c r="G206">
        <v>0</v>
      </c>
      <c r="H206">
        <v>0</v>
      </c>
      <c r="I206">
        <v>3</v>
      </c>
      <c r="J206" s="1">
        <f t="shared" ca="1" si="42"/>
        <v>9.7029900000000167E-5</v>
      </c>
      <c r="K206" s="1">
        <f t="shared" ca="1" si="43"/>
        <v>4.5059578933990577E-6</v>
      </c>
      <c r="L206" s="13">
        <f t="shared" ca="1" si="44"/>
        <v>100</v>
      </c>
      <c r="M206" s="7">
        <f t="shared" ca="1" si="45"/>
        <v>900</v>
      </c>
      <c r="N206" s="43">
        <f t="shared" ca="1" si="46"/>
        <v>7</v>
      </c>
      <c r="O206" s="92">
        <f t="shared" ca="1" si="47"/>
        <v>2.264588428134358</v>
      </c>
      <c r="P206" s="92">
        <f t="shared" ca="1" si="48"/>
        <v>22.645884281343584</v>
      </c>
      <c r="Q206" s="92">
        <f t="shared" ca="1" si="49"/>
        <v>22.645884281343584</v>
      </c>
      <c r="R206" s="92">
        <f t="shared" ca="1" si="50"/>
        <v>2.2645884281343585</v>
      </c>
      <c r="S206" s="92">
        <f t="shared" ca="1" si="51"/>
        <v>2.264588428134358</v>
      </c>
      <c r="T206" s="4">
        <f t="shared" ca="1" si="52"/>
        <v>1.0204140103052175E-5</v>
      </c>
      <c r="U206" s="99">
        <f t="shared" ca="1" si="53"/>
        <v>1457.2486983548911</v>
      </c>
      <c r="V206" s="4">
        <f t="shared" ca="1" si="54"/>
        <v>6.5663012749977243E-3</v>
      </c>
      <c r="W206" s="13">
        <f t="shared" ca="1" si="55"/>
        <v>4056.4124999999999</v>
      </c>
      <c r="X206" s="4">
        <f t="shared" ca="1" si="56"/>
        <v>1.8278023923257603E-2</v>
      </c>
    </row>
    <row r="207" spans="1:24">
      <c r="A207">
        <v>1</v>
      </c>
      <c r="B207">
        <v>1</v>
      </c>
      <c r="C207">
        <f t="shared" ca="1" si="38"/>
        <v>5</v>
      </c>
      <c r="D207">
        <f t="shared" ca="1" si="39"/>
        <v>3</v>
      </c>
      <c r="E207">
        <f t="shared" ca="1" si="40"/>
        <v>1</v>
      </c>
      <c r="F207" s="100">
        <f t="shared" ca="1" si="41"/>
        <v>4.6438859499999999E-2</v>
      </c>
      <c r="G207">
        <v>0</v>
      </c>
      <c r="H207">
        <v>0</v>
      </c>
      <c r="I207">
        <v>2</v>
      </c>
      <c r="J207" s="1">
        <f t="shared" ca="1" si="42"/>
        <v>2.9403000000000077E-6</v>
      </c>
      <c r="K207" s="1">
        <f t="shared" ca="1" si="43"/>
        <v>1.3654417858785036E-7</v>
      </c>
      <c r="L207" s="13">
        <f t="shared" ca="1" si="44"/>
        <v>100</v>
      </c>
      <c r="M207" s="7">
        <f t="shared" ca="1" si="45"/>
        <v>900</v>
      </c>
      <c r="N207" s="43">
        <f t="shared" ca="1" si="46"/>
        <v>7</v>
      </c>
      <c r="O207" s="92">
        <f t="shared" ca="1" si="47"/>
        <v>2.264588428134358</v>
      </c>
      <c r="P207" s="92">
        <f t="shared" ca="1" si="48"/>
        <v>22.645884281343584</v>
      </c>
      <c r="Q207" s="92">
        <f t="shared" ca="1" si="49"/>
        <v>22.645884281343584</v>
      </c>
      <c r="R207" s="92">
        <f t="shared" ca="1" si="50"/>
        <v>2.2645884281343585</v>
      </c>
      <c r="S207" s="92">
        <f t="shared" ca="1" si="51"/>
        <v>2.264588428134358</v>
      </c>
      <c r="T207" s="4">
        <f t="shared" ca="1" si="52"/>
        <v>3.092163667591571E-7</v>
      </c>
      <c r="U207" s="99">
        <f t="shared" ca="1" si="53"/>
        <v>1457.2486983548911</v>
      </c>
      <c r="V207" s="4">
        <f t="shared" ca="1" si="54"/>
        <v>1.9897882651508274E-4</v>
      </c>
      <c r="W207" s="13">
        <f t="shared" ca="1" si="55"/>
        <v>2704.2750000000001</v>
      </c>
      <c r="X207" s="4">
        <f t="shared" ca="1" si="56"/>
        <v>3.6925300855065904E-4</v>
      </c>
    </row>
    <row r="208" spans="1:24">
      <c r="A208">
        <v>1</v>
      </c>
      <c r="B208">
        <v>1</v>
      </c>
      <c r="C208">
        <f t="shared" ca="1" si="38"/>
        <v>5</v>
      </c>
      <c r="D208">
        <f t="shared" ca="1" si="39"/>
        <v>3</v>
      </c>
      <c r="E208">
        <f t="shared" ca="1" si="40"/>
        <v>1</v>
      </c>
      <c r="F208" s="100">
        <f t="shared" ca="1" si="41"/>
        <v>4.6438859499999999E-2</v>
      </c>
      <c r="G208">
        <v>0</v>
      </c>
      <c r="H208">
        <v>0</v>
      </c>
      <c r="I208">
        <v>1</v>
      </c>
      <c r="J208" s="1">
        <f t="shared" ca="1" si="42"/>
        <v>2.970000000000011E-8</v>
      </c>
      <c r="K208" s="1">
        <f t="shared" ca="1" si="43"/>
        <v>1.379234127150005E-9</v>
      </c>
      <c r="L208" s="13">
        <f t="shared" ca="1" si="44"/>
        <v>100</v>
      </c>
      <c r="M208" s="7">
        <f t="shared" ca="1" si="45"/>
        <v>900</v>
      </c>
      <c r="N208" s="43">
        <f t="shared" ca="1" si="46"/>
        <v>7</v>
      </c>
      <c r="O208" s="92">
        <f t="shared" ca="1" si="47"/>
        <v>2.264588428134358</v>
      </c>
      <c r="P208" s="92">
        <f t="shared" ca="1" si="48"/>
        <v>22.645884281343584</v>
      </c>
      <c r="Q208" s="92">
        <f t="shared" ca="1" si="49"/>
        <v>22.645884281343584</v>
      </c>
      <c r="R208" s="92">
        <f t="shared" ca="1" si="50"/>
        <v>2.2645884281343585</v>
      </c>
      <c r="S208" s="92">
        <f t="shared" ca="1" si="51"/>
        <v>2.264588428134358</v>
      </c>
      <c r="T208" s="4">
        <f t="shared" ca="1" si="52"/>
        <v>3.123397644031893E-9</v>
      </c>
      <c r="U208" s="99">
        <f t="shared" ca="1" si="53"/>
        <v>1457.2486983548911</v>
      </c>
      <c r="V208" s="4">
        <f t="shared" ca="1" si="54"/>
        <v>2.0098871365159891E-6</v>
      </c>
      <c r="W208" s="13">
        <f t="shared" ca="1" si="55"/>
        <v>1352.1375</v>
      </c>
      <c r="X208" s="4">
        <f t="shared" ca="1" si="56"/>
        <v>1.8649141845992899E-6</v>
      </c>
    </row>
    <row r="209" spans="1:24">
      <c r="A209">
        <v>1</v>
      </c>
      <c r="B209">
        <v>1</v>
      </c>
      <c r="C209">
        <f t="shared" ca="1" si="38"/>
        <v>5</v>
      </c>
      <c r="D209">
        <f t="shared" ca="1" si="39"/>
        <v>3</v>
      </c>
      <c r="E209">
        <f t="shared" ca="1" si="40"/>
        <v>1</v>
      </c>
      <c r="F209" s="100">
        <f t="shared" ca="1" si="41"/>
        <v>4.6438859499999999E-2</v>
      </c>
      <c r="G209">
        <v>0</v>
      </c>
      <c r="H209">
        <v>0</v>
      </c>
      <c r="I209">
        <v>0</v>
      </c>
      <c r="J209" s="1">
        <f t="shared" ca="1" si="42"/>
        <v>1.0000000000000046E-10</v>
      </c>
      <c r="K209" s="1">
        <f t="shared" ca="1" si="43"/>
        <v>4.6438859500000214E-12</v>
      </c>
      <c r="L209" s="13">
        <f t="shared" ca="1" si="44"/>
        <v>100</v>
      </c>
      <c r="M209" s="7">
        <f t="shared" ca="1" si="45"/>
        <v>900</v>
      </c>
      <c r="N209" s="43">
        <f t="shared" ca="1" si="46"/>
        <v>7</v>
      </c>
      <c r="O209" s="92">
        <f t="shared" ca="1" si="47"/>
        <v>2.264588428134358</v>
      </c>
      <c r="P209" s="92">
        <f t="shared" ca="1" si="48"/>
        <v>22.645884281343584</v>
      </c>
      <c r="Q209" s="92">
        <f t="shared" ca="1" si="49"/>
        <v>22.645884281343584</v>
      </c>
      <c r="R209" s="92">
        <f t="shared" ca="1" si="50"/>
        <v>2.2645884281343585</v>
      </c>
      <c r="S209" s="92">
        <f t="shared" ca="1" si="51"/>
        <v>2.264588428134358</v>
      </c>
      <c r="T209" s="4">
        <f t="shared" ca="1" si="52"/>
        <v>1.0516490383945778E-11</v>
      </c>
      <c r="U209" s="99">
        <f t="shared" ca="1" si="53"/>
        <v>1457.2486983548911</v>
      </c>
      <c r="V209" s="4">
        <f t="shared" ca="1" si="54"/>
        <v>6.7672967559460983E-9</v>
      </c>
      <c r="W209" s="13">
        <f t="shared" ca="1" si="55"/>
        <v>0</v>
      </c>
      <c r="X209" s="4">
        <f t="shared" ca="1" si="56"/>
        <v>0</v>
      </c>
    </row>
    <row r="210" spans="1:24">
      <c r="A210">
        <v>1</v>
      </c>
      <c r="B210">
        <v>2</v>
      </c>
      <c r="C210">
        <f t="shared" ref="C210:C273" ca="1" si="57">MIN(8, 1+$B$10+$B$9+A210+B210)</f>
        <v>6</v>
      </c>
      <c r="D210">
        <f t="shared" ref="D210:D273" ca="1" si="58">C210-(1+$B$10)</f>
        <v>4</v>
      </c>
      <c r="E210">
        <f t="shared" ref="E210:E273" ca="1" si="59">MIN(A210, C210-(1+$B$10+$B$9))</f>
        <v>1</v>
      </c>
      <c r="F210" s="100">
        <f t="shared" ref="F210:F273" ca="1" si="60">IF(A210=3, $E$5, IF(A210=2, (1-$E$5)*$E$4 + (1-$E$5)*(1-$E$4)*(1-$E$3)*Set1AM3*Set1AM33, IF(A210=1, (1-$E$5)*(1-$E$4)*$E$3 + (1-$E$5)*(1-$E$4)*(1-$E$3)*Set1AM3*Set1AM32, (1-$E$5)*(1-$E$4)*(1-$E$3)*(1-Set1AM3)))) * IF($B$9+$B$10&gt;0, IF(B210=3, $E$5, IF(B210=2, (1-$E$5)*$E$4, IF(B210=1, (1-$E$5)*(1-$E$4)*$E$3, (1-$E$5)*(1-$E$4)*(1-$E$3)))), IF(B210=0, 1, 0))</f>
        <v>2.2219550000000001E-2</v>
      </c>
      <c r="G210">
        <v>1</v>
      </c>
      <c r="H210">
        <v>1</v>
      </c>
      <c r="I210">
        <v>7</v>
      </c>
      <c r="J210" s="1">
        <f t="shared" ref="J210:J273" ca="1" si="61">IF($B$8&lt;100%, POWER($B$8,G210)*POWER(1-$B$8, 1-G210), 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399</v>
      </c>
      <c r="M210" s="7">
        <f t="shared" ref="M210:M273" ca="1" si="64">MAX(Set1MinTP-(L210+Set1Regain), 0)</f>
        <v>601</v>
      </c>
      <c r="N210" s="43">
        <f t="shared" ref="N210:N273" ca="1" si="65">CEILING(M210/Set1MeleeTP, 1)</f>
        <v>5</v>
      </c>
      <c r="O210" s="92">
        <f t="shared" ref="O210:O273" ca="1" si="66">VLOOKUP(N210,AvgRoundsSet1,2)</f>
        <v>1.7627004516625842</v>
      </c>
      <c r="P210" s="92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17.627004516625838</v>
      </c>
      <c r="Q210" s="92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17.627004516625838</v>
      </c>
      <c r="R210" s="92">
        <f t="shared" ref="R210:R273" ca="1" si="69">(P210+Q210)/20</f>
        <v>1.7627004516625839</v>
      </c>
      <c r="S210" s="92">
        <f t="shared" ref="S210:S273" ca="1" si="70">R210*Set1ConserveTP + O210*(1-Set1ConserveTP)</f>
        <v>1.7627004516625842</v>
      </c>
      <c r="T210" s="4">
        <f t="shared" ref="T210:T273" ca="1" si="71">K210*S210</f>
        <v>0</v>
      </c>
      <c r="U210" s="99">
        <f t="shared" ref="U210:U273" ca="1" si="72">MIN(L210+(S210+Set1OverTP)*AvgHitsPerRound1*Set1MeleeTP + Set1Regain + 10.5*Set1ConserveTP, 3000)</f>
        <v>1509.8515146533105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23319.800362499998</v>
      </c>
      <c r="X210" s="4">
        <f t="shared" ref="X210:X273" ca="1" si="75">K210*W210</f>
        <v>0</v>
      </c>
    </row>
    <row r="211" spans="1:24">
      <c r="A211">
        <v>1</v>
      </c>
      <c r="B211">
        <v>2</v>
      </c>
      <c r="C211">
        <f t="shared" ca="1" si="57"/>
        <v>6</v>
      </c>
      <c r="D211">
        <f t="shared" ca="1" si="58"/>
        <v>4</v>
      </c>
      <c r="E211">
        <f t="shared" ca="1" si="59"/>
        <v>1</v>
      </c>
      <c r="F211" s="100">
        <f t="shared" ca="1" si="60"/>
        <v>2.2219550000000001E-2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378</v>
      </c>
      <c r="M211" s="7">
        <f t="shared" ca="1" si="64"/>
        <v>622</v>
      </c>
      <c r="N211" s="43">
        <f t="shared" ca="1" si="65"/>
        <v>5</v>
      </c>
      <c r="O211" s="92">
        <f t="shared" ca="1" si="66"/>
        <v>1.7627004516625842</v>
      </c>
      <c r="P211" s="92">
        <f t="shared" ca="1" si="67"/>
        <v>17.627004516625838</v>
      </c>
      <c r="Q211" s="92">
        <f t="shared" ca="1" si="68"/>
        <v>17.627004516625838</v>
      </c>
      <c r="R211" s="92">
        <f t="shared" ca="1" si="69"/>
        <v>1.7627004516625839</v>
      </c>
      <c r="S211" s="92">
        <f t="shared" ca="1" si="70"/>
        <v>1.7627004516625842</v>
      </c>
      <c r="T211" s="4">
        <f t="shared" ca="1" si="71"/>
        <v>0</v>
      </c>
      <c r="U211" s="99">
        <f t="shared" ca="1" si="72"/>
        <v>1488.8515146533105</v>
      </c>
      <c r="V211" s="4">
        <f t="shared" ca="1" si="73"/>
        <v>0</v>
      </c>
      <c r="W211" s="13">
        <f t="shared" ca="1" si="74"/>
        <v>21967.662862499998</v>
      </c>
      <c r="X211" s="4">
        <f t="shared" ca="1" si="75"/>
        <v>0</v>
      </c>
    </row>
    <row r="212" spans="1:24">
      <c r="A212">
        <v>1</v>
      </c>
      <c r="B212">
        <v>2</v>
      </c>
      <c r="C212">
        <f t="shared" ca="1" si="57"/>
        <v>6</v>
      </c>
      <c r="D212">
        <f t="shared" ca="1" si="58"/>
        <v>4</v>
      </c>
      <c r="E212">
        <f t="shared" ca="1" si="59"/>
        <v>1</v>
      </c>
      <c r="F212" s="100">
        <f t="shared" ca="1" si="60"/>
        <v>2.2219550000000001E-2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357</v>
      </c>
      <c r="M212" s="7">
        <f t="shared" ca="1" si="64"/>
        <v>643</v>
      </c>
      <c r="N212" s="43">
        <f t="shared" ca="1" si="65"/>
        <v>5</v>
      </c>
      <c r="O212" s="92">
        <f t="shared" ca="1" si="66"/>
        <v>1.7627004516625842</v>
      </c>
      <c r="P212" s="92">
        <f t="shared" ca="1" si="67"/>
        <v>17.627004516625838</v>
      </c>
      <c r="Q212" s="92">
        <f t="shared" ca="1" si="68"/>
        <v>17.627004516625838</v>
      </c>
      <c r="R212" s="92">
        <f t="shared" ca="1" si="69"/>
        <v>1.7627004516625839</v>
      </c>
      <c r="S212" s="92">
        <f t="shared" ca="1" si="70"/>
        <v>1.7627004516625842</v>
      </c>
      <c r="T212" s="4">
        <f t="shared" ca="1" si="71"/>
        <v>0</v>
      </c>
      <c r="U212" s="99">
        <f t="shared" ca="1" si="72"/>
        <v>1467.8515146533105</v>
      </c>
      <c r="V212" s="4">
        <f t="shared" ca="1" si="73"/>
        <v>0</v>
      </c>
      <c r="W212" s="13">
        <f t="shared" ca="1" si="74"/>
        <v>20615.525362499997</v>
      </c>
      <c r="X212" s="4">
        <f t="shared" ca="1" si="75"/>
        <v>0</v>
      </c>
    </row>
    <row r="213" spans="1:24">
      <c r="A213">
        <v>1</v>
      </c>
      <c r="B213">
        <v>2</v>
      </c>
      <c r="C213">
        <f t="shared" ca="1" si="57"/>
        <v>6</v>
      </c>
      <c r="D213">
        <f t="shared" ca="1" si="58"/>
        <v>4</v>
      </c>
      <c r="E213">
        <f t="shared" ca="1" si="59"/>
        <v>1</v>
      </c>
      <c r="F213" s="100">
        <f t="shared" ca="1" si="60"/>
        <v>2.2219550000000001E-2</v>
      </c>
      <c r="G213">
        <v>1</v>
      </c>
      <c r="H213">
        <v>1</v>
      </c>
      <c r="I213">
        <v>4</v>
      </c>
      <c r="J213" s="1">
        <f t="shared" ca="1" si="61"/>
        <v>0.94148014940099989</v>
      </c>
      <c r="K213" s="1">
        <f t="shared" ca="1" si="62"/>
        <v>2.0919265253622987E-2</v>
      </c>
      <c r="L213" s="13">
        <f t="shared" ca="1" si="63"/>
        <v>336</v>
      </c>
      <c r="M213" s="7">
        <f t="shared" ca="1" si="64"/>
        <v>664</v>
      </c>
      <c r="N213" s="43">
        <f t="shared" ca="1" si="65"/>
        <v>6</v>
      </c>
      <c r="O213" s="92">
        <f t="shared" ca="1" si="66"/>
        <v>2.003415856166523</v>
      </c>
      <c r="P213" s="92">
        <f t="shared" ca="1" si="67"/>
        <v>20.03415856166523</v>
      </c>
      <c r="Q213" s="92">
        <f t="shared" ca="1" si="68"/>
        <v>19.552727752657354</v>
      </c>
      <c r="R213" s="92">
        <f t="shared" ca="1" si="69"/>
        <v>1.9793443157161292</v>
      </c>
      <c r="S213" s="92">
        <f t="shared" ca="1" si="70"/>
        <v>2.003415856166523</v>
      </c>
      <c r="T213" s="4">
        <f t="shared" ca="1" si="71"/>
        <v>4.1909987708461688E-2</v>
      </c>
      <c r="U213" s="99">
        <f t="shared" ca="1" si="72"/>
        <v>1565.0284794818213</v>
      </c>
      <c r="V213" s="4">
        <f t="shared" ca="1" si="73"/>
        <v>32.739245891754479</v>
      </c>
      <c r="W213" s="13">
        <f t="shared" ca="1" si="74"/>
        <v>19263.3878625</v>
      </c>
      <c r="X213" s="4">
        <f t="shared" ca="1" si="75"/>
        <v>402.975920379059</v>
      </c>
    </row>
    <row r="214" spans="1:24">
      <c r="A214">
        <v>1</v>
      </c>
      <c r="B214">
        <v>2</v>
      </c>
      <c r="C214">
        <f t="shared" ca="1" si="57"/>
        <v>6</v>
      </c>
      <c r="D214">
        <f t="shared" ca="1" si="58"/>
        <v>4</v>
      </c>
      <c r="E214">
        <f t="shared" ca="1" si="59"/>
        <v>1</v>
      </c>
      <c r="F214" s="100">
        <f t="shared" ca="1" si="60"/>
        <v>2.2219550000000001E-2</v>
      </c>
      <c r="G214">
        <v>1</v>
      </c>
      <c r="H214">
        <v>1</v>
      </c>
      <c r="I214">
        <v>3</v>
      </c>
      <c r="J214" s="1">
        <f t="shared" ca="1" si="61"/>
        <v>3.8039601996000032E-2</v>
      </c>
      <c r="K214" s="1">
        <f t="shared" ca="1" si="62"/>
        <v>8.4522283853022255E-4</v>
      </c>
      <c r="L214" s="13">
        <f t="shared" ca="1" si="63"/>
        <v>315</v>
      </c>
      <c r="M214" s="7">
        <f t="shared" ca="1" si="64"/>
        <v>685</v>
      </c>
      <c r="N214" s="43">
        <f t="shared" ca="1" si="65"/>
        <v>6</v>
      </c>
      <c r="O214" s="92">
        <f t="shared" ca="1" si="66"/>
        <v>2.003415856166523</v>
      </c>
      <c r="P214" s="92">
        <f t="shared" ca="1" si="67"/>
        <v>20.03415856166523</v>
      </c>
      <c r="Q214" s="92">
        <f t="shared" ca="1" si="68"/>
        <v>20.03415856166523</v>
      </c>
      <c r="R214" s="92">
        <f t="shared" ca="1" si="69"/>
        <v>2.003415856166523</v>
      </c>
      <c r="S214" s="92">
        <f t="shared" ca="1" si="70"/>
        <v>2.003415856166523</v>
      </c>
      <c r="T214" s="4">
        <f t="shared" ca="1" si="71"/>
        <v>1.6933328367055246E-3</v>
      </c>
      <c r="U214" s="99">
        <f t="shared" ca="1" si="72"/>
        <v>1544.0284794818213</v>
      </c>
      <c r="V214" s="4">
        <f t="shared" ca="1" si="73"/>
        <v>1.3050481341991285</v>
      </c>
      <c r="W214" s="13">
        <f t="shared" ca="1" si="74"/>
        <v>17911.250362499999</v>
      </c>
      <c r="X214" s="4">
        <f t="shared" ca="1" si="75"/>
        <v>15.138997873017727</v>
      </c>
    </row>
    <row r="215" spans="1:24">
      <c r="A215">
        <v>1</v>
      </c>
      <c r="B215">
        <v>2</v>
      </c>
      <c r="C215">
        <f t="shared" ca="1" si="57"/>
        <v>6</v>
      </c>
      <c r="D215">
        <f t="shared" ca="1" si="58"/>
        <v>4</v>
      </c>
      <c r="E215">
        <f t="shared" ca="1" si="59"/>
        <v>1</v>
      </c>
      <c r="F215" s="100">
        <f t="shared" ca="1" si="60"/>
        <v>2.2219550000000001E-2</v>
      </c>
      <c r="G215">
        <v>1</v>
      </c>
      <c r="H215">
        <v>1</v>
      </c>
      <c r="I215">
        <v>2</v>
      </c>
      <c r="J215" s="1">
        <f t="shared" ca="1" si="61"/>
        <v>5.7635760600000105E-4</v>
      </c>
      <c r="K215" s="1">
        <f t="shared" ca="1" si="62"/>
        <v>1.2806406644397324E-5</v>
      </c>
      <c r="L215" s="13">
        <f t="shared" ca="1" si="63"/>
        <v>294</v>
      </c>
      <c r="M215" s="7">
        <f t="shared" ca="1" si="64"/>
        <v>706</v>
      </c>
      <c r="N215" s="43">
        <f t="shared" ca="1" si="65"/>
        <v>6</v>
      </c>
      <c r="O215" s="92">
        <f t="shared" ca="1" si="66"/>
        <v>2.003415856166523</v>
      </c>
      <c r="P215" s="92">
        <f t="shared" ca="1" si="67"/>
        <v>20.03415856166523</v>
      </c>
      <c r="Q215" s="92">
        <f t="shared" ca="1" si="68"/>
        <v>20.03415856166523</v>
      </c>
      <c r="R215" s="92">
        <f t="shared" ca="1" si="69"/>
        <v>2.003415856166523</v>
      </c>
      <c r="S215" s="92">
        <f t="shared" ca="1" si="70"/>
        <v>2.003415856166523</v>
      </c>
      <c r="T215" s="4">
        <f t="shared" ca="1" si="71"/>
        <v>2.5656558131901915E-5</v>
      </c>
      <c r="U215" s="99">
        <f t="shared" ca="1" si="72"/>
        <v>1523.0284794818213</v>
      </c>
      <c r="V215" s="4">
        <f t="shared" ca="1" si="73"/>
        <v>1.9504522039242349E-2</v>
      </c>
      <c r="W215" s="13">
        <f t="shared" ca="1" si="74"/>
        <v>16559.112862499998</v>
      </c>
      <c r="X215" s="4">
        <f t="shared" ca="1" si="75"/>
        <v>0.21206273298764516</v>
      </c>
    </row>
    <row r="216" spans="1:24">
      <c r="A216">
        <v>1</v>
      </c>
      <c r="B216">
        <v>2</v>
      </c>
      <c r="C216">
        <f t="shared" ca="1" si="57"/>
        <v>6</v>
      </c>
      <c r="D216">
        <f t="shared" ca="1" si="58"/>
        <v>4</v>
      </c>
      <c r="E216">
        <f t="shared" ca="1" si="59"/>
        <v>1</v>
      </c>
      <c r="F216" s="100">
        <f t="shared" ca="1" si="60"/>
        <v>2.2219550000000001E-2</v>
      </c>
      <c r="G216">
        <v>1</v>
      </c>
      <c r="H216">
        <v>1</v>
      </c>
      <c r="I216">
        <v>1</v>
      </c>
      <c r="J216" s="1">
        <f t="shared" ca="1" si="61"/>
        <v>3.8811960000000103E-6</v>
      </c>
      <c r="K216" s="1">
        <f t="shared" ca="1" si="62"/>
        <v>8.6238428581800235E-8</v>
      </c>
      <c r="L216" s="13">
        <f t="shared" ca="1" si="63"/>
        <v>273</v>
      </c>
      <c r="M216" s="7">
        <f t="shared" ca="1" si="64"/>
        <v>727</v>
      </c>
      <c r="N216" s="43">
        <f t="shared" ca="1" si="65"/>
        <v>6</v>
      </c>
      <c r="O216" s="92">
        <f t="shared" ca="1" si="66"/>
        <v>2.003415856166523</v>
      </c>
      <c r="P216" s="92">
        <f t="shared" ca="1" si="67"/>
        <v>20.03415856166523</v>
      </c>
      <c r="Q216" s="92">
        <f t="shared" ca="1" si="68"/>
        <v>20.03415856166523</v>
      </c>
      <c r="R216" s="92">
        <f t="shared" ca="1" si="69"/>
        <v>2.003415856166523</v>
      </c>
      <c r="S216" s="92">
        <f t="shared" ca="1" si="70"/>
        <v>2.003415856166523</v>
      </c>
      <c r="T216" s="4">
        <f t="shared" ca="1" si="71"/>
        <v>1.7277143523166287E-7</v>
      </c>
      <c r="U216" s="99">
        <f t="shared" ca="1" si="72"/>
        <v>1502.0284794818213</v>
      </c>
      <c r="V216" s="4">
        <f t="shared" ca="1" si="73"/>
        <v>1.2953257575562305E-4</v>
      </c>
      <c r="W216" s="13">
        <f t="shared" ca="1" si="74"/>
        <v>15206.975362499999</v>
      </c>
      <c r="X216" s="4">
        <f t="shared" ca="1" si="75"/>
        <v>1.3114256587441519E-3</v>
      </c>
    </row>
    <row r="217" spans="1:24">
      <c r="A217">
        <v>1</v>
      </c>
      <c r="B217">
        <v>2</v>
      </c>
      <c r="C217">
        <f t="shared" ca="1" si="57"/>
        <v>6</v>
      </c>
      <c r="D217">
        <f t="shared" ca="1" si="58"/>
        <v>4</v>
      </c>
      <c r="E217">
        <f t="shared" ca="1" si="59"/>
        <v>1</v>
      </c>
      <c r="F217" s="100">
        <f t="shared" ca="1" si="60"/>
        <v>2.2219550000000001E-2</v>
      </c>
      <c r="G217">
        <v>1</v>
      </c>
      <c r="H217">
        <v>1</v>
      </c>
      <c r="I217">
        <v>0</v>
      </c>
      <c r="J217" s="1">
        <f t="shared" ca="1" si="61"/>
        <v>9.8010000000000359E-9</v>
      </c>
      <c r="K217" s="1">
        <f t="shared" ca="1" si="62"/>
        <v>2.177738095500008E-10</v>
      </c>
      <c r="L217" s="13">
        <f t="shared" ca="1" si="63"/>
        <v>252</v>
      </c>
      <c r="M217" s="7">
        <f t="shared" ca="1" si="64"/>
        <v>748</v>
      </c>
      <c r="N217" s="43">
        <f t="shared" ca="1" si="65"/>
        <v>6</v>
      </c>
      <c r="O217" s="92">
        <f t="shared" ca="1" si="66"/>
        <v>2.003415856166523</v>
      </c>
      <c r="P217" s="92">
        <f t="shared" ca="1" si="67"/>
        <v>20.03415856166523</v>
      </c>
      <c r="Q217" s="92">
        <f t="shared" ca="1" si="68"/>
        <v>20.03415856166523</v>
      </c>
      <c r="R217" s="92">
        <f t="shared" ca="1" si="69"/>
        <v>2.003415856166523</v>
      </c>
      <c r="S217" s="92">
        <f t="shared" ca="1" si="70"/>
        <v>2.003415856166523</v>
      </c>
      <c r="T217" s="4">
        <f t="shared" ca="1" si="71"/>
        <v>4.3629150311026017E-10</v>
      </c>
      <c r="U217" s="99">
        <f t="shared" ca="1" si="72"/>
        <v>1481.0284794818213</v>
      </c>
      <c r="V217" s="4">
        <f t="shared" ca="1" si="73"/>
        <v>3.2252921402880142E-7</v>
      </c>
      <c r="W217" s="13">
        <f t="shared" ca="1" si="74"/>
        <v>13854.837862499999</v>
      </c>
      <c r="X217" s="4">
        <f t="shared" ca="1" si="75"/>
        <v>3.0172208220142149E-6</v>
      </c>
    </row>
    <row r="218" spans="1:24">
      <c r="A218">
        <v>1</v>
      </c>
      <c r="B218">
        <v>2</v>
      </c>
      <c r="C218">
        <f t="shared" ca="1" si="57"/>
        <v>6</v>
      </c>
      <c r="D218">
        <f t="shared" ca="1" si="58"/>
        <v>4</v>
      </c>
      <c r="E218">
        <f t="shared" ca="1" si="59"/>
        <v>1</v>
      </c>
      <c r="F218" s="100">
        <f t="shared" ca="1" si="60"/>
        <v>2.2219550000000001E-2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273</v>
      </c>
      <c r="M218" s="7">
        <f t="shared" ca="1" si="64"/>
        <v>727</v>
      </c>
      <c r="N218" s="43">
        <f t="shared" ca="1" si="65"/>
        <v>6</v>
      </c>
      <c r="O218" s="92">
        <f t="shared" ca="1" si="66"/>
        <v>2.003415856166523</v>
      </c>
      <c r="P218" s="92">
        <f t="shared" ca="1" si="67"/>
        <v>20.03415856166523</v>
      </c>
      <c r="Q218" s="92">
        <f t="shared" ca="1" si="68"/>
        <v>20.03415856166523</v>
      </c>
      <c r="R218" s="92">
        <f t="shared" ca="1" si="69"/>
        <v>2.003415856166523</v>
      </c>
      <c r="S218" s="92">
        <f t="shared" ca="1" si="70"/>
        <v>2.003415856166523</v>
      </c>
      <c r="T218" s="4">
        <f t="shared" ca="1" si="71"/>
        <v>0</v>
      </c>
      <c r="U218" s="99">
        <f t="shared" ca="1" si="72"/>
        <v>1502.0284794818213</v>
      </c>
      <c r="V218" s="4">
        <f t="shared" ca="1" si="73"/>
        <v>0</v>
      </c>
      <c r="W218" s="13">
        <f t="shared" ca="1" si="74"/>
        <v>21932.249737499998</v>
      </c>
      <c r="X218" s="4">
        <f t="shared" ca="1" si="75"/>
        <v>0</v>
      </c>
    </row>
    <row r="219" spans="1:24">
      <c r="A219">
        <v>1</v>
      </c>
      <c r="B219">
        <v>2</v>
      </c>
      <c r="C219">
        <f t="shared" ca="1" si="57"/>
        <v>6</v>
      </c>
      <c r="D219">
        <f t="shared" ca="1" si="58"/>
        <v>4</v>
      </c>
      <c r="E219">
        <f t="shared" ca="1" si="59"/>
        <v>1</v>
      </c>
      <c r="F219" s="100">
        <f t="shared" ca="1" si="60"/>
        <v>2.2219550000000001E-2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252</v>
      </c>
      <c r="M219" s="7">
        <f t="shared" ca="1" si="64"/>
        <v>748</v>
      </c>
      <c r="N219" s="43">
        <f t="shared" ca="1" si="65"/>
        <v>6</v>
      </c>
      <c r="O219" s="92">
        <f t="shared" ca="1" si="66"/>
        <v>2.003415856166523</v>
      </c>
      <c r="P219" s="92">
        <f t="shared" ca="1" si="67"/>
        <v>20.03415856166523</v>
      </c>
      <c r="Q219" s="92">
        <f t="shared" ca="1" si="68"/>
        <v>20.03415856166523</v>
      </c>
      <c r="R219" s="92">
        <f t="shared" ca="1" si="69"/>
        <v>2.003415856166523</v>
      </c>
      <c r="S219" s="92">
        <f t="shared" ca="1" si="70"/>
        <v>2.003415856166523</v>
      </c>
      <c r="T219" s="4">
        <f t="shared" ca="1" si="71"/>
        <v>0</v>
      </c>
      <c r="U219" s="99">
        <f t="shared" ca="1" si="72"/>
        <v>1481.0284794818213</v>
      </c>
      <c r="V219" s="4">
        <f t="shared" ca="1" si="73"/>
        <v>0</v>
      </c>
      <c r="W219" s="13">
        <f t="shared" ca="1" si="74"/>
        <v>20580.112237499998</v>
      </c>
      <c r="X219" s="4">
        <f t="shared" ca="1" si="75"/>
        <v>0</v>
      </c>
    </row>
    <row r="220" spans="1:24">
      <c r="A220">
        <v>1</v>
      </c>
      <c r="B220">
        <v>2</v>
      </c>
      <c r="C220">
        <f t="shared" ca="1" si="57"/>
        <v>6</v>
      </c>
      <c r="D220">
        <f t="shared" ca="1" si="58"/>
        <v>4</v>
      </c>
      <c r="E220">
        <f t="shared" ca="1" si="59"/>
        <v>1</v>
      </c>
      <c r="F220" s="100">
        <f t="shared" ca="1" si="60"/>
        <v>2.2219550000000001E-2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231</v>
      </c>
      <c r="M220" s="7">
        <f t="shared" ca="1" si="64"/>
        <v>769</v>
      </c>
      <c r="N220" s="43">
        <f t="shared" ca="1" si="65"/>
        <v>6</v>
      </c>
      <c r="O220" s="92">
        <f t="shared" ca="1" si="66"/>
        <v>2.003415856166523</v>
      </c>
      <c r="P220" s="92">
        <f t="shared" ca="1" si="67"/>
        <v>20.03415856166523</v>
      </c>
      <c r="Q220" s="92">
        <f t="shared" ca="1" si="68"/>
        <v>20.03415856166523</v>
      </c>
      <c r="R220" s="92">
        <f t="shared" ca="1" si="69"/>
        <v>2.003415856166523</v>
      </c>
      <c r="S220" s="92">
        <f t="shared" ca="1" si="70"/>
        <v>2.003415856166523</v>
      </c>
      <c r="T220" s="4">
        <f t="shared" ca="1" si="71"/>
        <v>0</v>
      </c>
      <c r="U220" s="99">
        <f t="shared" ca="1" si="72"/>
        <v>1460.0284794818213</v>
      </c>
      <c r="V220" s="4">
        <f t="shared" ca="1" si="73"/>
        <v>0</v>
      </c>
      <c r="W220" s="13">
        <f t="shared" ca="1" si="74"/>
        <v>19227.974737500001</v>
      </c>
      <c r="X220" s="4">
        <f t="shared" ca="1" si="75"/>
        <v>0</v>
      </c>
    </row>
    <row r="221" spans="1:24">
      <c r="A221">
        <v>1</v>
      </c>
      <c r="B221">
        <v>2</v>
      </c>
      <c r="C221">
        <f t="shared" ca="1" si="57"/>
        <v>6</v>
      </c>
      <c r="D221">
        <f t="shared" ca="1" si="58"/>
        <v>4</v>
      </c>
      <c r="E221">
        <f t="shared" ca="1" si="59"/>
        <v>1</v>
      </c>
      <c r="F221" s="100">
        <f t="shared" ca="1" si="60"/>
        <v>2.2219550000000001E-2</v>
      </c>
      <c r="G221">
        <v>1</v>
      </c>
      <c r="H221">
        <v>0</v>
      </c>
      <c r="I221">
        <v>4</v>
      </c>
      <c r="J221" s="1">
        <f t="shared" ca="1" si="61"/>
        <v>9.5099004990000079E-3</v>
      </c>
      <c r="K221" s="1">
        <f t="shared" ca="1" si="62"/>
        <v>2.1130570963255564E-4</v>
      </c>
      <c r="L221" s="13">
        <f t="shared" ca="1" si="63"/>
        <v>210</v>
      </c>
      <c r="M221" s="7">
        <f t="shared" ca="1" si="64"/>
        <v>790</v>
      </c>
      <c r="N221" s="43">
        <f t="shared" ca="1" si="65"/>
        <v>7</v>
      </c>
      <c r="O221" s="92">
        <f t="shared" ca="1" si="66"/>
        <v>2.264588428134358</v>
      </c>
      <c r="P221" s="92">
        <f t="shared" ca="1" si="67"/>
        <v>22.645884281343584</v>
      </c>
      <c r="Q221" s="92">
        <f t="shared" ca="1" si="68"/>
        <v>21.340021421504403</v>
      </c>
      <c r="R221" s="92">
        <f t="shared" ca="1" si="69"/>
        <v>2.1992952851423992</v>
      </c>
      <c r="S221" s="92">
        <f t="shared" ca="1" si="70"/>
        <v>2.264588428134358</v>
      </c>
      <c r="T221" s="4">
        <f t="shared" ca="1" si="71"/>
        <v>4.7852046483260423E-4</v>
      </c>
      <c r="U221" s="99">
        <f t="shared" ca="1" si="72"/>
        <v>1567.2486983548911</v>
      </c>
      <c r="V221" s="4">
        <f t="shared" ca="1" si="73"/>
        <v>0.33116859837657942</v>
      </c>
      <c r="W221" s="13">
        <f t="shared" ca="1" si="74"/>
        <v>17875.8372375</v>
      </c>
      <c r="X221" s="4">
        <f t="shared" ca="1" si="75"/>
        <v>3.7772664727460006</v>
      </c>
    </row>
    <row r="222" spans="1:24">
      <c r="A222">
        <v>1</v>
      </c>
      <c r="B222">
        <v>2</v>
      </c>
      <c r="C222">
        <f t="shared" ca="1" si="57"/>
        <v>6</v>
      </c>
      <c r="D222">
        <f t="shared" ca="1" si="58"/>
        <v>4</v>
      </c>
      <c r="E222">
        <f t="shared" ca="1" si="59"/>
        <v>1</v>
      </c>
      <c r="F222" s="100">
        <f t="shared" ca="1" si="60"/>
        <v>2.2219550000000001E-2</v>
      </c>
      <c r="G222">
        <v>1</v>
      </c>
      <c r="H222">
        <v>0</v>
      </c>
      <c r="I222">
        <v>3</v>
      </c>
      <c r="J222" s="1">
        <f t="shared" ca="1" si="61"/>
        <v>3.8423840400000073E-4</v>
      </c>
      <c r="K222" s="1">
        <f t="shared" ca="1" si="62"/>
        <v>8.5376044295982163E-6</v>
      </c>
      <c r="L222" s="13">
        <f t="shared" ca="1" si="63"/>
        <v>189</v>
      </c>
      <c r="M222" s="7">
        <f t="shared" ca="1" si="64"/>
        <v>811</v>
      </c>
      <c r="N222" s="43">
        <f t="shared" ca="1" si="65"/>
        <v>7</v>
      </c>
      <c r="O222" s="92">
        <f t="shared" ca="1" si="66"/>
        <v>2.264588428134358</v>
      </c>
      <c r="P222" s="92">
        <f t="shared" ca="1" si="67"/>
        <v>22.645884281343584</v>
      </c>
      <c r="Q222" s="92">
        <f t="shared" ca="1" si="68"/>
        <v>22.645884281343584</v>
      </c>
      <c r="R222" s="92">
        <f t="shared" ca="1" si="69"/>
        <v>2.2645884281343585</v>
      </c>
      <c r="S222" s="92">
        <f t="shared" ca="1" si="70"/>
        <v>2.264588428134358</v>
      </c>
      <c r="T222" s="4">
        <f t="shared" ca="1" si="71"/>
        <v>1.9334160195256757E-5</v>
      </c>
      <c r="U222" s="99">
        <f t="shared" ca="1" si="72"/>
        <v>1546.2486983548911</v>
      </c>
      <c r="V222" s="4">
        <f t="shared" ca="1" si="73"/>
        <v>1.3201259736335194E-2</v>
      </c>
      <c r="W222" s="13">
        <f t="shared" ca="1" si="74"/>
        <v>16523.699737499999</v>
      </c>
      <c r="X222" s="4">
        <f t="shared" ca="1" si="75"/>
        <v>0.14107281207223088</v>
      </c>
    </row>
    <row r="223" spans="1:24">
      <c r="A223">
        <v>1</v>
      </c>
      <c r="B223">
        <v>2</v>
      </c>
      <c r="C223">
        <f t="shared" ca="1" si="57"/>
        <v>6</v>
      </c>
      <c r="D223">
        <f t="shared" ca="1" si="58"/>
        <v>4</v>
      </c>
      <c r="E223">
        <f t="shared" ca="1" si="59"/>
        <v>1</v>
      </c>
      <c r="F223" s="100">
        <f t="shared" ca="1" si="60"/>
        <v>2.2219550000000001E-2</v>
      </c>
      <c r="G223">
        <v>1</v>
      </c>
      <c r="H223">
        <v>0</v>
      </c>
      <c r="I223">
        <v>2</v>
      </c>
      <c r="J223" s="1">
        <f t="shared" ca="1" si="61"/>
        <v>5.8217940000000154E-6</v>
      </c>
      <c r="K223" s="1">
        <f t="shared" ca="1" si="62"/>
        <v>1.2935764287270036E-7</v>
      </c>
      <c r="L223" s="13">
        <f t="shared" ca="1" si="63"/>
        <v>168</v>
      </c>
      <c r="M223" s="7">
        <f t="shared" ca="1" si="64"/>
        <v>832</v>
      </c>
      <c r="N223" s="43">
        <f t="shared" ca="1" si="65"/>
        <v>7</v>
      </c>
      <c r="O223" s="92">
        <f t="shared" ca="1" si="66"/>
        <v>2.264588428134358</v>
      </c>
      <c r="P223" s="92">
        <f t="shared" ca="1" si="67"/>
        <v>22.645884281343584</v>
      </c>
      <c r="Q223" s="92">
        <f t="shared" ca="1" si="68"/>
        <v>22.645884281343584</v>
      </c>
      <c r="R223" s="92">
        <f t="shared" ca="1" si="69"/>
        <v>2.2645884281343585</v>
      </c>
      <c r="S223" s="92">
        <f t="shared" ca="1" si="70"/>
        <v>2.264588428134358</v>
      </c>
      <c r="T223" s="4">
        <f t="shared" ca="1" si="71"/>
        <v>2.9294182114025417E-7</v>
      </c>
      <c r="U223" s="99">
        <f t="shared" ca="1" si="72"/>
        <v>1525.2486983548911</v>
      </c>
      <c r="V223" s="4">
        <f t="shared" ca="1" si="73"/>
        <v>1.9730257641384306E-4</v>
      </c>
      <c r="W223" s="13">
        <f t="shared" ca="1" si="74"/>
        <v>15171.562237499998</v>
      </c>
      <c r="X223" s="4">
        <f t="shared" ca="1" si="75"/>
        <v>1.9625575297394717E-3</v>
      </c>
    </row>
    <row r="224" spans="1:24">
      <c r="A224">
        <v>1</v>
      </c>
      <c r="B224">
        <v>2</v>
      </c>
      <c r="C224">
        <f t="shared" ca="1" si="57"/>
        <v>6</v>
      </c>
      <c r="D224">
        <f t="shared" ca="1" si="58"/>
        <v>4</v>
      </c>
      <c r="E224">
        <f t="shared" ca="1" si="59"/>
        <v>1</v>
      </c>
      <c r="F224" s="100">
        <f t="shared" ca="1" si="60"/>
        <v>2.2219550000000001E-2</v>
      </c>
      <c r="G224">
        <v>1</v>
      </c>
      <c r="H224">
        <v>0</v>
      </c>
      <c r="I224">
        <v>1</v>
      </c>
      <c r="J224" s="1">
        <f t="shared" ca="1" si="61"/>
        <v>3.9204000000000137E-8</v>
      </c>
      <c r="K224" s="1">
        <f t="shared" ca="1" si="62"/>
        <v>8.710952382000031E-10</v>
      </c>
      <c r="L224" s="13">
        <f t="shared" ca="1" si="63"/>
        <v>147</v>
      </c>
      <c r="M224" s="7">
        <f t="shared" ca="1" si="64"/>
        <v>853</v>
      </c>
      <c r="N224" s="43">
        <f t="shared" ca="1" si="65"/>
        <v>7</v>
      </c>
      <c r="O224" s="92">
        <f t="shared" ca="1" si="66"/>
        <v>2.264588428134358</v>
      </c>
      <c r="P224" s="92">
        <f t="shared" ca="1" si="67"/>
        <v>22.645884281343584</v>
      </c>
      <c r="Q224" s="92">
        <f t="shared" ca="1" si="68"/>
        <v>22.645884281343584</v>
      </c>
      <c r="R224" s="92">
        <f t="shared" ca="1" si="69"/>
        <v>2.2645884281343585</v>
      </c>
      <c r="S224" s="92">
        <f t="shared" ca="1" si="70"/>
        <v>2.264588428134358</v>
      </c>
      <c r="T224" s="4">
        <f t="shared" ca="1" si="71"/>
        <v>1.9726721962306693E-9</v>
      </c>
      <c r="U224" s="99">
        <f t="shared" ca="1" si="72"/>
        <v>1504.2486983548911</v>
      </c>
      <c r="V224" s="4">
        <f t="shared" ca="1" si="73"/>
        <v>1.3103438782054984E-6</v>
      </c>
      <c r="W224" s="13">
        <f t="shared" ca="1" si="74"/>
        <v>13819.4247375</v>
      </c>
      <c r="X224" s="4">
        <f t="shared" ca="1" si="75"/>
        <v>1.2038035083499578E-5</v>
      </c>
    </row>
    <row r="225" spans="1:24">
      <c r="A225">
        <v>1</v>
      </c>
      <c r="B225">
        <v>2</v>
      </c>
      <c r="C225">
        <f t="shared" ca="1" si="57"/>
        <v>6</v>
      </c>
      <c r="D225">
        <f t="shared" ca="1" si="58"/>
        <v>4</v>
      </c>
      <c r="E225">
        <f t="shared" ca="1" si="59"/>
        <v>1</v>
      </c>
      <c r="F225" s="100">
        <f t="shared" ca="1" si="60"/>
        <v>2.2219550000000001E-2</v>
      </c>
      <c r="G225">
        <v>1</v>
      </c>
      <c r="H225">
        <v>0</v>
      </c>
      <c r="I225">
        <v>0</v>
      </c>
      <c r="J225" s="1">
        <f t="shared" ca="1" si="61"/>
        <v>9.9000000000000459E-11</v>
      </c>
      <c r="K225" s="1">
        <f t="shared" ca="1" si="62"/>
        <v>2.1997354500000104E-12</v>
      </c>
      <c r="L225" s="13">
        <f t="shared" ca="1" si="63"/>
        <v>126</v>
      </c>
      <c r="M225" s="7">
        <f t="shared" ca="1" si="64"/>
        <v>874</v>
      </c>
      <c r="N225" s="43">
        <f t="shared" ca="1" si="65"/>
        <v>7</v>
      </c>
      <c r="O225" s="92">
        <f t="shared" ca="1" si="66"/>
        <v>2.264588428134358</v>
      </c>
      <c r="P225" s="92">
        <f t="shared" ca="1" si="67"/>
        <v>22.645884281343584</v>
      </c>
      <c r="Q225" s="92">
        <f t="shared" ca="1" si="68"/>
        <v>22.645884281343584</v>
      </c>
      <c r="R225" s="92">
        <f t="shared" ca="1" si="69"/>
        <v>2.2645884281343585</v>
      </c>
      <c r="S225" s="92">
        <f t="shared" ca="1" si="70"/>
        <v>2.264588428134358</v>
      </c>
      <c r="T225" s="4">
        <f t="shared" ca="1" si="71"/>
        <v>4.9814954450269481E-12</v>
      </c>
      <c r="U225" s="99">
        <f t="shared" ca="1" si="72"/>
        <v>1483.2486983548911</v>
      </c>
      <c r="V225" s="4">
        <f t="shared" ca="1" si="73"/>
        <v>3.2627547429376258E-9</v>
      </c>
      <c r="W225" s="13">
        <f t="shared" ca="1" si="74"/>
        <v>12467.287237499999</v>
      </c>
      <c r="X225" s="4">
        <f t="shared" ca="1" si="75"/>
        <v>2.7424733701661447E-8</v>
      </c>
    </row>
    <row r="226" spans="1:24">
      <c r="A226">
        <v>1</v>
      </c>
      <c r="B226">
        <v>2</v>
      </c>
      <c r="C226">
        <f t="shared" ca="1" si="57"/>
        <v>6</v>
      </c>
      <c r="D226">
        <f t="shared" ca="1" si="58"/>
        <v>4</v>
      </c>
      <c r="E226">
        <f t="shared" ca="1" si="59"/>
        <v>1</v>
      </c>
      <c r="F226" s="100">
        <f t="shared" ca="1" si="60"/>
        <v>2.2219550000000001E-2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273</v>
      </c>
      <c r="M226" s="7">
        <f t="shared" ca="1" si="64"/>
        <v>727</v>
      </c>
      <c r="N226" s="43">
        <f t="shared" ca="1" si="65"/>
        <v>6</v>
      </c>
      <c r="O226" s="92">
        <f t="shared" ca="1" si="66"/>
        <v>2.003415856166523</v>
      </c>
      <c r="P226" s="92">
        <f t="shared" ca="1" si="67"/>
        <v>20.03415856166523</v>
      </c>
      <c r="Q226" s="92">
        <f t="shared" ca="1" si="68"/>
        <v>20.03415856166523</v>
      </c>
      <c r="R226" s="92">
        <f t="shared" ca="1" si="69"/>
        <v>2.003415856166523</v>
      </c>
      <c r="S226" s="92">
        <f t="shared" ca="1" si="70"/>
        <v>2.003415856166523</v>
      </c>
      <c r="T226" s="4">
        <f t="shared" ca="1" si="71"/>
        <v>0</v>
      </c>
      <c r="U226" s="99">
        <f t="shared" ca="1" si="72"/>
        <v>1502.0284794818213</v>
      </c>
      <c r="V226" s="4">
        <f t="shared" ca="1" si="73"/>
        <v>0</v>
      </c>
      <c r="W226" s="13">
        <f t="shared" ca="1" si="74"/>
        <v>10852.513124999999</v>
      </c>
      <c r="X226" s="4">
        <f t="shared" ca="1" si="75"/>
        <v>0</v>
      </c>
    </row>
    <row r="227" spans="1:24">
      <c r="A227">
        <v>1</v>
      </c>
      <c r="B227">
        <v>2</v>
      </c>
      <c r="C227">
        <f t="shared" ca="1" si="57"/>
        <v>6</v>
      </c>
      <c r="D227">
        <f t="shared" ca="1" si="58"/>
        <v>4</v>
      </c>
      <c r="E227">
        <f t="shared" ca="1" si="59"/>
        <v>1</v>
      </c>
      <c r="F227" s="100">
        <f t="shared" ca="1" si="60"/>
        <v>2.2219550000000001E-2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252</v>
      </c>
      <c r="M227" s="7">
        <f t="shared" ca="1" si="64"/>
        <v>748</v>
      </c>
      <c r="N227" s="43">
        <f t="shared" ca="1" si="65"/>
        <v>6</v>
      </c>
      <c r="O227" s="92">
        <f t="shared" ca="1" si="66"/>
        <v>2.003415856166523</v>
      </c>
      <c r="P227" s="92">
        <f t="shared" ca="1" si="67"/>
        <v>20.03415856166523</v>
      </c>
      <c r="Q227" s="92">
        <f t="shared" ca="1" si="68"/>
        <v>20.03415856166523</v>
      </c>
      <c r="R227" s="92">
        <f t="shared" ca="1" si="69"/>
        <v>2.003415856166523</v>
      </c>
      <c r="S227" s="92">
        <f t="shared" ca="1" si="70"/>
        <v>2.003415856166523</v>
      </c>
      <c r="T227" s="4">
        <f t="shared" ca="1" si="71"/>
        <v>0</v>
      </c>
      <c r="U227" s="99">
        <f t="shared" ca="1" si="72"/>
        <v>1481.0284794818213</v>
      </c>
      <c r="V227" s="4">
        <f t="shared" ca="1" si="73"/>
        <v>0</v>
      </c>
      <c r="W227" s="13">
        <f t="shared" ca="1" si="74"/>
        <v>9500.3756250000006</v>
      </c>
      <c r="X227" s="4">
        <f t="shared" ca="1" si="75"/>
        <v>0</v>
      </c>
    </row>
    <row r="228" spans="1:24">
      <c r="A228">
        <v>1</v>
      </c>
      <c r="B228">
        <v>2</v>
      </c>
      <c r="C228">
        <f t="shared" ca="1" si="57"/>
        <v>6</v>
      </c>
      <c r="D228">
        <f t="shared" ca="1" si="58"/>
        <v>4</v>
      </c>
      <c r="E228">
        <f t="shared" ca="1" si="59"/>
        <v>1</v>
      </c>
      <c r="F228" s="100">
        <f t="shared" ca="1" si="60"/>
        <v>2.2219550000000001E-2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231</v>
      </c>
      <c r="M228" s="7">
        <f t="shared" ca="1" si="64"/>
        <v>769</v>
      </c>
      <c r="N228" s="43">
        <f t="shared" ca="1" si="65"/>
        <v>6</v>
      </c>
      <c r="O228" s="92">
        <f t="shared" ca="1" si="66"/>
        <v>2.003415856166523</v>
      </c>
      <c r="P228" s="92">
        <f t="shared" ca="1" si="67"/>
        <v>20.03415856166523</v>
      </c>
      <c r="Q228" s="92">
        <f t="shared" ca="1" si="68"/>
        <v>20.03415856166523</v>
      </c>
      <c r="R228" s="92">
        <f t="shared" ca="1" si="69"/>
        <v>2.003415856166523</v>
      </c>
      <c r="S228" s="92">
        <f t="shared" ca="1" si="70"/>
        <v>2.003415856166523</v>
      </c>
      <c r="T228" s="4">
        <f t="shared" ca="1" si="71"/>
        <v>0</v>
      </c>
      <c r="U228" s="99">
        <f t="shared" ca="1" si="72"/>
        <v>1460.0284794818213</v>
      </c>
      <c r="V228" s="4">
        <f t="shared" ca="1" si="73"/>
        <v>0</v>
      </c>
      <c r="W228" s="13">
        <f t="shared" ca="1" si="74"/>
        <v>8148.2381249999999</v>
      </c>
      <c r="X228" s="4">
        <f t="shared" ca="1" si="75"/>
        <v>0</v>
      </c>
    </row>
    <row r="229" spans="1:24">
      <c r="A229">
        <v>1</v>
      </c>
      <c r="B229">
        <v>2</v>
      </c>
      <c r="C229">
        <f t="shared" ca="1" si="57"/>
        <v>6</v>
      </c>
      <c r="D229">
        <f t="shared" ca="1" si="58"/>
        <v>4</v>
      </c>
      <c r="E229">
        <f t="shared" ca="1" si="59"/>
        <v>1</v>
      </c>
      <c r="F229" s="100">
        <f t="shared" ca="1" si="60"/>
        <v>2.2219550000000001E-2</v>
      </c>
      <c r="G229">
        <v>0</v>
      </c>
      <c r="H229">
        <v>1</v>
      </c>
      <c r="I229">
        <v>4</v>
      </c>
      <c r="J229" s="1">
        <f t="shared" ca="1" si="61"/>
        <v>9.5099004990000079E-3</v>
      </c>
      <c r="K229" s="1">
        <f t="shared" ca="1" si="62"/>
        <v>2.1130570963255564E-4</v>
      </c>
      <c r="L229" s="13">
        <f t="shared" ca="1" si="63"/>
        <v>210</v>
      </c>
      <c r="M229" s="7">
        <f t="shared" ca="1" si="64"/>
        <v>790</v>
      </c>
      <c r="N229" s="43">
        <f t="shared" ca="1" si="65"/>
        <v>7</v>
      </c>
      <c r="O229" s="92">
        <f t="shared" ca="1" si="66"/>
        <v>2.264588428134358</v>
      </c>
      <c r="P229" s="92">
        <f t="shared" ca="1" si="67"/>
        <v>22.645884281343584</v>
      </c>
      <c r="Q229" s="92">
        <f t="shared" ca="1" si="68"/>
        <v>21.340021421504403</v>
      </c>
      <c r="R229" s="92">
        <f t="shared" ca="1" si="69"/>
        <v>2.1992952851423992</v>
      </c>
      <c r="S229" s="92">
        <f t="shared" ca="1" si="70"/>
        <v>2.264588428134358</v>
      </c>
      <c r="T229" s="4">
        <f t="shared" ca="1" si="71"/>
        <v>4.7852046483260423E-4</v>
      </c>
      <c r="U229" s="99">
        <f t="shared" ca="1" si="72"/>
        <v>1567.2486983548911</v>
      </c>
      <c r="V229" s="4">
        <f t="shared" ca="1" si="73"/>
        <v>0.33116859837657942</v>
      </c>
      <c r="W229" s="13">
        <f t="shared" ca="1" si="74"/>
        <v>6796.100625</v>
      </c>
      <c r="X229" s="4">
        <f t="shared" ca="1" si="75"/>
        <v>1.4360548652998799</v>
      </c>
    </row>
    <row r="230" spans="1:24">
      <c r="A230">
        <v>1</v>
      </c>
      <c r="B230">
        <v>2</v>
      </c>
      <c r="C230">
        <f t="shared" ca="1" si="57"/>
        <v>6</v>
      </c>
      <c r="D230">
        <f t="shared" ca="1" si="58"/>
        <v>4</v>
      </c>
      <c r="E230">
        <f t="shared" ca="1" si="59"/>
        <v>1</v>
      </c>
      <c r="F230" s="100">
        <f t="shared" ca="1" si="60"/>
        <v>2.2219550000000001E-2</v>
      </c>
      <c r="G230">
        <v>0</v>
      </c>
      <c r="H230">
        <v>1</v>
      </c>
      <c r="I230">
        <v>3</v>
      </c>
      <c r="J230" s="1">
        <f t="shared" ca="1" si="61"/>
        <v>3.8423840400000073E-4</v>
      </c>
      <c r="K230" s="1">
        <f t="shared" ca="1" si="62"/>
        <v>8.5376044295982163E-6</v>
      </c>
      <c r="L230" s="13">
        <f t="shared" ca="1" si="63"/>
        <v>189</v>
      </c>
      <c r="M230" s="7">
        <f t="shared" ca="1" si="64"/>
        <v>811</v>
      </c>
      <c r="N230" s="43">
        <f t="shared" ca="1" si="65"/>
        <v>7</v>
      </c>
      <c r="O230" s="92">
        <f t="shared" ca="1" si="66"/>
        <v>2.264588428134358</v>
      </c>
      <c r="P230" s="92">
        <f t="shared" ca="1" si="67"/>
        <v>22.645884281343584</v>
      </c>
      <c r="Q230" s="92">
        <f t="shared" ca="1" si="68"/>
        <v>22.645884281343584</v>
      </c>
      <c r="R230" s="92">
        <f t="shared" ca="1" si="69"/>
        <v>2.2645884281343585</v>
      </c>
      <c r="S230" s="92">
        <f t="shared" ca="1" si="70"/>
        <v>2.264588428134358</v>
      </c>
      <c r="T230" s="4">
        <f t="shared" ca="1" si="71"/>
        <v>1.9334160195256757E-5</v>
      </c>
      <c r="U230" s="99">
        <f t="shared" ca="1" si="72"/>
        <v>1546.2486983548911</v>
      </c>
      <c r="V230" s="4">
        <f t="shared" ca="1" si="73"/>
        <v>1.3201259736335194E-2</v>
      </c>
      <c r="W230" s="13">
        <f t="shared" ca="1" si="74"/>
        <v>5443.9631250000002</v>
      </c>
      <c r="X230" s="4">
        <f t="shared" ca="1" si="75"/>
        <v>4.6478403690569353E-2</v>
      </c>
    </row>
    <row r="231" spans="1:24">
      <c r="A231">
        <v>1</v>
      </c>
      <c r="B231">
        <v>2</v>
      </c>
      <c r="C231">
        <f t="shared" ca="1" si="57"/>
        <v>6</v>
      </c>
      <c r="D231">
        <f t="shared" ca="1" si="58"/>
        <v>4</v>
      </c>
      <c r="E231">
        <f t="shared" ca="1" si="59"/>
        <v>1</v>
      </c>
      <c r="F231" s="100">
        <f t="shared" ca="1" si="60"/>
        <v>2.2219550000000001E-2</v>
      </c>
      <c r="G231">
        <v>0</v>
      </c>
      <c r="H231">
        <v>1</v>
      </c>
      <c r="I231">
        <v>2</v>
      </c>
      <c r="J231" s="1">
        <f t="shared" ca="1" si="61"/>
        <v>5.8217940000000154E-6</v>
      </c>
      <c r="K231" s="1">
        <f t="shared" ca="1" si="62"/>
        <v>1.2935764287270036E-7</v>
      </c>
      <c r="L231" s="13">
        <f t="shared" ca="1" si="63"/>
        <v>168</v>
      </c>
      <c r="M231" s="7">
        <f t="shared" ca="1" si="64"/>
        <v>832</v>
      </c>
      <c r="N231" s="43">
        <f t="shared" ca="1" si="65"/>
        <v>7</v>
      </c>
      <c r="O231" s="92">
        <f t="shared" ca="1" si="66"/>
        <v>2.264588428134358</v>
      </c>
      <c r="P231" s="92">
        <f t="shared" ca="1" si="67"/>
        <v>22.645884281343584</v>
      </c>
      <c r="Q231" s="92">
        <f t="shared" ca="1" si="68"/>
        <v>22.645884281343584</v>
      </c>
      <c r="R231" s="92">
        <f t="shared" ca="1" si="69"/>
        <v>2.2645884281343585</v>
      </c>
      <c r="S231" s="92">
        <f t="shared" ca="1" si="70"/>
        <v>2.264588428134358</v>
      </c>
      <c r="T231" s="4">
        <f t="shared" ca="1" si="71"/>
        <v>2.9294182114025417E-7</v>
      </c>
      <c r="U231" s="99">
        <f t="shared" ca="1" si="72"/>
        <v>1525.2486983548911</v>
      </c>
      <c r="V231" s="4">
        <f t="shared" ca="1" si="73"/>
        <v>1.9730257641384306E-4</v>
      </c>
      <c r="W231" s="13">
        <f t="shared" ca="1" si="74"/>
        <v>4091.8256249999999</v>
      </c>
      <c r="X231" s="4">
        <f t="shared" ca="1" si="75"/>
        <v>5.2930891789611397E-4</v>
      </c>
    </row>
    <row r="232" spans="1:24">
      <c r="A232">
        <v>1</v>
      </c>
      <c r="B232">
        <v>2</v>
      </c>
      <c r="C232">
        <f t="shared" ca="1" si="57"/>
        <v>6</v>
      </c>
      <c r="D232">
        <f t="shared" ca="1" si="58"/>
        <v>4</v>
      </c>
      <c r="E232">
        <f t="shared" ca="1" si="59"/>
        <v>1</v>
      </c>
      <c r="F232" s="100">
        <f t="shared" ca="1" si="60"/>
        <v>2.2219550000000001E-2</v>
      </c>
      <c r="G232">
        <v>0</v>
      </c>
      <c r="H232">
        <v>1</v>
      </c>
      <c r="I232">
        <v>1</v>
      </c>
      <c r="J232" s="1">
        <f t="shared" ca="1" si="61"/>
        <v>3.9204000000000137E-8</v>
      </c>
      <c r="K232" s="1">
        <f t="shared" ca="1" si="62"/>
        <v>8.710952382000031E-10</v>
      </c>
      <c r="L232" s="13">
        <f t="shared" ca="1" si="63"/>
        <v>147</v>
      </c>
      <c r="M232" s="7">
        <f t="shared" ca="1" si="64"/>
        <v>853</v>
      </c>
      <c r="N232" s="43">
        <f t="shared" ca="1" si="65"/>
        <v>7</v>
      </c>
      <c r="O232" s="92">
        <f t="shared" ca="1" si="66"/>
        <v>2.264588428134358</v>
      </c>
      <c r="P232" s="92">
        <f t="shared" ca="1" si="67"/>
        <v>22.645884281343584</v>
      </c>
      <c r="Q232" s="92">
        <f t="shared" ca="1" si="68"/>
        <v>22.645884281343584</v>
      </c>
      <c r="R232" s="92">
        <f t="shared" ca="1" si="69"/>
        <v>2.2645884281343585</v>
      </c>
      <c r="S232" s="92">
        <f t="shared" ca="1" si="70"/>
        <v>2.264588428134358</v>
      </c>
      <c r="T232" s="4">
        <f t="shared" ca="1" si="71"/>
        <v>1.9726721962306693E-9</v>
      </c>
      <c r="U232" s="99">
        <f t="shared" ca="1" si="72"/>
        <v>1504.2486983548911</v>
      </c>
      <c r="V232" s="4">
        <f t="shared" ca="1" si="73"/>
        <v>1.3103438782054984E-6</v>
      </c>
      <c r="W232" s="13">
        <f t="shared" ca="1" si="74"/>
        <v>2739.6881249999997</v>
      </c>
      <c r="X232" s="4">
        <f t="shared" ca="1" si="75"/>
        <v>2.3865292798405946E-6</v>
      </c>
    </row>
    <row r="233" spans="1:24">
      <c r="A233">
        <v>1</v>
      </c>
      <c r="B233">
        <v>2</v>
      </c>
      <c r="C233">
        <f t="shared" ca="1" si="57"/>
        <v>6</v>
      </c>
      <c r="D233">
        <f t="shared" ca="1" si="58"/>
        <v>4</v>
      </c>
      <c r="E233">
        <f t="shared" ca="1" si="59"/>
        <v>1</v>
      </c>
      <c r="F233" s="100">
        <f t="shared" ca="1" si="60"/>
        <v>2.2219550000000001E-2</v>
      </c>
      <c r="G233">
        <v>0</v>
      </c>
      <c r="H233">
        <v>1</v>
      </c>
      <c r="I233">
        <v>0</v>
      </c>
      <c r="J233" s="1">
        <f t="shared" ca="1" si="61"/>
        <v>9.9000000000000459E-11</v>
      </c>
      <c r="K233" s="1">
        <f t="shared" ca="1" si="62"/>
        <v>2.1997354500000104E-12</v>
      </c>
      <c r="L233" s="13">
        <f t="shared" ca="1" si="63"/>
        <v>126</v>
      </c>
      <c r="M233" s="7">
        <f t="shared" ca="1" si="64"/>
        <v>874</v>
      </c>
      <c r="N233" s="43">
        <f t="shared" ca="1" si="65"/>
        <v>7</v>
      </c>
      <c r="O233" s="92">
        <f t="shared" ca="1" si="66"/>
        <v>2.264588428134358</v>
      </c>
      <c r="P233" s="92">
        <f t="shared" ca="1" si="67"/>
        <v>22.645884281343584</v>
      </c>
      <c r="Q233" s="92">
        <f t="shared" ca="1" si="68"/>
        <v>22.645884281343584</v>
      </c>
      <c r="R233" s="92">
        <f t="shared" ca="1" si="69"/>
        <v>2.2645884281343585</v>
      </c>
      <c r="S233" s="92">
        <f t="shared" ca="1" si="70"/>
        <v>2.264588428134358</v>
      </c>
      <c r="T233" s="4">
        <f t="shared" ca="1" si="71"/>
        <v>4.9814954450269481E-12</v>
      </c>
      <c r="U233" s="99">
        <f t="shared" ca="1" si="72"/>
        <v>1483.2486983548911</v>
      </c>
      <c r="V233" s="4">
        <f t="shared" ca="1" si="73"/>
        <v>3.2627547429376258E-9</v>
      </c>
      <c r="W233" s="13">
        <f t="shared" ca="1" si="74"/>
        <v>1387.5506249999999</v>
      </c>
      <c r="X233" s="4">
        <f t="shared" ca="1" si="75"/>
        <v>3.0522442984821702E-9</v>
      </c>
    </row>
    <row r="234" spans="1:24">
      <c r="A234">
        <v>1</v>
      </c>
      <c r="B234">
        <v>2</v>
      </c>
      <c r="C234">
        <f t="shared" ca="1" si="57"/>
        <v>6</v>
      </c>
      <c r="D234">
        <f t="shared" ca="1" si="58"/>
        <v>4</v>
      </c>
      <c r="E234">
        <f t="shared" ca="1" si="59"/>
        <v>1</v>
      </c>
      <c r="F234" s="100">
        <f t="shared" ca="1" si="60"/>
        <v>2.2219550000000001E-2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3">
        <f t="shared" ca="1" si="65"/>
        <v>7</v>
      </c>
      <c r="O234" s="92">
        <f t="shared" ca="1" si="66"/>
        <v>2.264588428134358</v>
      </c>
      <c r="P234" s="92">
        <f t="shared" ca="1" si="67"/>
        <v>22.645884281343584</v>
      </c>
      <c r="Q234" s="92">
        <f t="shared" ca="1" si="68"/>
        <v>22.645884281343584</v>
      </c>
      <c r="R234" s="92">
        <f t="shared" ca="1" si="69"/>
        <v>2.2645884281343585</v>
      </c>
      <c r="S234" s="92">
        <f t="shared" ca="1" si="70"/>
        <v>2.264588428134358</v>
      </c>
      <c r="T234" s="4">
        <f t="shared" ca="1" si="71"/>
        <v>0</v>
      </c>
      <c r="U234" s="99">
        <f t="shared" ca="1" si="72"/>
        <v>1504.2486983548911</v>
      </c>
      <c r="V234" s="4">
        <f t="shared" ca="1" si="73"/>
        <v>0</v>
      </c>
      <c r="W234" s="13">
        <f t="shared" ca="1" si="74"/>
        <v>9464.9624999999996</v>
      </c>
      <c r="X234" s="4">
        <f t="shared" ca="1" si="75"/>
        <v>0</v>
      </c>
    </row>
    <row r="235" spans="1:24">
      <c r="A235">
        <v>1</v>
      </c>
      <c r="B235">
        <v>2</v>
      </c>
      <c r="C235">
        <f t="shared" ca="1" si="57"/>
        <v>6</v>
      </c>
      <c r="D235">
        <f t="shared" ca="1" si="58"/>
        <v>4</v>
      </c>
      <c r="E235">
        <f t="shared" ca="1" si="59"/>
        <v>1</v>
      </c>
      <c r="F235" s="100">
        <f t="shared" ca="1" si="60"/>
        <v>2.2219550000000001E-2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126</v>
      </c>
      <c r="M235" s="7">
        <f t="shared" ca="1" si="64"/>
        <v>874</v>
      </c>
      <c r="N235" s="43">
        <f t="shared" ca="1" si="65"/>
        <v>7</v>
      </c>
      <c r="O235" s="92">
        <f t="shared" ca="1" si="66"/>
        <v>2.264588428134358</v>
      </c>
      <c r="P235" s="92">
        <f t="shared" ca="1" si="67"/>
        <v>22.645884281343584</v>
      </c>
      <c r="Q235" s="92">
        <f t="shared" ca="1" si="68"/>
        <v>22.645884281343584</v>
      </c>
      <c r="R235" s="92">
        <f t="shared" ca="1" si="69"/>
        <v>2.2645884281343585</v>
      </c>
      <c r="S235" s="92">
        <f t="shared" ca="1" si="70"/>
        <v>2.264588428134358</v>
      </c>
      <c r="T235" s="4">
        <f t="shared" ca="1" si="71"/>
        <v>0</v>
      </c>
      <c r="U235" s="99">
        <f t="shared" ca="1" si="72"/>
        <v>1483.2486983548911</v>
      </c>
      <c r="V235" s="4">
        <f t="shared" ca="1" si="73"/>
        <v>0</v>
      </c>
      <c r="W235" s="13">
        <f t="shared" ca="1" si="74"/>
        <v>8112.8249999999998</v>
      </c>
      <c r="X235" s="4">
        <f t="shared" ca="1" si="75"/>
        <v>0</v>
      </c>
    </row>
    <row r="236" spans="1:24">
      <c r="A236">
        <v>1</v>
      </c>
      <c r="B236">
        <v>2</v>
      </c>
      <c r="C236">
        <f t="shared" ca="1" si="57"/>
        <v>6</v>
      </c>
      <c r="D236">
        <f t="shared" ca="1" si="58"/>
        <v>4</v>
      </c>
      <c r="E236">
        <f t="shared" ca="1" si="59"/>
        <v>1</v>
      </c>
      <c r="F236" s="100">
        <f t="shared" ca="1" si="60"/>
        <v>2.2219550000000001E-2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105</v>
      </c>
      <c r="M236" s="7">
        <f t="shared" ca="1" si="64"/>
        <v>895</v>
      </c>
      <c r="N236" s="43">
        <f t="shared" ca="1" si="65"/>
        <v>7</v>
      </c>
      <c r="O236" s="92">
        <f t="shared" ca="1" si="66"/>
        <v>2.264588428134358</v>
      </c>
      <c r="P236" s="92">
        <f t="shared" ca="1" si="67"/>
        <v>22.645884281343584</v>
      </c>
      <c r="Q236" s="92">
        <f t="shared" ca="1" si="68"/>
        <v>22.645884281343584</v>
      </c>
      <c r="R236" s="92">
        <f t="shared" ca="1" si="69"/>
        <v>2.2645884281343585</v>
      </c>
      <c r="S236" s="92">
        <f t="shared" ca="1" si="70"/>
        <v>2.264588428134358</v>
      </c>
      <c r="T236" s="4">
        <f t="shared" ca="1" si="71"/>
        <v>0</v>
      </c>
      <c r="U236" s="99">
        <f t="shared" ca="1" si="72"/>
        <v>1462.2486983548911</v>
      </c>
      <c r="V236" s="4">
        <f t="shared" ca="1" si="73"/>
        <v>0</v>
      </c>
      <c r="W236" s="13">
        <f t="shared" ca="1" si="74"/>
        <v>6760.6875</v>
      </c>
      <c r="X236" s="4">
        <f t="shared" ca="1" si="75"/>
        <v>0</v>
      </c>
    </row>
    <row r="237" spans="1:24">
      <c r="A237">
        <v>1</v>
      </c>
      <c r="B237">
        <v>2</v>
      </c>
      <c r="C237">
        <f t="shared" ca="1" si="57"/>
        <v>6</v>
      </c>
      <c r="D237">
        <f t="shared" ca="1" si="58"/>
        <v>4</v>
      </c>
      <c r="E237">
        <f t="shared" ca="1" si="59"/>
        <v>1</v>
      </c>
      <c r="F237" s="100">
        <f t="shared" ca="1" si="60"/>
        <v>2.2219550000000001E-2</v>
      </c>
      <c r="G237">
        <v>0</v>
      </c>
      <c r="H237">
        <v>0</v>
      </c>
      <c r="I237">
        <v>4</v>
      </c>
      <c r="J237" s="1">
        <f t="shared" ca="1" si="61"/>
        <v>9.605960100000017E-5</v>
      </c>
      <c r="K237" s="1">
        <f t="shared" ca="1" si="62"/>
        <v>2.1344011073995541E-6</v>
      </c>
      <c r="L237" s="13">
        <f t="shared" ca="1" si="63"/>
        <v>100</v>
      </c>
      <c r="M237" s="7">
        <f t="shared" ca="1" si="64"/>
        <v>900</v>
      </c>
      <c r="N237" s="43">
        <f t="shared" ca="1" si="65"/>
        <v>7</v>
      </c>
      <c r="O237" s="92">
        <f t="shared" ca="1" si="66"/>
        <v>2.264588428134358</v>
      </c>
      <c r="P237" s="92">
        <f t="shared" ca="1" si="67"/>
        <v>22.645884281343584</v>
      </c>
      <c r="Q237" s="92">
        <f t="shared" ca="1" si="68"/>
        <v>22.645884281343584</v>
      </c>
      <c r="R237" s="92">
        <f t="shared" ca="1" si="69"/>
        <v>2.2645884281343585</v>
      </c>
      <c r="S237" s="92">
        <f t="shared" ca="1" si="70"/>
        <v>2.264588428134358</v>
      </c>
      <c r="T237" s="4">
        <f t="shared" ca="1" si="71"/>
        <v>4.8335400488141892E-6</v>
      </c>
      <c r="U237" s="99">
        <f t="shared" ca="1" si="72"/>
        <v>1457.2486983548911</v>
      </c>
      <c r="V237" s="4">
        <f t="shared" ca="1" si="73"/>
        <v>3.1103532355252384E-3</v>
      </c>
      <c r="W237" s="13">
        <f t="shared" ca="1" si="74"/>
        <v>5408.55</v>
      </c>
      <c r="X237" s="4">
        <f t="shared" ca="1" si="75"/>
        <v>1.1544015109425858E-2</v>
      </c>
    </row>
    <row r="238" spans="1:24">
      <c r="A238">
        <v>1</v>
      </c>
      <c r="B238">
        <v>2</v>
      </c>
      <c r="C238">
        <f t="shared" ca="1" si="57"/>
        <v>6</v>
      </c>
      <c r="D238">
        <f t="shared" ca="1" si="58"/>
        <v>4</v>
      </c>
      <c r="E238">
        <f t="shared" ca="1" si="59"/>
        <v>1</v>
      </c>
      <c r="F238" s="100">
        <f t="shared" ca="1" si="60"/>
        <v>2.2219550000000001E-2</v>
      </c>
      <c r="G238">
        <v>0</v>
      </c>
      <c r="H238">
        <v>0</v>
      </c>
      <c r="I238">
        <v>3</v>
      </c>
      <c r="J238" s="1">
        <f t="shared" ca="1" si="61"/>
        <v>3.8811960000000103E-6</v>
      </c>
      <c r="K238" s="1">
        <f t="shared" ca="1" si="62"/>
        <v>8.6238428581800235E-8</v>
      </c>
      <c r="L238" s="13">
        <f t="shared" ca="1" si="63"/>
        <v>100</v>
      </c>
      <c r="M238" s="7">
        <f t="shared" ca="1" si="64"/>
        <v>900</v>
      </c>
      <c r="N238" s="43">
        <f t="shared" ca="1" si="65"/>
        <v>7</v>
      </c>
      <c r="O238" s="92">
        <f t="shared" ca="1" si="66"/>
        <v>2.264588428134358</v>
      </c>
      <c r="P238" s="92">
        <f t="shared" ca="1" si="67"/>
        <v>22.645884281343584</v>
      </c>
      <c r="Q238" s="92">
        <f t="shared" ca="1" si="68"/>
        <v>22.645884281343584</v>
      </c>
      <c r="R238" s="92">
        <f t="shared" ca="1" si="69"/>
        <v>2.2645884281343585</v>
      </c>
      <c r="S238" s="92">
        <f t="shared" ca="1" si="70"/>
        <v>2.264588428134358</v>
      </c>
      <c r="T238" s="4">
        <f t="shared" ca="1" si="71"/>
        <v>1.9529454742683608E-7</v>
      </c>
      <c r="U238" s="99">
        <f t="shared" ca="1" si="72"/>
        <v>1457.2486983548911</v>
      </c>
      <c r="V238" s="4">
        <f t="shared" ca="1" si="73"/>
        <v>1.2567083779899962E-4</v>
      </c>
      <c r="W238" s="13">
        <f t="shared" ca="1" si="74"/>
        <v>4056.4124999999999</v>
      </c>
      <c r="X238" s="4">
        <f t="shared" ca="1" si="75"/>
        <v>3.4981863967957174E-4</v>
      </c>
    </row>
    <row r="239" spans="1:24">
      <c r="A239">
        <v>1</v>
      </c>
      <c r="B239">
        <v>2</v>
      </c>
      <c r="C239">
        <f t="shared" ca="1" si="57"/>
        <v>6</v>
      </c>
      <c r="D239">
        <f t="shared" ca="1" si="58"/>
        <v>4</v>
      </c>
      <c r="E239">
        <f t="shared" ca="1" si="59"/>
        <v>1</v>
      </c>
      <c r="F239" s="100">
        <f t="shared" ca="1" si="60"/>
        <v>2.2219550000000001E-2</v>
      </c>
      <c r="G239">
        <v>0</v>
      </c>
      <c r="H239">
        <v>0</v>
      </c>
      <c r="I239">
        <v>2</v>
      </c>
      <c r="J239" s="1">
        <f t="shared" ca="1" si="61"/>
        <v>5.8806000000000209E-8</v>
      </c>
      <c r="K239" s="1">
        <f t="shared" ca="1" si="62"/>
        <v>1.3066428573000048E-9</v>
      </c>
      <c r="L239" s="13">
        <f t="shared" ca="1" si="63"/>
        <v>100</v>
      </c>
      <c r="M239" s="7">
        <f t="shared" ca="1" si="64"/>
        <v>900</v>
      </c>
      <c r="N239" s="43">
        <f t="shared" ca="1" si="65"/>
        <v>7</v>
      </c>
      <c r="O239" s="92">
        <f t="shared" ca="1" si="66"/>
        <v>2.264588428134358</v>
      </c>
      <c r="P239" s="92">
        <f t="shared" ca="1" si="67"/>
        <v>22.645884281343584</v>
      </c>
      <c r="Q239" s="92">
        <f t="shared" ca="1" si="68"/>
        <v>22.645884281343584</v>
      </c>
      <c r="R239" s="92">
        <f t="shared" ca="1" si="69"/>
        <v>2.2645884281343585</v>
      </c>
      <c r="S239" s="92">
        <f t="shared" ca="1" si="70"/>
        <v>2.264588428134358</v>
      </c>
      <c r="T239" s="4">
        <f t="shared" ca="1" si="71"/>
        <v>2.9590082943460042E-9</v>
      </c>
      <c r="U239" s="99">
        <f t="shared" ca="1" si="72"/>
        <v>1457.2486983548911</v>
      </c>
      <c r="V239" s="4">
        <f t="shared" ca="1" si="73"/>
        <v>1.9041036030151477E-6</v>
      </c>
      <c r="W239" s="13">
        <f t="shared" ca="1" si="74"/>
        <v>2704.2750000000001</v>
      </c>
      <c r="X239" s="4">
        <f t="shared" ca="1" si="75"/>
        <v>3.5335216129249707E-6</v>
      </c>
    </row>
    <row r="240" spans="1:24">
      <c r="A240">
        <v>1</v>
      </c>
      <c r="B240">
        <v>2</v>
      </c>
      <c r="C240">
        <f t="shared" ca="1" si="57"/>
        <v>6</v>
      </c>
      <c r="D240">
        <f t="shared" ca="1" si="58"/>
        <v>4</v>
      </c>
      <c r="E240">
        <f t="shared" ca="1" si="59"/>
        <v>1</v>
      </c>
      <c r="F240" s="100">
        <f t="shared" ca="1" si="60"/>
        <v>2.2219550000000001E-2</v>
      </c>
      <c r="G240">
        <v>0</v>
      </c>
      <c r="H240">
        <v>0</v>
      </c>
      <c r="I240">
        <v>1</v>
      </c>
      <c r="J240" s="1">
        <f t="shared" ca="1" si="61"/>
        <v>3.9600000000000173E-10</v>
      </c>
      <c r="K240" s="1">
        <f t="shared" ca="1" si="62"/>
        <v>8.7989418000000383E-12</v>
      </c>
      <c r="L240" s="13">
        <f t="shared" ca="1" si="63"/>
        <v>100</v>
      </c>
      <c r="M240" s="7">
        <f t="shared" ca="1" si="64"/>
        <v>900</v>
      </c>
      <c r="N240" s="43">
        <f t="shared" ca="1" si="65"/>
        <v>7</v>
      </c>
      <c r="O240" s="92">
        <f t="shared" ca="1" si="66"/>
        <v>2.264588428134358</v>
      </c>
      <c r="P240" s="92">
        <f t="shared" ca="1" si="67"/>
        <v>22.645884281343584</v>
      </c>
      <c r="Q240" s="92">
        <f t="shared" ca="1" si="68"/>
        <v>22.645884281343584</v>
      </c>
      <c r="R240" s="92">
        <f t="shared" ca="1" si="69"/>
        <v>2.2645884281343585</v>
      </c>
      <c r="S240" s="92">
        <f t="shared" ca="1" si="70"/>
        <v>2.264588428134358</v>
      </c>
      <c r="T240" s="4">
        <f t="shared" ca="1" si="71"/>
        <v>1.9925981780107786E-11</v>
      </c>
      <c r="U240" s="99">
        <f t="shared" ca="1" si="72"/>
        <v>1457.2486983548911</v>
      </c>
      <c r="V240" s="4">
        <f t="shared" ca="1" si="73"/>
        <v>1.2822246484950497E-8</v>
      </c>
      <c r="W240" s="13">
        <f t="shared" ca="1" si="74"/>
        <v>1352.1375</v>
      </c>
      <c r="X240" s="4">
        <f t="shared" ca="1" si="75"/>
        <v>1.1897379168097552E-8</v>
      </c>
    </row>
    <row r="241" spans="1:24">
      <c r="A241">
        <v>1</v>
      </c>
      <c r="B241">
        <v>2</v>
      </c>
      <c r="C241">
        <f t="shared" ca="1" si="57"/>
        <v>6</v>
      </c>
      <c r="D241">
        <f t="shared" ca="1" si="58"/>
        <v>4</v>
      </c>
      <c r="E241">
        <f t="shared" ca="1" si="59"/>
        <v>1</v>
      </c>
      <c r="F241" s="100">
        <f t="shared" ca="1" si="60"/>
        <v>2.2219550000000001E-2</v>
      </c>
      <c r="G241">
        <v>0</v>
      </c>
      <c r="H241">
        <v>0</v>
      </c>
      <c r="I241">
        <v>0</v>
      </c>
      <c r="J241" s="1">
        <f t="shared" ca="1" si="61"/>
        <v>1.0000000000000054E-12</v>
      </c>
      <c r="K241" s="1">
        <f t="shared" ca="1" si="62"/>
        <v>2.2219550000000121E-14</v>
      </c>
      <c r="L241" s="13">
        <f t="shared" ca="1" si="63"/>
        <v>100</v>
      </c>
      <c r="M241" s="7">
        <f t="shared" ca="1" si="64"/>
        <v>900</v>
      </c>
      <c r="N241" s="43">
        <f t="shared" ca="1" si="65"/>
        <v>7</v>
      </c>
      <c r="O241" s="92">
        <f t="shared" ca="1" si="66"/>
        <v>2.264588428134358</v>
      </c>
      <c r="P241" s="92">
        <f t="shared" ca="1" si="67"/>
        <v>22.645884281343584</v>
      </c>
      <c r="Q241" s="92">
        <f t="shared" ca="1" si="68"/>
        <v>22.645884281343584</v>
      </c>
      <c r="R241" s="92">
        <f t="shared" ca="1" si="69"/>
        <v>2.2645884281343585</v>
      </c>
      <c r="S241" s="92">
        <f t="shared" ca="1" si="70"/>
        <v>2.264588428134358</v>
      </c>
      <c r="T241" s="4">
        <f t="shared" ca="1" si="71"/>
        <v>5.0318135808353048E-14</v>
      </c>
      <c r="U241" s="99">
        <f t="shared" ca="1" si="72"/>
        <v>1457.2486983548911</v>
      </c>
      <c r="V241" s="4">
        <f t="shared" ca="1" si="73"/>
        <v>3.2379410315531597E-11</v>
      </c>
      <c r="W241" s="13">
        <f t="shared" ca="1" si="74"/>
        <v>0</v>
      </c>
      <c r="X241" s="4">
        <f t="shared" ca="1" si="75"/>
        <v>0</v>
      </c>
    </row>
    <row r="242" spans="1:24">
      <c r="A242">
        <v>1</v>
      </c>
      <c r="B242">
        <v>3</v>
      </c>
      <c r="C242">
        <f t="shared" ca="1" si="57"/>
        <v>7</v>
      </c>
      <c r="D242">
        <f t="shared" ca="1" si="58"/>
        <v>5</v>
      </c>
      <c r="E242">
        <f t="shared" ca="1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399</v>
      </c>
      <c r="M242" s="7">
        <f t="shared" ca="1" si="64"/>
        <v>601</v>
      </c>
      <c r="N242" s="43">
        <f t="shared" ca="1" si="65"/>
        <v>5</v>
      </c>
      <c r="O242" s="92">
        <f t="shared" ca="1" si="66"/>
        <v>1.7627004516625842</v>
      </c>
      <c r="P242" s="92">
        <f t="shared" ca="1" si="67"/>
        <v>17.627004516625838</v>
      </c>
      <c r="Q242" s="92">
        <f t="shared" ca="1" si="68"/>
        <v>17.627004516625838</v>
      </c>
      <c r="R242" s="92">
        <f t="shared" ca="1" si="69"/>
        <v>1.7627004516625839</v>
      </c>
      <c r="S242" s="92">
        <f t="shared" ca="1" si="70"/>
        <v>1.7627004516625842</v>
      </c>
      <c r="T242" s="4">
        <f t="shared" ca="1" si="71"/>
        <v>0</v>
      </c>
      <c r="U242" s="99">
        <f t="shared" ca="1" si="72"/>
        <v>1509.8515146533105</v>
      </c>
      <c r="V242" s="4">
        <f t="shared" ca="1" si="73"/>
        <v>0</v>
      </c>
      <c r="W242" s="13">
        <f t="shared" ca="1" si="74"/>
        <v>23319.800362499998</v>
      </c>
      <c r="X242" s="4">
        <f t="shared" ca="1" si="75"/>
        <v>0</v>
      </c>
    </row>
    <row r="243" spans="1:24">
      <c r="A243">
        <v>1</v>
      </c>
      <c r="B243">
        <v>3</v>
      </c>
      <c r="C243">
        <f t="shared" ca="1" si="57"/>
        <v>7</v>
      </c>
      <c r="D243">
        <f t="shared" ca="1" si="58"/>
        <v>5</v>
      </c>
      <c r="E243">
        <f t="shared" ca="1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378</v>
      </c>
      <c r="M243" s="7">
        <f t="shared" ca="1" si="64"/>
        <v>622</v>
      </c>
      <c r="N243" s="43">
        <f t="shared" ca="1" si="65"/>
        <v>5</v>
      </c>
      <c r="O243" s="92">
        <f t="shared" ca="1" si="66"/>
        <v>1.7627004516625842</v>
      </c>
      <c r="P243" s="92">
        <f t="shared" ca="1" si="67"/>
        <v>17.627004516625838</v>
      </c>
      <c r="Q243" s="92">
        <f t="shared" ca="1" si="68"/>
        <v>17.627004516625838</v>
      </c>
      <c r="R243" s="92">
        <f t="shared" ca="1" si="69"/>
        <v>1.7627004516625839</v>
      </c>
      <c r="S243" s="92">
        <f t="shared" ca="1" si="70"/>
        <v>1.7627004516625842</v>
      </c>
      <c r="T243" s="4">
        <f t="shared" ca="1" si="71"/>
        <v>0</v>
      </c>
      <c r="U243" s="99">
        <f t="shared" ca="1" si="72"/>
        <v>1488.8515146533105</v>
      </c>
      <c r="V243" s="4">
        <f t="shared" ca="1" si="73"/>
        <v>0</v>
      </c>
      <c r="W243" s="13">
        <f t="shared" ca="1" si="74"/>
        <v>21967.662862499998</v>
      </c>
      <c r="X243" s="4">
        <f t="shared" ca="1" si="75"/>
        <v>0</v>
      </c>
    </row>
    <row r="244" spans="1:24">
      <c r="A244">
        <v>1</v>
      </c>
      <c r="B244">
        <v>3</v>
      </c>
      <c r="C244">
        <f t="shared" ca="1" si="57"/>
        <v>7</v>
      </c>
      <c r="D244">
        <f t="shared" ca="1" si="58"/>
        <v>5</v>
      </c>
      <c r="E244">
        <f t="shared" ca="1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0.93206534790698992</v>
      </c>
      <c r="K244" s="1">
        <f t="shared" ca="1" si="62"/>
        <v>0</v>
      </c>
      <c r="L244" s="13">
        <f t="shared" ca="1" si="63"/>
        <v>357</v>
      </c>
      <c r="M244" s="7">
        <f t="shared" ca="1" si="64"/>
        <v>643</v>
      </c>
      <c r="N244" s="43">
        <f t="shared" ca="1" si="65"/>
        <v>5</v>
      </c>
      <c r="O244" s="92">
        <f t="shared" ca="1" si="66"/>
        <v>1.7627004516625842</v>
      </c>
      <c r="P244" s="92">
        <f t="shared" ca="1" si="67"/>
        <v>17.627004516625838</v>
      </c>
      <c r="Q244" s="92">
        <f t="shared" ca="1" si="68"/>
        <v>17.627004516625838</v>
      </c>
      <c r="R244" s="92">
        <f t="shared" ca="1" si="69"/>
        <v>1.7627004516625839</v>
      </c>
      <c r="S244" s="92">
        <f t="shared" ca="1" si="70"/>
        <v>1.7627004516625842</v>
      </c>
      <c r="T244" s="4">
        <f t="shared" ca="1" si="71"/>
        <v>0</v>
      </c>
      <c r="U244" s="99">
        <f t="shared" ca="1" si="72"/>
        <v>1467.8515146533105</v>
      </c>
      <c r="V244" s="4">
        <f t="shared" ca="1" si="73"/>
        <v>0</v>
      </c>
      <c r="W244" s="13">
        <f t="shared" ca="1" si="74"/>
        <v>20615.525362499997</v>
      </c>
      <c r="X244" s="4">
        <f t="shared" ca="1" si="75"/>
        <v>0</v>
      </c>
    </row>
    <row r="245" spans="1:24">
      <c r="A245">
        <v>1</v>
      </c>
      <c r="B245">
        <v>3</v>
      </c>
      <c r="C245">
        <f t="shared" ca="1" si="57"/>
        <v>7</v>
      </c>
      <c r="D245">
        <f t="shared" ca="1" si="58"/>
        <v>5</v>
      </c>
      <c r="E245">
        <f t="shared" ca="1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4.7074007470050035E-2</v>
      </c>
      <c r="K245" s="1">
        <f t="shared" ca="1" si="62"/>
        <v>0</v>
      </c>
      <c r="L245" s="13">
        <f t="shared" ca="1" si="63"/>
        <v>336</v>
      </c>
      <c r="M245" s="7">
        <f t="shared" ca="1" si="64"/>
        <v>664</v>
      </c>
      <c r="N245" s="43">
        <f t="shared" ca="1" si="65"/>
        <v>6</v>
      </c>
      <c r="O245" s="92">
        <f t="shared" ca="1" si="66"/>
        <v>2.003415856166523</v>
      </c>
      <c r="P245" s="92">
        <f t="shared" ca="1" si="67"/>
        <v>20.03415856166523</v>
      </c>
      <c r="Q245" s="92">
        <f t="shared" ca="1" si="68"/>
        <v>19.552727752657354</v>
      </c>
      <c r="R245" s="92">
        <f t="shared" ca="1" si="69"/>
        <v>1.9793443157161292</v>
      </c>
      <c r="S245" s="92">
        <f t="shared" ca="1" si="70"/>
        <v>2.003415856166523</v>
      </c>
      <c r="T245" s="4">
        <f t="shared" ca="1" si="71"/>
        <v>0</v>
      </c>
      <c r="U245" s="99">
        <f t="shared" ca="1" si="72"/>
        <v>1565.0284794818213</v>
      </c>
      <c r="V245" s="4">
        <f t="shared" ca="1" si="73"/>
        <v>0</v>
      </c>
      <c r="W245" s="13">
        <f t="shared" ca="1" si="74"/>
        <v>19263.3878625</v>
      </c>
      <c r="X245" s="4">
        <f t="shared" ca="1" si="75"/>
        <v>0</v>
      </c>
    </row>
    <row r="246" spans="1:24">
      <c r="A246">
        <v>1</v>
      </c>
      <c r="B246">
        <v>3</v>
      </c>
      <c r="C246">
        <f t="shared" ca="1" si="57"/>
        <v>7</v>
      </c>
      <c r="D246">
        <f t="shared" ca="1" si="58"/>
        <v>5</v>
      </c>
      <c r="E246">
        <f t="shared" ca="1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9.5099004990000164E-4</v>
      </c>
      <c r="K246" s="1">
        <f t="shared" ca="1" si="62"/>
        <v>0</v>
      </c>
      <c r="L246" s="13">
        <f t="shared" ca="1" si="63"/>
        <v>315</v>
      </c>
      <c r="M246" s="7">
        <f t="shared" ca="1" si="64"/>
        <v>685</v>
      </c>
      <c r="N246" s="43">
        <f t="shared" ca="1" si="65"/>
        <v>6</v>
      </c>
      <c r="O246" s="92">
        <f t="shared" ca="1" si="66"/>
        <v>2.003415856166523</v>
      </c>
      <c r="P246" s="92">
        <f t="shared" ca="1" si="67"/>
        <v>20.03415856166523</v>
      </c>
      <c r="Q246" s="92">
        <f t="shared" ca="1" si="68"/>
        <v>20.03415856166523</v>
      </c>
      <c r="R246" s="92">
        <f t="shared" ca="1" si="69"/>
        <v>2.003415856166523</v>
      </c>
      <c r="S246" s="92">
        <f t="shared" ca="1" si="70"/>
        <v>2.003415856166523</v>
      </c>
      <c r="T246" s="4">
        <f t="shared" ca="1" si="71"/>
        <v>0</v>
      </c>
      <c r="U246" s="99">
        <f t="shared" ca="1" si="72"/>
        <v>1544.0284794818213</v>
      </c>
      <c r="V246" s="4">
        <f t="shared" ca="1" si="73"/>
        <v>0</v>
      </c>
      <c r="W246" s="13">
        <f t="shared" ca="1" si="74"/>
        <v>17911.250362499999</v>
      </c>
      <c r="X246" s="4">
        <f t="shared" ca="1" si="75"/>
        <v>0</v>
      </c>
    </row>
    <row r="247" spans="1:24">
      <c r="A247">
        <v>1</v>
      </c>
      <c r="B247">
        <v>3</v>
      </c>
      <c r="C247">
        <f t="shared" ca="1" si="57"/>
        <v>7</v>
      </c>
      <c r="D247">
        <f t="shared" ca="1" si="58"/>
        <v>5</v>
      </c>
      <c r="E247">
        <f t="shared" ca="1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9.6059601000000268E-6</v>
      </c>
      <c r="K247" s="1">
        <f t="shared" ca="1" si="62"/>
        <v>0</v>
      </c>
      <c r="L247" s="13">
        <f t="shared" ca="1" si="63"/>
        <v>294</v>
      </c>
      <c r="M247" s="7">
        <f t="shared" ca="1" si="64"/>
        <v>706</v>
      </c>
      <c r="N247" s="43">
        <f t="shared" ca="1" si="65"/>
        <v>6</v>
      </c>
      <c r="O247" s="92">
        <f t="shared" ca="1" si="66"/>
        <v>2.003415856166523</v>
      </c>
      <c r="P247" s="92">
        <f t="shared" ca="1" si="67"/>
        <v>20.03415856166523</v>
      </c>
      <c r="Q247" s="92">
        <f t="shared" ca="1" si="68"/>
        <v>20.03415856166523</v>
      </c>
      <c r="R247" s="92">
        <f t="shared" ca="1" si="69"/>
        <v>2.003415856166523</v>
      </c>
      <c r="S247" s="92">
        <f t="shared" ca="1" si="70"/>
        <v>2.003415856166523</v>
      </c>
      <c r="T247" s="4">
        <f t="shared" ca="1" si="71"/>
        <v>0</v>
      </c>
      <c r="U247" s="99">
        <f t="shared" ca="1" si="72"/>
        <v>1523.0284794818213</v>
      </c>
      <c r="V247" s="4">
        <f t="shared" ca="1" si="73"/>
        <v>0</v>
      </c>
      <c r="W247" s="13">
        <f t="shared" ca="1" si="74"/>
        <v>16559.112862499998</v>
      </c>
      <c r="X247" s="4">
        <f t="shared" ca="1" si="75"/>
        <v>0</v>
      </c>
    </row>
    <row r="248" spans="1:24">
      <c r="A248">
        <v>1</v>
      </c>
      <c r="B248">
        <v>3</v>
      </c>
      <c r="C248">
        <f t="shared" ca="1" si="57"/>
        <v>7</v>
      </c>
      <c r="D248">
        <f t="shared" ca="1" si="58"/>
        <v>5</v>
      </c>
      <c r="E248">
        <f t="shared" ca="1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4.8514950000000171E-8</v>
      </c>
      <c r="K248" s="1">
        <f t="shared" ca="1" si="62"/>
        <v>0</v>
      </c>
      <c r="L248" s="13">
        <f t="shared" ca="1" si="63"/>
        <v>273</v>
      </c>
      <c r="M248" s="7">
        <f t="shared" ca="1" si="64"/>
        <v>727</v>
      </c>
      <c r="N248" s="43">
        <f t="shared" ca="1" si="65"/>
        <v>6</v>
      </c>
      <c r="O248" s="92">
        <f t="shared" ca="1" si="66"/>
        <v>2.003415856166523</v>
      </c>
      <c r="P248" s="92">
        <f t="shared" ca="1" si="67"/>
        <v>20.03415856166523</v>
      </c>
      <c r="Q248" s="92">
        <f t="shared" ca="1" si="68"/>
        <v>20.03415856166523</v>
      </c>
      <c r="R248" s="92">
        <f t="shared" ca="1" si="69"/>
        <v>2.003415856166523</v>
      </c>
      <c r="S248" s="92">
        <f t="shared" ca="1" si="70"/>
        <v>2.003415856166523</v>
      </c>
      <c r="T248" s="4">
        <f t="shared" ca="1" si="71"/>
        <v>0</v>
      </c>
      <c r="U248" s="99">
        <f t="shared" ca="1" si="72"/>
        <v>1502.0284794818213</v>
      </c>
      <c r="V248" s="4">
        <f t="shared" ca="1" si="73"/>
        <v>0</v>
      </c>
      <c r="W248" s="13">
        <f t="shared" ca="1" si="74"/>
        <v>15206.975362499999</v>
      </c>
      <c r="X248" s="4">
        <f t="shared" ca="1" si="75"/>
        <v>0</v>
      </c>
    </row>
    <row r="249" spans="1:24">
      <c r="A249">
        <v>1</v>
      </c>
      <c r="B249">
        <v>3</v>
      </c>
      <c r="C249">
        <f t="shared" ca="1" si="57"/>
        <v>7</v>
      </c>
      <c r="D249">
        <f t="shared" ca="1" si="58"/>
        <v>5</v>
      </c>
      <c r="E249">
        <f t="shared" ca="1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9.8010000000000445E-11</v>
      </c>
      <c r="K249" s="1">
        <f t="shared" ca="1" si="62"/>
        <v>0</v>
      </c>
      <c r="L249" s="13">
        <f t="shared" ca="1" si="63"/>
        <v>252</v>
      </c>
      <c r="M249" s="7">
        <f t="shared" ca="1" si="64"/>
        <v>748</v>
      </c>
      <c r="N249" s="43">
        <f t="shared" ca="1" si="65"/>
        <v>6</v>
      </c>
      <c r="O249" s="92">
        <f t="shared" ca="1" si="66"/>
        <v>2.003415856166523</v>
      </c>
      <c r="P249" s="92">
        <f t="shared" ca="1" si="67"/>
        <v>20.03415856166523</v>
      </c>
      <c r="Q249" s="92">
        <f t="shared" ca="1" si="68"/>
        <v>20.03415856166523</v>
      </c>
      <c r="R249" s="92">
        <f t="shared" ca="1" si="69"/>
        <v>2.003415856166523</v>
      </c>
      <c r="S249" s="92">
        <f t="shared" ca="1" si="70"/>
        <v>2.003415856166523</v>
      </c>
      <c r="T249" s="4">
        <f t="shared" ca="1" si="71"/>
        <v>0</v>
      </c>
      <c r="U249" s="99">
        <f t="shared" ca="1" si="72"/>
        <v>1481.0284794818213</v>
      </c>
      <c r="V249" s="4">
        <f t="shared" ca="1" si="73"/>
        <v>0</v>
      </c>
      <c r="W249" s="13">
        <f t="shared" ca="1" si="74"/>
        <v>13854.837862499999</v>
      </c>
      <c r="X249" s="4">
        <f t="shared" ca="1" si="75"/>
        <v>0</v>
      </c>
    </row>
    <row r="250" spans="1:24">
      <c r="A250">
        <v>1</v>
      </c>
      <c r="B250">
        <v>3</v>
      </c>
      <c r="C250">
        <f t="shared" ca="1" si="57"/>
        <v>7</v>
      </c>
      <c r="D250">
        <f t="shared" ca="1" si="58"/>
        <v>5</v>
      </c>
      <c r="E250">
        <f t="shared" ca="1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273</v>
      </c>
      <c r="M250" s="7">
        <f t="shared" ca="1" si="64"/>
        <v>727</v>
      </c>
      <c r="N250" s="43">
        <f t="shared" ca="1" si="65"/>
        <v>6</v>
      </c>
      <c r="O250" s="92">
        <f t="shared" ca="1" si="66"/>
        <v>2.003415856166523</v>
      </c>
      <c r="P250" s="92">
        <f t="shared" ca="1" si="67"/>
        <v>20.03415856166523</v>
      </c>
      <c r="Q250" s="92">
        <f t="shared" ca="1" si="68"/>
        <v>20.03415856166523</v>
      </c>
      <c r="R250" s="92">
        <f t="shared" ca="1" si="69"/>
        <v>2.003415856166523</v>
      </c>
      <c r="S250" s="92">
        <f t="shared" ca="1" si="70"/>
        <v>2.003415856166523</v>
      </c>
      <c r="T250" s="4">
        <f t="shared" ca="1" si="71"/>
        <v>0</v>
      </c>
      <c r="U250" s="99">
        <f t="shared" ca="1" si="72"/>
        <v>1502.0284794818213</v>
      </c>
      <c r="V250" s="4">
        <f t="shared" ca="1" si="73"/>
        <v>0</v>
      </c>
      <c r="W250" s="13">
        <f t="shared" ca="1" si="74"/>
        <v>21932.249737499998</v>
      </c>
      <c r="X250" s="4">
        <f t="shared" ca="1" si="75"/>
        <v>0</v>
      </c>
    </row>
    <row r="251" spans="1:24">
      <c r="A251">
        <v>1</v>
      </c>
      <c r="B251">
        <v>3</v>
      </c>
      <c r="C251">
        <f t="shared" ca="1" si="57"/>
        <v>7</v>
      </c>
      <c r="D251">
        <f t="shared" ca="1" si="58"/>
        <v>5</v>
      </c>
      <c r="E251">
        <f t="shared" ca="1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252</v>
      </c>
      <c r="M251" s="7">
        <f t="shared" ca="1" si="64"/>
        <v>748</v>
      </c>
      <c r="N251" s="43">
        <f t="shared" ca="1" si="65"/>
        <v>6</v>
      </c>
      <c r="O251" s="92">
        <f t="shared" ca="1" si="66"/>
        <v>2.003415856166523</v>
      </c>
      <c r="P251" s="92">
        <f t="shared" ca="1" si="67"/>
        <v>20.03415856166523</v>
      </c>
      <c r="Q251" s="92">
        <f t="shared" ca="1" si="68"/>
        <v>20.03415856166523</v>
      </c>
      <c r="R251" s="92">
        <f t="shared" ca="1" si="69"/>
        <v>2.003415856166523</v>
      </c>
      <c r="S251" s="92">
        <f t="shared" ca="1" si="70"/>
        <v>2.003415856166523</v>
      </c>
      <c r="T251" s="4">
        <f t="shared" ca="1" si="71"/>
        <v>0</v>
      </c>
      <c r="U251" s="99">
        <f t="shared" ca="1" si="72"/>
        <v>1481.0284794818213</v>
      </c>
      <c r="V251" s="4">
        <f t="shared" ca="1" si="73"/>
        <v>0</v>
      </c>
      <c r="W251" s="13">
        <f t="shared" ca="1" si="74"/>
        <v>20580.112237499998</v>
      </c>
      <c r="X251" s="4">
        <f t="shared" ca="1" si="75"/>
        <v>0</v>
      </c>
    </row>
    <row r="252" spans="1:24">
      <c r="A252">
        <v>1</v>
      </c>
      <c r="B252">
        <v>3</v>
      </c>
      <c r="C252">
        <f t="shared" ca="1" si="57"/>
        <v>7</v>
      </c>
      <c r="D252">
        <f t="shared" ca="1" si="58"/>
        <v>5</v>
      </c>
      <c r="E252">
        <f t="shared" ca="1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9.4148014940100087E-3</v>
      </c>
      <c r="K252" s="1">
        <f t="shared" ca="1" si="62"/>
        <v>0</v>
      </c>
      <c r="L252" s="13">
        <f t="shared" ca="1" si="63"/>
        <v>231</v>
      </c>
      <c r="M252" s="7">
        <f t="shared" ca="1" si="64"/>
        <v>769</v>
      </c>
      <c r="N252" s="43">
        <f t="shared" ca="1" si="65"/>
        <v>6</v>
      </c>
      <c r="O252" s="92">
        <f t="shared" ca="1" si="66"/>
        <v>2.003415856166523</v>
      </c>
      <c r="P252" s="92">
        <f t="shared" ca="1" si="67"/>
        <v>20.03415856166523</v>
      </c>
      <c r="Q252" s="92">
        <f t="shared" ca="1" si="68"/>
        <v>20.03415856166523</v>
      </c>
      <c r="R252" s="92">
        <f t="shared" ca="1" si="69"/>
        <v>2.003415856166523</v>
      </c>
      <c r="S252" s="92">
        <f t="shared" ca="1" si="70"/>
        <v>2.003415856166523</v>
      </c>
      <c r="T252" s="4">
        <f t="shared" ca="1" si="71"/>
        <v>0</v>
      </c>
      <c r="U252" s="99">
        <f t="shared" ca="1" si="72"/>
        <v>1460.0284794818213</v>
      </c>
      <c r="V252" s="4">
        <f t="shared" ca="1" si="73"/>
        <v>0</v>
      </c>
      <c r="W252" s="13">
        <f t="shared" ca="1" si="74"/>
        <v>19227.974737500001</v>
      </c>
      <c r="X252" s="4">
        <f t="shared" ca="1" si="75"/>
        <v>0</v>
      </c>
    </row>
    <row r="253" spans="1:24">
      <c r="A253">
        <v>1</v>
      </c>
      <c r="B253">
        <v>3</v>
      </c>
      <c r="C253">
        <f t="shared" ca="1" si="57"/>
        <v>7</v>
      </c>
      <c r="D253">
        <f t="shared" ca="1" si="58"/>
        <v>5</v>
      </c>
      <c r="E253">
        <f t="shared" ca="1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4.7549502495000082E-4</v>
      </c>
      <c r="K253" s="1">
        <f t="shared" ca="1" si="62"/>
        <v>0</v>
      </c>
      <c r="L253" s="13">
        <f t="shared" ca="1" si="63"/>
        <v>210</v>
      </c>
      <c r="M253" s="7">
        <f t="shared" ca="1" si="64"/>
        <v>790</v>
      </c>
      <c r="N253" s="43">
        <f t="shared" ca="1" si="65"/>
        <v>7</v>
      </c>
      <c r="O253" s="92">
        <f t="shared" ca="1" si="66"/>
        <v>2.264588428134358</v>
      </c>
      <c r="P253" s="92">
        <f t="shared" ca="1" si="67"/>
        <v>22.645884281343584</v>
      </c>
      <c r="Q253" s="92">
        <f t="shared" ca="1" si="68"/>
        <v>21.340021421504403</v>
      </c>
      <c r="R253" s="92">
        <f t="shared" ca="1" si="69"/>
        <v>2.1992952851423992</v>
      </c>
      <c r="S253" s="92">
        <f t="shared" ca="1" si="70"/>
        <v>2.264588428134358</v>
      </c>
      <c r="T253" s="4">
        <f t="shared" ca="1" si="71"/>
        <v>0</v>
      </c>
      <c r="U253" s="99">
        <f t="shared" ca="1" si="72"/>
        <v>1567.2486983548911</v>
      </c>
      <c r="V253" s="4">
        <f t="shared" ca="1" si="73"/>
        <v>0</v>
      </c>
      <c r="W253" s="13">
        <f t="shared" ca="1" si="74"/>
        <v>17875.8372375</v>
      </c>
      <c r="X253" s="4">
        <f t="shared" ca="1" si="75"/>
        <v>0</v>
      </c>
    </row>
    <row r="254" spans="1:24">
      <c r="A254">
        <v>1</v>
      </c>
      <c r="B254">
        <v>3</v>
      </c>
      <c r="C254">
        <f t="shared" ca="1" si="57"/>
        <v>7</v>
      </c>
      <c r="D254">
        <f t="shared" ca="1" si="58"/>
        <v>5</v>
      </c>
      <c r="E254">
        <f t="shared" ca="1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9.6059601000000268E-6</v>
      </c>
      <c r="K254" s="1">
        <f t="shared" ca="1" si="62"/>
        <v>0</v>
      </c>
      <c r="L254" s="13">
        <f t="shared" ca="1" si="63"/>
        <v>189</v>
      </c>
      <c r="M254" s="7">
        <f t="shared" ca="1" si="64"/>
        <v>811</v>
      </c>
      <c r="N254" s="43">
        <f t="shared" ca="1" si="65"/>
        <v>7</v>
      </c>
      <c r="O254" s="92">
        <f t="shared" ca="1" si="66"/>
        <v>2.264588428134358</v>
      </c>
      <c r="P254" s="92">
        <f t="shared" ca="1" si="67"/>
        <v>22.645884281343584</v>
      </c>
      <c r="Q254" s="92">
        <f t="shared" ca="1" si="68"/>
        <v>22.645884281343584</v>
      </c>
      <c r="R254" s="92">
        <f t="shared" ca="1" si="69"/>
        <v>2.2645884281343585</v>
      </c>
      <c r="S254" s="92">
        <f t="shared" ca="1" si="70"/>
        <v>2.264588428134358</v>
      </c>
      <c r="T254" s="4">
        <f t="shared" ca="1" si="71"/>
        <v>0</v>
      </c>
      <c r="U254" s="99">
        <f t="shared" ca="1" si="72"/>
        <v>1546.2486983548911</v>
      </c>
      <c r="V254" s="4">
        <f t="shared" ca="1" si="73"/>
        <v>0</v>
      </c>
      <c r="W254" s="13">
        <f t="shared" ca="1" si="74"/>
        <v>16523.699737499999</v>
      </c>
      <c r="X254" s="4">
        <f t="shared" ca="1" si="75"/>
        <v>0</v>
      </c>
    </row>
    <row r="255" spans="1:24">
      <c r="A255">
        <v>1</v>
      </c>
      <c r="B255">
        <v>3</v>
      </c>
      <c r="C255">
        <f t="shared" ca="1" si="57"/>
        <v>7</v>
      </c>
      <c r="D255">
        <f t="shared" ca="1" si="58"/>
        <v>5</v>
      </c>
      <c r="E255">
        <f t="shared" ca="1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9.7029900000000355E-8</v>
      </c>
      <c r="K255" s="1">
        <f t="shared" ca="1" si="62"/>
        <v>0</v>
      </c>
      <c r="L255" s="13">
        <f t="shared" ca="1" si="63"/>
        <v>168</v>
      </c>
      <c r="M255" s="7">
        <f t="shared" ca="1" si="64"/>
        <v>832</v>
      </c>
      <c r="N255" s="43">
        <f t="shared" ca="1" si="65"/>
        <v>7</v>
      </c>
      <c r="O255" s="92">
        <f t="shared" ca="1" si="66"/>
        <v>2.264588428134358</v>
      </c>
      <c r="P255" s="92">
        <f t="shared" ca="1" si="67"/>
        <v>22.645884281343584</v>
      </c>
      <c r="Q255" s="92">
        <f t="shared" ca="1" si="68"/>
        <v>22.645884281343584</v>
      </c>
      <c r="R255" s="92">
        <f t="shared" ca="1" si="69"/>
        <v>2.2645884281343585</v>
      </c>
      <c r="S255" s="92">
        <f t="shared" ca="1" si="70"/>
        <v>2.264588428134358</v>
      </c>
      <c r="T255" s="4">
        <f t="shared" ca="1" si="71"/>
        <v>0</v>
      </c>
      <c r="U255" s="99">
        <f t="shared" ca="1" si="72"/>
        <v>1525.2486983548911</v>
      </c>
      <c r="V255" s="4">
        <f t="shared" ca="1" si="73"/>
        <v>0</v>
      </c>
      <c r="W255" s="13">
        <f t="shared" ca="1" si="74"/>
        <v>15171.562237499998</v>
      </c>
      <c r="X255" s="4">
        <f t="shared" ca="1" si="75"/>
        <v>0</v>
      </c>
    </row>
    <row r="256" spans="1:24">
      <c r="A256">
        <v>1</v>
      </c>
      <c r="B256">
        <v>3</v>
      </c>
      <c r="C256">
        <f t="shared" ca="1" si="57"/>
        <v>7</v>
      </c>
      <c r="D256">
        <f t="shared" ca="1" si="58"/>
        <v>5</v>
      </c>
      <c r="E256">
        <f t="shared" ca="1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4.9005000000000225E-10</v>
      </c>
      <c r="K256" s="1">
        <f t="shared" ca="1" si="62"/>
        <v>0</v>
      </c>
      <c r="L256" s="13">
        <f t="shared" ca="1" si="63"/>
        <v>147</v>
      </c>
      <c r="M256" s="7">
        <f t="shared" ca="1" si="64"/>
        <v>853</v>
      </c>
      <c r="N256" s="43">
        <f t="shared" ca="1" si="65"/>
        <v>7</v>
      </c>
      <c r="O256" s="92">
        <f t="shared" ca="1" si="66"/>
        <v>2.264588428134358</v>
      </c>
      <c r="P256" s="92">
        <f t="shared" ca="1" si="67"/>
        <v>22.645884281343584</v>
      </c>
      <c r="Q256" s="92">
        <f t="shared" ca="1" si="68"/>
        <v>22.645884281343584</v>
      </c>
      <c r="R256" s="92">
        <f t="shared" ca="1" si="69"/>
        <v>2.2645884281343585</v>
      </c>
      <c r="S256" s="92">
        <f t="shared" ca="1" si="70"/>
        <v>2.264588428134358</v>
      </c>
      <c r="T256" s="4">
        <f t="shared" ca="1" si="71"/>
        <v>0</v>
      </c>
      <c r="U256" s="99">
        <f t="shared" ca="1" si="72"/>
        <v>1504.2486983548911</v>
      </c>
      <c r="V256" s="4">
        <f t="shared" ca="1" si="73"/>
        <v>0</v>
      </c>
      <c r="W256" s="13">
        <f t="shared" ca="1" si="74"/>
        <v>13819.4247375</v>
      </c>
      <c r="X256" s="4">
        <f t="shared" ca="1" si="75"/>
        <v>0</v>
      </c>
    </row>
    <row r="257" spans="1:24">
      <c r="A257">
        <v>1</v>
      </c>
      <c r="B257">
        <v>3</v>
      </c>
      <c r="C257">
        <f t="shared" ca="1" si="57"/>
        <v>7</v>
      </c>
      <c r="D257">
        <f t="shared" ca="1" si="58"/>
        <v>5</v>
      </c>
      <c r="E257">
        <f t="shared" ca="1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9.9000000000000548E-13</v>
      </c>
      <c r="K257" s="1">
        <f t="shared" ca="1" si="62"/>
        <v>0</v>
      </c>
      <c r="L257" s="13">
        <f t="shared" ca="1" si="63"/>
        <v>126</v>
      </c>
      <c r="M257" s="7">
        <f t="shared" ca="1" si="64"/>
        <v>874</v>
      </c>
      <c r="N257" s="43">
        <f t="shared" ca="1" si="65"/>
        <v>7</v>
      </c>
      <c r="O257" s="92">
        <f t="shared" ca="1" si="66"/>
        <v>2.264588428134358</v>
      </c>
      <c r="P257" s="92">
        <f t="shared" ca="1" si="67"/>
        <v>22.645884281343584</v>
      </c>
      <c r="Q257" s="92">
        <f t="shared" ca="1" si="68"/>
        <v>22.645884281343584</v>
      </c>
      <c r="R257" s="92">
        <f t="shared" ca="1" si="69"/>
        <v>2.2645884281343585</v>
      </c>
      <c r="S257" s="92">
        <f t="shared" ca="1" si="70"/>
        <v>2.264588428134358</v>
      </c>
      <c r="T257" s="4">
        <f t="shared" ca="1" si="71"/>
        <v>0</v>
      </c>
      <c r="U257" s="99">
        <f t="shared" ca="1" si="72"/>
        <v>1483.2486983548911</v>
      </c>
      <c r="V257" s="4">
        <f t="shared" ca="1" si="73"/>
        <v>0</v>
      </c>
      <c r="W257" s="13">
        <f t="shared" ca="1" si="74"/>
        <v>12467.287237499999</v>
      </c>
      <c r="X257" s="4">
        <f t="shared" ca="1" si="75"/>
        <v>0</v>
      </c>
    </row>
    <row r="258" spans="1:24">
      <c r="A258">
        <v>1</v>
      </c>
      <c r="B258">
        <v>3</v>
      </c>
      <c r="C258">
        <f t="shared" ca="1" si="57"/>
        <v>7</v>
      </c>
      <c r="D258">
        <f t="shared" ca="1" si="58"/>
        <v>5</v>
      </c>
      <c r="E258">
        <f t="shared" ca="1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273</v>
      </c>
      <c r="M258" s="7">
        <f t="shared" ca="1" si="64"/>
        <v>727</v>
      </c>
      <c r="N258" s="43">
        <f t="shared" ca="1" si="65"/>
        <v>6</v>
      </c>
      <c r="O258" s="92">
        <f t="shared" ca="1" si="66"/>
        <v>2.003415856166523</v>
      </c>
      <c r="P258" s="92">
        <f t="shared" ca="1" si="67"/>
        <v>20.03415856166523</v>
      </c>
      <c r="Q258" s="92">
        <f t="shared" ca="1" si="68"/>
        <v>20.03415856166523</v>
      </c>
      <c r="R258" s="92">
        <f t="shared" ca="1" si="69"/>
        <v>2.003415856166523</v>
      </c>
      <c r="S258" s="92">
        <f t="shared" ca="1" si="70"/>
        <v>2.003415856166523</v>
      </c>
      <c r="T258" s="4">
        <f t="shared" ca="1" si="71"/>
        <v>0</v>
      </c>
      <c r="U258" s="99">
        <f t="shared" ca="1" si="72"/>
        <v>1502.0284794818213</v>
      </c>
      <c r="V258" s="4">
        <f t="shared" ca="1" si="73"/>
        <v>0</v>
      </c>
      <c r="W258" s="13">
        <f t="shared" ca="1" si="74"/>
        <v>10852.513124999999</v>
      </c>
      <c r="X258" s="4">
        <f t="shared" ca="1" si="75"/>
        <v>0</v>
      </c>
    </row>
    <row r="259" spans="1:24">
      <c r="A259">
        <v>1</v>
      </c>
      <c r="B259">
        <v>3</v>
      </c>
      <c r="C259">
        <f t="shared" ca="1" si="57"/>
        <v>7</v>
      </c>
      <c r="D259">
        <f t="shared" ca="1" si="58"/>
        <v>5</v>
      </c>
      <c r="E259">
        <f t="shared" ca="1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252</v>
      </c>
      <c r="M259" s="7">
        <f t="shared" ca="1" si="64"/>
        <v>748</v>
      </c>
      <c r="N259" s="43">
        <f t="shared" ca="1" si="65"/>
        <v>6</v>
      </c>
      <c r="O259" s="92">
        <f t="shared" ca="1" si="66"/>
        <v>2.003415856166523</v>
      </c>
      <c r="P259" s="92">
        <f t="shared" ca="1" si="67"/>
        <v>20.03415856166523</v>
      </c>
      <c r="Q259" s="92">
        <f t="shared" ca="1" si="68"/>
        <v>20.03415856166523</v>
      </c>
      <c r="R259" s="92">
        <f t="shared" ca="1" si="69"/>
        <v>2.003415856166523</v>
      </c>
      <c r="S259" s="92">
        <f t="shared" ca="1" si="70"/>
        <v>2.003415856166523</v>
      </c>
      <c r="T259" s="4">
        <f t="shared" ca="1" si="71"/>
        <v>0</v>
      </c>
      <c r="U259" s="99">
        <f t="shared" ca="1" si="72"/>
        <v>1481.0284794818213</v>
      </c>
      <c r="V259" s="4">
        <f t="shared" ca="1" si="73"/>
        <v>0</v>
      </c>
      <c r="W259" s="13">
        <f t="shared" ca="1" si="74"/>
        <v>9500.3756250000006</v>
      </c>
      <c r="X259" s="4">
        <f t="shared" ca="1" si="75"/>
        <v>0</v>
      </c>
    </row>
    <row r="260" spans="1:24">
      <c r="A260">
        <v>1</v>
      </c>
      <c r="B260">
        <v>3</v>
      </c>
      <c r="C260">
        <f t="shared" ca="1" si="57"/>
        <v>7</v>
      </c>
      <c r="D260">
        <f t="shared" ca="1" si="58"/>
        <v>5</v>
      </c>
      <c r="E260">
        <f t="shared" ca="1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9.4148014940100087E-3</v>
      </c>
      <c r="K260" s="1">
        <f t="shared" ca="1" si="62"/>
        <v>0</v>
      </c>
      <c r="L260" s="13">
        <f t="shared" ca="1" si="63"/>
        <v>231</v>
      </c>
      <c r="M260" s="7">
        <f t="shared" ca="1" si="64"/>
        <v>769</v>
      </c>
      <c r="N260" s="43">
        <f t="shared" ca="1" si="65"/>
        <v>6</v>
      </c>
      <c r="O260" s="92">
        <f t="shared" ca="1" si="66"/>
        <v>2.003415856166523</v>
      </c>
      <c r="P260" s="92">
        <f t="shared" ca="1" si="67"/>
        <v>20.03415856166523</v>
      </c>
      <c r="Q260" s="92">
        <f t="shared" ca="1" si="68"/>
        <v>20.03415856166523</v>
      </c>
      <c r="R260" s="92">
        <f t="shared" ca="1" si="69"/>
        <v>2.003415856166523</v>
      </c>
      <c r="S260" s="92">
        <f t="shared" ca="1" si="70"/>
        <v>2.003415856166523</v>
      </c>
      <c r="T260" s="4">
        <f t="shared" ca="1" si="71"/>
        <v>0</v>
      </c>
      <c r="U260" s="99">
        <f t="shared" ca="1" si="72"/>
        <v>1460.0284794818213</v>
      </c>
      <c r="V260" s="4">
        <f t="shared" ca="1" si="73"/>
        <v>0</v>
      </c>
      <c r="W260" s="13">
        <f t="shared" ca="1" si="74"/>
        <v>8148.2381249999999</v>
      </c>
      <c r="X260" s="4">
        <f t="shared" ca="1" si="75"/>
        <v>0</v>
      </c>
    </row>
    <row r="261" spans="1:24">
      <c r="A261">
        <v>1</v>
      </c>
      <c r="B261">
        <v>3</v>
      </c>
      <c r="C261">
        <f t="shared" ca="1" si="57"/>
        <v>7</v>
      </c>
      <c r="D261">
        <f t="shared" ca="1" si="58"/>
        <v>5</v>
      </c>
      <c r="E261">
        <f t="shared" ca="1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4.7549502495000082E-4</v>
      </c>
      <c r="K261" s="1">
        <f t="shared" ca="1" si="62"/>
        <v>0</v>
      </c>
      <c r="L261" s="13">
        <f t="shared" ca="1" si="63"/>
        <v>210</v>
      </c>
      <c r="M261" s="7">
        <f t="shared" ca="1" si="64"/>
        <v>790</v>
      </c>
      <c r="N261" s="43">
        <f t="shared" ca="1" si="65"/>
        <v>7</v>
      </c>
      <c r="O261" s="92">
        <f t="shared" ca="1" si="66"/>
        <v>2.264588428134358</v>
      </c>
      <c r="P261" s="92">
        <f t="shared" ca="1" si="67"/>
        <v>22.645884281343584</v>
      </c>
      <c r="Q261" s="92">
        <f t="shared" ca="1" si="68"/>
        <v>21.340021421504403</v>
      </c>
      <c r="R261" s="92">
        <f t="shared" ca="1" si="69"/>
        <v>2.1992952851423992</v>
      </c>
      <c r="S261" s="92">
        <f t="shared" ca="1" si="70"/>
        <v>2.264588428134358</v>
      </c>
      <c r="T261" s="4">
        <f t="shared" ca="1" si="71"/>
        <v>0</v>
      </c>
      <c r="U261" s="99">
        <f t="shared" ca="1" si="72"/>
        <v>1567.2486983548911</v>
      </c>
      <c r="V261" s="4">
        <f t="shared" ca="1" si="73"/>
        <v>0</v>
      </c>
      <c r="W261" s="13">
        <f t="shared" ca="1" si="74"/>
        <v>6796.100625</v>
      </c>
      <c r="X261" s="4">
        <f t="shared" ca="1" si="75"/>
        <v>0</v>
      </c>
    </row>
    <row r="262" spans="1:24">
      <c r="A262">
        <v>1</v>
      </c>
      <c r="B262">
        <v>3</v>
      </c>
      <c r="C262">
        <f t="shared" ca="1" si="57"/>
        <v>7</v>
      </c>
      <c r="D262">
        <f t="shared" ca="1" si="58"/>
        <v>5</v>
      </c>
      <c r="E262">
        <f t="shared" ca="1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9.6059601000000268E-6</v>
      </c>
      <c r="K262" s="1">
        <f t="shared" ca="1" si="62"/>
        <v>0</v>
      </c>
      <c r="L262" s="13">
        <f t="shared" ca="1" si="63"/>
        <v>189</v>
      </c>
      <c r="M262" s="7">
        <f t="shared" ca="1" si="64"/>
        <v>811</v>
      </c>
      <c r="N262" s="43">
        <f t="shared" ca="1" si="65"/>
        <v>7</v>
      </c>
      <c r="O262" s="92">
        <f t="shared" ca="1" si="66"/>
        <v>2.264588428134358</v>
      </c>
      <c r="P262" s="92">
        <f t="shared" ca="1" si="67"/>
        <v>22.645884281343584</v>
      </c>
      <c r="Q262" s="92">
        <f t="shared" ca="1" si="68"/>
        <v>22.645884281343584</v>
      </c>
      <c r="R262" s="92">
        <f t="shared" ca="1" si="69"/>
        <v>2.2645884281343585</v>
      </c>
      <c r="S262" s="92">
        <f t="shared" ca="1" si="70"/>
        <v>2.264588428134358</v>
      </c>
      <c r="T262" s="4">
        <f t="shared" ca="1" si="71"/>
        <v>0</v>
      </c>
      <c r="U262" s="99">
        <f t="shared" ca="1" si="72"/>
        <v>1546.2486983548911</v>
      </c>
      <c r="V262" s="4">
        <f t="shared" ca="1" si="73"/>
        <v>0</v>
      </c>
      <c r="W262" s="13">
        <f t="shared" ca="1" si="74"/>
        <v>5443.9631250000002</v>
      </c>
      <c r="X262" s="4">
        <f t="shared" ca="1" si="75"/>
        <v>0</v>
      </c>
    </row>
    <row r="263" spans="1:24">
      <c r="A263">
        <v>1</v>
      </c>
      <c r="B263">
        <v>3</v>
      </c>
      <c r="C263">
        <f t="shared" ca="1" si="57"/>
        <v>7</v>
      </c>
      <c r="D263">
        <f t="shared" ca="1" si="58"/>
        <v>5</v>
      </c>
      <c r="E263">
        <f t="shared" ca="1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9.7029900000000355E-8</v>
      </c>
      <c r="K263" s="1">
        <f t="shared" ca="1" si="62"/>
        <v>0</v>
      </c>
      <c r="L263" s="13">
        <f t="shared" ca="1" si="63"/>
        <v>168</v>
      </c>
      <c r="M263" s="7">
        <f t="shared" ca="1" si="64"/>
        <v>832</v>
      </c>
      <c r="N263" s="43">
        <f t="shared" ca="1" si="65"/>
        <v>7</v>
      </c>
      <c r="O263" s="92">
        <f t="shared" ca="1" si="66"/>
        <v>2.264588428134358</v>
      </c>
      <c r="P263" s="92">
        <f t="shared" ca="1" si="67"/>
        <v>22.645884281343584</v>
      </c>
      <c r="Q263" s="92">
        <f t="shared" ca="1" si="68"/>
        <v>22.645884281343584</v>
      </c>
      <c r="R263" s="92">
        <f t="shared" ca="1" si="69"/>
        <v>2.2645884281343585</v>
      </c>
      <c r="S263" s="92">
        <f t="shared" ca="1" si="70"/>
        <v>2.264588428134358</v>
      </c>
      <c r="T263" s="4">
        <f t="shared" ca="1" si="71"/>
        <v>0</v>
      </c>
      <c r="U263" s="99">
        <f t="shared" ca="1" si="72"/>
        <v>1525.2486983548911</v>
      </c>
      <c r="V263" s="4">
        <f t="shared" ca="1" si="73"/>
        <v>0</v>
      </c>
      <c r="W263" s="13">
        <f t="shared" ca="1" si="74"/>
        <v>4091.8256249999999</v>
      </c>
      <c r="X263" s="4">
        <f t="shared" ca="1" si="75"/>
        <v>0</v>
      </c>
    </row>
    <row r="264" spans="1:24">
      <c r="A264">
        <v>1</v>
      </c>
      <c r="B264">
        <v>3</v>
      </c>
      <c r="C264">
        <f t="shared" ca="1" si="57"/>
        <v>7</v>
      </c>
      <c r="D264">
        <f t="shared" ca="1" si="58"/>
        <v>5</v>
      </c>
      <c r="E264">
        <f t="shared" ca="1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4.9005000000000225E-10</v>
      </c>
      <c r="K264" s="1">
        <f t="shared" ca="1" si="62"/>
        <v>0</v>
      </c>
      <c r="L264" s="13">
        <f t="shared" ca="1" si="63"/>
        <v>147</v>
      </c>
      <c r="M264" s="7">
        <f t="shared" ca="1" si="64"/>
        <v>853</v>
      </c>
      <c r="N264" s="43">
        <f t="shared" ca="1" si="65"/>
        <v>7</v>
      </c>
      <c r="O264" s="92">
        <f t="shared" ca="1" si="66"/>
        <v>2.264588428134358</v>
      </c>
      <c r="P264" s="92">
        <f t="shared" ca="1" si="67"/>
        <v>22.645884281343584</v>
      </c>
      <c r="Q264" s="92">
        <f t="shared" ca="1" si="68"/>
        <v>22.645884281343584</v>
      </c>
      <c r="R264" s="92">
        <f t="shared" ca="1" si="69"/>
        <v>2.2645884281343585</v>
      </c>
      <c r="S264" s="92">
        <f t="shared" ca="1" si="70"/>
        <v>2.264588428134358</v>
      </c>
      <c r="T264" s="4">
        <f t="shared" ca="1" si="71"/>
        <v>0</v>
      </c>
      <c r="U264" s="99">
        <f t="shared" ca="1" si="72"/>
        <v>1504.2486983548911</v>
      </c>
      <c r="V264" s="4">
        <f t="shared" ca="1" si="73"/>
        <v>0</v>
      </c>
      <c r="W264" s="13">
        <f t="shared" ca="1" si="74"/>
        <v>2739.6881249999997</v>
      </c>
      <c r="X264" s="4">
        <f t="shared" ca="1" si="75"/>
        <v>0</v>
      </c>
    </row>
    <row r="265" spans="1:24">
      <c r="A265">
        <v>1</v>
      </c>
      <c r="B265">
        <v>3</v>
      </c>
      <c r="C265">
        <f t="shared" ca="1" si="57"/>
        <v>7</v>
      </c>
      <c r="D265">
        <f t="shared" ca="1" si="58"/>
        <v>5</v>
      </c>
      <c r="E265">
        <f t="shared" ca="1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9.9000000000000548E-13</v>
      </c>
      <c r="K265" s="1">
        <f t="shared" ca="1" si="62"/>
        <v>0</v>
      </c>
      <c r="L265" s="13">
        <f t="shared" ca="1" si="63"/>
        <v>126</v>
      </c>
      <c r="M265" s="7">
        <f t="shared" ca="1" si="64"/>
        <v>874</v>
      </c>
      <c r="N265" s="43">
        <f t="shared" ca="1" si="65"/>
        <v>7</v>
      </c>
      <c r="O265" s="92">
        <f t="shared" ca="1" si="66"/>
        <v>2.264588428134358</v>
      </c>
      <c r="P265" s="92">
        <f t="shared" ca="1" si="67"/>
        <v>22.645884281343584</v>
      </c>
      <c r="Q265" s="92">
        <f t="shared" ca="1" si="68"/>
        <v>22.645884281343584</v>
      </c>
      <c r="R265" s="92">
        <f t="shared" ca="1" si="69"/>
        <v>2.2645884281343585</v>
      </c>
      <c r="S265" s="92">
        <f t="shared" ca="1" si="70"/>
        <v>2.264588428134358</v>
      </c>
      <c r="T265" s="4">
        <f t="shared" ca="1" si="71"/>
        <v>0</v>
      </c>
      <c r="U265" s="99">
        <f t="shared" ca="1" si="72"/>
        <v>1483.2486983548911</v>
      </c>
      <c r="V265" s="4">
        <f t="shared" ca="1" si="73"/>
        <v>0</v>
      </c>
      <c r="W265" s="13">
        <f t="shared" ca="1" si="74"/>
        <v>1387.5506249999999</v>
      </c>
      <c r="X265" s="4">
        <f t="shared" ca="1" si="75"/>
        <v>0</v>
      </c>
    </row>
    <row r="266" spans="1:24">
      <c r="A266">
        <v>1</v>
      </c>
      <c r="B266">
        <v>3</v>
      </c>
      <c r="C266">
        <f t="shared" ca="1" si="57"/>
        <v>7</v>
      </c>
      <c r="D266">
        <f t="shared" ca="1" si="58"/>
        <v>5</v>
      </c>
      <c r="E266">
        <f t="shared" ca="1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3">
        <f t="shared" ca="1" si="65"/>
        <v>7</v>
      </c>
      <c r="O266" s="92">
        <f t="shared" ca="1" si="66"/>
        <v>2.264588428134358</v>
      </c>
      <c r="P266" s="92">
        <f t="shared" ca="1" si="67"/>
        <v>22.645884281343584</v>
      </c>
      <c r="Q266" s="92">
        <f t="shared" ca="1" si="68"/>
        <v>22.645884281343584</v>
      </c>
      <c r="R266" s="92">
        <f t="shared" ca="1" si="69"/>
        <v>2.2645884281343585</v>
      </c>
      <c r="S266" s="92">
        <f t="shared" ca="1" si="70"/>
        <v>2.264588428134358</v>
      </c>
      <c r="T266" s="4">
        <f t="shared" ca="1" si="71"/>
        <v>0</v>
      </c>
      <c r="U266" s="99">
        <f t="shared" ca="1" si="72"/>
        <v>1504.2486983548911</v>
      </c>
      <c r="V266" s="4">
        <f t="shared" ca="1" si="73"/>
        <v>0</v>
      </c>
      <c r="W266" s="13">
        <f t="shared" ca="1" si="74"/>
        <v>9464.9624999999996</v>
      </c>
      <c r="X266" s="4">
        <f t="shared" ca="1" si="75"/>
        <v>0</v>
      </c>
    </row>
    <row r="267" spans="1:24">
      <c r="A267">
        <v>1</v>
      </c>
      <c r="B267">
        <v>3</v>
      </c>
      <c r="C267">
        <f t="shared" ca="1" si="57"/>
        <v>7</v>
      </c>
      <c r="D267">
        <f t="shared" ca="1" si="58"/>
        <v>5</v>
      </c>
      <c r="E267">
        <f t="shared" ca="1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3">
        <f t="shared" ca="1" si="65"/>
        <v>7</v>
      </c>
      <c r="O267" s="92">
        <f t="shared" ca="1" si="66"/>
        <v>2.264588428134358</v>
      </c>
      <c r="P267" s="92">
        <f t="shared" ca="1" si="67"/>
        <v>22.645884281343584</v>
      </c>
      <c r="Q267" s="92">
        <f t="shared" ca="1" si="68"/>
        <v>22.645884281343584</v>
      </c>
      <c r="R267" s="92">
        <f t="shared" ca="1" si="69"/>
        <v>2.2645884281343585</v>
      </c>
      <c r="S267" s="92">
        <f t="shared" ca="1" si="70"/>
        <v>2.264588428134358</v>
      </c>
      <c r="T267" s="4">
        <f t="shared" ca="1" si="71"/>
        <v>0</v>
      </c>
      <c r="U267" s="99">
        <f t="shared" ca="1" si="72"/>
        <v>1483.2486983548911</v>
      </c>
      <c r="V267" s="4">
        <f t="shared" ca="1" si="73"/>
        <v>0</v>
      </c>
      <c r="W267" s="13">
        <f t="shared" ca="1" si="74"/>
        <v>8112.8249999999998</v>
      </c>
      <c r="X267" s="4">
        <f t="shared" ca="1" si="75"/>
        <v>0</v>
      </c>
    </row>
    <row r="268" spans="1:24">
      <c r="A268">
        <v>1</v>
      </c>
      <c r="B268">
        <v>3</v>
      </c>
      <c r="C268">
        <f t="shared" ca="1" si="57"/>
        <v>7</v>
      </c>
      <c r="D268">
        <f t="shared" ca="1" si="58"/>
        <v>5</v>
      </c>
      <c r="E268">
        <f t="shared" ca="1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9.5099004990000158E-5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3">
        <f t="shared" ca="1" si="65"/>
        <v>7</v>
      </c>
      <c r="O268" s="92">
        <f t="shared" ca="1" si="66"/>
        <v>2.264588428134358</v>
      </c>
      <c r="P268" s="92">
        <f t="shared" ca="1" si="67"/>
        <v>22.645884281343584</v>
      </c>
      <c r="Q268" s="92">
        <f t="shared" ca="1" si="68"/>
        <v>22.645884281343584</v>
      </c>
      <c r="R268" s="92">
        <f t="shared" ca="1" si="69"/>
        <v>2.2645884281343585</v>
      </c>
      <c r="S268" s="92">
        <f t="shared" ca="1" si="70"/>
        <v>2.264588428134358</v>
      </c>
      <c r="T268" s="4">
        <f t="shared" ca="1" si="71"/>
        <v>0</v>
      </c>
      <c r="U268" s="99">
        <f t="shared" ca="1" si="72"/>
        <v>1462.2486983548911</v>
      </c>
      <c r="V268" s="4">
        <f t="shared" ca="1" si="73"/>
        <v>0</v>
      </c>
      <c r="W268" s="13">
        <f t="shared" ca="1" si="74"/>
        <v>6760.6875</v>
      </c>
      <c r="X268" s="4">
        <f t="shared" ca="1" si="75"/>
        <v>0</v>
      </c>
    </row>
    <row r="269" spans="1:24">
      <c r="A269">
        <v>1</v>
      </c>
      <c r="B269">
        <v>3</v>
      </c>
      <c r="C269">
        <f t="shared" ca="1" si="57"/>
        <v>7</v>
      </c>
      <c r="D269">
        <f t="shared" ca="1" si="58"/>
        <v>5</v>
      </c>
      <c r="E269">
        <f t="shared" ca="1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4.8029800500000126E-6</v>
      </c>
      <c r="K269" s="1">
        <f t="shared" ca="1" si="62"/>
        <v>0</v>
      </c>
      <c r="L269" s="13">
        <f t="shared" ca="1" si="63"/>
        <v>100</v>
      </c>
      <c r="M269" s="7">
        <f t="shared" ca="1" si="64"/>
        <v>900</v>
      </c>
      <c r="N269" s="43">
        <f t="shared" ca="1" si="65"/>
        <v>7</v>
      </c>
      <c r="O269" s="92">
        <f t="shared" ca="1" si="66"/>
        <v>2.264588428134358</v>
      </c>
      <c r="P269" s="92">
        <f t="shared" ca="1" si="67"/>
        <v>22.645884281343584</v>
      </c>
      <c r="Q269" s="92">
        <f t="shared" ca="1" si="68"/>
        <v>22.645884281343584</v>
      </c>
      <c r="R269" s="92">
        <f t="shared" ca="1" si="69"/>
        <v>2.2645884281343585</v>
      </c>
      <c r="S269" s="92">
        <f t="shared" ca="1" si="70"/>
        <v>2.264588428134358</v>
      </c>
      <c r="T269" s="4">
        <f t="shared" ca="1" si="71"/>
        <v>0</v>
      </c>
      <c r="U269" s="99">
        <f t="shared" ca="1" si="72"/>
        <v>1457.2486983548911</v>
      </c>
      <c r="V269" s="4">
        <f t="shared" ca="1" si="73"/>
        <v>0</v>
      </c>
      <c r="W269" s="13">
        <f t="shared" ca="1" si="74"/>
        <v>5408.55</v>
      </c>
      <c r="X269" s="4">
        <f t="shared" ca="1" si="75"/>
        <v>0</v>
      </c>
    </row>
    <row r="270" spans="1:24">
      <c r="A270">
        <v>1</v>
      </c>
      <c r="B270">
        <v>3</v>
      </c>
      <c r="C270">
        <f t="shared" ca="1" si="57"/>
        <v>7</v>
      </c>
      <c r="D270">
        <f t="shared" ca="1" si="58"/>
        <v>5</v>
      </c>
      <c r="E270">
        <f t="shared" ca="1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9.7029900000000341E-8</v>
      </c>
      <c r="K270" s="1">
        <f t="shared" ca="1" si="62"/>
        <v>0</v>
      </c>
      <c r="L270" s="13">
        <f t="shared" ca="1" si="63"/>
        <v>100</v>
      </c>
      <c r="M270" s="7">
        <f t="shared" ca="1" si="64"/>
        <v>900</v>
      </c>
      <c r="N270" s="43">
        <f t="shared" ca="1" si="65"/>
        <v>7</v>
      </c>
      <c r="O270" s="92">
        <f t="shared" ca="1" si="66"/>
        <v>2.264588428134358</v>
      </c>
      <c r="P270" s="92">
        <f t="shared" ca="1" si="67"/>
        <v>22.645884281343584</v>
      </c>
      <c r="Q270" s="92">
        <f t="shared" ca="1" si="68"/>
        <v>22.645884281343584</v>
      </c>
      <c r="R270" s="92">
        <f t="shared" ca="1" si="69"/>
        <v>2.2645884281343585</v>
      </c>
      <c r="S270" s="92">
        <f t="shared" ca="1" si="70"/>
        <v>2.264588428134358</v>
      </c>
      <c r="T270" s="4">
        <f t="shared" ca="1" si="71"/>
        <v>0</v>
      </c>
      <c r="U270" s="99">
        <f t="shared" ca="1" si="72"/>
        <v>1457.2486983548911</v>
      </c>
      <c r="V270" s="4">
        <f t="shared" ca="1" si="73"/>
        <v>0</v>
      </c>
      <c r="W270" s="13">
        <f t="shared" ca="1" si="74"/>
        <v>4056.4124999999999</v>
      </c>
      <c r="X270" s="4">
        <f t="shared" ca="1" si="75"/>
        <v>0</v>
      </c>
    </row>
    <row r="271" spans="1:24">
      <c r="A271">
        <v>1</v>
      </c>
      <c r="B271">
        <v>3</v>
      </c>
      <c r="C271">
        <f t="shared" ca="1" si="57"/>
        <v>7</v>
      </c>
      <c r="D271">
        <f t="shared" ca="1" si="58"/>
        <v>5</v>
      </c>
      <c r="E271">
        <f t="shared" ca="1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9.801000000000045E-10</v>
      </c>
      <c r="K271" s="1">
        <f t="shared" ca="1" si="62"/>
        <v>0</v>
      </c>
      <c r="L271" s="13">
        <f t="shared" ca="1" si="63"/>
        <v>100</v>
      </c>
      <c r="M271" s="7">
        <f t="shared" ca="1" si="64"/>
        <v>900</v>
      </c>
      <c r="N271" s="43">
        <f t="shared" ca="1" si="65"/>
        <v>7</v>
      </c>
      <c r="O271" s="92">
        <f t="shared" ca="1" si="66"/>
        <v>2.264588428134358</v>
      </c>
      <c r="P271" s="92">
        <f t="shared" ca="1" si="67"/>
        <v>22.645884281343584</v>
      </c>
      <c r="Q271" s="92">
        <f t="shared" ca="1" si="68"/>
        <v>22.645884281343584</v>
      </c>
      <c r="R271" s="92">
        <f t="shared" ca="1" si="69"/>
        <v>2.2645884281343585</v>
      </c>
      <c r="S271" s="92">
        <f t="shared" ca="1" si="70"/>
        <v>2.264588428134358</v>
      </c>
      <c r="T271" s="4">
        <f t="shared" ca="1" si="71"/>
        <v>0</v>
      </c>
      <c r="U271" s="99">
        <f t="shared" ca="1" si="72"/>
        <v>1457.2486983548911</v>
      </c>
      <c r="V271" s="4">
        <f t="shared" ca="1" si="73"/>
        <v>0</v>
      </c>
      <c r="W271" s="13">
        <f t="shared" ca="1" si="74"/>
        <v>2704.2750000000001</v>
      </c>
      <c r="X271" s="4">
        <f t="shared" ca="1" si="75"/>
        <v>0</v>
      </c>
    </row>
    <row r="272" spans="1:24">
      <c r="A272">
        <v>1</v>
      </c>
      <c r="B272">
        <v>3</v>
      </c>
      <c r="C272">
        <f t="shared" ca="1" si="57"/>
        <v>7</v>
      </c>
      <c r="D272">
        <f t="shared" ca="1" si="58"/>
        <v>5</v>
      </c>
      <c r="E272">
        <f t="shared" ca="1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4.9500000000000272E-12</v>
      </c>
      <c r="K272" s="1">
        <f t="shared" ca="1" si="62"/>
        <v>0</v>
      </c>
      <c r="L272" s="13">
        <f t="shared" ca="1" si="63"/>
        <v>100</v>
      </c>
      <c r="M272" s="7">
        <f t="shared" ca="1" si="64"/>
        <v>900</v>
      </c>
      <c r="N272" s="43">
        <f t="shared" ca="1" si="65"/>
        <v>7</v>
      </c>
      <c r="O272" s="92">
        <f t="shared" ca="1" si="66"/>
        <v>2.264588428134358</v>
      </c>
      <c r="P272" s="92">
        <f t="shared" ca="1" si="67"/>
        <v>22.645884281343584</v>
      </c>
      <c r="Q272" s="92">
        <f t="shared" ca="1" si="68"/>
        <v>22.645884281343584</v>
      </c>
      <c r="R272" s="92">
        <f t="shared" ca="1" si="69"/>
        <v>2.2645884281343585</v>
      </c>
      <c r="S272" s="92">
        <f t="shared" ca="1" si="70"/>
        <v>2.264588428134358</v>
      </c>
      <c r="T272" s="4">
        <f t="shared" ca="1" si="71"/>
        <v>0</v>
      </c>
      <c r="U272" s="99">
        <f t="shared" ca="1" si="72"/>
        <v>1457.2486983548911</v>
      </c>
      <c r="V272" s="4">
        <f t="shared" ca="1" si="73"/>
        <v>0</v>
      </c>
      <c r="W272" s="13">
        <f t="shared" ca="1" si="74"/>
        <v>1352.1375</v>
      </c>
      <c r="X272" s="4">
        <f t="shared" ca="1" si="75"/>
        <v>0</v>
      </c>
    </row>
    <row r="273" spans="1:24">
      <c r="A273">
        <v>1</v>
      </c>
      <c r="B273">
        <v>3</v>
      </c>
      <c r="C273">
        <f t="shared" ca="1" si="57"/>
        <v>7</v>
      </c>
      <c r="D273">
        <f t="shared" ca="1" si="58"/>
        <v>5</v>
      </c>
      <c r="E273">
        <f t="shared" ca="1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1.0000000000000063E-14</v>
      </c>
      <c r="K273" s="1">
        <f t="shared" ca="1" si="62"/>
        <v>0</v>
      </c>
      <c r="L273" s="13">
        <f t="shared" ca="1" si="63"/>
        <v>100</v>
      </c>
      <c r="M273" s="7">
        <f t="shared" ca="1" si="64"/>
        <v>900</v>
      </c>
      <c r="N273" s="43">
        <f t="shared" ca="1" si="65"/>
        <v>7</v>
      </c>
      <c r="O273" s="92">
        <f t="shared" ca="1" si="66"/>
        <v>2.264588428134358</v>
      </c>
      <c r="P273" s="92">
        <f t="shared" ca="1" si="67"/>
        <v>22.645884281343584</v>
      </c>
      <c r="Q273" s="92">
        <f t="shared" ca="1" si="68"/>
        <v>22.645884281343584</v>
      </c>
      <c r="R273" s="92">
        <f t="shared" ca="1" si="69"/>
        <v>2.2645884281343585</v>
      </c>
      <c r="S273" s="92">
        <f t="shared" ca="1" si="70"/>
        <v>2.264588428134358</v>
      </c>
      <c r="T273" s="4">
        <f t="shared" ca="1" si="71"/>
        <v>0</v>
      </c>
      <c r="U273" s="99">
        <f t="shared" ca="1" si="72"/>
        <v>1457.2486983548911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</row>
    <row r="274" spans="1:24">
      <c r="A274">
        <v>2</v>
      </c>
      <c r="B274">
        <v>0</v>
      </c>
      <c r="C274">
        <f t="shared" ref="C274:C337" ca="1" si="76">MIN(8, 1+$B$10+$B$9+A274+B274)</f>
        <v>5</v>
      </c>
      <c r="D274">
        <f t="shared" ref="D274:D337" ca="1" si="77">C274-(1+$B$10)</f>
        <v>3</v>
      </c>
      <c r="E274">
        <f t="shared" ref="E274:E337" ca="1" si="78">MIN(A274, C274-(1+$B$10+$B$9))</f>
        <v>2</v>
      </c>
      <c r="F274" s="100">
        <f t="shared" ref="F274:F337" ca="1" si="79">IF(A274=3, $E$5, IF(A274=2, (1-$E$5)*$E$4 + (1-$E$5)*(1-$E$4)*(1-$E$3)*Set1AM3*Set1AM33, IF(A274=1, (1-$E$5)*(1-$E$4)*$E$3 + (1-$E$5)*(1-$E$4)*(1-$E$3)*Set1AM3*Set1AM32, (1-$E$5)*(1-$E$4)*(1-$E$3)*(1-Set1AM3)))) * IF($B$9+$B$10&gt;0, IF(B274=3, $E$5, IF(B274=2, (1-$E$5)*$E$4, IF(B274=1, (1-$E$5)*(1-$E$4)*$E$3, (1-$E$5)*(1-$E$4)*(1-$E$3)))), IF(B274=0, 1, 0))</f>
        <v>0.1838193095</v>
      </c>
      <c r="G274">
        <v>1</v>
      </c>
      <c r="H274">
        <v>1</v>
      </c>
      <c r="I274">
        <v>7</v>
      </c>
      <c r="J274" s="1">
        <f t="shared" ref="J274:J337" ca="1" si="80">IF($B$8&lt;100%, POWER($B$8,G274)*POWER(1-$B$8, 1-G274), 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399</v>
      </c>
      <c r="M274" s="7">
        <f t="shared" ref="M274:M337" ca="1" si="83">MAX(Set1MinTP-(L274+Set1Regain), 0)</f>
        <v>601</v>
      </c>
      <c r="N274" s="43">
        <f t="shared" ref="N274:N337" ca="1" si="84">CEILING(M274/Set1MeleeTP, 1)</f>
        <v>5</v>
      </c>
      <c r="O274" s="92">
        <f t="shared" ref="O274:O337" ca="1" si="85">VLOOKUP(N274,AvgRoundsSet1,2)</f>
        <v>1.7627004516625842</v>
      </c>
      <c r="P274" s="92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17.627004516625838</v>
      </c>
      <c r="Q274" s="92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17.627004516625838</v>
      </c>
      <c r="R274" s="92">
        <f t="shared" ref="R274:R337" ca="1" si="88">(P274+Q274)/20</f>
        <v>1.7627004516625839</v>
      </c>
      <c r="S274" s="92">
        <f t="shared" ref="S274:S337" ca="1" si="89">R274*Set1ConserveTP + O274*(1-Set1ConserveTP)</f>
        <v>1.7627004516625842</v>
      </c>
      <c r="T274" s="4">
        <f t="shared" ref="T274:T337" ca="1" si="90">K274*S274</f>
        <v>0</v>
      </c>
      <c r="U274" s="99">
        <f t="shared" ref="U274:U337" ca="1" si="91">MIN(L274+(S274+Set1OverTP)*AvgHitsPerRound1*Set1MeleeTP + Set1Regain + 10.5*Set1ConserveTP, 3000)</f>
        <v>1509.8515146533105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23319.800362499998</v>
      </c>
      <c r="X274" s="4">
        <f t="shared" ref="X274:X337" ca="1" si="94">K274*W274</f>
        <v>0</v>
      </c>
    </row>
    <row r="275" spans="1:24">
      <c r="A275">
        <v>2</v>
      </c>
      <c r="B275">
        <v>0</v>
      </c>
      <c r="C275">
        <f t="shared" ca="1" si="76"/>
        <v>5</v>
      </c>
      <c r="D275">
        <f t="shared" ca="1" si="77"/>
        <v>3</v>
      </c>
      <c r="E275">
        <f t="shared" ca="1" si="78"/>
        <v>2</v>
      </c>
      <c r="F275" s="100">
        <f t="shared" ca="1" si="79"/>
        <v>0.1838193095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378</v>
      </c>
      <c r="M275" s="7">
        <f t="shared" ca="1" si="83"/>
        <v>622</v>
      </c>
      <c r="N275" s="43">
        <f t="shared" ca="1" si="84"/>
        <v>5</v>
      </c>
      <c r="O275" s="92">
        <f t="shared" ca="1" si="85"/>
        <v>1.7627004516625842</v>
      </c>
      <c r="P275" s="92">
        <f t="shared" ca="1" si="86"/>
        <v>17.627004516625838</v>
      </c>
      <c r="Q275" s="92">
        <f t="shared" ca="1" si="87"/>
        <v>17.627004516625838</v>
      </c>
      <c r="R275" s="92">
        <f t="shared" ca="1" si="88"/>
        <v>1.7627004516625839</v>
      </c>
      <c r="S275" s="92">
        <f t="shared" ca="1" si="89"/>
        <v>1.7627004516625842</v>
      </c>
      <c r="T275" s="4">
        <f t="shared" ca="1" si="90"/>
        <v>0</v>
      </c>
      <c r="U275" s="99">
        <f t="shared" ca="1" si="91"/>
        <v>1488.8515146533105</v>
      </c>
      <c r="V275" s="4">
        <f t="shared" ca="1" si="92"/>
        <v>0</v>
      </c>
      <c r="W275" s="13">
        <f t="shared" ca="1" si="93"/>
        <v>21967.662862499998</v>
      </c>
      <c r="X275" s="4">
        <f t="shared" ca="1" si="94"/>
        <v>0</v>
      </c>
    </row>
    <row r="276" spans="1:24">
      <c r="A276">
        <v>2</v>
      </c>
      <c r="B276">
        <v>0</v>
      </c>
      <c r="C276">
        <f t="shared" ca="1" si="76"/>
        <v>5</v>
      </c>
      <c r="D276">
        <f t="shared" ca="1" si="77"/>
        <v>3</v>
      </c>
      <c r="E276">
        <f t="shared" ca="1" si="78"/>
        <v>2</v>
      </c>
      <c r="F276" s="100">
        <f t="shared" ca="1" si="79"/>
        <v>0.1838193095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357</v>
      </c>
      <c r="M276" s="7">
        <f t="shared" ca="1" si="83"/>
        <v>643</v>
      </c>
      <c r="N276" s="43">
        <f t="shared" ca="1" si="84"/>
        <v>5</v>
      </c>
      <c r="O276" s="92">
        <f t="shared" ca="1" si="85"/>
        <v>1.7627004516625842</v>
      </c>
      <c r="P276" s="92">
        <f t="shared" ca="1" si="86"/>
        <v>17.627004516625838</v>
      </c>
      <c r="Q276" s="92">
        <f t="shared" ca="1" si="87"/>
        <v>17.627004516625838</v>
      </c>
      <c r="R276" s="92">
        <f t="shared" ca="1" si="88"/>
        <v>1.7627004516625839</v>
      </c>
      <c r="S276" s="92">
        <f t="shared" ca="1" si="89"/>
        <v>1.7627004516625842</v>
      </c>
      <c r="T276" s="4">
        <f t="shared" ca="1" si="90"/>
        <v>0</v>
      </c>
      <c r="U276" s="99">
        <f t="shared" ca="1" si="91"/>
        <v>1467.8515146533105</v>
      </c>
      <c r="V276" s="4">
        <f t="shared" ca="1" si="92"/>
        <v>0</v>
      </c>
      <c r="W276" s="13">
        <f t="shared" ca="1" si="93"/>
        <v>20615.525362499997</v>
      </c>
      <c r="X276" s="4">
        <f t="shared" ca="1" si="94"/>
        <v>0</v>
      </c>
    </row>
    <row r="277" spans="1:24">
      <c r="A277">
        <v>2</v>
      </c>
      <c r="B277">
        <v>0</v>
      </c>
      <c r="C277">
        <f t="shared" ca="1" si="76"/>
        <v>5</v>
      </c>
      <c r="D277">
        <f t="shared" ca="1" si="77"/>
        <v>3</v>
      </c>
      <c r="E277">
        <f t="shared" ca="1" si="78"/>
        <v>2</v>
      </c>
      <c r="F277" s="100">
        <f t="shared" ca="1" si="79"/>
        <v>0.1838193095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336</v>
      </c>
      <c r="M277" s="7">
        <f t="shared" ca="1" si="83"/>
        <v>664</v>
      </c>
      <c r="N277" s="43">
        <f t="shared" ca="1" si="84"/>
        <v>6</v>
      </c>
      <c r="O277" s="92">
        <f t="shared" ca="1" si="85"/>
        <v>2.003415856166523</v>
      </c>
      <c r="P277" s="92">
        <f t="shared" ca="1" si="86"/>
        <v>20.03415856166523</v>
      </c>
      <c r="Q277" s="92">
        <f t="shared" ca="1" si="87"/>
        <v>19.552727752657354</v>
      </c>
      <c r="R277" s="92">
        <f t="shared" ca="1" si="88"/>
        <v>1.9793443157161292</v>
      </c>
      <c r="S277" s="92">
        <f t="shared" ca="1" si="89"/>
        <v>2.003415856166523</v>
      </c>
      <c r="T277" s="4">
        <f t="shared" ca="1" si="90"/>
        <v>0</v>
      </c>
      <c r="U277" s="99">
        <f t="shared" ca="1" si="91"/>
        <v>1565.0284794818213</v>
      </c>
      <c r="V277" s="4">
        <f t="shared" ca="1" si="92"/>
        <v>0</v>
      </c>
      <c r="W277" s="13">
        <f t="shared" ca="1" si="93"/>
        <v>19263.3878625</v>
      </c>
      <c r="X277" s="4">
        <f t="shared" ca="1" si="94"/>
        <v>0</v>
      </c>
    </row>
    <row r="278" spans="1:24">
      <c r="A278">
        <v>2</v>
      </c>
      <c r="B278">
        <v>0</v>
      </c>
      <c r="C278">
        <f t="shared" ca="1" si="76"/>
        <v>5</v>
      </c>
      <c r="D278">
        <f t="shared" ca="1" si="77"/>
        <v>3</v>
      </c>
      <c r="E278">
        <f t="shared" ca="1" si="78"/>
        <v>2</v>
      </c>
      <c r="F278" s="100">
        <f t="shared" ca="1" si="79"/>
        <v>0.1838193095</v>
      </c>
      <c r="G278">
        <v>1</v>
      </c>
      <c r="H278">
        <v>1</v>
      </c>
      <c r="I278">
        <v>3</v>
      </c>
      <c r="J278" s="1">
        <f t="shared" ca="1" si="80"/>
        <v>0.95099004989999991</v>
      </c>
      <c r="K278" s="1">
        <f t="shared" ca="1" si="81"/>
        <v>0.17481033431398854</v>
      </c>
      <c r="L278" s="13">
        <f t="shared" ca="1" si="82"/>
        <v>315</v>
      </c>
      <c r="M278" s="7">
        <f t="shared" ca="1" si="83"/>
        <v>685</v>
      </c>
      <c r="N278" s="43">
        <f t="shared" ca="1" si="84"/>
        <v>6</v>
      </c>
      <c r="O278" s="92">
        <f t="shared" ca="1" si="85"/>
        <v>2.003415856166523</v>
      </c>
      <c r="P278" s="92">
        <f t="shared" ca="1" si="86"/>
        <v>20.03415856166523</v>
      </c>
      <c r="Q278" s="92">
        <f t="shared" ca="1" si="87"/>
        <v>20.03415856166523</v>
      </c>
      <c r="R278" s="92">
        <f t="shared" ca="1" si="88"/>
        <v>2.003415856166523</v>
      </c>
      <c r="S278" s="92">
        <f t="shared" ca="1" si="89"/>
        <v>2.003415856166523</v>
      </c>
      <c r="T278" s="4">
        <f t="shared" ca="1" si="90"/>
        <v>0.35021779558641547</v>
      </c>
      <c r="U278" s="99">
        <f t="shared" ca="1" si="91"/>
        <v>1544.0284794818213</v>
      </c>
      <c r="V278" s="4">
        <f t="shared" ca="1" si="92"/>
        <v>269.91213468853658</v>
      </c>
      <c r="W278" s="13">
        <f t="shared" ca="1" si="93"/>
        <v>17911.250362499999</v>
      </c>
      <c r="X278" s="4">
        <f t="shared" ca="1" si="94"/>
        <v>3131.0716638501731</v>
      </c>
    </row>
    <row r="279" spans="1:24">
      <c r="A279">
        <v>2</v>
      </c>
      <c r="B279">
        <v>0</v>
      </c>
      <c r="C279">
        <f t="shared" ca="1" si="76"/>
        <v>5</v>
      </c>
      <c r="D279">
        <f t="shared" ca="1" si="77"/>
        <v>3</v>
      </c>
      <c r="E279">
        <f t="shared" ca="1" si="78"/>
        <v>2</v>
      </c>
      <c r="F279" s="100">
        <f t="shared" ca="1" si="79"/>
        <v>0.1838193095</v>
      </c>
      <c r="G279">
        <v>1</v>
      </c>
      <c r="H279">
        <v>1</v>
      </c>
      <c r="I279">
        <v>2</v>
      </c>
      <c r="J279" s="1">
        <f t="shared" ca="1" si="80"/>
        <v>2.8817880300000022E-2</v>
      </c>
      <c r="K279" s="1">
        <f t="shared" ca="1" si="81"/>
        <v>5.2972828579996569E-3</v>
      </c>
      <c r="L279" s="13">
        <f t="shared" ca="1" si="82"/>
        <v>294</v>
      </c>
      <c r="M279" s="7">
        <f t="shared" ca="1" si="83"/>
        <v>706</v>
      </c>
      <c r="N279" s="43">
        <f t="shared" ca="1" si="84"/>
        <v>6</v>
      </c>
      <c r="O279" s="92">
        <f t="shared" ca="1" si="85"/>
        <v>2.003415856166523</v>
      </c>
      <c r="P279" s="92">
        <f t="shared" ca="1" si="86"/>
        <v>20.03415856166523</v>
      </c>
      <c r="Q279" s="92">
        <f t="shared" ca="1" si="87"/>
        <v>20.03415856166523</v>
      </c>
      <c r="R279" s="92">
        <f t="shared" ca="1" si="88"/>
        <v>2.003415856166523</v>
      </c>
      <c r="S279" s="92">
        <f t="shared" ca="1" si="89"/>
        <v>2.003415856166523</v>
      </c>
      <c r="T279" s="4">
        <f t="shared" ca="1" si="90"/>
        <v>1.0612660472315629E-2</v>
      </c>
      <c r="U279" s="99">
        <f t="shared" ca="1" si="91"/>
        <v>1523.0284794818213</v>
      </c>
      <c r="V279" s="4">
        <f t="shared" ca="1" si="92"/>
        <v>8.0679126566043333</v>
      </c>
      <c r="W279" s="13">
        <f t="shared" ca="1" si="93"/>
        <v>16559.112862499998</v>
      </c>
      <c r="X279" s="4">
        <f t="shared" ca="1" si="94"/>
        <v>87.718304710202872</v>
      </c>
    </row>
    <row r="280" spans="1:24">
      <c r="A280">
        <v>2</v>
      </c>
      <c r="B280">
        <v>0</v>
      </c>
      <c r="C280">
        <f t="shared" ca="1" si="76"/>
        <v>5</v>
      </c>
      <c r="D280">
        <f t="shared" ca="1" si="77"/>
        <v>3</v>
      </c>
      <c r="E280">
        <f t="shared" ca="1" si="78"/>
        <v>2</v>
      </c>
      <c r="F280" s="100">
        <f t="shared" ca="1" si="79"/>
        <v>0.1838193095</v>
      </c>
      <c r="G280">
        <v>1</v>
      </c>
      <c r="H280">
        <v>1</v>
      </c>
      <c r="I280">
        <v>1</v>
      </c>
      <c r="J280" s="1">
        <f t="shared" ca="1" si="80"/>
        <v>2.9108970000000053E-4</v>
      </c>
      <c r="K280" s="1">
        <f t="shared" ca="1" si="81"/>
        <v>5.350790765656225E-5</v>
      </c>
      <c r="L280" s="13">
        <f t="shared" ca="1" si="82"/>
        <v>273</v>
      </c>
      <c r="M280" s="7">
        <f t="shared" ca="1" si="83"/>
        <v>727</v>
      </c>
      <c r="N280" s="43">
        <f t="shared" ca="1" si="84"/>
        <v>6</v>
      </c>
      <c r="O280" s="92">
        <f t="shared" ca="1" si="85"/>
        <v>2.003415856166523</v>
      </c>
      <c r="P280" s="92">
        <f t="shared" ca="1" si="86"/>
        <v>20.03415856166523</v>
      </c>
      <c r="Q280" s="92">
        <f t="shared" ca="1" si="87"/>
        <v>20.03415856166523</v>
      </c>
      <c r="R280" s="92">
        <f t="shared" ca="1" si="88"/>
        <v>2.003415856166523</v>
      </c>
      <c r="S280" s="92">
        <f t="shared" ca="1" si="89"/>
        <v>2.003415856166523</v>
      </c>
      <c r="T280" s="4">
        <f t="shared" ca="1" si="90"/>
        <v>1.071985906294509E-4</v>
      </c>
      <c r="U280" s="99">
        <f t="shared" ca="1" si="91"/>
        <v>1502.0284794818213</v>
      </c>
      <c r="V280" s="4">
        <f t="shared" ca="1" si="92"/>
        <v>8.0370401177639897E-2</v>
      </c>
      <c r="W280" s="13">
        <f t="shared" ca="1" si="93"/>
        <v>15206.975362499999</v>
      </c>
      <c r="X280" s="4">
        <f t="shared" ca="1" si="94"/>
        <v>0.81369343343226719</v>
      </c>
    </row>
    <row r="281" spans="1:24">
      <c r="A281">
        <v>2</v>
      </c>
      <c r="B281">
        <v>0</v>
      </c>
      <c r="C281">
        <f t="shared" ca="1" si="76"/>
        <v>5</v>
      </c>
      <c r="D281">
        <f t="shared" ca="1" si="77"/>
        <v>3</v>
      </c>
      <c r="E281">
        <f t="shared" ca="1" si="78"/>
        <v>2</v>
      </c>
      <c r="F281" s="100">
        <f t="shared" ca="1" si="79"/>
        <v>0.1838193095</v>
      </c>
      <c r="G281">
        <v>1</v>
      </c>
      <c r="H281">
        <v>1</v>
      </c>
      <c r="I281">
        <v>0</v>
      </c>
      <c r="J281" s="1">
        <f t="shared" ca="1" si="80"/>
        <v>9.8010000000000269E-7</v>
      </c>
      <c r="K281" s="1">
        <f t="shared" ca="1" si="81"/>
        <v>1.801613052409505E-7</v>
      </c>
      <c r="L281" s="13">
        <f t="shared" ca="1" si="82"/>
        <v>252</v>
      </c>
      <c r="M281" s="7">
        <f t="shared" ca="1" si="83"/>
        <v>748</v>
      </c>
      <c r="N281" s="43">
        <f t="shared" ca="1" si="84"/>
        <v>6</v>
      </c>
      <c r="O281" s="92">
        <f t="shared" ca="1" si="85"/>
        <v>2.003415856166523</v>
      </c>
      <c r="P281" s="92">
        <f t="shared" ca="1" si="86"/>
        <v>20.03415856166523</v>
      </c>
      <c r="Q281" s="92">
        <f t="shared" ca="1" si="87"/>
        <v>20.03415856166523</v>
      </c>
      <c r="R281" s="92">
        <f t="shared" ca="1" si="88"/>
        <v>2.003415856166523</v>
      </c>
      <c r="S281" s="92">
        <f t="shared" ca="1" si="89"/>
        <v>2.003415856166523</v>
      </c>
      <c r="T281" s="4">
        <f t="shared" ca="1" si="90"/>
        <v>3.6093801558737712E-7</v>
      </c>
      <c r="U281" s="99">
        <f t="shared" ca="1" si="91"/>
        <v>1481.0284794818213</v>
      </c>
      <c r="V281" s="4">
        <f t="shared" ca="1" si="92"/>
        <v>2.6682402396246518E-4</v>
      </c>
      <c r="W281" s="13">
        <f t="shared" ca="1" si="93"/>
        <v>13854.837862499999</v>
      </c>
      <c r="X281" s="4">
        <f t="shared" ca="1" si="94"/>
        <v>2.4961056732097403E-3</v>
      </c>
    </row>
    <row r="282" spans="1:24">
      <c r="A282">
        <v>2</v>
      </c>
      <c r="B282">
        <v>0</v>
      </c>
      <c r="C282">
        <f t="shared" ca="1" si="76"/>
        <v>5</v>
      </c>
      <c r="D282">
        <f t="shared" ca="1" si="77"/>
        <v>3</v>
      </c>
      <c r="E282">
        <f t="shared" ca="1" si="78"/>
        <v>2</v>
      </c>
      <c r="F282" s="100">
        <f t="shared" ca="1" si="79"/>
        <v>0.1838193095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273</v>
      </c>
      <c r="M282" s="7">
        <f t="shared" ca="1" si="83"/>
        <v>727</v>
      </c>
      <c r="N282" s="43">
        <f t="shared" ca="1" si="84"/>
        <v>6</v>
      </c>
      <c r="O282" s="92">
        <f t="shared" ca="1" si="85"/>
        <v>2.003415856166523</v>
      </c>
      <c r="P282" s="92">
        <f t="shared" ca="1" si="86"/>
        <v>20.03415856166523</v>
      </c>
      <c r="Q282" s="92">
        <f t="shared" ca="1" si="87"/>
        <v>20.03415856166523</v>
      </c>
      <c r="R282" s="92">
        <f t="shared" ca="1" si="88"/>
        <v>2.003415856166523</v>
      </c>
      <c r="S282" s="92">
        <f t="shared" ca="1" si="89"/>
        <v>2.003415856166523</v>
      </c>
      <c r="T282" s="4">
        <f t="shared" ca="1" si="90"/>
        <v>0</v>
      </c>
      <c r="U282" s="99">
        <f t="shared" ca="1" si="91"/>
        <v>1502.0284794818213</v>
      </c>
      <c r="V282" s="4">
        <f t="shared" ca="1" si="92"/>
        <v>0</v>
      </c>
      <c r="W282" s="13">
        <f t="shared" ca="1" si="93"/>
        <v>21932.249737499998</v>
      </c>
      <c r="X282" s="4">
        <f t="shared" ca="1" si="94"/>
        <v>0</v>
      </c>
    </row>
    <row r="283" spans="1:24">
      <c r="A283">
        <v>2</v>
      </c>
      <c r="B283">
        <v>0</v>
      </c>
      <c r="C283">
        <f t="shared" ca="1" si="76"/>
        <v>5</v>
      </c>
      <c r="D283">
        <f t="shared" ca="1" si="77"/>
        <v>3</v>
      </c>
      <c r="E283">
        <f t="shared" ca="1" si="78"/>
        <v>2</v>
      </c>
      <c r="F283" s="100">
        <f t="shared" ca="1" si="79"/>
        <v>0.1838193095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252</v>
      </c>
      <c r="M283" s="7">
        <f t="shared" ca="1" si="83"/>
        <v>748</v>
      </c>
      <c r="N283" s="43">
        <f t="shared" ca="1" si="84"/>
        <v>6</v>
      </c>
      <c r="O283" s="92">
        <f t="shared" ca="1" si="85"/>
        <v>2.003415856166523</v>
      </c>
      <c r="P283" s="92">
        <f t="shared" ca="1" si="86"/>
        <v>20.03415856166523</v>
      </c>
      <c r="Q283" s="92">
        <f t="shared" ca="1" si="87"/>
        <v>20.03415856166523</v>
      </c>
      <c r="R283" s="92">
        <f t="shared" ca="1" si="88"/>
        <v>2.003415856166523</v>
      </c>
      <c r="S283" s="92">
        <f t="shared" ca="1" si="89"/>
        <v>2.003415856166523</v>
      </c>
      <c r="T283" s="4">
        <f t="shared" ca="1" si="90"/>
        <v>0</v>
      </c>
      <c r="U283" s="99">
        <f t="shared" ca="1" si="91"/>
        <v>1481.0284794818213</v>
      </c>
      <c r="V283" s="4">
        <f t="shared" ca="1" si="92"/>
        <v>0</v>
      </c>
      <c r="W283" s="13">
        <f t="shared" ca="1" si="93"/>
        <v>20580.112237499998</v>
      </c>
      <c r="X283" s="4">
        <f t="shared" ca="1" si="94"/>
        <v>0</v>
      </c>
    </row>
    <row r="284" spans="1:24">
      <c r="A284">
        <v>2</v>
      </c>
      <c r="B284">
        <v>0</v>
      </c>
      <c r="C284">
        <f t="shared" ca="1" si="76"/>
        <v>5</v>
      </c>
      <c r="D284">
        <f t="shared" ca="1" si="77"/>
        <v>3</v>
      </c>
      <c r="E284">
        <f t="shared" ca="1" si="78"/>
        <v>2</v>
      </c>
      <c r="F284" s="100">
        <f t="shared" ca="1" si="79"/>
        <v>0.1838193095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231</v>
      </c>
      <c r="M284" s="7">
        <f t="shared" ca="1" si="83"/>
        <v>769</v>
      </c>
      <c r="N284" s="43">
        <f t="shared" ca="1" si="84"/>
        <v>6</v>
      </c>
      <c r="O284" s="92">
        <f t="shared" ca="1" si="85"/>
        <v>2.003415856166523</v>
      </c>
      <c r="P284" s="92">
        <f t="shared" ca="1" si="86"/>
        <v>20.03415856166523</v>
      </c>
      <c r="Q284" s="92">
        <f t="shared" ca="1" si="87"/>
        <v>20.03415856166523</v>
      </c>
      <c r="R284" s="92">
        <f t="shared" ca="1" si="88"/>
        <v>2.003415856166523</v>
      </c>
      <c r="S284" s="92">
        <f t="shared" ca="1" si="89"/>
        <v>2.003415856166523</v>
      </c>
      <c r="T284" s="4">
        <f t="shared" ca="1" si="90"/>
        <v>0</v>
      </c>
      <c r="U284" s="99">
        <f t="shared" ca="1" si="91"/>
        <v>1460.0284794818213</v>
      </c>
      <c r="V284" s="4">
        <f t="shared" ca="1" si="92"/>
        <v>0</v>
      </c>
      <c r="W284" s="13">
        <f t="shared" ca="1" si="93"/>
        <v>19227.974737500001</v>
      </c>
      <c r="X284" s="4">
        <f t="shared" ca="1" si="94"/>
        <v>0</v>
      </c>
    </row>
    <row r="285" spans="1:24">
      <c r="A285">
        <v>2</v>
      </c>
      <c r="B285">
        <v>0</v>
      </c>
      <c r="C285">
        <f t="shared" ca="1" si="76"/>
        <v>5</v>
      </c>
      <c r="D285">
        <f t="shared" ca="1" si="77"/>
        <v>3</v>
      </c>
      <c r="E285">
        <f t="shared" ca="1" si="78"/>
        <v>2</v>
      </c>
      <c r="F285" s="100">
        <f t="shared" ca="1" si="79"/>
        <v>0.1838193095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210</v>
      </c>
      <c r="M285" s="7">
        <f t="shared" ca="1" si="83"/>
        <v>790</v>
      </c>
      <c r="N285" s="43">
        <f t="shared" ca="1" si="84"/>
        <v>7</v>
      </c>
      <c r="O285" s="92">
        <f t="shared" ca="1" si="85"/>
        <v>2.264588428134358</v>
      </c>
      <c r="P285" s="92">
        <f t="shared" ca="1" si="86"/>
        <v>22.645884281343584</v>
      </c>
      <c r="Q285" s="92">
        <f t="shared" ca="1" si="87"/>
        <v>21.340021421504403</v>
      </c>
      <c r="R285" s="92">
        <f t="shared" ca="1" si="88"/>
        <v>2.1992952851423992</v>
      </c>
      <c r="S285" s="92">
        <f t="shared" ca="1" si="89"/>
        <v>2.264588428134358</v>
      </c>
      <c r="T285" s="4">
        <f t="shared" ca="1" si="90"/>
        <v>0</v>
      </c>
      <c r="U285" s="99">
        <f t="shared" ca="1" si="91"/>
        <v>1567.2486983548911</v>
      </c>
      <c r="V285" s="4">
        <f t="shared" ca="1" si="92"/>
        <v>0</v>
      </c>
      <c r="W285" s="13">
        <f t="shared" ca="1" si="93"/>
        <v>17875.8372375</v>
      </c>
      <c r="X285" s="4">
        <f t="shared" ca="1" si="94"/>
        <v>0</v>
      </c>
    </row>
    <row r="286" spans="1:24">
      <c r="A286">
        <v>2</v>
      </c>
      <c r="B286">
        <v>0</v>
      </c>
      <c r="C286">
        <f t="shared" ca="1" si="76"/>
        <v>5</v>
      </c>
      <c r="D286">
        <f t="shared" ca="1" si="77"/>
        <v>3</v>
      </c>
      <c r="E286">
        <f t="shared" ca="1" si="78"/>
        <v>2</v>
      </c>
      <c r="F286" s="100">
        <f t="shared" ca="1" si="79"/>
        <v>0.1838193095</v>
      </c>
      <c r="G286">
        <v>1</v>
      </c>
      <c r="H286">
        <v>0</v>
      </c>
      <c r="I286">
        <v>3</v>
      </c>
      <c r="J286" s="1">
        <f t="shared" ca="1" si="80"/>
        <v>9.6059601000000085E-3</v>
      </c>
      <c r="K286" s="1">
        <f t="shared" ca="1" si="81"/>
        <v>1.7657609526665525E-3</v>
      </c>
      <c r="L286" s="13">
        <f t="shared" ca="1" si="82"/>
        <v>189</v>
      </c>
      <c r="M286" s="7">
        <f t="shared" ca="1" si="83"/>
        <v>811</v>
      </c>
      <c r="N286" s="43">
        <f t="shared" ca="1" si="84"/>
        <v>7</v>
      </c>
      <c r="O286" s="92">
        <f t="shared" ca="1" si="85"/>
        <v>2.264588428134358</v>
      </c>
      <c r="P286" s="92">
        <f t="shared" ca="1" si="86"/>
        <v>22.645884281343584</v>
      </c>
      <c r="Q286" s="92">
        <f t="shared" ca="1" si="87"/>
        <v>22.645884281343584</v>
      </c>
      <c r="R286" s="92">
        <f t="shared" ca="1" si="88"/>
        <v>2.2645884281343585</v>
      </c>
      <c r="S286" s="92">
        <f t="shared" ca="1" si="89"/>
        <v>2.264588428134358</v>
      </c>
      <c r="T286" s="4">
        <f t="shared" ca="1" si="90"/>
        <v>3.9987218202601751E-3</v>
      </c>
      <c r="U286" s="99">
        <f t="shared" ca="1" si="91"/>
        <v>1546.2486983548911</v>
      </c>
      <c r="V286" s="4">
        <f t="shared" ca="1" si="92"/>
        <v>2.7303055746665494</v>
      </c>
      <c r="W286" s="13">
        <f t="shared" ca="1" si="93"/>
        <v>16523.699737499999</v>
      </c>
      <c r="X286" s="4">
        <f t="shared" ca="1" si="94"/>
        <v>29.176903790064063</v>
      </c>
    </row>
    <row r="287" spans="1:24">
      <c r="A287">
        <v>2</v>
      </c>
      <c r="B287">
        <v>0</v>
      </c>
      <c r="C287">
        <f t="shared" ca="1" si="76"/>
        <v>5</v>
      </c>
      <c r="D287">
        <f t="shared" ca="1" si="77"/>
        <v>3</v>
      </c>
      <c r="E287">
        <f t="shared" ca="1" si="78"/>
        <v>2</v>
      </c>
      <c r="F287" s="100">
        <f t="shared" ca="1" si="79"/>
        <v>0.1838193095</v>
      </c>
      <c r="G287">
        <v>1</v>
      </c>
      <c r="H287">
        <v>0</v>
      </c>
      <c r="I287">
        <v>2</v>
      </c>
      <c r="J287" s="1">
        <f t="shared" ca="1" si="80"/>
        <v>2.9108970000000053E-4</v>
      </c>
      <c r="K287" s="1">
        <f t="shared" ca="1" si="81"/>
        <v>5.350790765656225E-5</v>
      </c>
      <c r="L287" s="13">
        <f t="shared" ca="1" si="82"/>
        <v>168</v>
      </c>
      <c r="M287" s="7">
        <f t="shared" ca="1" si="83"/>
        <v>832</v>
      </c>
      <c r="N287" s="43">
        <f t="shared" ca="1" si="84"/>
        <v>7</v>
      </c>
      <c r="O287" s="92">
        <f t="shared" ca="1" si="85"/>
        <v>2.264588428134358</v>
      </c>
      <c r="P287" s="92">
        <f t="shared" ca="1" si="86"/>
        <v>22.645884281343584</v>
      </c>
      <c r="Q287" s="92">
        <f t="shared" ca="1" si="87"/>
        <v>22.645884281343584</v>
      </c>
      <c r="R287" s="92">
        <f t="shared" ca="1" si="88"/>
        <v>2.2645884281343585</v>
      </c>
      <c r="S287" s="92">
        <f t="shared" ca="1" si="89"/>
        <v>2.264588428134358</v>
      </c>
      <c r="T287" s="4">
        <f t="shared" ca="1" si="90"/>
        <v>1.2117338849273268E-4</v>
      </c>
      <c r="U287" s="99">
        <f t="shared" ca="1" si="91"/>
        <v>1525.2486983548911</v>
      </c>
      <c r="V287" s="4">
        <f t="shared" ca="1" si="92"/>
        <v>8.1612866504865281E-2</v>
      </c>
      <c r="W287" s="13">
        <f t="shared" ca="1" si="93"/>
        <v>15171.562237499998</v>
      </c>
      <c r="X287" s="4">
        <f t="shared" ca="1" si="94"/>
        <v>0.81179855120993683</v>
      </c>
    </row>
    <row r="288" spans="1:24">
      <c r="A288">
        <v>2</v>
      </c>
      <c r="B288">
        <v>0</v>
      </c>
      <c r="C288">
        <f t="shared" ca="1" si="76"/>
        <v>5</v>
      </c>
      <c r="D288">
        <f t="shared" ca="1" si="77"/>
        <v>3</v>
      </c>
      <c r="E288">
        <f t="shared" ca="1" si="78"/>
        <v>2</v>
      </c>
      <c r="F288" s="100">
        <f t="shared" ca="1" si="79"/>
        <v>0.1838193095</v>
      </c>
      <c r="G288">
        <v>1</v>
      </c>
      <c r="H288">
        <v>0</v>
      </c>
      <c r="I288">
        <v>1</v>
      </c>
      <c r="J288" s="1">
        <f t="shared" ca="1" si="80"/>
        <v>2.9403000000000081E-6</v>
      </c>
      <c r="K288" s="1">
        <f t="shared" ca="1" si="81"/>
        <v>5.4048391572285151E-7</v>
      </c>
      <c r="L288" s="13">
        <f t="shared" ca="1" si="82"/>
        <v>147</v>
      </c>
      <c r="M288" s="7">
        <f t="shared" ca="1" si="83"/>
        <v>853</v>
      </c>
      <c r="N288" s="43">
        <f t="shared" ca="1" si="84"/>
        <v>7</v>
      </c>
      <c r="O288" s="92">
        <f t="shared" ca="1" si="85"/>
        <v>2.264588428134358</v>
      </c>
      <c r="P288" s="92">
        <f t="shared" ca="1" si="86"/>
        <v>22.645884281343584</v>
      </c>
      <c r="Q288" s="92">
        <f t="shared" ca="1" si="87"/>
        <v>22.645884281343584</v>
      </c>
      <c r="R288" s="92">
        <f t="shared" ca="1" si="88"/>
        <v>2.2645884281343585</v>
      </c>
      <c r="S288" s="92">
        <f t="shared" ca="1" si="89"/>
        <v>2.264588428134358</v>
      </c>
      <c r="T288" s="4">
        <f t="shared" ca="1" si="90"/>
        <v>1.2239736211387152E-6</v>
      </c>
      <c r="U288" s="99">
        <f t="shared" ca="1" si="91"/>
        <v>1504.2486983548911</v>
      </c>
      <c r="V288" s="4">
        <f t="shared" ca="1" si="92"/>
        <v>8.1302222670785404E-4</v>
      </c>
      <c r="W288" s="13">
        <f t="shared" ca="1" si="93"/>
        <v>13819.4247375</v>
      </c>
      <c r="X288" s="4">
        <f t="shared" ca="1" si="94"/>
        <v>7.4691767951612391E-3</v>
      </c>
    </row>
    <row r="289" spans="1:24">
      <c r="A289">
        <v>2</v>
      </c>
      <c r="B289">
        <v>0</v>
      </c>
      <c r="C289">
        <f t="shared" ca="1" si="76"/>
        <v>5</v>
      </c>
      <c r="D289">
        <f t="shared" ca="1" si="77"/>
        <v>3</v>
      </c>
      <c r="E289">
        <f t="shared" ca="1" si="78"/>
        <v>2</v>
      </c>
      <c r="F289" s="100">
        <f t="shared" ca="1" si="79"/>
        <v>0.1838193095</v>
      </c>
      <c r="G289">
        <v>1</v>
      </c>
      <c r="H289">
        <v>0</v>
      </c>
      <c r="I289">
        <v>0</v>
      </c>
      <c r="J289" s="1">
        <f t="shared" ca="1" si="80"/>
        <v>9.9000000000000357E-9</v>
      </c>
      <c r="K289" s="1">
        <f t="shared" ca="1" si="81"/>
        <v>1.8198111640500065E-9</v>
      </c>
      <c r="L289" s="13">
        <f t="shared" ca="1" si="82"/>
        <v>126</v>
      </c>
      <c r="M289" s="7">
        <f t="shared" ca="1" si="83"/>
        <v>874</v>
      </c>
      <c r="N289" s="43">
        <f t="shared" ca="1" si="84"/>
        <v>7</v>
      </c>
      <c r="O289" s="92">
        <f t="shared" ca="1" si="85"/>
        <v>2.264588428134358</v>
      </c>
      <c r="P289" s="92">
        <f t="shared" ca="1" si="86"/>
        <v>22.645884281343584</v>
      </c>
      <c r="Q289" s="92">
        <f t="shared" ca="1" si="87"/>
        <v>22.645884281343584</v>
      </c>
      <c r="R289" s="92">
        <f t="shared" ca="1" si="88"/>
        <v>2.2645884281343585</v>
      </c>
      <c r="S289" s="92">
        <f t="shared" ca="1" si="89"/>
        <v>2.264588428134358</v>
      </c>
      <c r="T289" s="4">
        <f t="shared" ca="1" si="90"/>
        <v>4.1211233034973607E-9</v>
      </c>
      <c r="U289" s="99">
        <f t="shared" ca="1" si="91"/>
        <v>1483.2486983548911</v>
      </c>
      <c r="V289" s="4">
        <f t="shared" ca="1" si="92"/>
        <v>2.6992325403288714E-6</v>
      </c>
      <c r="W289" s="13">
        <f t="shared" ca="1" si="93"/>
        <v>12467.287237499999</v>
      </c>
      <c r="X289" s="4">
        <f t="shared" ca="1" si="94"/>
        <v>2.2688108500220663E-5</v>
      </c>
    </row>
    <row r="290" spans="1:24">
      <c r="A290">
        <v>2</v>
      </c>
      <c r="B290">
        <v>0</v>
      </c>
      <c r="C290">
        <f t="shared" ca="1" si="76"/>
        <v>5</v>
      </c>
      <c r="D290">
        <f t="shared" ca="1" si="77"/>
        <v>3</v>
      </c>
      <c r="E290">
        <f t="shared" ca="1" si="78"/>
        <v>2</v>
      </c>
      <c r="F290" s="100">
        <f t="shared" ca="1" si="79"/>
        <v>0.1838193095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273</v>
      </c>
      <c r="M290" s="7">
        <f t="shared" ca="1" si="83"/>
        <v>727</v>
      </c>
      <c r="N290" s="43">
        <f t="shared" ca="1" si="84"/>
        <v>6</v>
      </c>
      <c r="O290" s="92">
        <f t="shared" ca="1" si="85"/>
        <v>2.003415856166523</v>
      </c>
      <c r="P290" s="92">
        <f t="shared" ca="1" si="86"/>
        <v>20.03415856166523</v>
      </c>
      <c r="Q290" s="92">
        <f t="shared" ca="1" si="87"/>
        <v>20.03415856166523</v>
      </c>
      <c r="R290" s="92">
        <f t="shared" ca="1" si="88"/>
        <v>2.003415856166523</v>
      </c>
      <c r="S290" s="92">
        <f t="shared" ca="1" si="89"/>
        <v>2.003415856166523</v>
      </c>
      <c r="T290" s="4">
        <f t="shared" ca="1" si="90"/>
        <v>0</v>
      </c>
      <c r="U290" s="99">
        <f t="shared" ca="1" si="91"/>
        <v>1502.0284794818213</v>
      </c>
      <c r="V290" s="4">
        <f t="shared" ca="1" si="92"/>
        <v>0</v>
      </c>
      <c r="W290" s="13">
        <f t="shared" ca="1" si="93"/>
        <v>10852.513124999999</v>
      </c>
      <c r="X290" s="4">
        <f t="shared" ca="1" si="94"/>
        <v>0</v>
      </c>
    </row>
    <row r="291" spans="1:24">
      <c r="A291">
        <v>2</v>
      </c>
      <c r="B291">
        <v>0</v>
      </c>
      <c r="C291">
        <f t="shared" ca="1" si="76"/>
        <v>5</v>
      </c>
      <c r="D291">
        <f t="shared" ca="1" si="77"/>
        <v>3</v>
      </c>
      <c r="E291">
        <f t="shared" ca="1" si="78"/>
        <v>2</v>
      </c>
      <c r="F291" s="100">
        <f t="shared" ca="1" si="79"/>
        <v>0.1838193095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252</v>
      </c>
      <c r="M291" s="7">
        <f t="shared" ca="1" si="83"/>
        <v>748</v>
      </c>
      <c r="N291" s="43">
        <f t="shared" ca="1" si="84"/>
        <v>6</v>
      </c>
      <c r="O291" s="92">
        <f t="shared" ca="1" si="85"/>
        <v>2.003415856166523</v>
      </c>
      <c r="P291" s="92">
        <f t="shared" ca="1" si="86"/>
        <v>20.03415856166523</v>
      </c>
      <c r="Q291" s="92">
        <f t="shared" ca="1" si="87"/>
        <v>20.03415856166523</v>
      </c>
      <c r="R291" s="92">
        <f t="shared" ca="1" si="88"/>
        <v>2.003415856166523</v>
      </c>
      <c r="S291" s="92">
        <f t="shared" ca="1" si="89"/>
        <v>2.003415856166523</v>
      </c>
      <c r="T291" s="4">
        <f t="shared" ca="1" si="90"/>
        <v>0</v>
      </c>
      <c r="U291" s="99">
        <f t="shared" ca="1" si="91"/>
        <v>1481.0284794818213</v>
      </c>
      <c r="V291" s="4">
        <f t="shared" ca="1" si="92"/>
        <v>0</v>
      </c>
      <c r="W291" s="13">
        <f t="shared" ca="1" si="93"/>
        <v>9500.3756250000006</v>
      </c>
      <c r="X291" s="4">
        <f t="shared" ca="1" si="94"/>
        <v>0</v>
      </c>
    </row>
    <row r="292" spans="1:24">
      <c r="A292">
        <v>2</v>
      </c>
      <c r="B292">
        <v>0</v>
      </c>
      <c r="C292">
        <f t="shared" ca="1" si="76"/>
        <v>5</v>
      </c>
      <c r="D292">
        <f t="shared" ca="1" si="77"/>
        <v>3</v>
      </c>
      <c r="E292">
        <f t="shared" ca="1" si="78"/>
        <v>2</v>
      </c>
      <c r="F292" s="100">
        <f t="shared" ca="1" si="79"/>
        <v>0.1838193095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231</v>
      </c>
      <c r="M292" s="7">
        <f t="shared" ca="1" si="83"/>
        <v>769</v>
      </c>
      <c r="N292" s="43">
        <f t="shared" ca="1" si="84"/>
        <v>6</v>
      </c>
      <c r="O292" s="92">
        <f t="shared" ca="1" si="85"/>
        <v>2.003415856166523</v>
      </c>
      <c r="P292" s="92">
        <f t="shared" ca="1" si="86"/>
        <v>20.03415856166523</v>
      </c>
      <c r="Q292" s="92">
        <f t="shared" ca="1" si="87"/>
        <v>20.03415856166523</v>
      </c>
      <c r="R292" s="92">
        <f t="shared" ca="1" si="88"/>
        <v>2.003415856166523</v>
      </c>
      <c r="S292" s="92">
        <f t="shared" ca="1" si="89"/>
        <v>2.003415856166523</v>
      </c>
      <c r="T292" s="4">
        <f t="shared" ca="1" si="90"/>
        <v>0</v>
      </c>
      <c r="U292" s="99">
        <f t="shared" ca="1" si="91"/>
        <v>1460.0284794818213</v>
      </c>
      <c r="V292" s="4">
        <f t="shared" ca="1" si="92"/>
        <v>0</v>
      </c>
      <c r="W292" s="13">
        <f t="shared" ca="1" si="93"/>
        <v>8148.2381249999999</v>
      </c>
      <c r="X292" s="4">
        <f t="shared" ca="1" si="94"/>
        <v>0</v>
      </c>
    </row>
    <row r="293" spans="1:24">
      <c r="A293">
        <v>2</v>
      </c>
      <c r="B293">
        <v>0</v>
      </c>
      <c r="C293">
        <f t="shared" ca="1" si="76"/>
        <v>5</v>
      </c>
      <c r="D293">
        <f t="shared" ca="1" si="77"/>
        <v>3</v>
      </c>
      <c r="E293">
        <f t="shared" ca="1" si="78"/>
        <v>2</v>
      </c>
      <c r="F293" s="100">
        <f t="shared" ca="1" si="79"/>
        <v>0.1838193095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210</v>
      </c>
      <c r="M293" s="7">
        <f t="shared" ca="1" si="83"/>
        <v>790</v>
      </c>
      <c r="N293" s="43">
        <f t="shared" ca="1" si="84"/>
        <v>7</v>
      </c>
      <c r="O293" s="92">
        <f t="shared" ca="1" si="85"/>
        <v>2.264588428134358</v>
      </c>
      <c r="P293" s="92">
        <f t="shared" ca="1" si="86"/>
        <v>22.645884281343584</v>
      </c>
      <c r="Q293" s="92">
        <f t="shared" ca="1" si="87"/>
        <v>21.340021421504403</v>
      </c>
      <c r="R293" s="92">
        <f t="shared" ca="1" si="88"/>
        <v>2.1992952851423992</v>
      </c>
      <c r="S293" s="92">
        <f t="shared" ca="1" si="89"/>
        <v>2.264588428134358</v>
      </c>
      <c r="T293" s="4">
        <f t="shared" ca="1" si="90"/>
        <v>0</v>
      </c>
      <c r="U293" s="99">
        <f t="shared" ca="1" si="91"/>
        <v>1567.2486983548911</v>
      </c>
      <c r="V293" s="4">
        <f t="shared" ca="1" si="92"/>
        <v>0</v>
      </c>
      <c r="W293" s="13">
        <f t="shared" ca="1" si="93"/>
        <v>6796.100625</v>
      </c>
      <c r="X293" s="4">
        <f t="shared" ca="1" si="94"/>
        <v>0</v>
      </c>
    </row>
    <row r="294" spans="1:24">
      <c r="A294">
        <v>2</v>
      </c>
      <c r="B294">
        <v>0</v>
      </c>
      <c r="C294">
        <f t="shared" ca="1" si="76"/>
        <v>5</v>
      </c>
      <c r="D294">
        <f t="shared" ca="1" si="77"/>
        <v>3</v>
      </c>
      <c r="E294">
        <f t="shared" ca="1" si="78"/>
        <v>2</v>
      </c>
      <c r="F294" s="100">
        <f t="shared" ca="1" si="79"/>
        <v>0.1838193095</v>
      </c>
      <c r="G294">
        <v>0</v>
      </c>
      <c r="H294">
        <v>1</v>
      </c>
      <c r="I294">
        <v>3</v>
      </c>
      <c r="J294" s="1">
        <f t="shared" ca="1" si="80"/>
        <v>9.6059601000000085E-3</v>
      </c>
      <c r="K294" s="1">
        <f t="shared" ca="1" si="81"/>
        <v>1.7657609526665525E-3</v>
      </c>
      <c r="L294" s="13">
        <f t="shared" ca="1" si="82"/>
        <v>189</v>
      </c>
      <c r="M294" s="7">
        <f t="shared" ca="1" si="83"/>
        <v>811</v>
      </c>
      <c r="N294" s="43">
        <f t="shared" ca="1" si="84"/>
        <v>7</v>
      </c>
      <c r="O294" s="92">
        <f t="shared" ca="1" si="85"/>
        <v>2.264588428134358</v>
      </c>
      <c r="P294" s="92">
        <f t="shared" ca="1" si="86"/>
        <v>22.645884281343584</v>
      </c>
      <c r="Q294" s="92">
        <f t="shared" ca="1" si="87"/>
        <v>22.645884281343584</v>
      </c>
      <c r="R294" s="92">
        <f t="shared" ca="1" si="88"/>
        <v>2.2645884281343585</v>
      </c>
      <c r="S294" s="92">
        <f t="shared" ca="1" si="89"/>
        <v>2.264588428134358</v>
      </c>
      <c r="T294" s="4">
        <f t="shared" ca="1" si="90"/>
        <v>3.9987218202601751E-3</v>
      </c>
      <c r="U294" s="99">
        <f t="shared" ca="1" si="91"/>
        <v>1546.2486983548911</v>
      </c>
      <c r="V294" s="4">
        <f t="shared" ca="1" si="92"/>
        <v>2.7303055746665494</v>
      </c>
      <c r="W294" s="13">
        <f t="shared" ca="1" si="93"/>
        <v>5443.9631250000002</v>
      </c>
      <c r="X294" s="4">
        <f t="shared" ca="1" si="94"/>
        <v>9.6127375138815836</v>
      </c>
    </row>
    <row r="295" spans="1:24">
      <c r="A295">
        <v>2</v>
      </c>
      <c r="B295">
        <v>0</v>
      </c>
      <c r="C295">
        <f t="shared" ca="1" si="76"/>
        <v>5</v>
      </c>
      <c r="D295">
        <f t="shared" ca="1" si="77"/>
        <v>3</v>
      </c>
      <c r="E295">
        <f t="shared" ca="1" si="78"/>
        <v>2</v>
      </c>
      <c r="F295" s="100">
        <f t="shared" ca="1" si="79"/>
        <v>0.1838193095</v>
      </c>
      <c r="G295">
        <v>0</v>
      </c>
      <c r="H295">
        <v>1</v>
      </c>
      <c r="I295">
        <v>2</v>
      </c>
      <c r="J295" s="1">
        <f t="shared" ca="1" si="80"/>
        <v>2.9108970000000053E-4</v>
      </c>
      <c r="K295" s="1">
        <f t="shared" ca="1" si="81"/>
        <v>5.350790765656225E-5</v>
      </c>
      <c r="L295" s="13">
        <f t="shared" ca="1" si="82"/>
        <v>168</v>
      </c>
      <c r="M295" s="7">
        <f t="shared" ca="1" si="83"/>
        <v>832</v>
      </c>
      <c r="N295" s="43">
        <f t="shared" ca="1" si="84"/>
        <v>7</v>
      </c>
      <c r="O295" s="92">
        <f t="shared" ca="1" si="85"/>
        <v>2.264588428134358</v>
      </c>
      <c r="P295" s="92">
        <f t="shared" ca="1" si="86"/>
        <v>22.645884281343584</v>
      </c>
      <c r="Q295" s="92">
        <f t="shared" ca="1" si="87"/>
        <v>22.645884281343584</v>
      </c>
      <c r="R295" s="92">
        <f t="shared" ca="1" si="88"/>
        <v>2.2645884281343585</v>
      </c>
      <c r="S295" s="92">
        <f t="shared" ca="1" si="89"/>
        <v>2.264588428134358</v>
      </c>
      <c r="T295" s="4">
        <f t="shared" ca="1" si="90"/>
        <v>1.2117338849273268E-4</v>
      </c>
      <c r="U295" s="99">
        <f t="shared" ca="1" si="91"/>
        <v>1525.2486983548911</v>
      </c>
      <c r="V295" s="4">
        <f t="shared" ca="1" si="92"/>
        <v>8.1612866504865281E-2</v>
      </c>
      <c r="W295" s="13">
        <f t="shared" ca="1" si="93"/>
        <v>4091.8256249999999</v>
      </c>
      <c r="X295" s="4">
        <f t="shared" ca="1" si="94"/>
        <v>0.21894502768925511</v>
      </c>
    </row>
    <row r="296" spans="1:24">
      <c r="A296">
        <v>2</v>
      </c>
      <c r="B296">
        <v>0</v>
      </c>
      <c r="C296">
        <f t="shared" ca="1" si="76"/>
        <v>5</v>
      </c>
      <c r="D296">
        <f t="shared" ca="1" si="77"/>
        <v>3</v>
      </c>
      <c r="E296">
        <f t="shared" ca="1" si="78"/>
        <v>2</v>
      </c>
      <c r="F296" s="100">
        <f t="shared" ca="1" si="79"/>
        <v>0.1838193095</v>
      </c>
      <c r="G296">
        <v>0</v>
      </c>
      <c r="H296">
        <v>1</v>
      </c>
      <c r="I296">
        <v>1</v>
      </c>
      <c r="J296" s="1">
        <f t="shared" ca="1" si="80"/>
        <v>2.9403000000000081E-6</v>
      </c>
      <c r="K296" s="1">
        <f t="shared" ca="1" si="81"/>
        <v>5.4048391572285151E-7</v>
      </c>
      <c r="L296" s="13">
        <f t="shared" ca="1" si="82"/>
        <v>147</v>
      </c>
      <c r="M296" s="7">
        <f t="shared" ca="1" si="83"/>
        <v>853</v>
      </c>
      <c r="N296" s="43">
        <f t="shared" ca="1" si="84"/>
        <v>7</v>
      </c>
      <c r="O296" s="92">
        <f t="shared" ca="1" si="85"/>
        <v>2.264588428134358</v>
      </c>
      <c r="P296" s="92">
        <f t="shared" ca="1" si="86"/>
        <v>22.645884281343584</v>
      </c>
      <c r="Q296" s="92">
        <f t="shared" ca="1" si="87"/>
        <v>22.645884281343584</v>
      </c>
      <c r="R296" s="92">
        <f t="shared" ca="1" si="88"/>
        <v>2.2645884281343585</v>
      </c>
      <c r="S296" s="92">
        <f t="shared" ca="1" si="89"/>
        <v>2.264588428134358</v>
      </c>
      <c r="T296" s="4">
        <f t="shared" ca="1" si="90"/>
        <v>1.2239736211387152E-6</v>
      </c>
      <c r="U296" s="99">
        <f t="shared" ca="1" si="91"/>
        <v>1504.2486983548911</v>
      </c>
      <c r="V296" s="4">
        <f t="shared" ca="1" si="92"/>
        <v>8.1302222670785404E-4</v>
      </c>
      <c r="W296" s="13">
        <f t="shared" ca="1" si="93"/>
        <v>2739.6881249999997</v>
      </c>
      <c r="X296" s="4">
        <f t="shared" ca="1" si="94"/>
        <v>1.4807573656593969E-3</v>
      </c>
    </row>
    <row r="297" spans="1:24">
      <c r="A297">
        <v>2</v>
      </c>
      <c r="B297">
        <v>0</v>
      </c>
      <c r="C297">
        <f t="shared" ca="1" si="76"/>
        <v>5</v>
      </c>
      <c r="D297">
        <f t="shared" ca="1" si="77"/>
        <v>3</v>
      </c>
      <c r="E297">
        <f t="shared" ca="1" si="78"/>
        <v>2</v>
      </c>
      <c r="F297" s="100">
        <f t="shared" ca="1" si="79"/>
        <v>0.1838193095</v>
      </c>
      <c r="G297">
        <v>0</v>
      </c>
      <c r="H297">
        <v>1</v>
      </c>
      <c r="I297">
        <v>0</v>
      </c>
      <c r="J297" s="1">
        <f t="shared" ca="1" si="80"/>
        <v>9.9000000000000357E-9</v>
      </c>
      <c r="K297" s="1">
        <f t="shared" ca="1" si="81"/>
        <v>1.8198111640500065E-9</v>
      </c>
      <c r="L297" s="13">
        <f t="shared" ca="1" si="82"/>
        <v>126</v>
      </c>
      <c r="M297" s="7">
        <f t="shared" ca="1" si="83"/>
        <v>874</v>
      </c>
      <c r="N297" s="43">
        <f t="shared" ca="1" si="84"/>
        <v>7</v>
      </c>
      <c r="O297" s="92">
        <f t="shared" ca="1" si="85"/>
        <v>2.264588428134358</v>
      </c>
      <c r="P297" s="92">
        <f t="shared" ca="1" si="86"/>
        <v>22.645884281343584</v>
      </c>
      <c r="Q297" s="92">
        <f t="shared" ca="1" si="87"/>
        <v>22.645884281343584</v>
      </c>
      <c r="R297" s="92">
        <f t="shared" ca="1" si="88"/>
        <v>2.2645884281343585</v>
      </c>
      <c r="S297" s="92">
        <f t="shared" ca="1" si="89"/>
        <v>2.264588428134358</v>
      </c>
      <c r="T297" s="4">
        <f t="shared" ca="1" si="90"/>
        <v>4.1211233034973607E-9</v>
      </c>
      <c r="U297" s="99">
        <f t="shared" ca="1" si="91"/>
        <v>1483.2486983548911</v>
      </c>
      <c r="V297" s="4">
        <f t="shared" ca="1" si="92"/>
        <v>2.6992325403288714E-6</v>
      </c>
      <c r="W297" s="13">
        <f t="shared" ca="1" si="93"/>
        <v>1387.5506249999999</v>
      </c>
      <c r="X297" s="4">
        <f t="shared" ca="1" si="94"/>
        <v>2.5250801180595636E-6</v>
      </c>
    </row>
    <row r="298" spans="1:24">
      <c r="A298">
        <v>2</v>
      </c>
      <c r="B298">
        <v>0</v>
      </c>
      <c r="C298">
        <f t="shared" ca="1" si="76"/>
        <v>5</v>
      </c>
      <c r="D298">
        <f t="shared" ca="1" si="77"/>
        <v>3</v>
      </c>
      <c r="E298">
        <f t="shared" ca="1" si="78"/>
        <v>2</v>
      </c>
      <c r="F298" s="100">
        <f t="shared" ca="1" si="79"/>
        <v>0.1838193095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3">
        <f t="shared" ca="1" si="84"/>
        <v>7</v>
      </c>
      <c r="O298" s="92">
        <f t="shared" ca="1" si="85"/>
        <v>2.264588428134358</v>
      </c>
      <c r="P298" s="92">
        <f t="shared" ca="1" si="86"/>
        <v>22.645884281343584</v>
      </c>
      <c r="Q298" s="92">
        <f t="shared" ca="1" si="87"/>
        <v>22.645884281343584</v>
      </c>
      <c r="R298" s="92">
        <f t="shared" ca="1" si="88"/>
        <v>2.2645884281343585</v>
      </c>
      <c r="S298" s="92">
        <f t="shared" ca="1" si="89"/>
        <v>2.264588428134358</v>
      </c>
      <c r="T298" s="4">
        <f t="shared" ca="1" si="90"/>
        <v>0</v>
      </c>
      <c r="U298" s="99">
        <f t="shared" ca="1" si="91"/>
        <v>1504.2486983548911</v>
      </c>
      <c r="V298" s="4">
        <f t="shared" ca="1" si="92"/>
        <v>0</v>
      </c>
      <c r="W298" s="13">
        <f t="shared" ca="1" si="93"/>
        <v>9464.9624999999996</v>
      </c>
      <c r="X298" s="4">
        <f t="shared" ca="1" si="94"/>
        <v>0</v>
      </c>
    </row>
    <row r="299" spans="1:24">
      <c r="A299">
        <v>2</v>
      </c>
      <c r="B299">
        <v>0</v>
      </c>
      <c r="C299">
        <f t="shared" ca="1" si="76"/>
        <v>5</v>
      </c>
      <c r="D299">
        <f t="shared" ca="1" si="77"/>
        <v>3</v>
      </c>
      <c r="E299">
        <f t="shared" ca="1" si="78"/>
        <v>2</v>
      </c>
      <c r="F299" s="100">
        <f t="shared" ca="1" si="79"/>
        <v>0.1838193095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126</v>
      </c>
      <c r="M299" s="7">
        <f t="shared" ca="1" si="83"/>
        <v>874</v>
      </c>
      <c r="N299" s="43">
        <f t="shared" ca="1" si="84"/>
        <v>7</v>
      </c>
      <c r="O299" s="92">
        <f t="shared" ca="1" si="85"/>
        <v>2.264588428134358</v>
      </c>
      <c r="P299" s="92">
        <f t="shared" ca="1" si="86"/>
        <v>22.645884281343584</v>
      </c>
      <c r="Q299" s="92">
        <f t="shared" ca="1" si="87"/>
        <v>22.645884281343584</v>
      </c>
      <c r="R299" s="92">
        <f t="shared" ca="1" si="88"/>
        <v>2.2645884281343585</v>
      </c>
      <c r="S299" s="92">
        <f t="shared" ca="1" si="89"/>
        <v>2.264588428134358</v>
      </c>
      <c r="T299" s="4">
        <f t="shared" ca="1" si="90"/>
        <v>0</v>
      </c>
      <c r="U299" s="99">
        <f t="shared" ca="1" si="91"/>
        <v>1483.2486983548911</v>
      </c>
      <c r="V299" s="4">
        <f t="shared" ca="1" si="92"/>
        <v>0</v>
      </c>
      <c r="W299" s="13">
        <f t="shared" ca="1" si="93"/>
        <v>8112.8249999999998</v>
      </c>
      <c r="X299" s="4">
        <f t="shared" ca="1" si="94"/>
        <v>0</v>
      </c>
    </row>
    <row r="300" spans="1:24">
      <c r="A300">
        <v>2</v>
      </c>
      <c r="B300">
        <v>0</v>
      </c>
      <c r="C300">
        <f t="shared" ca="1" si="76"/>
        <v>5</v>
      </c>
      <c r="D300">
        <f t="shared" ca="1" si="77"/>
        <v>3</v>
      </c>
      <c r="E300">
        <f t="shared" ca="1" si="78"/>
        <v>2</v>
      </c>
      <c r="F300" s="100">
        <f t="shared" ca="1" si="79"/>
        <v>0.1838193095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105</v>
      </c>
      <c r="M300" s="7">
        <f t="shared" ca="1" si="83"/>
        <v>895</v>
      </c>
      <c r="N300" s="43">
        <f t="shared" ca="1" si="84"/>
        <v>7</v>
      </c>
      <c r="O300" s="92">
        <f t="shared" ca="1" si="85"/>
        <v>2.264588428134358</v>
      </c>
      <c r="P300" s="92">
        <f t="shared" ca="1" si="86"/>
        <v>22.645884281343584</v>
      </c>
      <c r="Q300" s="92">
        <f t="shared" ca="1" si="87"/>
        <v>22.645884281343584</v>
      </c>
      <c r="R300" s="92">
        <f t="shared" ca="1" si="88"/>
        <v>2.2645884281343585</v>
      </c>
      <c r="S300" s="92">
        <f t="shared" ca="1" si="89"/>
        <v>2.264588428134358</v>
      </c>
      <c r="T300" s="4">
        <f t="shared" ca="1" si="90"/>
        <v>0</v>
      </c>
      <c r="U300" s="99">
        <f t="shared" ca="1" si="91"/>
        <v>1462.2486983548911</v>
      </c>
      <c r="V300" s="4">
        <f t="shared" ca="1" si="92"/>
        <v>0</v>
      </c>
      <c r="W300" s="13">
        <f t="shared" ca="1" si="93"/>
        <v>6760.6875</v>
      </c>
      <c r="X300" s="4">
        <f t="shared" ca="1" si="94"/>
        <v>0</v>
      </c>
    </row>
    <row r="301" spans="1:24">
      <c r="A301">
        <v>2</v>
      </c>
      <c r="B301">
        <v>0</v>
      </c>
      <c r="C301">
        <f t="shared" ca="1" si="76"/>
        <v>5</v>
      </c>
      <c r="D301">
        <f t="shared" ca="1" si="77"/>
        <v>3</v>
      </c>
      <c r="E301">
        <f t="shared" ca="1" si="78"/>
        <v>2</v>
      </c>
      <c r="F301" s="100">
        <f t="shared" ca="1" si="79"/>
        <v>0.1838193095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100</v>
      </c>
      <c r="M301" s="7">
        <f t="shared" ca="1" si="83"/>
        <v>900</v>
      </c>
      <c r="N301" s="43">
        <f t="shared" ca="1" si="84"/>
        <v>7</v>
      </c>
      <c r="O301" s="92">
        <f t="shared" ca="1" si="85"/>
        <v>2.264588428134358</v>
      </c>
      <c r="P301" s="92">
        <f t="shared" ca="1" si="86"/>
        <v>22.645884281343584</v>
      </c>
      <c r="Q301" s="92">
        <f t="shared" ca="1" si="87"/>
        <v>22.645884281343584</v>
      </c>
      <c r="R301" s="92">
        <f t="shared" ca="1" si="88"/>
        <v>2.2645884281343585</v>
      </c>
      <c r="S301" s="92">
        <f t="shared" ca="1" si="89"/>
        <v>2.264588428134358</v>
      </c>
      <c r="T301" s="4">
        <f t="shared" ca="1" si="90"/>
        <v>0</v>
      </c>
      <c r="U301" s="99">
        <f t="shared" ca="1" si="91"/>
        <v>1457.2486983548911</v>
      </c>
      <c r="V301" s="4">
        <f t="shared" ca="1" si="92"/>
        <v>0</v>
      </c>
      <c r="W301" s="13">
        <f t="shared" ca="1" si="93"/>
        <v>5408.55</v>
      </c>
      <c r="X301" s="4">
        <f t="shared" ca="1" si="94"/>
        <v>0</v>
      </c>
    </row>
    <row r="302" spans="1:24">
      <c r="A302">
        <v>2</v>
      </c>
      <c r="B302">
        <v>0</v>
      </c>
      <c r="C302">
        <f t="shared" ca="1" si="76"/>
        <v>5</v>
      </c>
      <c r="D302">
        <f t="shared" ca="1" si="77"/>
        <v>3</v>
      </c>
      <c r="E302">
        <f t="shared" ca="1" si="78"/>
        <v>2</v>
      </c>
      <c r="F302" s="100">
        <f t="shared" ca="1" si="79"/>
        <v>0.1838193095</v>
      </c>
      <c r="G302">
        <v>0</v>
      </c>
      <c r="H302">
        <v>0</v>
      </c>
      <c r="I302">
        <v>3</v>
      </c>
      <c r="J302" s="1">
        <f t="shared" ca="1" si="80"/>
        <v>9.7029900000000167E-5</v>
      </c>
      <c r="K302" s="1">
        <f t="shared" ca="1" si="81"/>
        <v>1.7835969218854081E-5</v>
      </c>
      <c r="L302" s="13">
        <f t="shared" ca="1" si="82"/>
        <v>100</v>
      </c>
      <c r="M302" s="7">
        <f t="shared" ca="1" si="83"/>
        <v>900</v>
      </c>
      <c r="N302" s="43">
        <f t="shared" ca="1" si="84"/>
        <v>7</v>
      </c>
      <c r="O302" s="92">
        <f t="shared" ca="1" si="85"/>
        <v>2.264588428134358</v>
      </c>
      <c r="P302" s="92">
        <f t="shared" ca="1" si="86"/>
        <v>22.645884281343584</v>
      </c>
      <c r="Q302" s="92">
        <f t="shared" ca="1" si="87"/>
        <v>22.645884281343584</v>
      </c>
      <c r="R302" s="92">
        <f t="shared" ca="1" si="88"/>
        <v>2.2645884281343585</v>
      </c>
      <c r="S302" s="92">
        <f t="shared" ca="1" si="89"/>
        <v>2.264588428134358</v>
      </c>
      <c r="T302" s="4">
        <f t="shared" ca="1" si="90"/>
        <v>4.0391129497577558E-5</v>
      </c>
      <c r="U302" s="99">
        <f t="shared" ca="1" si="91"/>
        <v>1457.2486983548911</v>
      </c>
      <c r="V302" s="4">
        <f t="shared" ca="1" si="92"/>
        <v>2.5991442928073014E-2</v>
      </c>
      <c r="W302" s="13">
        <f t="shared" ca="1" si="93"/>
        <v>4056.4124999999999</v>
      </c>
      <c r="X302" s="4">
        <f t="shared" ca="1" si="94"/>
        <v>7.235004848897493E-2</v>
      </c>
    </row>
    <row r="303" spans="1:24">
      <c r="A303">
        <v>2</v>
      </c>
      <c r="B303">
        <v>0</v>
      </c>
      <c r="C303">
        <f t="shared" ca="1" si="76"/>
        <v>5</v>
      </c>
      <c r="D303">
        <f t="shared" ca="1" si="77"/>
        <v>3</v>
      </c>
      <c r="E303">
        <f t="shared" ca="1" si="78"/>
        <v>2</v>
      </c>
      <c r="F303" s="100">
        <f t="shared" ca="1" si="79"/>
        <v>0.1838193095</v>
      </c>
      <c r="G303">
        <v>0</v>
      </c>
      <c r="H303">
        <v>0</v>
      </c>
      <c r="I303">
        <v>2</v>
      </c>
      <c r="J303" s="1">
        <f t="shared" ca="1" si="80"/>
        <v>2.9403000000000077E-6</v>
      </c>
      <c r="K303" s="1">
        <f t="shared" ca="1" si="81"/>
        <v>5.404839157228514E-7</v>
      </c>
      <c r="L303" s="13">
        <f t="shared" ca="1" si="82"/>
        <v>100</v>
      </c>
      <c r="M303" s="7">
        <f t="shared" ca="1" si="83"/>
        <v>900</v>
      </c>
      <c r="N303" s="43">
        <f t="shared" ca="1" si="84"/>
        <v>7</v>
      </c>
      <c r="O303" s="92">
        <f t="shared" ca="1" si="85"/>
        <v>2.264588428134358</v>
      </c>
      <c r="P303" s="92">
        <f t="shared" ca="1" si="86"/>
        <v>22.645884281343584</v>
      </c>
      <c r="Q303" s="92">
        <f t="shared" ca="1" si="87"/>
        <v>22.645884281343584</v>
      </c>
      <c r="R303" s="92">
        <f t="shared" ca="1" si="88"/>
        <v>2.2645884281343585</v>
      </c>
      <c r="S303" s="92">
        <f t="shared" ca="1" si="89"/>
        <v>2.264588428134358</v>
      </c>
      <c r="T303" s="4">
        <f t="shared" ca="1" si="90"/>
        <v>1.223973621138715E-6</v>
      </c>
      <c r="U303" s="99">
        <f t="shared" ca="1" si="91"/>
        <v>1457.2486983548911</v>
      </c>
      <c r="V303" s="4">
        <f t="shared" ca="1" si="92"/>
        <v>7.8761948266887984E-4</v>
      </c>
      <c r="W303" s="13">
        <f t="shared" ca="1" si="93"/>
        <v>2704.2750000000001</v>
      </c>
      <c r="X303" s="4">
        <f t="shared" ca="1" si="94"/>
        <v>1.4616171411914139E-3</v>
      </c>
    </row>
    <row r="304" spans="1:24">
      <c r="A304">
        <v>2</v>
      </c>
      <c r="B304">
        <v>0</v>
      </c>
      <c r="C304">
        <f t="shared" ca="1" si="76"/>
        <v>5</v>
      </c>
      <c r="D304">
        <f t="shared" ca="1" si="77"/>
        <v>3</v>
      </c>
      <c r="E304">
        <f t="shared" ca="1" si="78"/>
        <v>2</v>
      </c>
      <c r="F304" s="100">
        <f t="shared" ca="1" si="79"/>
        <v>0.1838193095</v>
      </c>
      <c r="G304">
        <v>0</v>
      </c>
      <c r="H304">
        <v>0</v>
      </c>
      <c r="I304">
        <v>1</v>
      </c>
      <c r="J304" s="1">
        <f t="shared" ca="1" si="80"/>
        <v>2.970000000000011E-8</v>
      </c>
      <c r="K304" s="1">
        <f t="shared" ca="1" si="81"/>
        <v>5.4594334921500199E-9</v>
      </c>
      <c r="L304" s="13">
        <f t="shared" ca="1" si="82"/>
        <v>100</v>
      </c>
      <c r="M304" s="7">
        <f t="shared" ca="1" si="83"/>
        <v>900</v>
      </c>
      <c r="N304" s="43">
        <f t="shared" ca="1" si="84"/>
        <v>7</v>
      </c>
      <c r="O304" s="92">
        <f t="shared" ca="1" si="85"/>
        <v>2.264588428134358</v>
      </c>
      <c r="P304" s="92">
        <f t="shared" ca="1" si="86"/>
        <v>22.645884281343584</v>
      </c>
      <c r="Q304" s="92">
        <f t="shared" ca="1" si="87"/>
        <v>22.645884281343584</v>
      </c>
      <c r="R304" s="92">
        <f t="shared" ca="1" si="88"/>
        <v>2.2645884281343585</v>
      </c>
      <c r="S304" s="92">
        <f t="shared" ca="1" si="89"/>
        <v>2.264588428134358</v>
      </c>
      <c r="T304" s="4">
        <f t="shared" ca="1" si="90"/>
        <v>1.2363369910492083E-8</v>
      </c>
      <c r="U304" s="99">
        <f t="shared" ca="1" si="91"/>
        <v>1457.2486983548911</v>
      </c>
      <c r="V304" s="4">
        <f t="shared" ca="1" si="92"/>
        <v>7.9557523501907131E-6</v>
      </c>
      <c r="W304" s="13">
        <f t="shared" ca="1" si="93"/>
        <v>1352.1375</v>
      </c>
      <c r="X304" s="4">
        <f t="shared" ca="1" si="94"/>
        <v>7.3819047534919976E-6</v>
      </c>
    </row>
    <row r="305" spans="1:24">
      <c r="A305">
        <v>2</v>
      </c>
      <c r="B305">
        <v>0</v>
      </c>
      <c r="C305">
        <f t="shared" ca="1" si="76"/>
        <v>5</v>
      </c>
      <c r="D305">
        <f t="shared" ca="1" si="77"/>
        <v>3</v>
      </c>
      <c r="E305">
        <f t="shared" ca="1" si="78"/>
        <v>2</v>
      </c>
      <c r="F305" s="100">
        <f t="shared" ca="1" si="79"/>
        <v>0.1838193095</v>
      </c>
      <c r="G305">
        <v>0</v>
      </c>
      <c r="H305">
        <v>0</v>
      </c>
      <c r="I305">
        <v>0</v>
      </c>
      <c r="J305" s="1">
        <f t="shared" ca="1" si="80"/>
        <v>1.0000000000000046E-10</v>
      </c>
      <c r="K305" s="1">
        <f t="shared" ca="1" si="81"/>
        <v>1.8381930950000084E-11</v>
      </c>
      <c r="L305" s="13">
        <f t="shared" ca="1" si="82"/>
        <v>100</v>
      </c>
      <c r="M305" s="7">
        <f t="shared" ca="1" si="83"/>
        <v>900</v>
      </c>
      <c r="N305" s="43">
        <f t="shared" ca="1" si="84"/>
        <v>7</v>
      </c>
      <c r="O305" s="92">
        <f t="shared" ca="1" si="85"/>
        <v>2.264588428134358</v>
      </c>
      <c r="P305" s="92">
        <f t="shared" ca="1" si="86"/>
        <v>22.645884281343584</v>
      </c>
      <c r="Q305" s="92">
        <f t="shared" ca="1" si="87"/>
        <v>22.645884281343584</v>
      </c>
      <c r="R305" s="92">
        <f t="shared" ca="1" si="88"/>
        <v>2.2645884281343585</v>
      </c>
      <c r="S305" s="92">
        <f t="shared" ca="1" si="89"/>
        <v>2.264588428134358</v>
      </c>
      <c r="T305" s="4">
        <f t="shared" ca="1" si="90"/>
        <v>4.1627508116135E-11</v>
      </c>
      <c r="U305" s="99">
        <f t="shared" ca="1" si="91"/>
        <v>1457.2486983548911</v>
      </c>
      <c r="V305" s="4">
        <f t="shared" ca="1" si="92"/>
        <v>2.6787044950137111E-8</v>
      </c>
      <c r="W305" s="13">
        <f t="shared" ca="1" si="93"/>
        <v>0</v>
      </c>
      <c r="X305" s="4">
        <f t="shared" ca="1" si="94"/>
        <v>0</v>
      </c>
    </row>
    <row r="306" spans="1:24">
      <c r="A306">
        <v>2</v>
      </c>
      <c r="B306">
        <v>1</v>
      </c>
      <c r="C306">
        <f t="shared" ca="1" si="76"/>
        <v>6</v>
      </c>
      <c r="D306">
        <f t="shared" ca="1" si="77"/>
        <v>4</v>
      </c>
      <c r="E306">
        <f t="shared" ca="1" si="78"/>
        <v>2</v>
      </c>
      <c r="F306" s="100">
        <f t="shared" ca="1" si="79"/>
        <v>2.2719240500000001E-2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399</v>
      </c>
      <c r="M306" s="7">
        <f t="shared" ca="1" si="83"/>
        <v>601</v>
      </c>
      <c r="N306" s="43">
        <f t="shared" ca="1" si="84"/>
        <v>5</v>
      </c>
      <c r="O306" s="92">
        <f t="shared" ca="1" si="85"/>
        <v>1.7627004516625842</v>
      </c>
      <c r="P306" s="92">
        <f t="shared" ca="1" si="86"/>
        <v>17.627004516625838</v>
      </c>
      <c r="Q306" s="92">
        <f t="shared" ca="1" si="87"/>
        <v>17.627004516625838</v>
      </c>
      <c r="R306" s="92">
        <f t="shared" ca="1" si="88"/>
        <v>1.7627004516625839</v>
      </c>
      <c r="S306" s="92">
        <f t="shared" ca="1" si="89"/>
        <v>1.7627004516625842</v>
      </c>
      <c r="T306" s="4">
        <f t="shared" ca="1" si="90"/>
        <v>0</v>
      </c>
      <c r="U306" s="99">
        <f t="shared" ca="1" si="91"/>
        <v>1509.8515146533105</v>
      </c>
      <c r="V306" s="4">
        <f t="shared" ca="1" si="92"/>
        <v>0</v>
      </c>
      <c r="W306" s="13">
        <f t="shared" ca="1" si="93"/>
        <v>23319.800362499998</v>
      </c>
      <c r="X306" s="4">
        <f t="shared" ca="1" si="94"/>
        <v>0</v>
      </c>
    </row>
    <row r="307" spans="1:24">
      <c r="A307">
        <v>2</v>
      </c>
      <c r="B307">
        <v>1</v>
      </c>
      <c r="C307">
        <f t="shared" ca="1" si="76"/>
        <v>6</v>
      </c>
      <c r="D307">
        <f t="shared" ca="1" si="77"/>
        <v>4</v>
      </c>
      <c r="E307">
        <f t="shared" ca="1" si="78"/>
        <v>2</v>
      </c>
      <c r="F307" s="100">
        <f t="shared" ca="1" si="79"/>
        <v>2.2719240500000001E-2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378</v>
      </c>
      <c r="M307" s="7">
        <f t="shared" ca="1" si="83"/>
        <v>622</v>
      </c>
      <c r="N307" s="43">
        <f t="shared" ca="1" si="84"/>
        <v>5</v>
      </c>
      <c r="O307" s="92">
        <f t="shared" ca="1" si="85"/>
        <v>1.7627004516625842</v>
      </c>
      <c r="P307" s="92">
        <f t="shared" ca="1" si="86"/>
        <v>17.627004516625838</v>
      </c>
      <c r="Q307" s="92">
        <f t="shared" ca="1" si="87"/>
        <v>17.627004516625838</v>
      </c>
      <c r="R307" s="92">
        <f t="shared" ca="1" si="88"/>
        <v>1.7627004516625839</v>
      </c>
      <c r="S307" s="92">
        <f t="shared" ca="1" si="89"/>
        <v>1.7627004516625842</v>
      </c>
      <c r="T307" s="4">
        <f t="shared" ca="1" si="90"/>
        <v>0</v>
      </c>
      <c r="U307" s="99">
        <f t="shared" ca="1" si="91"/>
        <v>1488.8515146533105</v>
      </c>
      <c r="V307" s="4">
        <f t="shared" ca="1" si="92"/>
        <v>0</v>
      </c>
      <c r="W307" s="13">
        <f t="shared" ca="1" si="93"/>
        <v>21967.662862499998</v>
      </c>
      <c r="X307" s="4">
        <f t="shared" ca="1" si="94"/>
        <v>0</v>
      </c>
    </row>
    <row r="308" spans="1:24">
      <c r="A308">
        <v>2</v>
      </c>
      <c r="B308">
        <v>1</v>
      </c>
      <c r="C308">
        <f t="shared" ca="1" si="76"/>
        <v>6</v>
      </c>
      <c r="D308">
        <f t="shared" ca="1" si="77"/>
        <v>4</v>
      </c>
      <c r="E308">
        <f t="shared" ca="1" si="78"/>
        <v>2</v>
      </c>
      <c r="F308" s="100">
        <f t="shared" ca="1" si="79"/>
        <v>2.2719240500000001E-2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357</v>
      </c>
      <c r="M308" s="7">
        <f t="shared" ca="1" si="83"/>
        <v>643</v>
      </c>
      <c r="N308" s="43">
        <f t="shared" ca="1" si="84"/>
        <v>5</v>
      </c>
      <c r="O308" s="92">
        <f t="shared" ca="1" si="85"/>
        <v>1.7627004516625842</v>
      </c>
      <c r="P308" s="92">
        <f t="shared" ca="1" si="86"/>
        <v>17.627004516625838</v>
      </c>
      <c r="Q308" s="92">
        <f t="shared" ca="1" si="87"/>
        <v>17.627004516625838</v>
      </c>
      <c r="R308" s="92">
        <f t="shared" ca="1" si="88"/>
        <v>1.7627004516625839</v>
      </c>
      <c r="S308" s="92">
        <f t="shared" ca="1" si="89"/>
        <v>1.7627004516625842</v>
      </c>
      <c r="T308" s="4">
        <f t="shared" ca="1" si="90"/>
        <v>0</v>
      </c>
      <c r="U308" s="99">
        <f t="shared" ca="1" si="91"/>
        <v>1467.8515146533105</v>
      </c>
      <c r="V308" s="4">
        <f t="shared" ca="1" si="92"/>
        <v>0</v>
      </c>
      <c r="W308" s="13">
        <f t="shared" ca="1" si="93"/>
        <v>20615.525362499997</v>
      </c>
      <c r="X308" s="4">
        <f t="shared" ca="1" si="94"/>
        <v>0</v>
      </c>
    </row>
    <row r="309" spans="1:24">
      <c r="A309">
        <v>2</v>
      </c>
      <c r="B309">
        <v>1</v>
      </c>
      <c r="C309">
        <f t="shared" ca="1" si="76"/>
        <v>6</v>
      </c>
      <c r="D309">
        <f t="shared" ca="1" si="77"/>
        <v>4</v>
      </c>
      <c r="E309">
        <f t="shared" ca="1" si="78"/>
        <v>2</v>
      </c>
      <c r="F309" s="100">
        <f t="shared" ca="1" si="79"/>
        <v>2.2719240500000001E-2</v>
      </c>
      <c r="G309">
        <v>1</v>
      </c>
      <c r="H309">
        <v>1</v>
      </c>
      <c r="I309">
        <v>4</v>
      </c>
      <c r="J309" s="1">
        <f t="shared" ca="1" si="80"/>
        <v>0.94148014940099989</v>
      </c>
      <c r="K309" s="1">
        <f t="shared" ca="1" si="81"/>
        <v>2.1389713940217249E-2</v>
      </c>
      <c r="L309" s="13">
        <f t="shared" ca="1" si="82"/>
        <v>336</v>
      </c>
      <c r="M309" s="7">
        <f t="shared" ca="1" si="83"/>
        <v>664</v>
      </c>
      <c r="N309" s="43">
        <f t="shared" ca="1" si="84"/>
        <v>6</v>
      </c>
      <c r="O309" s="92">
        <f t="shared" ca="1" si="85"/>
        <v>2.003415856166523</v>
      </c>
      <c r="P309" s="92">
        <f t="shared" ca="1" si="86"/>
        <v>20.03415856166523</v>
      </c>
      <c r="Q309" s="92">
        <f t="shared" ca="1" si="87"/>
        <v>19.552727752657354</v>
      </c>
      <c r="R309" s="92">
        <f t="shared" ca="1" si="88"/>
        <v>1.9793443157161292</v>
      </c>
      <c r="S309" s="92">
        <f t="shared" ca="1" si="89"/>
        <v>2.003415856166523</v>
      </c>
      <c r="T309" s="4">
        <f t="shared" ca="1" si="90"/>
        <v>4.2852492066697348E-2</v>
      </c>
      <c r="U309" s="99">
        <f t="shared" ca="1" si="91"/>
        <v>1565.0284794818213</v>
      </c>
      <c r="V309" s="4">
        <f t="shared" ca="1" si="92"/>
        <v>33.475511484409317</v>
      </c>
      <c r="W309" s="13">
        <f t="shared" ca="1" si="93"/>
        <v>19263.3878625</v>
      </c>
      <c r="X309" s="4">
        <f t="shared" ca="1" si="94"/>
        <v>412.03835589832801</v>
      </c>
    </row>
    <row r="310" spans="1:24">
      <c r="A310">
        <v>2</v>
      </c>
      <c r="B310">
        <v>1</v>
      </c>
      <c r="C310">
        <f t="shared" ca="1" si="76"/>
        <v>6</v>
      </c>
      <c r="D310">
        <f t="shared" ca="1" si="77"/>
        <v>4</v>
      </c>
      <c r="E310">
        <f t="shared" ca="1" si="78"/>
        <v>2</v>
      </c>
      <c r="F310" s="100">
        <f t="shared" ca="1" si="79"/>
        <v>2.2719240500000001E-2</v>
      </c>
      <c r="G310">
        <v>1</v>
      </c>
      <c r="H310">
        <v>1</v>
      </c>
      <c r="I310">
        <v>3</v>
      </c>
      <c r="J310" s="1">
        <f t="shared" ca="1" si="80"/>
        <v>3.8039601996000032E-2</v>
      </c>
      <c r="K310" s="1">
        <f t="shared" ca="1" si="81"/>
        <v>8.6423086627140477E-4</v>
      </c>
      <c r="L310" s="13">
        <f t="shared" ca="1" si="82"/>
        <v>315</v>
      </c>
      <c r="M310" s="7">
        <f t="shared" ca="1" si="83"/>
        <v>685</v>
      </c>
      <c r="N310" s="43">
        <f t="shared" ca="1" si="84"/>
        <v>6</v>
      </c>
      <c r="O310" s="92">
        <f t="shared" ca="1" si="85"/>
        <v>2.003415856166523</v>
      </c>
      <c r="P310" s="92">
        <f t="shared" ca="1" si="86"/>
        <v>20.03415856166523</v>
      </c>
      <c r="Q310" s="92">
        <f t="shared" ca="1" si="87"/>
        <v>20.03415856166523</v>
      </c>
      <c r="R310" s="92">
        <f t="shared" ca="1" si="88"/>
        <v>2.003415856166523</v>
      </c>
      <c r="S310" s="92">
        <f t="shared" ca="1" si="89"/>
        <v>2.003415856166523</v>
      </c>
      <c r="T310" s="4">
        <f t="shared" ca="1" si="90"/>
        <v>1.7314138208766622E-3</v>
      </c>
      <c r="U310" s="99">
        <f t="shared" ca="1" si="91"/>
        <v>1544.0284794818213</v>
      </c>
      <c r="V310" s="4">
        <f t="shared" ca="1" si="92"/>
        <v>1.3343970703702943</v>
      </c>
      <c r="W310" s="13">
        <f t="shared" ca="1" si="93"/>
        <v>17911.250362499999</v>
      </c>
      <c r="X310" s="4">
        <f t="shared" ca="1" si="94"/>
        <v>15.479455416787387</v>
      </c>
    </row>
    <row r="311" spans="1:24">
      <c r="A311">
        <v>2</v>
      </c>
      <c r="B311">
        <v>1</v>
      </c>
      <c r="C311">
        <f t="shared" ca="1" si="76"/>
        <v>6</v>
      </c>
      <c r="D311">
        <f t="shared" ca="1" si="77"/>
        <v>4</v>
      </c>
      <c r="E311">
        <f t="shared" ca="1" si="78"/>
        <v>2</v>
      </c>
      <c r="F311" s="100">
        <f t="shared" ca="1" si="79"/>
        <v>2.2719240500000001E-2</v>
      </c>
      <c r="G311">
        <v>1</v>
      </c>
      <c r="H311">
        <v>1</v>
      </c>
      <c r="I311">
        <v>2</v>
      </c>
      <c r="J311" s="1">
        <f t="shared" ca="1" si="80"/>
        <v>5.7635760600000105E-4</v>
      </c>
      <c r="K311" s="1">
        <f t="shared" ca="1" si="81"/>
        <v>1.3094407064718268E-5</v>
      </c>
      <c r="L311" s="13">
        <f t="shared" ca="1" si="82"/>
        <v>294</v>
      </c>
      <c r="M311" s="7">
        <f t="shared" ca="1" si="83"/>
        <v>706</v>
      </c>
      <c r="N311" s="43">
        <f t="shared" ca="1" si="84"/>
        <v>6</v>
      </c>
      <c r="O311" s="92">
        <f t="shared" ca="1" si="85"/>
        <v>2.003415856166523</v>
      </c>
      <c r="P311" s="92">
        <f t="shared" ca="1" si="86"/>
        <v>20.03415856166523</v>
      </c>
      <c r="Q311" s="92">
        <f t="shared" ca="1" si="87"/>
        <v>20.03415856166523</v>
      </c>
      <c r="R311" s="92">
        <f t="shared" ca="1" si="88"/>
        <v>2.003415856166523</v>
      </c>
      <c r="S311" s="92">
        <f t="shared" ca="1" si="89"/>
        <v>2.003415856166523</v>
      </c>
      <c r="T311" s="4">
        <f t="shared" ca="1" si="90"/>
        <v>2.6233542740555516E-5</v>
      </c>
      <c r="U311" s="99">
        <f t="shared" ca="1" si="91"/>
        <v>1523.0284794818213</v>
      </c>
      <c r="V311" s="4">
        <f t="shared" ca="1" si="92"/>
        <v>1.9943154881493882E-2</v>
      </c>
      <c r="W311" s="13">
        <f t="shared" ca="1" si="93"/>
        <v>16559.112862499998</v>
      </c>
      <c r="X311" s="4">
        <f t="shared" ca="1" si="94"/>
        <v>0.2168317644521871</v>
      </c>
    </row>
    <row r="312" spans="1:24">
      <c r="A312">
        <v>2</v>
      </c>
      <c r="B312">
        <v>1</v>
      </c>
      <c r="C312">
        <f t="shared" ca="1" si="76"/>
        <v>6</v>
      </c>
      <c r="D312">
        <f t="shared" ca="1" si="77"/>
        <v>4</v>
      </c>
      <c r="E312">
        <f t="shared" ca="1" si="78"/>
        <v>2</v>
      </c>
      <c r="F312" s="100">
        <f t="shared" ca="1" si="79"/>
        <v>2.2719240500000001E-2</v>
      </c>
      <c r="G312">
        <v>1</v>
      </c>
      <c r="H312">
        <v>1</v>
      </c>
      <c r="I312">
        <v>1</v>
      </c>
      <c r="J312" s="1">
        <f t="shared" ca="1" si="80"/>
        <v>3.8811960000000103E-6</v>
      </c>
      <c r="K312" s="1">
        <f t="shared" ca="1" si="81"/>
        <v>8.8177825351638235E-8</v>
      </c>
      <c r="L312" s="13">
        <f t="shared" ca="1" si="82"/>
        <v>273</v>
      </c>
      <c r="M312" s="7">
        <f t="shared" ca="1" si="83"/>
        <v>727</v>
      </c>
      <c r="N312" s="43">
        <f t="shared" ca="1" si="84"/>
        <v>6</v>
      </c>
      <c r="O312" s="92">
        <f t="shared" ca="1" si="85"/>
        <v>2.003415856166523</v>
      </c>
      <c r="P312" s="92">
        <f t="shared" ca="1" si="86"/>
        <v>20.03415856166523</v>
      </c>
      <c r="Q312" s="92">
        <f t="shared" ca="1" si="87"/>
        <v>20.03415856166523</v>
      </c>
      <c r="R312" s="92">
        <f t="shared" ca="1" si="88"/>
        <v>2.003415856166523</v>
      </c>
      <c r="S312" s="92">
        <f t="shared" ca="1" si="89"/>
        <v>2.003415856166523</v>
      </c>
      <c r="T312" s="4">
        <f t="shared" ca="1" si="90"/>
        <v>1.7665685347175446E-7</v>
      </c>
      <c r="U312" s="99">
        <f t="shared" ca="1" si="91"/>
        <v>1502.0284794818213</v>
      </c>
      <c r="V312" s="4">
        <f t="shared" ca="1" si="92"/>
        <v>1.3244560493693477E-4</v>
      </c>
      <c r="W312" s="13">
        <f t="shared" ca="1" si="93"/>
        <v>15206.975362499999</v>
      </c>
      <c r="X312" s="4">
        <f t="shared" ca="1" si="94"/>
        <v>1.3409180176411906E-3</v>
      </c>
    </row>
    <row r="313" spans="1:24">
      <c r="A313">
        <v>2</v>
      </c>
      <c r="B313">
        <v>1</v>
      </c>
      <c r="C313">
        <f t="shared" ca="1" si="76"/>
        <v>6</v>
      </c>
      <c r="D313">
        <f t="shared" ca="1" si="77"/>
        <v>4</v>
      </c>
      <c r="E313">
        <f t="shared" ca="1" si="78"/>
        <v>2</v>
      </c>
      <c r="F313" s="100">
        <f t="shared" ca="1" si="79"/>
        <v>2.2719240500000001E-2</v>
      </c>
      <c r="G313">
        <v>1</v>
      </c>
      <c r="H313">
        <v>1</v>
      </c>
      <c r="I313">
        <v>0</v>
      </c>
      <c r="J313" s="1">
        <f t="shared" ca="1" si="80"/>
        <v>9.8010000000000359E-9</v>
      </c>
      <c r="K313" s="1">
        <f t="shared" ca="1" si="81"/>
        <v>2.2267127614050082E-10</v>
      </c>
      <c r="L313" s="13">
        <f t="shared" ca="1" si="82"/>
        <v>252</v>
      </c>
      <c r="M313" s="7">
        <f t="shared" ca="1" si="83"/>
        <v>748</v>
      </c>
      <c r="N313" s="43">
        <f t="shared" ca="1" si="84"/>
        <v>6</v>
      </c>
      <c r="O313" s="92">
        <f t="shared" ca="1" si="85"/>
        <v>2.003415856166523</v>
      </c>
      <c r="P313" s="92">
        <f t="shared" ca="1" si="86"/>
        <v>20.03415856166523</v>
      </c>
      <c r="Q313" s="92">
        <f t="shared" ca="1" si="87"/>
        <v>20.03415856166523</v>
      </c>
      <c r="R313" s="92">
        <f t="shared" ca="1" si="88"/>
        <v>2.003415856166523</v>
      </c>
      <c r="S313" s="92">
        <f t="shared" ca="1" si="89"/>
        <v>2.003415856166523</v>
      </c>
      <c r="T313" s="4">
        <f t="shared" ca="1" si="90"/>
        <v>4.4610316533271368E-10</v>
      </c>
      <c r="U313" s="99">
        <f t="shared" ca="1" si="91"/>
        <v>1481.0284794818213</v>
      </c>
      <c r="V313" s="4">
        <f t="shared" ca="1" si="92"/>
        <v>3.2978250152664268E-7</v>
      </c>
      <c r="W313" s="13">
        <f t="shared" ca="1" si="93"/>
        <v>13854.837862499999</v>
      </c>
      <c r="X313" s="4">
        <f t="shared" ca="1" si="94"/>
        <v>3.0850744275626035E-6</v>
      </c>
    </row>
    <row r="314" spans="1:24">
      <c r="A314">
        <v>2</v>
      </c>
      <c r="B314">
        <v>1</v>
      </c>
      <c r="C314">
        <f t="shared" ca="1" si="76"/>
        <v>6</v>
      </c>
      <c r="D314">
        <f t="shared" ca="1" si="77"/>
        <v>4</v>
      </c>
      <c r="E314">
        <f t="shared" ca="1" si="78"/>
        <v>2</v>
      </c>
      <c r="F314" s="100">
        <f t="shared" ca="1" si="79"/>
        <v>2.2719240500000001E-2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273</v>
      </c>
      <c r="M314" s="7">
        <f t="shared" ca="1" si="83"/>
        <v>727</v>
      </c>
      <c r="N314" s="43">
        <f t="shared" ca="1" si="84"/>
        <v>6</v>
      </c>
      <c r="O314" s="92">
        <f t="shared" ca="1" si="85"/>
        <v>2.003415856166523</v>
      </c>
      <c r="P314" s="92">
        <f t="shared" ca="1" si="86"/>
        <v>20.03415856166523</v>
      </c>
      <c r="Q314" s="92">
        <f t="shared" ca="1" si="87"/>
        <v>20.03415856166523</v>
      </c>
      <c r="R314" s="92">
        <f t="shared" ca="1" si="88"/>
        <v>2.003415856166523</v>
      </c>
      <c r="S314" s="92">
        <f t="shared" ca="1" si="89"/>
        <v>2.003415856166523</v>
      </c>
      <c r="T314" s="4">
        <f t="shared" ca="1" si="90"/>
        <v>0</v>
      </c>
      <c r="U314" s="99">
        <f t="shared" ca="1" si="91"/>
        <v>1502.0284794818213</v>
      </c>
      <c r="V314" s="4">
        <f t="shared" ca="1" si="92"/>
        <v>0</v>
      </c>
      <c r="W314" s="13">
        <f t="shared" ca="1" si="93"/>
        <v>21932.249737499998</v>
      </c>
      <c r="X314" s="4">
        <f t="shared" ca="1" si="94"/>
        <v>0</v>
      </c>
    </row>
    <row r="315" spans="1:24">
      <c r="A315">
        <v>2</v>
      </c>
      <c r="B315">
        <v>1</v>
      </c>
      <c r="C315">
        <f t="shared" ca="1" si="76"/>
        <v>6</v>
      </c>
      <c r="D315">
        <f t="shared" ca="1" si="77"/>
        <v>4</v>
      </c>
      <c r="E315">
        <f t="shared" ca="1" si="78"/>
        <v>2</v>
      </c>
      <c r="F315" s="100">
        <f t="shared" ca="1" si="79"/>
        <v>2.2719240500000001E-2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252</v>
      </c>
      <c r="M315" s="7">
        <f t="shared" ca="1" si="83"/>
        <v>748</v>
      </c>
      <c r="N315" s="43">
        <f t="shared" ca="1" si="84"/>
        <v>6</v>
      </c>
      <c r="O315" s="92">
        <f t="shared" ca="1" si="85"/>
        <v>2.003415856166523</v>
      </c>
      <c r="P315" s="92">
        <f t="shared" ca="1" si="86"/>
        <v>20.03415856166523</v>
      </c>
      <c r="Q315" s="92">
        <f t="shared" ca="1" si="87"/>
        <v>20.03415856166523</v>
      </c>
      <c r="R315" s="92">
        <f t="shared" ca="1" si="88"/>
        <v>2.003415856166523</v>
      </c>
      <c r="S315" s="92">
        <f t="shared" ca="1" si="89"/>
        <v>2.003415856166523</v>
      </c>
      <c r="T315" s="4">
        <f t="shared" ca="1" si="90"/>
        <v>0</v>
      </c>
      <c r="U315" s="99">
        <f t="shared" ca="1" si="91"/>
        <v>1481.0284794818213</v>
      </c>
      <c r="V315" s="4">
        <f t="shared" ca="1" si="92"/>
        <v>0</v>
      </c>
      <c r="W315" s="13">
        <f t="shared" ca="1" si="93"/>
        <v>20580.112237499998</v>
      </c>
      <c r="X315" s="4">
        <f t="shared" ca="1" si="94"/>
        <v>0</v>
      </c>
    </row>
    <row r="316" spans="1:24">
      <c r="A316">
        <v>2</v>
      </c>
      <c r="B316">
        <v>1</v>
      </c>
      <c r="C316">
        <f t="shared" ca="1" si="76"/>
        <v>6</v>
      </c>
      <c r="D316">
        <f t="shared" ca="1" si="77"/>
        <v>4</v>
      </c>
      <c r="E316">
        <f t="shared" ca="1" si="78"/>
        <v>2</v>
      </c>
      <c r="F316" s="100">
        <f t="shared" ca="1" si="79"/>
        <v>2.2719240500000001E-2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231</v>
      </c>
      <c r="M316" s="7">
        <f t="shared" ca="1" si="83"/>
        <v>769</v>
      </c>
      <c r="N316" s="43">
        <f t="shared" ca="1" si="84"/>
        <v>6</v>
      </c>
      <c r="O316" s="92">
        <f t="shared" ca="1" si="85"/>
        <v>2.003415856166523</v>
      </c>
      <c r="P316" s="92">
        <f t="shared" ca="1" si="86"/>
        <v>20.03415856166523</v>
      </c>
      <c r="Q316" s="92">
        <f t="shared" ca="1" si="87"/>
        <v>20.03415856166523</v>
      </c>
      <c r="R316" s="92">
        <f t="shared" ca="1" si="88"/>
        <v>2.003415856166523</v>
      </c>
      <c r="S316" s="92">
        <f t="shared" ca="1" si="89"/>
        <v>2.003415856166523</v>
      </c>
      <c r="T316" s="4">
        <f t="shared" ca="1" si="90"/>
        <v>0</v>
      </c>
      <c r="U316" s="99">
        <f t="shared" ca="1" si="91"/>
        <v>1460.0284794818213</v>
      </c>
      <c r="V316" s="4">
        <f t="shared" ca="1" si="92"/>
        <v>0</v>
      </c>
      <c r="W316" s="13">
        <f t="shared" ca="1" si="93"/>
        <v>19227.974737500001</v>
      </c>
      <c r="X316" s="4">
        <f t="shared" ca="1" si="94"/>
        <v>0</v>
      </c>
    </row>
    <row r="317" spans="1:24">
      <c r="A317">
        <v>2</v>
      </c>
      <c r="B317">
        <v>1</v>
      </c>
      <c r="C317">
        <f t="shared" ca="1" si="76"/>
        <v>6</v>
      </c>
      <c r="D317">
        <f t="shared" ca="1" si="77"/>
        <v>4</v>
      </c>
      <c r="E317">
        <f t="shared" ca="1" si="78"/>
        <v>2</v>
      </c>
      <c r="F317" s="100">
        <f t="shared" ca="1" si="79"/>
        <v>2.2719240500000001E-2</v>
      </c>
      <c r="G317">
        <v>1</v>
      </c>
      <c r="H317">
        <v>0</v>
      </c>
      <c r="I317">
        <v>4</v>
      </c>
      <c r="J317" s="1">
        <f t="shared" ca="1" si="80"/>
        <v>9.5099004990000079E-3</v>
      </c>
      <c r="K317" s="1">
        <f t="shared" ca="1" si="81"/>
        <v>2.1605771656785119E-4</v>
      </c>
      <c r="L317" s="13">
        <f t="shared" ca="1" si="82"/>
        <v>210</v>
      </c>
      <c r="M317" s="7">
        <f t="shared" ca="1" si="83"/>
        <v>790</v>
      </c>
      <c r="N317" s="43">
        <f t="shared" ca="1" si="84"/>
        <v>7</v>
      </c>
      <c r="O317" s="92">
        <f t="shared" ca="1" si="85"/>
        <v>2.264588428134358</v>
      </c>
      <c r="P317" s="92">
        <f t="shared" ca="1" si="86"/>
        <v>22.645884281343584</v>
      </c>
      <c r="Q317" s="92">
        <f t="shared" ca="1" si="87"/>
        <v>21.340021421504403</v>
      </c>
      <c r="R317" s="92">
        <f t="shared" ca="1" si="88"/>
        <v>2.1992952851423992</v>
      </c>
      <c r="S317" s="92">
        <f t="shared" ca="1" si="89"/>
        <v>2.264588428134358</v>
      </c>
      <c r="T317" s="4">
        <f t="shared" ca="1" si="90"/>
        <v>4.8928180474868874E-4</v>
      </c>
      <c r="U317" s="99">
        <f t="shared" ca="1" si="91"/>
        <v>1567.2486983548911</v>
      </c>
      <c r="V317" s="4">
        <f t="shared" ca="1" si="92"/>
        <v>0.33861617506049474</v>
      </c>
      <c r="W317" s="13">
        <f t="shared" ca="1" si="93"/>
        <v>17875.8372375</v>
      </c>
      <c r="X317" s="4">
        <f t="shared" ca="1" si="94"/>
        <v>3.8622125752728151</v>
      </c>
    </row>
    <row r="318" spans="1:24">
      <c r="A318">
        <v>2</v>
      </c>
      <c r="B318">
        <v>1</v>
      </c>
      <c r="C318">
        <f t="shared" ca="1" si="76"/>
        <v>6</v>
      </c>
      <c r="D318">
        <f t="shared" ca="1" si="77"/>
        <v>4</v>
      </c>
      <c r="E318">
        <f t="shared" ca="1" si="78"/>
        <v>2</v>
      </c>
      <c r="F318" s="100">
        <f t="shared" ca="1" si="79"/>
        <v>2.2719240500000001E-2</v>
      </c>
      <c r="G318">
        <v>1</v>
      </c>
      <c r="H318">
        <v>0</v>
      </c>
      <c r="I318">
        <v>3</v>
      </c>
      <c r="J318" s="1">
        <f t="shared" ca="1" si="80"/>
        <v>3.8423840400000073E-4</v>
      </c>
      <c r="K318" s="1">
        <f t="shared" ca="1" si="81"/>
        <v>8.7296047098121795E-6</v>
      </c>
      <c r="L318" s="13">
        <f t="shared" ca="1" si="82"/>
        <v>189</v>
      </c>
      <c r="M318" s="7">
        <f t="shared" ca="1" si="83"/>
        <v>811</v>
      </c>
      <c r="N318" s="43">
        <f t="shared" ca="1" si="84"/>
        <v>7</v>
      </c>
      <c r="O318" s="92">
        <f t="shared" ca="1" si="85"/>
        <v>2.264588428134358</v>
      </c>
      <c r="P318" s="92">
        <f t="shared" ca="1" si="86"/>
        <v>22.645884281343584</v>
      </c>
      <c r="Q318" s="92">
        <f t="shared" ca="1" si="87"/>
        <v>22.645884281343584</v>
      </c>
      <c r="R318" s="92">
        <f t="shared" ca="1" si="88"/>
        <v>2.2645884281343585</v>
      </c>
      <c r="S318" s="92">
        <f t="shared" ca="1" si="89"/>
        <v>2.264588428134358</v>
      </c>
      <c r="T318" s="4">
        <f t="shared" ca="1" si="90"/>
        <v>1.9768961808027852E-5</v>
      </c>
      <c r="U318" s="99">
        <f t="shared" ca="1" si="91"/>
        <v>1546.2486983548911</v>
      </c>
      <c r="V318" s="4">
        <f t="shared" ca="1" si="92"/>
        <v>1.3498139919699809E-2</v>
      </c>
      <c r="W318" s="13">
        <f t="shared" ca="1" si="93"/>
        <v>16523.699737499999</v>
      </c>
      <c r="X318" s="4">
        <f t="shared" ca="1" si="94"/>
        <v>0.14424536705200228</v>
      </c>
    </row>
    <row r="319" spans="1:24">
      <c r="A319">
        <v>2</v>
      </c>
      <c r="B319">
        <v>1</v>
      </c>
      <c r="C319">
        <f t="shared" ca="1" si="76"/>
        <v>6</v>
      </c>
      <c r="D319">
        <f t="shared" ca="1" si="77"/>
        <v>4</v>
      </c>
      <c r="E319">
        <f t="shared" ca="1" si="78"/>
        <v>2</v>
      </c>
      <c r="F319" s="100">
        <f t="shared" ca="1" si="79"/>
        <v>2.2719240500000001E-2</v>
      </c>
      <c r="G319">
        <v>1</v>
      </c>
      <c r="H319">
        <v>0</v>
      </c>
      <c r="I319">
        <v>2</v>
      </c>
      <c r="J319" s="1">
        <f t="shared" ca="1" si="80"/>
        <v>5.8217940000000154E-6</v>
      </c>
      <c r="K319" s="1">
        <f t="shared" ca="1" si="81"/>
        <v>1.3226673802745735E-7</v>
      </c>
      <c r="L319" s="13">
        <f t="shared" ca="1" si="82"/>
        <v>168</v>
      </c>
      <c r="M319" s="7">
        <f t="shared" ca="1" si="83"/>
        <v>832</v>
      </c>
      <c r="N319" s="43">
        <f t="shared" ca="1" si="84"/>
        <v>7</v>
      </c>
      <c r="O319" s="92">
        <f t="shared" ca="1" si="85"/>
        <v>2.264588428134358</v>
      </c>
      <c r="P319" s="92">
        <f t="shared" ca="1" si="86"/>
        <v>22.645884281343584</v>
      </c>
      <c r="Q319" s="92">
        <f t="shared" ca="1" si="87"/>
        <v>22.645884281343584</v>
      </c>
      <c r="R319" s="92">
        <f t="shared" ca="1" si="88"/>
        <v>2.2645884281343585</v>
      </c>
      <c r="S319" s="92">
        <f t="shared" ca="1" si="89"/>
        <v>2.264588428134358</v>
      </c>
      <c r="T319" s="4">
        <f t="shared" ca="1" si="90"/>
        <v>2.9952972436405856E-7</v>
      </c>
      <c r="U319" s="99">
        <f t="shared" ca="1" si="91"/>
        <v>1525.2486983548911</v>
      </c>
      <c r="V319" s="4">
        <f t="shared" ca="1" si="92"/>
        <v>2.017396700120267E-4</v>
      </c>
      <c r="W319" s="13">
        <f t="shared" ca="1" si="93"/>
        <v>15171.562237499998</v>
      </c>
      <c r="X319" s="4">
        <f t="shared" ca="1" si="94"/>
        <v>2.006693047934677E-3</v>
      </c>
    </row>
    <row r="320" spans="1:24">
      <c r="A320">
        <v>2</v>
      </c>
      <c r="B320">
        <v>1</v>
      </c>
      <c r="C320">
        <f t="shared" ca="1" si="76"/>
        <v>6</v>
      </c>
      <c r="D320">
        <f t="shared" ca="1" si="77"/>
        <v>4</v>
      </c>
      <c r="E320">
        <f t="shared" ca="1" si="78"/>
        <v>2</v>
      </c>
      <c r="F320" s="100">
        <f t="shared" ca="1" si="79"/>
        <v>2.2719240500000001E-2</v>
      </c>
      <c r="G320">
        <v>1</v>
      </c>
      <c r="H320">
        <v>0</v>
      </c>
      <c r="I320">
        <v>1</v>
      </c>
      <c r="J320" s="1">
        <f t="shared" ca="1" si="80"/>
        <v>3.9204000000000137E-8</v>
      </c>
      <c r="K320" s="1">
        <f t="shared" ca="1" si="81"/>
        <v>8.9068510456200317E-10</v>
      </c>
      <c r="L320" s="13">
        <f t="shared" ca="1" si="82"/>
        <v>147</v>
      </c>
      <c r="M320" s="7">
        <f t="shared" ca="1" si="83"/>
        <v>853</v>
      </c>
      <c r="N320" s="43">
        <f t="shared" ca="1" si="84"/>
        <v>7</v>
      </c>
      <c r="O320" s="92">
        <f t="shared" ca="1" si="85"/>
        <v>2.264588428134358</v>
      </c>
      <c r="P320" s="92">
        <f t="shared" ca="1" si="86"/>
        <v>22.645884281343584</v>
      </c>
      <c r="Q320" s="92">
        <f t="shared" ca="1" si="87"/>
        <v>22.645884281343584</v>
      </c>
      <c r="R320" s="92">
        <f t="shared" ca="1" si="88"/>
        <v>2.2645884281343585</v>
      </c>
      <c r="S320" s="92">
        <f t="shared" ca="1" si="89"/>
        <v>2.264588428134358</v>
      </c>
      <c r="T320" s="4">
        <f t="shared" ca="1" si="90"/>
        <v>2.017035180902753E-9</v>
      </c>
      <c r="U320" s="99">
        <f t="shared" ca="1" si="91"/>
        <v>1504.2486983548911</v>
      </c>
      <c r="V320" s="4">
        <f t="shared" ca="1" si="92"/>
        <v>1.3398119091814833E-6</v>
      </c>
      <c r="W320" s="13">
        <f t="shared" ca="1" si="93"/>
        <v>13819.4247375</v>
      </c>
      <c r="X320" s="4">
        <f t="shared" ca="1" si="94"/>
        <v>1.230875576730692E-5</v>
      </c>
    </row>
    <row r="321" spans="1:24">
      <c r="A321">
        <v>2</v>
      </c>
      <c r="B321">
        <v>1</v>
      </c>
      <c r="C321">
        <f t="shared" ca="1" si="76"/>
        <v>6</v>
      </c>
      <c r="D321">
        <f t="shared" ca="1" si="77"/>
        <v>4</v>
      </c>
      <c r="E321">
        <f t="shared" ca="1" si="78"/>
        <v>2</v>
      </c>
      <c r="F321" s="100">
        <f t="shared" ca="1" si="79"/>
        <v>2.2719240500000001E-2</v>
      </c>
      <c r="G321">
        <v>1</v>
      </c>
      <c r="H321">
        <v>0</v>
      </c>
      <c r="I321">
        <v>0</v>
      </c>
      <c r="J321" s="1">
        <f t="shared" ca="1" si="80"/>
        <v>9.9000000000000459E-11</v>
      </c>
      <c r="K321" s="1">
        <f t="shared" ca="1" si="81"/>
        <v>2.2492048095000107E-12</v>
      </c>
      <c r="L321" s="13">
        <f t="shared" ca="1" si="82"/>
        <v>126</v>
      </c>
      <c r="M321" s="7">
        <f t="shared" ca="1" si="83"/>
        <v>874</v>
      </c>
      <c r="N321" s="43">
        <f t="shared" ca="1" si="84"/>
        <v>7</v>
      </c>
      <c r="O321" s="92">
        <f t="shared" ca="1" si="85"/>
        <v>2.264588428134358</v>
      </c>
      <c r="P321" s="92">
        <f t="shared" ca="1" si="86"/>
        <v>22.645884281343584</v>
      </c>
      <c r="Q321" s="92">
        <f t="shared" ca="1" si="87"/>
        <v>22.645884281343584</v>
      </c>
      <c r="R321" s="92">
        <f t="shared" ca="1" si="88"/>
        <v>2.2645884281343585</v>
      </c>
      <c r="S321" s="92">
        <f t="shared" ca="1" si="89"/>
        <v>2.264588428134358</v>
      </c>
      <c r="T321" s="4">
        <f t="shared" ca="1" si="90"/>
        <v>5.0935231840978672E-12</v>
      </c>
      <c r="U321" s="99">
        <f t="shared" ca="1" si="91"/>
        <v>1483.2486983548911</v>
      </c>
      <c r="V321" s="4">
        <f t="shared" ca="1" si="92"/>
        <v>3.3361301060244517E-9</v>
      </c>
      <c r="W321" s="13">
        <f t="shared" ca="1" si="93"/>
        <v>12467.287237499999</v>
      </c>
      <c r="X321" s="4">
        <f t="shared" ca="1" si="94"/>
        <v>2.80414824160031E-8</v>
      </c>
    </row>
    <row r="322" spans="1:24">
      <c r="A322">
        <v>2</v>
      </c>
      <c r="B322">
        <v>1</v>
      </c>
      <c r="C322">
        <f t="shared" ca="1" si="76"/>
        <v>6</v>
      </c>
      <c r="D322">
        <f t="shared" ca="1" si="77"/>
        <v>4</v>
      </c>
      <c r="E322">
        <f t="shared" ca="1" si="78"/>
        <v>2</v>
      </c>
      <c r="F322" s="100">
        <f t="shared" ca="1" si="79"/>
        <v>2.2719240500000001E-2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273</v>
      </c>
      <c r="M322" s="7">
        <f t="shared" ca="1" si="83"/>
        <v>727</v>
      </c>
      <c r="N322" s="43">
        <f t="shared" ca="1" si="84"/>
        <v>6</v>
      </c>
      <c r="O322" s="92">
        <f t="shared" ca="1" si="85"/>
        <v>2.003415856166523</v>
      </c>
      <c r="P322" s="92">
        <f t="shared" ca="1" si="86"/>
        <v>20.03415856166523</v>
      </c>
      <c r="Q322" s="92">
        <f t="shared" ca="1" si="87"/>
        <v>20.03415856166523</v>
      </c>
      <c r="R322" s="92">
        <f t="shared" ca="1" si="88"/>
        <v>2.003415856166523</v>
      </c>
      <c r="S322" s="92">
        <f t="shared" ca="1" si="89"/>
        <v>2.003415856166523</v>
      </c>
      <c r="T322" s="4">
        <f t="shared" ca="1" si="90"/>
        <v>0</v>
      </c>
      <c r="U322" s="99">
        <f t="shared" ca="1" si="91"/>
        <v>1502.0284794818213</v>
      </c>
      <c r="V322" s="4">
        <f t="shared" ca="1" si="92"/>
        <v>0</v>
      </c>
      <c r="W322" s="13">
        <f t="shared" ca="1" si="93"/>
        <v>10852.513124999999</v>
      </c>
      <c r="X322" s="4">
        <f t="shared" ca="1" si="94"/>
        <v>0</v>
      </c>
    </row>
    <row r="323" spans="1:24">
      <c r="A323">
        <v>2</v>
      </c>
      <c r="B323">
        <v>1</v>
      </c>
      <c r="C323">
        <f t="shared" ca="1" si="76"/>
        <v>6</v>
      </c>
      <c r="D323">
        <f t="shared" ca="1" si="77"/>
        <v>4</v>
      </c>
      <c r="E323">
        <f t="shared" ca="1" si="78"/>
        <v>2</v>
      </c>
      <c r="F323" s="100">
        <f t="shared" ca="1" si="79"/>
        <v>2.2719240500000001E-2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252</v>
      </c>
      <c r="M323" s="7">
        <f t="shared" ca="1" si="83"/>
        <v>748</v>
      </c>
      <c r="N323" s="43">
        <f t="shared" ca="1" si="84"/>
        <v>6</v>
      </c>
      <c r="O323" s="92">
        <f t="shared" ca="1" si="85"/>
        <v>2.003415856166523</v>
      </c>
      <c r="P323" s="92">
        <f t="shared" ca="1" si="86"/>
        <v>20.03415856166523</v>
      </c>
      <c r="Q323" s="92">
        <f t="shared" ca="1" si="87"/>
        <v>20.03415856166523</v>
      </c>
      <c r="R323" s="92">
        <f t="shared" ca="1" si="88"/>
        <v>2.003415856166523</v>
      </c>
      <c r="S323" s="92">
        <f t="shared" ca="1" si="89"/>
        <v>2.003415856166523</v>
      </c>
      <c r="T323" s="4">
        <f t="shared" ca="1" si="90"/>
        <v>0</v>
      </c>
      <c r="U323" s="99">
        <f t="shared" ca="1" si="91"/>
        <v>1481.0284794818213</v>
      </c>
      <c r="V323" s="4">
        <f t="shared" ca="1" si="92"/>
        <v>0</v>
      </c>
      <c r="W323" s="13">
        <f t="shared" ca="1" si="93"/>
        <v>9500.3756250000006</v>
      </c>
      <c r="X323" s="4">
        <f t="shared" ca="1" si="94"/>
        <v>0</v>
      </c>
    </row>
    <row r="324" spans="1:24">
      <c r="A324">
        <v>2</v>
      </c>
      <c r="B324">
        <v>1</v>
      </c>
      <c r="C324">
        <f t="shared" ca="1" si="76"/>
        <v>6</v>
      </c>
      <c r="D324">
        <f t="shared" ca="1" si="77"/>
        <v>4</v>
      </c>
      <c r="E324">
        <f t="shared" ca="1" si="78"/>
        <v>2</v>
      </c>
      <c r="F324" s="100">
        <f t="shared" ca="1" si="79"/>
        <v>2.2719240500000001E-2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231</v>
      </c>
      <c r="M324" s="7">
        <f t="shared" ca="1" si="83"/>
        <v>769</v>
      </c>
      <c r="N324" s="43">
        <f t="shared" ca="1" si="84"/>
        <v>6</v>
      </c>
      <c r="O324" s="92">
        <f t="shared" ca="1" si="85"/>
        <v>2.003415856166523</v>
      </c>
      <c r="P324" s="92">
        <f t="shared" ca="1" si="86"/>
        <v>20.03415856166523</v>
      </c>
      <c r="Q324" s="92">
        <f t="shared" ca="1" si="87"/>
        <v>20.03415856166523</v>
      </c>
      <c r="R324" s="92">
        <f t="shared" ca="1" si="88"/>
        <v>2.003415856166523</v>
      </c>
      <c r="S324" s="92">
        <f t="shared" ca="1" si="89"/>
        <v>2.003415856166523</v>
      </c>
      <c r="T324" s="4">
        <f t="shared" ca="1" si="90"/>
        <v>0</v>
      </c>
      <c r="U324" s="99">
        <f t="shared" ca="1" si="91"/>
        <v>1460.0284794818213</v>
      </c>
      <c r="V324" s="4">
        <f t="shared" ca="1" si="92"/>
        <v>0</v>
      </c>
      <c r="W324" s="13">
        <f t="shared" ca="1" si="93"/>
        <v>8148.2381249999999</v>
      </c>
      <c r="X324" s="4">
        <f t="shared" ca="1" si="94"/>
        <v>0</v>
      </c>
    </row>
    <row r="325" spans="1:24">
      <c r="A325">
        <v>2</v>
      </c>
      <c r="B325">
        <v>1</v>
      </c>
      <c r="C325">
        <f t="shared" ca="1" si="76"/>
        <v>6</v>
      </c>
      <c r="D325">
        <f t="shared" ca="1" si="77"/>
        <v>4</v>
      </c>
      <c r="E325">
        <f t="shared" ca="1" si="78"/>
        <v>2</v>
      </c>
      <c r="F325" s="100">
        <f t="shared" ca="1" si="79"/>
        <v>2.2719240500000001E-2</v>
      </c>
      <c r="G325">
        <v>0</v>
      </c>
      <c r="H325">
        <v>1</v>
      </c>
      <c r="I325">
        <v>4</v>
      </c>
      <c r="J325" s="1">
        <f t="shared" ca="1" si="80"/>
        <v>9.5099004990000079E-3</v>
      </c>
      <c r="K325" s="1">
        <f t="shared" ca="1" si="81"/>
        <v>2.1605771656785119E-4</v>
      </c>
      <c r="L325" s="13">
        <f t="shared" ca="1" si="82"/>
        <v>210</v>
      </c>
      <c r="M325" s="7">
        <f t="shared" ca="1" si="83"/>
        <v>790</v>
      </c>
      <c r="N325" s="43">
        <f t="shared" ca="1" si="84"/>
        <v>7</v>
      </c>
      <c r="O325" s="92">
        <f t="shared" ca="1" si="85"/>
        <v>2.264588428134358</v>
      </c>
      <c r="P325" s="92">
        <f t="shared" ca="1" si="86"/>
        <v>22.645884281343584</v>
      </c>
      <c r="Q325" s="92">
        <f t="shared" ca="1" si="87"/>
        <v>21.340021421504403</v>
      </c>
      <c r="R325" s="92">
        <f t="shared" ca="1" si="88"/>
        <v>2.1992952851423992</v>
      </c>
      <c r="S325" s="92">
        <f t="shared" ca="1" si="89"/>
        <v>2.264588428134358</v>
      </c>
      <c r="T325" s="4">
        <f t="shared" ca="1" si="90"/>
        <v>4.8928180474868874E-4</v>
      </c>
      <c r="U325" s="99">
        <f t="shared" ca="1" si="91"/>
        <v>1567.2486983548911</v>
      </c>
      <c r="V325" s="4">
        <f t="shared" ca="1" si="92"/>
        <v>0.33861617506049474</v>
      </c>
      <c r="W325" s="13">
        <f t="shared" ca="1" si="93"/>
        <v>6796.100625</v>
      </c>
      <c r="X325" s="4">
        <f t="shared" ca="1" si="94"/>
        <v>1.4683499826028463</v>
      </c>
    </row>
    <row r="326" spans="1:24">
      <c r="A326">
        <v>2</v>
      </c>
      <c r="B326">
        <v>1</v>
      </c>
      <c r="C326">
        <f t="shared" ca="1" si="76"/>
        <v>6</v>
      </c>
      <c r="D326">
        <f t="shared" ca="1" si="77"/>
        <v>4</v>
      </c>
      <c r="E326">
        <f t="shared" ca="1" si="78"/>
        <v>2</v>
      </c>
      <c r="F326" s="100">
        <f t="shared" ca="1" si="79"/>
        <v>2.2719240500000001E-2</v>
      </c>
      <c r="G326">
        <v>0</v>
      </c>
      <c r="H326">
        <v>1</v>
      </c>
      <c r="I326">
        <v>3</v>
      </c>
      <c r="J326" s="1">
        <f t="shared" ca="1" si="80"/>
        <v>3.8423840400000073E-4</v>
      </c>
      <c r="K326" s="1">
        <f t="shared" ca="1" si="81"/>
        <v>8.7296047098121795E-6</v>
      </c>
      <c r="L326" s="13">
        <f t="shared" ca="1" si="82"/>
        <v>189</v>
      </c>
      <c r="M326" s="7">
        <f t="shared" ca="1" si="83"/>
        <v>811</v>
      </c>
      <c r="N326" s="43">
        <f t="shared" ca="1" si="84"/>
        <v>7</v>
      </c>
      <c r="O326" s="92">
        <f t="shared" ca="1" si="85"/>
        <v>2.264588428134358</v>
      </c>
      <c r="P326" s="92">
        <f t="shared" ca="1" si="86"/>
        <v>22.645884281343584</v>
      </c>
      <c r="Q326" s="92">
        <f t="shared" ca="1" si="87"/>
        <v>22.645884281343584</v>
      </c>
      <c r="R326" s="92">
        <f t="shared" ca="1" si="88"/>
        <v>2.2645884281343585</v>
      </c>
      <c r="S326" s="92">
        <f t="shared" ca="1" si="89"/>
        <v>2.264588428134358</v>
      </c>
      <c r="T326" s="4">
        <f t="shared" ca="1" si="90"/>
        <v>1.9768961808027852E-5</v>
      </c>
      <c r="U326" s="99">
        <f t="shared" ca="1" si="91"/>
        <v>1546.2486983548911</v>
      </c>
      <c r="V326" s="4">
        <f t="shared" ca="1" si="92"/>
        <v>1.3498139919699809E-2</v>
      </c>
      <c r="W326" s="13">
        <f t="shared" ca="1" si="93"/>
        <v>5443.9631250000002</v>
      </c>
      <c r="X326" s="4">
        <f t="shared" ca="1" si="94"/>
        <v>4.7523646136043832E-2</v>
      </c>
    </row>
    <row r="327" spans="1:24">
      <c r="A327">
        <v>2</v>
      </c>
      <c r="B327">
        <v>1</v>
      </c>
      <c r="C327">
        <f t="shared" ca="1" si="76"/>
        <v>6</v>
      </c>
      <c r="D327">
        <f t="shared" ca="1" si="77"/>
        <v>4</v>
      </c>
      <c r="E327">
        <f t="shared" ca="1" si="78"/>
        <v>2</v>
      </c>
      <c r="F327" s="100">
        <f t="shared" ca="1" si="79"/>
        <v>2.2719240500000001E-2</v>
      </c>
      <c r="G327">
        <v>0</v>
      </c>
      <c r="H327">
        <v>1</v>
      </c>
      <c r="I327">
        <v>2</v>
      </c>
      <c r="J327" s="1">
        <f t="shared" ca="1" si="80"/>
        <v>5.8217940000000154E-6</v>
      </c>
      <c r="K327" s="1">
        <f t="shared" ca="1" si="81"/>
        <v>1.3226673802745735E-7</v>
      </c>
      <c r="L327" s="13">
        <f t="shared" ca="1" si="82"/>
        <v>168</v>
      </c>
      <c r="M327" s="7">
        <f t="shared" ca="1" si="83"/>
        <v>832</v>
      </c>
      <c r="N327" s="43">
        <f t="shared" ca="1" si="84"/>
        <v>7</v>
      </c>
      <c r="O327" s="92">
        <f t="shared" ca="1" si="85"/>
        <v>2.264588428134358</v>
      </c>
      <c r="P327" s="92">
        <f t="shared" ca="1" si="86"/>
        <v>22.645884281343584</v>
      </c>
      <c r="Q327" s="92">
        <f t="shared" ca="1" si="87"/>
        <v>22.645884281343584</v>
      </c>
      <c r="R327" s="92">
        <f t="shared" ca="1" si="88"/>
        <v>2.2645884281343585</v>
      </c>
      <c r="S327" s="92">
        <f t="shared" ca="1" si="89"/>
        <v>2.264588428134358</v>
      </c>
      <c r="T327" s="4">
        <f t="shared" ca="1" si="90"/>
        <v>2.9952972436405856E-7</v>
      </c>
      <c r="U327" s="99">
        <f t="shared" ca="1" si="91"/>
        <v>1525.2486983548911</v>
      </c>
      <c r="V327" s="4">
        <f t="shared" ca="1" si="92"/>
        <v>2.017396700120267E-4</v>
      </c>
      <c r="W327" s="13">
        <f t="shared" ca="1" si="93"/>
        <v>4091.8256249999999</v>
      </c>
      <c r="X327" s="4">
        <f t="shared" ca="1" si="94"/>
        <v>5.4121242799591194E-4</v>
      </c>
    </row>
    <row r="328" spans="1:24">
      <c r="A328">
        <v>2</v>
      </c>
      <c r="B328">
        <v>1</v>
      </c>
      <c r="C328">
        <f t="shared" ca="1" si="76"/>
        <v>6</v>
      </c>
      <c r="D328">
        <f t="shared" ca="1" si="77"/>
        <v>4</v>
      </c>
      <c r="E328">
        <f t="shared" ca="1" si="78"/>
        <v>2</v>
      </c>
      <c r="F328" s="100">
        <f t="shared" ca="1" si="79"/>
        <v>2.2719240500000001E-2</v>
      </c>
      <c r="G328">
        <v>0</v>
      </c>
      <c r="H328">
        <v>1</v>
      </c>
      <c r="I328">
        <v>1</v>
      </c>
      <c r="J328" s="1">
        <f t="shared" ca="1" si="80"/>
        <v>3.9204000000000137E-8</v>
      </c>
      <c r="K328" s="1">
        <f t="shared" ca="1" si="81"/>
        <v>8.9068510456200317E-10</v>
      </c>
      <c r="L328" s="13">
        <f t="shared" ca="1" si="82"/>
        <v>147</v>
      </c>
      <c r="M328" s="7">
        <f t="shared" ca="1" si="83"/>
        <v>853</v>
      </c>
      <c r="N328" s="43">
        <f t="shared" ca="1" si="84"/>
        <v>7</v>
      </c>
      <c r="O328" s="92">
        <f t="shared" ca="1" si="85"/>
        <v>2.264588428134358</v>
      </c>
      <c r="P328" s="92">
        <f t="shared" ca="1" si="86"/>
        <v>22.645884281343584</v>
      </c>
      <c r="Q328" s="92">
        <f t="shared" ca="1" si="87"/>
        <v>22.645884281343584</v>
      </c>
      <c r="R328" s="92">
        <f t="shared" ca="1" si="88"/>
        <v>2.2645884281343585</v>
      </c>
      <c r="S328" s="92">
        <f t="shared" ca="1" si="89"/>
        <v>2.264588428134358</v>
      </c>
      <c r="T328" s="4">
        <f t="shared" ca="1" si="90"/>
        <v>2.017035180902753E-9</v>
      </c>
      <c r="U328" s="99">
        <f t="shared" ca="1" si="91"/>
        <v>1504.2486983548911</v>
      </c>
      <c r="V328" s="4">
        <f t="shared" ca="1" si="92"/>
        <v>1.3398119091814833E-6</v>
      </c>
      <c r="W328" s="13">
        <f t="shared" ca="1" si="93"/>
        <v>2739.6881249999997</v>
      </c>
      <c r="X328" s="4">
        <f t="shared" ca="1" si="94"/>
        <v>2.4401994040829033E-6</v>
      </c>
    </row>
    <row r="329" spans="1:24">
      <c r="A329">
        <v>2</v>
      </c>
      <c r="B329">
        <v>1</v>
      </c>
      <c r="C329">
        <f t="shared" ca="1" si="76"/>
        <v>6</v>
      </c>
      <c r="D329">
        <f t="shared" ca="1" si="77"/>
        <v>4</v>
      </c>
      <c r="E329">
        <f t="shared" ca="1" si="78"/>
        <v>2</v>
      </c>
      <c r="F329" s="100">
        <f t="shared" ca="1" si="79"/>
        <v>2.2719240500000001E-2</v>
      </c>
      <c r="G329">
        <v>0</v>
      </c>
      <c r="H329">
        <v>1</v>
      </c>
      <c r="I329">
        <v>0</v>
      </c>
      <c r="J329" s="1">
        <f t="shared" ca="1" si="80"/>
        <v>9.9000000000000459E-11</v>
      </c>
      <c r="K329" s="1">
        <f t="shared" ca="1" si="81"/>
        <v>2.2492048095000107E-12</v>
      </c>
      <c r="L329" s="13">
        <f t="shared" ca="1" si="82"/>
        <v>126</v>
      </c>
      <c r="M329" s="7">
        <f t="shared" ca="1" si="83"/>
        <v>874</v>
      </c>
      <c r="N329" s="43">
        <f t="shared" ca="1" si="84"/>
        <v>7</v>
      </c>
      <c r="O329" s="92">
        <f t="shared" ca="1" si="85"/>
        <v>2.264588428134358</v>
      </c>
      <c r="P329" s="92">
        <f t="shared" ca="1" si="86"/>
        <v>22.645884281343584</v>
      </c>
      <c r="Q329" s="92">
        <f t="shared" ca="1" si="87"/>
        <v>22.645884281343584</v>
      </c>
      <c r="R329" s="92">
        <f t="shared" ca="1" si="88"/>
        <v>2.2645884281343585</v>
      </c>
      <c r="S329" s="92">
        <f t="shared" ca="1" si="89"/>
        <v>2.264588428134358</v>
      </c>
      <c r="T329" s="4">
        <f t="shared" ca="1" si="90"/>
        <v>5.0935231840978672E-12</v>
      </c>
      <c r="U329" s="99">
        <f t="shared" ca="1" si="91"/>
        <v>1483.2486983548911</v>
      </c>
      <c r="V329" s="4">
        <f t="shared" ca="1" si="92"/>
        <v>3.3361301060244517E-9</v>
      </c>
      <c r="W329" s="13">
        <f t="shared" ca="1" si="93"/>
        <v>1387.5506249999999</v>
      </c>
      <c r="X329" s="4">
        <f t="shared" ca="1" si="94"/>
        <v>3.1208855391747454E-9</v>
      </c>
    </row>
    <row r="330" spans="1:24">
      <c r="A330">
        <v>2</v>
      </c>
      <c r="B330">
        <v>1</v>
      </c>
      <c r="C330">
        <f t="shared" ca="1" si="76"/>
        <v>6</v>
      </c>
      <c r="D330">
        <f t="shared" ca="1" si="77"/>
        <v>4</v>
      </c>
      <c r="E330">
        <f t="shared" ca="1" si="78"/>
        <v>2</v>
      </c>
      <c r="F330" s="100">
        <f t="shared" ca="1" si="79"/>
        <v>2.2719240500000001E-2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3">
        <f t="shared" ca="1" si="84"/>
        <v>7</v>
      </c>
      <c r="O330" s="92">
        <f t="shared" ca="1" si="85"/>
        <v>2.264588428134358</v>
      </c>
      <c r="P330" s="92">
        <f t="shared" ca="1" si="86"/>
        <v>22.645884281343584</v>
      </c>
      <c r="Q330" s="92">
        <f t="shared" ca="1" si="87"/>
        <v>22.645884281343584</v>
      </c>
      <c r="R330" s="92">
        <f t="shared" ca="1" si="88"/>
        <v>2.2645884281343585</v>
      </c>
      <c r="S330" s="92">
        <f t="shared" ca="1" si="89"/>
        <v>2.264588428134358</v>
      </c>
      <c r="T330" s="4">
        <f t="shared" ca="1" si="90"/>
        <v>0</v>
      </c>
      <c r="U330" s="99">
        <f t="shared" ca="1" si="91"/>
        <v>1504.2486983548911</v>
      </c>
      <c r="V330" s="4">
        <f t="shared" ca="1" si="92"/>
        <v>0</v>
      </c>
      <c r="W330" s="13">
        <f t="shared" ca="1" si="93"/>
        <v>9464.9624999999996</v>
      </c>
      <c r="X330" s="4">
        <f t="shared" ca="1" si="94"/>
        <v>0</v>
      </c>
    </row>
    <row r="331" spans="1:24">
      <c r="A331">
        <v>2</v>
      </c>
      <c r="B331">
        <v>1</v>
      </c>
      <c r="C331">
        <f t="shared" ca="1" si="76"/>
        <v>6</v>
      </c>
      <c r="D331">
        <f t="shared" ca="1" si="77"/>
        <v>4</v>
      </c>
      <c r="E331">
        <f t="shared" ca="1" si="78"/>
        <v>2</v>
      </c>
      <c r="F331" s="100">
        <f t="shared" ca="1" si="79"/>
        <v>2.2719240500000001E-2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126</v>
      </c>
      <c r="M331" s="7">
        <f t="shared" ca="1" si="83"/>
        <v>874</v>
      </c>
      <c r="N331" s="43">
        <f t="shared" ca="1" si="84"/>
        <v>7</v>
      </c>
      <c r="O331" s="92">
        <f t="shared" ca="1" si="85"/>
        <v>2.264588428134358</v>
      </c>
      <c r="P331" s="92">
        <f t="shared" ca="1" si="86"/>
        <v>22.645884281343584</v>
      </c>
      <c r="Q331" s="92">
        <f t="shared" ca="1" si="87"/>
        <v>22.645884281343584</v>
      </c>
      <c r="R331" s="92">
        <f t="shared" ca="1" si="88"/>
        <v>2.2645884281343585</v>
      </c>
      <c r="S331" s="92">
        <f t="shared" ca="1" si="89"/>
        <v>2.264588428134358</v>
      </c>
      <c r="T331" s="4">
        <f t="shared" ca="1" si="90"/>
        <v>0</v>
      </c>
      <c r="U331" s="99">
        <f t="shared" ca="1" si="91"/>
        <v>1483.2486983548911</v>
      </c>
      <c r="V331" s="4">
        <f t="shared" ca="1" si="92"/>
        <v>0</v>
      </c>
      <c r="W331" s="13">
        <f t="shared" ca="1" si="93"/>
        <v>8112.8249999999998</v>
      </c>
      <c r="X331" s="4">
        <f t="shared" ca="1" si="94"/>
        <v>0</v>
      </c>
    </row>
    <row r="332" spans="1:24">
      <c r="A332">
        <v>2</v>
      </c>
      <c r="B332">
        <v>1</v>
      </c>
      <c r="C332">
        <f t="shared" ca="1" si="76"/>
        <v>6</v>
      </c>
      <c r="D332">
        <f t="shared" ca="1" si="77"/>
        <v>4</v>
      </c>
      <c r="E332">
        <f t="shared" ca="1" si="78"/>
        <v>2</v>
      </c>
      <c r="F332" s="100">
        <f t="shared" ca="1" si="79"/>
        <v>2.2719240500000001E-2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105</v>
      </c>
      <c r="M332" s="7">
        <f t="shared" ca="1" si="83"/>
        <v>895</v>
      </c>
      <c r="N332" s="43">
        <f t="shared" ca="1" si="84"/>
        <v>7</v>
      </c>
      <c r="O332" s="92">
        <f t="shared" ca="1" si="85"/>
        <v>2.264588428134358</v>
      </c>
      <c r="P332" s="92">
        <f t="shared" ca="1" si="86"/>
        <v>22.645884281343584</v>
      </c>
      <c r="Q332" s="92">
        <f t="shared" ca="1" si="87"/>
        <v>22.645884281343584</v>
      </c>
      <c r="R332" s="92">
        <f t="shared" ca="1" si="88"/>
        <v>2.2645884281343585</v>
      </c>
      <c r="S332" s="92">
        <f t="shared" ca="1" si="89"/>
        <v>2.264588428134358</v>
      </c>
      <c r="T332" s="4">
        <f t="shared" ca="1" si="90"/>
        <v>0</v>
      </c>
      <c r="U332" s="99">
        <f t="shared" ca="1" si="91"/>
        <v>1462.2486983548911</v>
      </c>
      <c r="V332" s="4">
        <f t="shared" ca="1" si="92"/>
        <v>0</v>
      </c>
      <c r="W332" s="13">
        <f t="shared" ca="1" si="93"/>
        <v>6760.6875</v>
      </c>
      <c r="X332" s="4">
        <f t="shared" ca="1" si="94"/>
        <v>0</v>
      </c>
    </row>
    <row r="333" spans="1:24">
      <c r="A333">
        <v>2</v>
      </c>
      <c r="B333">
        <v>1</v>
      </c>
      <c r="C333">
        <f t="shared" ca="1" si="76"/>
        <v>6</v>
      </c>
      <c r="D333">
        <f t="shared" ca="1" si="77"/>
        <v>4</v>
      </c>
      <c r="E333">
        <f t="shared" ca="1" si="78"/>
        <v>2</v>
      </c>
      <c r="F333" s="100">
        <f t="shared" ca="1" si="79"/>
        <v>2.2719240500000001E-2</v>
      </c>
      <c r="G333">
        <v>0</v>
      </c>
      <c r="H333">
        <v>0</v>
      </c>
      <c r="I333">
        <v>4</v>
      </c>
      <c r="J333" s="1">
        <f t="shared" ca="1" si="80"/>
        <v>9.605960100000017E-5</v>
      </c>
      <c r="K333" s="1">
        <f t="shared" ca="1" si="81"/>
        <v>2.1824011774530445E-6</v>
      </c>
      <c r="L333" s="13">
        <f t="shared" ca="1" si="82"/>
        <v>100</v>
      </c>
      <c r="M333" s="7">
        <f t="shared" ca="1" si="83"/>
        <v>900</v>
      </c>
      <c r="N333" s="43">
        <f t="shared" ca="1" si="84"/>
        <v>7</v>
      </c>
      <c r="O333" s="92">
        <f t="shared" ca="1" si="85"/>
        <v>2.264588428134358</v>
      </c>
      <c r="P333" s="92">
        <f t="shared" ca="1" si="86"/>
        <v>22.645884281343584</v>
      </c>
      <c r="Q333" s="92">
        <f t="shared" ca="1" si="87"/>
        <v>22.645884281343584</v>
      </c>
      <c r="R333" s="92">
        <f t="shared" ca="1" si="88"/>
        <v>2.2645884281343585</v>
      </c>
      <c r="S333" s="92">
        <f t="shared" ca="1" si="89"/>
        <v>2.264588428134358</v>
      </c>
      <c r="T333" s="4">
        <f t="shared" ca="1" si="90"/>
        <v>4.9422404520069623E-6</v>
      </c>
      <c r="U333" s="99">
        <f t="shared" ca="1" si="91"/>
        <v>1457.2486983548911</v>
      </c>
      <c r="V333" s="4">
        <f t="shared" ca="1" si="92"/>
        <v>3.1803012751316305E-3</v>
      </c>
      <c r="W333" s="13">
        <f t="shared" ca="1" si="93"/>
        <v>5408.55</v>
      </c>
      <c r="X333" s="4">
        <f t="shared" ca="1" si="94"/>
        <v>1.1803625888313664E-2</v>
      </c>
    </row>
    <row r="334" spans="1:24">
      <c r="A334">
        <v>2</v>
      </c>
      <c r="B334">
        <v>1</v>
      </c>
      <c r="C334">
        <f t="shared" ca="1" si="76"/>
        <v>6</v>
      </c>
      <c r="D334">
        <f t="shared" ca="1" si="77"/>
        <v>4</v>
      </c>
      <c r="E334">
        <f t="shared" ca="1" si="78"/>
        <v>2</v>
      </c>
      <c r="F334" s="100">
        <f t="shared" ca="1" si="79"/>
        <v>2.2719240500000001E-2</v>
      </c>
      <c r="G334">
        <v>0</v>
      </c>
      <c r="H334">
        <v>0</v>
      </c>
      <c r="I334">
        <v>3</v>
      </c>
      <c r="J334" s="1">
        <f t="shared" ca="1" si="80"/>
        <v>3.8811960000000103E-6</v>
      </c>
      <c r="K334" s="1">
        <f t="shared" ca="1" si="81"/>
        <v>8.8177825351638235E-8</v>
      </c>
      <c r="L334" s="13">
        <f t="shared" ca="1" si="82"/>
        <v>100</v>
      </c>
      <c r="M334" s="7">
        <f t="shared" ca="1" si="83"/>
        <v>900</v>
      </c>
      <c r="N334" s="43">
        <f t="shared" ca="1" si="84"/>
        <v>7</v>
      </c>
      <c r="O334" s="92">
        <f t="shared" ca="1" si="85"/>
        <v>2.264588428134358</v>
      </c>
      <c r="P334" s="92">
        <f t="shared" ca="1" si="86"/>
        <v>22.645884281343584</v>
      </c>
      <c r="Q334" s="92">
        <f t="shared" ca="1" si="87"/>
        <v>22.645884281343584</v>
      </c>
      <c r="R334" s="92">
        <f t="shared" ca="1" si="88"/>
        <v>2.2645884281343585</v>
      </c>
      <c r="S334" s="92">
        <f t="shared" ca="1" si="89"/>
        <v>2.264588428134358</v>
      </c>
      <c r="T334" s="4">
        <f t="shared" ca="1" si="90"/>
        <v>1.9968648290937238E-7</v>
      </c>
      <c r="U334" s="99">
        <f t="shared" ca="1" si="91"/>
        <v>1457.2486983548911</v>
      </c>
      <c r="V334" s="4">
        <f t="shared" ca="1" si="92"/>
        <v>1.2849702121743974E-4</v>
      </c>
      <c r="W334" s="13">
        <f t="shared" ca="1" si="93"/>
        <v>4056.4124999999999</v>
      </c>
      <c r="X334" s="4">
        <f t="shared" ca="1" si="94"/>
        <v>3.576856329792022E-4</v>
      </c>
    </row>
    <row r="335" spans="1:24">
      <c r="A335">
        <v>2</v>
      </c>
      <c r="B335">
        <v>1</v>
      </c>
      <c r="C335">
        <f t="shared" ca="1" si="76"/>
        <v>6</v>
      </c>
      <c r="D335">
        <f t="shared" ca="1" si="77"/>
        <v>4</v>
      </c>
      <c r="E335">
        <f t="shared" ca="1" si="78"/>
        <v>2</v>
      </c>
      <c r="F335" s="100">
        <f t="shared" ca="1" si="79"/>
        <v>2.2719240500000001E-2</v>
      </c>
      <c r="G335">
        <v>0</v>
      </c>
      <c r="H335">
        <v>0</v>
      </c>
      <c r="I335">
        <v>2</v>
      </c>
      <c r="J335" s="1">
        <f t="shared" ca="1" si="80"/>
        <v>5.8806000000000209E-8</v>
      </c>
      <c r="K335" s="1">
        <f t="shared" ca="1" si="81"/>
        <v>1.3360276568430049E-9</v>
      </c>
      <c r="L335" s="13">
        <f t="shared" ca="1" si="82"/>
        <v>100</v>
      </c>
      <c r="M335" s="7">
        <f t="shared" ca="1" si="83"/>
        <v>900</v>
      </c>
      <c r="N335" s="43">
        <f t="shared" ca="1" si="84"/>
        <v>7</v>
      </c>
      <c r="O335" s="92">
        <f t="shared" ca="1" si="85"/>
        <v>2.264588428134358</v>
      </c>
      <c r="P335" s="92">
        <f t="shared" ca="1" si="86"/>
        <v>22.645884281343584</v>
      </c>
      <c r="Q335" s="92">
        <f t="shared" ca="1" si="87"/>
        <v>22.645884281343584</v>
      </c>
      <c r="R335" s="92">
        <f t="shared" ca="1" si="88"/>
        <v>2.2645884281343585</v>
      </c>
      <c r="S335" s="92">
        <f t="shared" ca="1" si="89"/>
        <v>2.264588428134358</v>
      </c>
      <c r="T335" s="4">
        <f t="shared" ca="1" si="90"/>
        <v>3.0255527713541301E-9</v>
      </c>
      <c r="U335" s="99">
        <f t="shared" ca="1" si="91"/>
        <v>1457.2486983548911</v>
      </c>
      <c r="V335" s="4">
        <f t="shared" ca="1" si="92"/>
        <v>1.9469245639006042E-6</v>
      </c>
      <c r="W335" s="13">
        <f t="shared" ca="1" si="93"/>
        <v>2704.2750000000001</v>
      </c>
      <c r="X335" s="4">
        <f t="shared" ca="1" si="94"/>
        <v>3.6129861917091173E-6</v>
      </c>
    </row>
    <row r="336" spans="1:24">
      <c r="A336">
        <v>2</v>
      </c>
      <c r="B336">
        <v>1</v>
      </c>
      <c r="C336">
        <f t="shared" ca="1" si="76"/>
        <v>6</v>
      </c>
      <c r="D336">
        <f t="shared" ca="1" si="77"/>
        <v>4</v>
      </c>
      <c r="E336">
        <f t="shared" ca="1" si="78"/>
        <v>2</v>
      </c>
      <c r="F336" s="100">
        <f t="shared" ca="1" si="79"/>
        <v>2.2719240500000001E-2</v>
      </c>
      <c r="G336">
        <v>0</v>
      </c>
      <c r="H336">
        <v>0</v>
      </c>
      <c r="I336">
        <v>1</v>
      </c>
      <c r="J336" s="1">
        <f t="shared" ca="1" si="80"/>
        <v>3.9600000000000173E-10</v>
      </c>
      <c r="K336" s="1">
        <f t="shared" ca="1" si="81"/>
        <v>8.9968192380000396E-12</v>
      </c>
      <c r="L336" s="13">
        <f t="shared" ca="1" si="82"/>
        <v>100</v>
      </c>
      <c r="M336" s="7">
        <f t="shared" ca="1" si="83"/>
        <v>900</v>
      </c>
      <c r="N336" s="43">
        <f t="shared" ca="1" si="84"/>
        <v>7</v>
      </c>
      <c r="O336" s="92">
        <f t="shared" ca="1" si="85"/>
        <v>2.264588428134358</v>
      </c>
      <c r="P336" s="92">
        <f t="shared" ca="1" si="86"/>
        <v>22.645884281343584</v>
      </c>
      <c r="Q336" s="92">
        <f t="shared" ca="1" si="87"/>
        <v>22.645884281343584</v>
      </c>
      <c r="R336" s="92">
        <f t="shared" ca="1" si="88"/>
        <v>2.2645884281343585</v>
      </c>
      <c r="S336" s="92">
        <f t="shared" ca="1" si="89"/>
        <v>2.264588428134358</v>
      </c>
      <c r="T336" s="4">
        <f t="shared" ca="1" si="90"/>
        <v>2.0374092736391463E-11</v>
      </c>
      <c r="U336" s="99">
        <f t="shared" ca="1" si="91"/>
        <v>1457.2486983548911</v>
      </c>
      <c r="V336" s="4">
        <f t="shared" ca="1" si="92"/>
        <v>1.3110603123909801E-8</v>
      </c>
      <c r="W336" s="13">
        <f t="shared" ca="1" si="93"/>
        <v>1352.1375</v>
      </c>
      <c r="X336" s="4">
        <f t="shared" ca="1" si="94"/>
        <v>1.2164936672421279E-8</v>
      </c>
    </row>
    <row r="337" spans="1:24">
      <c r="A337">
        <v>2</v>
      </c>
      <c r="B337">
        <v>1</v>
      </c>
      <c r="C337">
        <f t="shared" ca="1" si="76"/>
        <v>6</v>
      </c>
      <c r="D337">
        <f t="shared" ca="1" si="77"/>
        <v>4</v>
      </c>
      <c r="E337">
        <f t="shared" ca="1" si="78"/>
        <v>2</v>
      </c>
      <c r="F337" s="100">
        <f t="shared" ca="1" si="79"/>
        <v>2.2719240500000001E-2</v>
      </c>
      <c r="G337">
        <v>0</v>
      </c>
      <c r="H337">
        <v>0</v>
      </c>
      <c r="I337">
        <v>0</v>
      </c>
      <c r="J337" s="1">
        <f t="shared" ca="1" si="80"/>
        <v>1.0000000000000054E-12</v>
      </c>
      <c r="K337" s="1">
        <f t="shared" ca="1" si="81"/>
        <v>2.2719240500000124E-14</v>
      </c>
      <c r="L337" s="13">
        <f t="shared" ca="1" si="82"/>
        <v>100</v>
      </c>
      <c r="M337" s="7">
        <f t="shared" ca="1" si="83"/>
        <v>900</v>
      </c>
      <c r="N337" s="43">
        <f t="shared" ca="1" si="84"/>
        <v>7</v>
      </c>
      <c r="O337" s="92">
        <f t="shared" ca="1" si="85"/>
        <v>2.264588428134358</v>
      </c>
      <c r="P337" s="92">
        <f t="shared" ca="1" si="86"/>
        <v>22.645884281343584</v>
      </c>
      <c r="Q337" s="92">
        <f t="shared" ca="1" si="87"/>
        <v>22.645884281343584</v>
      </c>
      <c r="R337" s="92">
        <f t="shared" ca="1" si="88"/>
        <v>2.2645884281343585</v>
      </c>
      <c r="S337" s="92">
        <f t="shared" ca="1" si="89"/>
        <v>2.264588428134358</v>
      </c>
      <c r="T337" s="4">
        <f t="shared" ca="1" si="90"/>
        <v>5.1449729132301727E-14</v>
      </c>
      <c r="U337" s="99">
        <f t="shared" ca="1" si="91"/>
        <v>1457.2486983548911</v>
      </c>
      <c r="V337" s="4">
        <f t="shared" ca="1" si="92"/>
        <v>3.3107583646236905E-11</v>
      </c>
      <c r="W337" s="13">
        <f t="shared" ca="1" si="93"/>
        <v>0</v>
      </c>
      <c r="X337" s="4">
        <f t="shared" ca="1" si="94"/>
        <v>0</v>
      </c>
    </row>
    <row r="338" spans="1:24">
      <c r="A338">
        <v>2</v>
      </c>
      <c r="B338">
        <v>2</v>
      </c>
      <c r="C338">
        <f t="shared" ref="C338:C401" ca="1" si="95">MIN(8, 1+$B$10+$B$9+A338+B338)</f>
        <v>7</v>
      </c>
      <c r="D338">
        <f t="shared" ref="D338:D401" ca="1" si="96">C338-(1+$B$10)</f>
        <v>5</v>
      </c>
      <c r="E338">
        <f t="shared" ref="E338:E401" ca="1" si="97">MIN(A338, C338-(1+$B$10+$B$9))</f>
        <v>2</v>
      </c>
      <c r="F338" s="100">
        <f t="shared" ref="F338:F401" ca="1" si="98">IF(A338=3, $E$5, IF(A338=2, (1-$E$5)*$E$4 + (1-$E$5)*(1-$E$4)*(1-$E$3)*Set1AM3*Set1AM33, IF(A338=1, (1-$E$5)*(1-$E$4)*$E$3 + (1-$E$5)*(1-$E$4)*(1-$E$3)*Set1AM3*Set1AM32, (1-$E$5)*(1-$E$4)*(1-$E$3)*(1-Set1AM3)))) * IF($B$9+$B$10&gt;0, IF(B338=3, $E$5, IF(B338=2, (1-$E$5)*$E$4, IF(B338=1, (1-$E$5)*(1-$E$4)*$E$3, (1-$E$5)*(1-$E$4)*(1-$E$3)))), IF(B338=0, 1, 0))</f>
        <v>1.0870450000000002E-2</v>
      </c>
      <c r="G338">
        <v>1</v>
      </c>
      <c r="H338">
        <v>1</v>
      </c>
      <c r="I338">
        <v>7</v>
      </c>
      <c r="J338" s="1">
        <f t="shared" ref="J338:J401" ca="1" si="99">IF($B$8&lt;100%, POWER($B$8,G338)*POWER(1-$B$8, 1-G338), 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399</v>
      </c>
      <c r="M338" s="7">
        <f t="shared" ref="M338:M401" ca="1" si="102">MAX(Set1MinTP-(L338+Set1Regain), 0)</f>
        <v>601</v>
      </c>
      <c r="N338" s="43">
        <f t="shared" ref="N338:N401" ca="1" si="103">CEILING(M338/Set1MeleeTP, 1)</f>
        <v>5</v>
      </c>
      <c r="O338" s="92">
        <f t="shared" ref="O338:O401" ca="1" si="104">VLOOKUP(N338,AvgRoundsSet1,2)</f>
        <v>1.7627004516625842</v>
      </c>
      <c r="P338" s="92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17.627004516625838</v>
      </c>
      <c r="Q338" s="92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17.627004516625838</v>
      </c>
      <c r="R338" s="92">
        <f t="shared" ref="R338:R401" ca="1" si="107">(P338+Q338)/20</f>
        <v>1.7627004516625839</v>
      </c>
      <c r="S338" s="92">
        <f t="shared" ref="S338:S401" ca="1" si="108">R338*Set1ConserveTP + O338*(1-Set1ConserveTP)</f>
        <v>1.7627004516625842</v>
      </c>
      <c r="T338" s="4">
        <f t="shared" ref="T338:T401" ca="1" si="109">K338*S338</f>
        <v>0</v>
      </c>
      <c r="U338" s="99">
        <f t="shared" ref="U338:U401" ca="1" si="110">MIN(L338+(S338+Set1OverTP)*AvgHitsPerRound1*Set1MeleeTP + Set1Regain + 10.5*Set1ConserveTP, 3000)</f>
        <v>1509.8515146533105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23319.800362499998</v>
      </c>
      <c r="X338" s="4">
        <f t="shared" ref="X338:X401" ca="1" si="113">K338*W338</f>
        <v>0</v>
      </c>
    </row>
    <row r="339" spans="1:24">
      <c r="A339">
        <v>2</v>
      </c>
      <c r="B339">
        <v>2</v>
      </c>
      <c r="C339">
        <f t="shared" ca="1" si="95"/>
        <v>7</v>
      </c>
      <c r="D339">
        <f t="shared" ca="1" si="96"/>
        <v>5</v>
      </c>
      <c r="E339">
        <f t="shared" ca="1" si="97"/>
        <v>2</v>
      </c>
      <c r="F339" s="100">
        <f t="shared" ca="1" si="98"/>
        <v>1.0870450000000002E-2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378</v>
      </c>
      <c r="M339" s="7">
        <f t="shared" ca="1" si="102"/>
        <v>622</v>
      </c>
      <c r="N339" s="43">
        <f t="shared" ca="1" si="103"/>
        <v>5</v>
      </c>
      <c r="O339" s="92">
        <f t="shared" ca="1" si="104"/>
        <v>1.7627004516625842</v>
      </c>
      <c r="P339" s="92">
        <f t="shared" ca="1" si="105"/>
        <v>17.627004516625838</v>
      </c>
      <c r="Q339" s="92">
        <f t="shared" ca="1" si="106"/>
        <v>17.627004516625838</v>
      </c>
      <c r="R339" s="92">
        <f t="shared" ca="1" si="107"/>
        <v>1.7627004516625839</v>
      </c>
      <c r="S339" s="92">
        <f t="shared" ca="1" si="108"/>
        <v>1.7627004516625842</v>
      </c>
      <c r="T339" s="4">
        <f t="shared" ca="1" si="109"/>
        <v>0</v>
      </c>
      <c r="U339" s="99">
        <f t="shared" ca="1" si="110"/>
        <v>1488.8515146533105</v>
      </c>
      <c r="V339" s="4">
        <f t="shared" ca="1" si="111"/>
        <v>0</v>
      </c>
      <c r="W339" s="13">
        <f t="shared" ca="1" si="112"/>
        <v>21967.662862499998</v>
      </c>
      <c r="X339" s="4">
        <f t="shared" ca="1" si="113"/>
        <v>0</v>
      </c>
    </row>
    <row r="340" spans="1:24">
      <c r="A340">
        <v>2</v>
      </c>
      <c r="B340">
        <v>2</v>
      </c>
      <c r="C340">
        <f t="shared" ca="1" si="95"/>
        <v>7</v>
      </c>
      <c r="D340">
        <f t="shared" ca="1" si="96"/>
        <v>5</v>
      </c>
      <c r="E340">
        <f t="shared" ca="1" si="97"/>
        <v>2</v>
      </c>
      <c r="F340" s="100">
        <f t="shared" ca="1" si="98"/>
        <v>1.0870450000000002E-2</v>
      </c>
      <c r="G340">
        <v>1</v>
      </c>
      <c r="H340">
        <v>1</v>
      </c>
      <c r="I340">
        <v>5</v>
      </c>
      <c r="J340" s="1">
        <f t="shared" ca="1" si="99"/>
        <v>0.93206534790698992</v>
      </c>
      <c r="K340" s="1">
        <f t="shared" ca="1" si="100"/>
        <v>1.0131969761155541E-2</v>
      </c>
      <c r="L340" s="13">
        <f t="shared" ca="1" si="101"/>
        <v>357</v>
      </c>
      <c r="M340" s="7">
        <f t="shared" ca="1" si="102"/>
        <v>643</v>
      </c>
      <c r="N340" s="43">
        <f t="shared" ca="1" si="103"/>
        <v>5</v>
      </c>
      <c r="O340" s="92">
        <f t="shared" ca="1" si="104"/>
        <v>1.7627004516625842</v>
      </c>
      <c r="P340" s="92">
        <f t="shared" ca="1" si="105"/>
        <v>17.627004516625838</v>
      </c>
      <c r="Q340" s="92">
        <f t="shared" ca="1" si="106"/>
        <v>17.627004516625838</v>
      </c>
      <c r="R340" s="92">
        <f t="shared" ca="1" si="107"/>
        <v>1.7627004516625839</v>
      </c>
      <c r="S340" s="92">
        <f t="shared" ca="1" si="108"/>
        <v>1.7627004516625842</v>
      </c>
      <c r="T340" s="4">
        <f t="shared" ca="1" si="109"/>
        <v>1.7859627674220516E-2</v>
      </c>
      <c r="U340" s="99">
        <f t="shared" ca="1" si="110"/>
        <v>1467.8515146533105</v>
      </c>
      <c r="V340" s="4">
        <f t="shared" ca="1" si="111"/>
        <v>14.872227160333701</v>
      </c>
      <c r="W340" s="13">
        <f t="shared" ca="1" si="112"/>
        <v>20615.525362499997</v>
      </c>
      <c r="X340" s="4">
        <f t="shared" ca="1" si="113"/>
        <v>208.87587958318508</v>
      </c>
    </row>
    <row r="341" spans="1:24">
      <c r="A341">
        <v>2</v>
      </c>
      <c r="B341">
        <v>2</v>
      </c>
      <c r="C341">
        <f t="shared" ca="1" si="95"/>
        <v>7</v>
      </c>
      <c r="D341">
        <f t="shared" ca="1" si="96"/>
        <v>5</v>
      </c>
      <c r="E341">
        <f t="shared" ca="1" si="97"/>
        <v>2</v>
      </c>
      <c r="F341" s="100">
        <f t="shared" ca="1" si="98"/>
        <v>1.0870450000000002E-2</v>
      </c>
      <c r="G341">
        <v>1</v>
      </c>
      <c r="H341">
        <v>1</v>
      </c>
      <c r="I341">
        <v>4</v>
      </c>
      <c r="J341" s="1">
        <f t="shared" ca="1" si="99"/>
        <v>4.7074007470050035E-2</v>
      </c>
      <c r="K341" s="1">
        <f t="shared" ca="1" si="100"/>
        <v>5.1171564450280544E-4</v>
      </c>
      <c r="L341" s="13">
        <f t="shared" ca="1" si="101"/>
        <v>336</v>
      </c>
      <c r="M341" s="7">
        <f t="shared" ca="1" si="102"/>
        <v>664</v>
      </c>
      <c r="N341" s="43">
        <f t="shared" ca="1" si="103"/>
        <v>6</v>
      </c>
      <c r="O341" s="92">
        <f t="shared" ca="1" si="104"/>
        <v>2.003415856166523</v>
      </c>
      <c r="P341" s="92">
        <f t="shared" ca="1" si="105"/>
        <v>20.03415856166523</v>
      </c>
      <c r="Q341" s="92">
        <f t="shared" ca="1" si="106"/>
        <v>19.552727752657354</v>
      </c>
      <c r="R341" s="92">
        <f t="shared" ca="1" si="107"/>
        <v>1.9793443157161292</v>
      </c>
      <c r="S341" s="92">
        <f t="shared" ca="1" si="108"/>
        <v>2.003415856166523</v>
      </c>
      <c r="T341" s="4">
        <f t="shared" ca="1" si="109"/>
        <v>1.025179236045392E-3</v>
      </c>
      <c r="U341" s="99">
        <f t="shared" ca="1" si="110"/>
        <v>1565.0284794818213</v>
      </c>
      <c r="V341" s="4">
        <f t="shared" ca="1" si="111"/>
        <v>0.80084955704328575</v>
      </c>
      <c r="W341" s="13">
        <f t="shared" ca="1" si="112"/>
        <v>19263.3878625</v>
      </c>
      <c r="X341" s="4">
        <f t="shared" ca="1" si="113"/>
        <v>9.8573769353667071</v>
      </c>
    </row>
    <row r="342" spans="1:24">
      <c r="A342">
        <v>2</v>
      </c>
      <c r="B342">
        <v>2</v>
      </c>
      <c r="C342">
        <f t="shared" ca="1" si="95"/>
        <v>7</v>
      </c>
      <c r="D342">
        <f t="shared" ca="1" si="96"/>
        <v>5</v>
      </c>
      <c r="E342">
        <f t="shared" ca="1" si="97"/>
        <v>2</v>
      </c>
      <c r="F342" s="100">
        <f t="shared" ca="1" si="98"/>
        <v>1.0870450000000002E-2</v>
      </c>
      <c r="G342">
        <v>1</v>
      </c>
      <c r="H342">
        <v>1</v>
      </c>
      <c r="I342">
        <v>3</v>
      </c>
      <c r="J342" s="1">
        <f t="shared" ca="1" si="99"/>
        <v>9.5099004990000164E-4</v>
      </c>
      <c r="K342" s="1">
        <f t="shared" ca="1" si="100"/>
        <v>1.0337689787935475E-5</v>
      </c>
      <c r="L342" s="13">
        <f t="shared" ca="1" si="101"/>
        <v>315</v>
      </c>
      <c r="M342" s="7">
        <f t="shared" ca="1" si="102"/>
        <v>685</v>
      </c>
      <c r="N342" s="43">
        <f t="shared" ca="1" si="103"/>
        <v>6</v>
      </c>
      <c r="O342" s="92">
        <f t="shared" ca="1" si="104"/>
        <v>2.003415856166523</v>
      </c>
      <c r="P342" s="92">
        <f t="shared" ca="1" si="105"/>
        <v>20.03415856166523</v>
      </c>
      <c r="Q342" s="92">
        <f t="shared" ca="1" si="106"/>
        <v>20.03415856166523</v>
      </c>
      <c r="R342" s="92">
        <f t="shared" ca="1" si="107"/>
        <v>2.003415856166523</v>
      </c>
      <c r="S342" s="92">
        <f t="shared" ca="1" si="108"/>
        <v>2.003415856166523</v>
      </c>
      <c r="T342" s="4">
        <f t="shared" ca="1" si="109"/>
        <v>2.0710691637280671E-5</v>
      </c>
      <c r="U342" s="99">
        <f t="shared" ca="1" si="110"/>
        <v>1544.0284794818213</v>
      </c>
      <c r="V342" s="4">
        <f t="shared" ca="1" si="111"/>
        <v>1.5961687444620763E-2</v>
      </c>
      <c r="W342" s="13">
        <f t="shared" ca="1" si="112"/>
        <v>17911.250362499999</v>
      </c>
      <c r="X342" s="4">
        <f t="shared" ca="1" si="113"/>
        <v>0.18516094996157181</v>
      </c>
    </row>
    <row r="343" spans="1:24">
      <c r="A343">
        <v>2</v>
      </c>
      <c r="B343">
        <v>2</v>
      </c>
      <c r="C343">
        <f t="shared" ca="1" si="95"/>
        <v>7</v>
      </c>
      <c r="D343">
        <f t="shared" ca="1" si="96"/>
        <v>5</v>
      </c>
      <c r="E343">
        <f t="shared" ca="1" si="97"/>
        <v>2</v>
      </c>
      <c r="F343" s="100">
        <f t="shared" ca="1" si="98"/>
        <v>1.0870450000000002E-2</v>
      </c>
      <c r="G343">
        <v>1</v>
      </c>
      <c r="H343">
        <v>1</v>
      </c>
      <c r="I343">
        <v>2</v>
      </c>
      <c r="J343" s="1">
        <f t="shared" ca="1" si="99"/>
        <v>9.6059601000000268E-6</v>
      </c>
      <c r="K343" s="1">
        <f t="shared" ca="1" si="100"/>
        <v>1.044211089690453E-7</v>
      </c>
      <c r="L343" s="13">
        <f t="shared" ca="1" si="101"/>
        <v>294</v>
      </c>
      <c r="M343" s="7">
        <f t="shared" ca="1" si="102"/>
        <v>706</v>
      </c>
      <c r="N343" s="43">
        <f t="shared" ca="1" si="103"/>
        <v>6</v>
      </c>
      <c r="O343" s="92">
        <f t="shared" ca="1" si="104"/>
        <v>2.003415856166523</v>
      </c>
      <c r="P343" s="92">
        <f t="shared" ca="1" si="105"/>
        <v>20.03415856166523</v>
      </c>
      <c r="Q343" s="92">
        <f t="shared" ca="1" si="106"/>
        <v>20.03415856166523</v>
      </c>
      <c r="R343" s="92">
        <f t="shared" ca="1" si="107"/>
        <v>2.003415856166523</v>
      </c>
      <c r="S343" s="92">
        <f t="shared" ca="1" si="108"/>
        <v>2.003415856166523</v>
      </c>
      <c r="T343" s="4">
        <f t="shared" ca="1" si="109"/>
        <v>2.0919890542707768E-7</v>
      </c>
      <c r="U343" s="99">
        <f t="shared" ca="1" si="110"/>
        <v>1523.0284794818213</v>
      </c>
      <c r="V343" s="4">
        <f t="shared" ca="1" si="111"/>
        <v>1.5903632281893064E-4</v>
      </c>
      <c r="W343" s="13">
        <f t="shared" ca="1" si="112"/>
        <v>16559.112862499998</v>
      </c>
      <c r="X343" s="4">
        <f t="shared" ca="1" si="113"/>
        <v>1.7291209286458321E-3</v>
      </c>
    </row>
    <row r="344" spans="1:24">
      <c r="A344">
        <v>2</v>
      </c>
      <c r="B344">
        <v>2</v>
      </c>
      <c r="C344">
        <f t="shared" ca="1" si="95"/>
        <v>7</v>
      </c>
      <c r="D344">
        <f t="shared" ca="1" si="96"/>
        <v>5</v>
      </c>
      <c r="E344">
        <f t="shared" ca="1" si="97"/>
        <v>2</v>
      </c>
      <c r="F344" s="100">
        <f t="shared" ca="1" si="98"/>
        <v>1.0870450000000002E-2</v>
      </c>
      <c r="G344">
        <v>1</v>
      </c>
      <c r="H344">
        <v>1</v>
      </c>
      <c r="I344">
        <v>1</v>
      </c>
      <c r="J344" s="1">
        <f t="shared" ca="1" si="99"/>
        <v>4.8514950000000171E-8</v>
      </c>
      <c r="K344" s="1">
        <f t="shared" ca="1" si="100"/>
        <v>5.2737933822750192E-10</v>
      </c>
      <c r="L344" s="13">
        <f t="shared" ca="1" si="101"/>
        <v>273</v>
      </c>
      <c r="M344" s="7">
        <f t="shared" ca="1" si="102"/>
        <v>727</v>
      </c>
      <c r="N344" s="43">
        <f t="shared" ca="1" si="103"/>
        <v>6</v>
      </c>
      <c r="O344" s="92">
        <f t="shared" ca="1" si="104"/>
        <v>2.003415856166523</v>
      </c>
      <c r="P344" s="92">
        <f t="shared" ca="1" si="105"/>
        <v>20.03415856166523</v>
      </c>
      <c r="Q344" s="92">
        <f t="shared" ca="1" si="106"/>
        <v>20.03415856166523</v>
      </c>
      <c r="R344" s="92">
        <f t="shared" ca="1" si="107"/>
        <v>2.003415856166523</v>
      </c>
      <c r="S344" s="92">
        <f t="shared" ca="1" si="108"/>
        <v>2.003415856166523</v>
      </c>
      <c r="T344" s="4">
        <f t="shared" ca="1" si="109"/>
        <v>1.0565601284195851E-9</v>
      </c>
      <c r="U344" s="99">
        <f t="shared" ca="1" si="110"/>
        <v>1502.0284794818213</v>
      </c>
      <c r="V344" s="4">
        <f t="shared" ca="1" si="111"/>
        <v>7.9213878550798385E-7</v>
      </c>
      <c r="W344" s="13">
        <f t="shared" ca="1" si="112"/>
        <v>15206.975362499999</v>
      </c>
      <c r="X344" s="4">
        <f t="shared" ca="1" si="113"/>
        <v>8.0198446031171751E-6</v>
      </c>
    </row>
    <row r="345" spans="1:24">
      <c r="A345">
        <v>2</v>
      </c>
      <c r="B345">
        <v>2</v>
      </c>
      <c r="C345">
        <f t="shared" ca="1" si="95"/>
        <v>7</v>
      </c>
      <c r="D345">
        <f t="shared" ca="1" si="96"/>
        <v>5</v>
      </c>
      <c r="E345">
        <f t="shared" ca="1" si="97"/>
        <v>2</v>
      </c>
      <c r="F345" s="100">
        <f t="shared" ca="1" si="98"/>
        <v>1.0870450000000002E-2</v>
      </c>
      <c r="G345">
        <v>1</v>
      </c>
      <c r="H345">
        <v>1</v>
      </c>
      <c r="I345">
        <v>0</v>
      </c>
      <c r="J345" s="1">
        <f t="shared" ca="1" si="99"/>
        <v>9.8010000000000445E-11</v>
      </c>
      <c r="K345" s="1">
        <f t="shared" ca="1" si="100"/>
        <v>1.0654128045000051E-12</v>
      </c>
      <c r="L345" s="13">
        <f t="shared" ca="1" si="101"/>
        <v>252</v>
      </c>
      <c r="M345" s="7">
        <f t="shared" ca="1" si="102"/>
        <v>748</v>
      </c>
      <c r="N345" s="43">
        <f t="shared" ca="1" si="103"/>
        <v>6</v>
      </c>
      <c r="O345" s="92">
        <f t="shared" ca="1" si="104"/>
        <v>2.003415856166523</v>
      </c>
      <c r="P345" s="92">
        <f t="shared" ca="1" si="105"/>
        <v>20.03415856166523</v>
      </c>
      <c r="Q345" s="92">
        <f t="shared" ca="1" si="106"/>
        <v>20.03415856166523</v>
      </c>
      <c r="R345" s="92">
        <f t="shared" ca="1" si="107"/>
        <v>2.003415856166523</v>
      </c>
      <c r="S345" s="92">
        <f t="shared" ca="1" si="108"/>
        <v>2.003415856166523</v>
      </c>
      <c r="T345" s="4">
        <f t="shared" ca="1" si="109"/>
        <v>2.1344649058981542E-12</v>
      </c>
      <c r="U345" s="99">
        <f t="shared" ca="1" si="110"/>
        <v>1481.0284794818213</v>
      </c>
      <c r="V345" s="4">
        <f t="shared" ca="1" si="111"/>
        <v>1.5779067058691055E-9</v>
      </c>
      <c r="W345" s="13">
        <f t="shared" ca="1" si="112"/>
        <v>13854.837862499999</v>
      </c>
      <c r="X345" s="4">
        <f t="shared" ca="1" si="113"/>
        <v>1.476112166297898E-8</v>
      </c>
    </row>
    <row r="346" spans="1:24">
      <c r="A346">
        <v>2</v>
      </c>
      <c r="B346">
        <v>2</v>
      </c>
      <c r="C346">
        <f t="shared" ca="1" si="95"/>
        <v>7</v>
      </c>
      <c r="D346">
        <f t="shared" ca="1" si="96"/>
        <v>5</v>
      </c>
      <c r="E346">
        <f t="shared" ca="1" si="97"/>
        <v>2</v>
      </c>
      <c r="F346" s="100">
        <f t="shared" ca="1" si="98"/>
        <v>1.0870450000000002E-2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273</v>
      </c>
      <c r="M346" s="7">
        <f t="shared" ca="1" si="102"/>
        <v>727</v>
      </c>
      <c r="N346" s="43">
        <f t="shared" ca="1" si="103"/>
        <v>6</v>
      </c>
      <c r="O346" s="92">
        <f t="shared" ca="1" si="104"/>
        <v>2.003415856166523</v>
      </c>
      <c r="P346" s="92">
        <f t="shared" ca="1" si="105"/>
        <v>20.03415856166523</v>
      </c>
      <c r="Q346" s="92">
        <f t="shared" ca="1" si="106"/>
        <v>20.03415856166523</v>
      </c>
      <c r="R346" s="92">
        <f t="shared" ca="1" si="107"/>
        <v>2.003415856166523</v>
      </c>
      <c r="S346" s="92">
        <f t="shared" ca="1" si="108"/>
        <v>2.003415856166523</v>
      </c>
      <c r="T346" s="4">
        <f t="shared" ca="1" si="109"/>
        <v>0</v>
      </c>
      <c r="U346" s="99">
        <f t="shared" ca="1" si="110"/>
        <v>1502.0284794818213</v>
      </c>
      <c r="V346" s="4">
        <f t="shared" ca="1" si="111"/>
        <v>0</v>
      </c>
      <c r="W346" s="13">
        <f t="shared" ca="1" si="112"/>
        <v>21932.249737499998</v>
      </c>
      <c r="X346" s="4">
        <f t="shared" ca="1" si="113"/>
        <v>0</v>
      </c>
    </row>
    <row r="347" spans="1:24">
      <c r="A347">
        <v>2</v>
      </c>
      <c r="B347">
        <v>2</v>
      </c>
      <c r="C347">
        <f t="shared" ca="1" si="95"/>
        <v>7</v>
      </c>
      <c r="D347">
        <f t="shared" ca="1" si="96"/>
        <v>5</v>
      </c>
      <c r="E347">
        <f t="shared" ca="1" si="97"/>
        <v>2</v>
      </c>
      <c r="F347" s="100">
        <f t="shared" ca="1" si="98"/>
        <v>1.0870450000000002E-2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252</v>
      </c>
      <c r="M347" s="7">
        <f t="shared" ca="1" si="102"/>
        <v>748</v>
      </c>
      <c r="N347" s="43">
        <f t="shared" ca="1" si="103"/>
        <v>6</v>
      </c>
      <c r="O347" s="92">
        <f t="shared" ca="1" si="104"/>
        <v>2.003415856166523</v>
      </c>
      <c r="P347" s="92">
        <f t="shared" ca="1" si="105"/>
        <v>20.03415856166523</v>
      </c>
      <c r="Q347" s="92">
        <f t="shared" ca="1" si="106"/>
        <v>20.03415856166523</v>
      </c>
      <c r="R347" s="92">
        <f t="shared" ca="1" si="107"/>
        <v>2.003415856166523</v>
      </c>
      <c r="S347" s="92">
        <f t="shared" ca="1" si="108"/>
        <v>2.003415856166523</v>
      </c>
      <c r="T347" s="4">
        <f t="shared" ca="1" si="109"/>
        <v>0</v>
      </c>
      <c r="U347" s="99">
        <f t="shared" ca="1" si="110"/>
        <v>1481.0284794818213</v>
      </c>
      <c r="V347" s="4">
        <f t="shared" ca="1" si="111"/>
        <v>0</v>
      </c>
      <c r="W347" s="13">
        <f t="shared" ca="1" si="112"/>
        <v>20580.112237499998</v>
      </c>
      <c r="X347" s="4">
        <f t="shared" ca="1" si="113"/>
        <v>0</v>
      </c>
    </row>
    <row r="348" spans="1:24">
      <c r="A348">
        <v>2</v>
      </c>
      <c r="B348">
        <v>2</v>
      </c>
      <c r="C348">
        <f t="shared" ca="1" si="95"/>
        <v>7</v>
      </c>
      <c r="D348">
        <f t="shared" ca="1" si="96"/>
        <v>5</v>
      </c>
      <c r="E348">
        <f t="shared" ca="1" si="97"/>
        <v>2</v>
      </c>
      <c r="F348" s="100">
        <f t="shared" ca="1" si="98"/>
        <v>1.0870450000000002E-2</v>
      </c>
      <c r="G348">
        <v>1</v>
      </c>
      <c r="H348">
        <v>0</v>
      </c>
      <c r="I348">
        <v>5</v>
      </c>
      <c r="J348" s="1">
        <f t="shared" ca="1" si="99"/>
        <v>9.4148014940100087E-3</v>
      </c>
      <c r="K348" s="1">
        <f t="shared" ca="1" si="100"/>
        <v>1.0234312890056112E-4</v>
      </c>
      <c r="L348" s="13">
        <f t="shared" ca="1" si="101"/>
        <v>231</v>
      </c>
      <c r="M348" s="7">
        <f t="shared" ca="1" si="102"/>
        <v>769</v>
      </c>
      <c r="N348" s="43">
        <f t="shared" ca="1" si="103"/>
        <v>6</v>
      </c>
      <c r="O348" s="92">
        <f t="shared" ca="1" si="104"/>
        <v>2.003415856166523</v>
      </c>
      <c r="P348" s="92">
        <f t="shared" ca="1" si="105"/>
        <v>20.03415856166523</v>
      </c>
      <c r="Q348" s="92">
        <f t="shared" ca="1" si="106"/>
        <v>20.03415856166523</v>
      </c>
      <c r="R348" s="92">
        <f t="shared" ca="1" si="107"/>
        <v>2.003415856166523</v>
      </c>
      <c r="S348" s="92">
        <f t="shared" ca="1" si="108"/>
        <v>2.003415856166523</v>
      </c>
      <c r="T348" s="4">
        <f t="shared" ca="1" si="109"/>
        <v>2.0503584720907848E-4</v>
      </c>
      <c r="U348" s="99">
        <f t="shared" ca="1" si="110"/>
        <v>1460.0284794818213</v>
      </c>
      <c r="V348" s="4">
        <f t="shared" ca="1" si="111"/>
        <v>0.14942388287409827</v>
      </c>
      <c r="W348" s="13">
        <f t="shared" ca="1" si="112"/>
        <v>19227.974737500001</v>
      </c>
      <c r="X348" s="4">
        <f t="shared" ca="1" si="113"/>
        <v>1.9678510970566954</v>
      </c>
    </row>
    <row r="349" spans="1:24">
      <c r="A349">
        <v>2</v>
      </c>
      <c r="B349">
        <v>2</v>
      </c>
      <c r="C349">
        <f t="shared" ca="1" si="95"/>
        <v>7</v>
      </c>
      <c r="D349">
        <f t="shared" ca="1" si="96"/>
        <v>5</v>
      </c>
      <c r="E349">
        <f t="shared" ca="1" si="97"/>
        <v>2</v>
      </c>
      <c r="F349" s="100">
        <f t="shared" ca="1" si="98"/>
        <v>1.0870450000000002E-2</v>
      </c>
      <c r="G349">
        <v>1</v>
      </c>
      <c r="H349">
        <v>0</v>
      </c>
      <c r="I349">
        <v>4</v>
      </c>
      <c r="J349" s="1">
        <f t="shared" ca="1" si="99"/>
        <v>4.7549502495000082E-4</v>
      </c>
      <c r="K349" s="1">
        <f t="shared" ca="1" si="100"/>
        <v>5.1688448939677373E-6</v>
      </c>
      <c r="L349" s="13">
        <f t="shared" ca="1" si="101"/>
        <v>210</v>
      </c>
      <c r="M349" s="7">
        <f t="shared" ca="1" si="102"/>
        <v>790</v>
      </c>
      <c r="N349" s="43">
        <f t="shared" ca="1" si="103"/>
        <v>7</v>
      </c>
      <c r="O349" s="92">
        <f t="shared" ca="1" si="104"/>
        <v>2.264588428134358</v>
      </c>
      <c r="P349" s="92">
        <f t="shared" ca="1" si="105"/>
        <v>22.645884281343584</v>
      </c>
      <c r="Q349" s="92">
        <f t="shared" ca="1" si="106"/>
        <v>21.340021421504403</v>
      </c>
      <c r="R349" s="92">
        <f t="shared" ca="1" si="107"/>
        <v>2.1992952851423992</v>
      </c>
      <c r="S349" s="92">
        <f t="shared" ca="1" si="108"/>
        <v>2.264588428134358</v>
      </c>
      <c r="T349" s="4">
        <f t="shared" ca="1" si="109"/>
        <v>1.1705306333700701E-5</v>
      </c>
      <c r="U349" s="99">
        <f t="shared" ca="1" si="110"/>
        <v>1567.2486983548911</v>
      </c>
      <c r="V349" s="4">
        <f t="shared" ca="1" si="111"/>
        <v>8.1008654320692611E-3</v>
      </c>
      <c r="W349" s="13">
        <f t="shared" ca="1" si="112"/>
        <v>17875.8372375</v>
      </c>
      <c r="X349" s="4">
        <f t="shared" ca="1" si="113"/>
        <v>9.2397430030450214E-2</v>
      </c>
    </row>
    <row r="350" spans="1:24">
      <c r="A350">
        <v>2</v>
      </c>
      <c r="B350">
        <v>2</v>
      </c>
      <c r="C350">
        <f t="shared" ca="1" si="95"/>
        <v>7</v>
      </c>
      <c r="D350">
        <f t="shared" ca="1" si="96"/>
        <v>5</v>
      </c>
      <c r="E350">
        <f t="shared" ca="1" si="97"/>
        <v>2</v>
      </c>
      <c r="F350" s="100">
        <f t="shared" ca="1" si="98"/>
        <v>1.0870450000000002E-2</v>
      </c>
      <c r="G350">
        <v>1</v>
      </c>
      <c r="H350">
        <v>0</v>
      </c>
      <c r="I350">
        <v>3</v>
      </c>
      <c r="J350" s="1">
        <f t="shared" ca="1" si="99"/>
        <v>9.6059601000000268E-6</v>
      </c>
      <c r="K350" s="1">
        <f t="shared" ca="1" si="100"/>
        <v>1.044211089690453E-7</v>
      </c>
      <c r="L350" s="13">
        <f t="shared" ca="1" si="101"/>
        <v>189</v>
      </c>
      <c r="M350" s="7">
        <f t="shared" ca="1" si="102"/>
        <v>811</v>
      </c>
      <c r="N350" s="43">
        <f t="shared" ca="1" si="103"/>
        <v>7</v>
      </c>
      <c r="O350" s="92">
        <f t="shared" ca="1" si="104"/>
        <v>2.264588428134358</v>
      </c>
      <c r="P350" s="92">
        <f t="shared" ca="1" si="105"/>
        <v>22.645884281343584</v>
      </c>
      <c r="Q350" s="92">
        <f t="shared" ca="1" si="106"/>
        <v>22.645884281343584</v>
      </c>
      <c r="R350" s="92">
        <f t="shared" ca="1" si="107"/>
        <v>2.2645884281343585</v>
      </c>
      <c r="S350" s="92">
        <f t="shared" ca="1" si="108"/>
        <v>2.264588428134358</v>
      </c>
      <c r="T350" s="4">
        <f t="shared" ca="1" si="109"/>
        <v>2.3647083502425681E-7</v>
      </c>
      <c r="U350" s="99">
        <f t="shared" ca="1" si="110"/>
        <v>1546.2486983548911</v>
      </c>
      <c r="V350" s="4">
        <f t="shared" ca="1" si="111"/>
        <v>1.6146100382416056E-4</v>
      </c>
      <c r="W350" s="13">
        <f t="shared" ca="1" si="112"/>
        <v>16523.699737499999</v>
      </c>
      <c r="X350" s="4">
        <f t="shared" ca="1" si="113"/>
        <v>1.7254230508612727E-3</v>
      </c>
    </row>
    <row r="351" spans="1:24">
      <c r="A351">
        <v>2</v>
      </c>
      <c r="B351">
        <v>2</v>
      </c>
      <c r="C351">
        <f t="shared" ca="1" si="95"/>
        <v>7</v>
      </c>
      <c r="D351">
        <f t="shared" ca="1" si="96"/>
        <v>5</v>
      </c>
      <c r="E351">
        <f t="shared" ca="1" si="97"/>
        <v>2</v>
      </c>
      <c r="F351" s="100">
        <f t="shared" ca="1" si="98"/>
        <v>1.0870450000000002E-2</v>
      </c>
      <c r="G351">
        <v>1</v>
      </c>
      <c r="H351">
        <v>0</v>
      </c>
      <c r="I351">
        <v>2</v>
      </c>
      <c r="J351" s="1">
        <f t="shared" ca="1" si="99"/>
        <v>9.7029900000000355E-8</v>
      </c>
      <c r="K351" s="1">
        <f t="shared" ca="1" si="100"/>
        <v>1.0547586764550041E-9</v>
      </c>
      <c r="L351" s="13">
        <f t="shared" ca="1" si="101"/>
        <v>168</v>
      </c>
      <c r="M351" s="7">
        <f t="shared" ca="1" si="102"/>
        <v>832</v>
      </c>
      <c r="N351" s="43">
        <f t="shared" ca="1" si="103"/>
        <v>7</v>
      </c>
      <c r="O351" s="92">
        <f t="shared" ca="1" si="104"/>
        <v>2.264588428134358</v>
      </c>
      <c r="P351" s="92">
        <f t="shared" ca="1" si="105"/>
        <v>22.645884281343584</v>
      </c>
      <c r="Q351" s="92">
        <f t="shared" ca="1" si="106"/>
        <v>22.645884281343584</v>
      </c>
      <c r="R351" s="92">
        <f t="shared" ca="1" si="107"/>
        <v>2.2645884281343585</v>
      </c>
      <c r="S351" s="92">
        <f t="shared" ca="1" si="108"/>
        <v>2.264588428134358</v>
      </c>
      <c r="T351" s="4">
        <f t="shared" ca="1" si="109"/>
        <v>2.3885942931743137E-9</v>
      </c>
      <c r="U351" s="99">
        <f t="shared" ca="1" si="110"/>
        <v>1525.2486983548911</v>
      </c>
      <c r="V351" s="4">
        <f t="shared" ca="1" si="111"/>
        <v>1.6087692983415226E-6</v>
      </c>
      <c r="W351" s="13">
        <f t="shared" ca="1" si="112"/>
        <v>15171.562237499998</v>
      </c>
      <c r="X351" s="4">
        <f t="shared" ca="1" si="113"/>
        <v>1.6002336905380218E-5</v>
      </c>
    </row>
    <row r="352" spans="1:24">
      <c r="A352">
        <v>2</v>
      </c>
      <c r="B352">
        <v>2</v>
      </c>
      <c r="C352">
        <f t="shared" ca="1" si="95"/>
        <v>7</v>
      </c>
      <c r="D352">
        <f t="shared" ca="1" si="96"/>
        <v>5</v>
      </c>
      <c r="E352">
        <f t="shared" ca="1" si="97"/>
        <v>2</v>
      </c>
      <c r="F352" s="100">
        <f t="shared" ca="1" si="98"/>
        <v>1.0870450000000002E-2</v>
      </c>
      <c r="G352">
        <v>1</v>
      </c>
      <c r="H352">
        <v>0</v>
      </c>
      <c r="I352">
        <v>1</v>
      </c>
      <c r="J352" s="1">
        <f t="shared" ca="1" si="99"/>
        <v>4.9005000000000225E-10</v>
      </c>
      <c r="K352" s="1">
        <f t="shared" ca="1" si="100"/>
        <v>5.3270640225000251E-12</v>
      </c>
      <c r="L352" s="13">
        <f t="shared" ca="1" si="101"/>
        <v>147</v>
      </c>
      <c r="M352" s="7">
        <f t="shared" ca="1" si="102"/>
        <v>853</v>
      </c>
      <c r="N352" s="43">
        <f t="shared" ca="1" si="103"/>
        <v>7</v>
      </c>
      <c r="O352" s="92">
        <f t="shared" ca="1" si="104"/>
        <v>2.264588428134358</v>
      </c>
      <c r="P352" s="92">
        <f t="shared" ca="1" si="105"/>
        <v>22.645884281343584</v>
      </c>
      <c r="Q352" s="92">
        <f t="shared" ca="1" si="106"/>
        <v>22.645884281343584</v>
      </c>
      <c r="R352" s="92">
        <f t="shared" ca="1" si="107"/>
        <v>2.2645884281343585</v>
      </c>
      <c r="S352" s="92">
        <f t="shared" ca="1" si="108"/>
        <v>2.264588428134358</v>
      </c>
      <c r="T352" s="4">
        <f t="shared" ca="1" si="109"/>
        <v>1.2063607541284423E-11</v>
      </c>
      <c r="U352" s="99">
        <f t="shared" ca="1" si="110"/>
        <v>1504.2486983548911</v>
      </c>
      <c r="V352" s="4">
        <f t="shared" ca="1" si="111"/>
        <v>8.0132291218988331E-9</v>
      </c>
      <c r="W352" s="13">
        <f t="shared" ca="1" si="112"/>
        <v>13819.4247375</v>
      </c>
      <c r="X352" s="4">
        <f t="shared" ca="1" si="113"/>
        <v>7.3616960330783099E-8</v>
      </c>
    </row>
    <row r="353" spans="1:24">
      <c r="A353">
        <v>2</v>
      </c>
      <c r="B353">
        <v>2</v>
      </c>
      <c r="C353">
        <f t="shared" ca="1" si="95"/>
        <v>7</v>
      </c>
      <c r="D353">
        <f t="shared" ca="1" si="96"/>
        <v>5</v>
      </c>
      <c r="E353">
        <f t="shared" ca="1" si="97"/>
        <v>2</v>
      </c>
      <c r="F353" s="100">
        <f t="shared" ca="1" si="98"/>
        <v>1.0870450000000002E-2</v>
      </c>
      <c r="G353">
        <v>1</v>
      </c>
      <c r="H353">
        <v>0</v>
      </c>
      <c r="I353">
        <v>0</v>
      </c>
      <c r="J353" s="1">
        <f t="shared" ca="1" si="99"/>
        <v>9.9000000000000548E-13</v>
      </c>
      <c r="K353" s="1">
        <f t="shared" ca="1" si="100"/>
        <v>1.0761745500000061E-14</v>
      </c>
      <c r="L353" s="13">
        <f t="shared" ca="1" si="101"/>
        <v>126</v>
      </c>
      <c r="M353" s="7">
        <f t="shared" ca="1" si="102"/>
        <v>874</v>
      </c>
      <c r="N353" s="43">
        <f t="shared" ca="1" si="103"/>
        <v>7</v>
      </c>
      <c r="O353" s="92">
        <f t="shared" ca="1" si="104"/>
        <v>2.264588428134358</v>
      </c>
      <c r="P353" s="92">
        <f t="shared" ca="1" si="105"/>
        <v>22.645884281343584</v>
      </c>
      <c r="Q353" s="92">
        <f t="shared" ca="1" si="106"/>
        <v>22.645884281343584</v>
      </c>
      <c r="R353" s="92">
        <f t="shared" ca="1" si="107"/>
        <v>2.2645884281343585</v>
      </c>
      <c r="S353" s="92">
        <f t="shared" ca="1" si="108"/>
        <v>2.264588428134358</v>
      </c>
      <c r="T353" s="4">
        <f t="shared" ca="1" si="109"/>
        <v>2.4370924325827138E-14</v>
      </c>
      <c r="U353" s="99">
        <f t="shared" ca="1" si="110"/>
        <v>1483.2486983548911</v>
      </c>
      <c r="V353" s="4">
        <f t="shared" ca="1" si="111"/>
        <v>1.5962345004901697E-11</v>
      </c>
      <c r="W353" s="13">
        <f t="shared" ca="1" si="112"/>
        <v>12467.287237499999</v>
      </c>
      <c r="X353" s="4">
        <f t="shared" ca="1" si="113"/>
        <v>1.3416977232537381E-10</v>
      </c>
    </row>
    <row r="354" spans="1:24">
      <c r="A354">
        <v>2</v>
      </c>
      <c r="B354">
        <v>2</v>
      </c>
      <c r="C354">
        <f t="shared" ca="1" si="95"/>
        <v>7</v>
      </c>
      <c r="D354">
        <f t="shared" ca="1" si="96"/>
        <v>5</v>
      </c>
      <c r="E354">
        <f t="shared" ca="1" si="97"/>
        <v>2</v>
      </c>
      <c r="F354" s="100">
        <f t="shared" ca="1" si="98"/>
        <v>1.0870450000000002E-2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273</v>
      </c>
      <c r="M354" s="7">
        <f t="shared" ca="1" si="102"/>
        <v>727</v>
      </c>
      <c r="N354" s="43">
        <f t="shared" ca="1" si="103"/>
        <v>6</v>
      </c>
      <c r="O354" s="92">
        <f t="shared" ca="1" si="104"/>
        <v>2.003415856166523</v>
      </c>
      <c r="P354" s="92">
        <f t="shared" ca="1" si="105"/>
        <v>20.03415856166523</v>
      </c>
      <c r="Q354" s="92">
        <f t="shared" ca="1" si="106"/>
        <v>20.03415856166523</v>
      </c>
      <c r="R354" s="92">
        <f t="shared" ca="1" si="107"/>
        <v>2.003415856166523</v>
      </c>
      <c r="S354" s="92">
        <f t="shared" ca="1" si="108"/>
        <v>2.003415856166523</v>
      </c>
      <c r="T354" s="4">
        <f t="shared" ca="1" si="109"/>
        <v>0</v>
      </c>
      <c r="U354" s="99">
        <f t="shared" ca="1" si="110"/>
        <v>1502.0284794818213</v>
      </c>
      <c r="V354" s="4">
        <f t="shared" ca="1" si="111"/>
        <v>0</v>
      </c>
      <c r="W354" s="13">
        <f t="shared" ca="1" si="112"/>
        <v>10852.513124999999</v>
      </c>
      <c r="X354" s="4">
        <f t="shared" ca="1" si="113"/>
        <v>0</v>
      </c>
    </row>
    <row r="355" spans="1:24">
      <c r="A355">
        <v>2</v>
      </c>
      <c r="B355">
        <v>2</v>
      </c>
      <c r="C355">
        <f t="shared" ca="1" si="95"/>
        <v>7</v>
      </c>
      <c r="D355">
        <f t="shared" ca="1" si="96"/>
        <v>5</v>
      </c>
      <c r="E355">
        <f t="shared" ca="1" si="97"/>
        <v>2</v>
      </c>
      <c r="F355" s="100">
        <f t="shared" ca="1" si="98"/>
        <v>1.0870450000000002E-2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252</v>
      </c>
      <c r="M355" s="7">
        <f t="shared" ca="1" si="102"/>
        <v>748</v>
      </c>
      <c r="N355" s="43">
        <f t="shared" ca="1" si="103"/>
        <v>6</v>
      </c>
      <c r="O355" s="92">
        <f t="shared" ca="1" si="104"/>
        <v>2.003415856166523</v>
      </c>
      <c r="P355" s="92">
        <f t="shared" ca="1" si="105"/>
        <v>20.03415856166523</v>
      </c>
      <c r="Q355" s="92">
        <f t="shared" ca="1" si="106"/>
        <v>20.03415856166523</v>
      </c>
      <c r="R355" s="92">
        <f t="shared" ca="1" si="107"/>
        <v>2.003415856166523</v>
      </c>
      <c r="S355" s="92">
        <f t="shared" ca="1" si="108"/>
        <v>2.003415856166523</v>
      </c>
      <c r="T355" s="4">
        <f t="shared" ca="1" si="109"/>
        <v>0</v>
      </c>
      <c r="U355" s="99">
        <f t="shared" ca="1" si="110"/>
        <v>1481.0284794818213</v>
      </c>
      <c r="V355" s="4">
        <f t="shared" ca="1" si="111"/>
        <v>0</v>
      </c>
      <c r="W355" s="13">
        <f t="shared" ca="1" si="112"/>
        <v>9500.3756250000006</v>
      </c>
      <c r="X355" s="4">
        <f t="shared" ca="1" si="113"/>
        <v>0</v>
      </c>
    </row>
    <row r="356" spans="1:24">
      <c r="A356">
        <v>2</v>
      </c>
      <c r="B356">
        <v>2</v>
      </c>
      <c r="C356">
        <f t="shared" ca="1" si="95"/>
        <v>7</v>
      </c>
      <c r="D356">
        <f t="shared" ca="1" si="96"/>
        <v>5</v>
      </c>
      <c r="E356">
        <f t="shared" ca="1" si="97"/>
        <v>2</v>
      </c>
      <c r="F356" s="100">
        <f t="shared" ca="1" si="98"/>
        <v>1.0870450000000002E-2</v>
      </c>
      <c r="G356">
        <v>0</v>
      </c>
      <c r="H356">
        <v>1</v>
      </c>
      <c r="I356">
        <v>5</v>
      </c>
      <c r="J356" s="1">
        <f t="shared" ca="1" si="99"/>
        <v>9.4148014940100087E-3</v>
      </c>
      <c r="K356" s="1">
        <f t="shared" ca="1" si="100"/>
        <v>1.0234312890056112E-4</v>
      </c>
      <c r="L356" s="13">
        <f t="shared" ca="1" si="101"/>
        <v>231</v>
      </c>
      <c r="M356" s="7">
        <f t="shared" ca="1" si="102"/>
        <v>769</v>
      </c>
      <c r="N356" s="43">
        <f t="shared" ca="1" si="103"/>
        <v>6</v>
      </c>
      <c r="O356" s="92">
        <f t="shared" ca="1" si="104"/>
        <v>2.003415856166523</v>
      </c>
      <c r="P356" s="92">
        <f t="shared" ca="1" si="105"/>
        <v>20.03415856166523</v>
      </c>
      <c r="Q356" s="92">
        <f t="shared" ca="1" si="106"/>
        <v>20.03415856166523</v>
      </c>
      <c r="R356" s="92">
        <f t="shared" ca="1" si="107"/>
        <v>2.003415856166523</v>
      </c>
      <c r="S356" s="92">
        <f t="shared" ca="1" si="108"/>
        <v>2.003415856166523</v>
      </c>
      <c r="T356" s="4">
        <f t="shared" ca="1" si="109"/>
        <v>2.0503584720907848E-4</v>
      </c>
      <c r="U356" s="99">
        <f t="shared" ca="1" si="110"/>
        <v>1460.0284794818213</v>
      </c>
      <c r="V356" s="4">
        <f t="shared" ca="1" si="111"/>
        <v>0.14942388287409827</v>
      </c>
      <c r="W356" s="13">
        <f t="shared" ca="1" si="112"/>
        <v>8148.2381249999999</v>
      </c>
      <c r="X356" s="4">
        <f t="shared" ca="1" si="113"/>
        <v>0.83391618473934137</v>
      </c>
    </row>
    <row r="357" spans="1:24">
      <c r="A357">
        <v>2</v>
      </c>
      <c r="B357">
        <v>2</v>
      </c>
      <c r="C357">
        <f t="shared" ca="1" si="95"/>
        <v>7</v>
      </c>
      <c r="D357">
        <f t="shared" ca="1" si="96"/>
        <v>5</v>
      </c>
      <c r="E357">
        <f t="shared" ca="1" si="97"/>
        <v>2</v>
      </c>
      <c r="F357" s="100">
        <f t="shared" ca="1" si="98"/>
        <v>1.0870450000000002E-2</v>
      </c>
      <c r="G357">
        <v>0</v>
      </c>
      <c r="H357">
        <v>1</v>
      </c>
      <c r="I357">
        <v>4</v>
      </c>
      <c r="J357" s="1">
        <f t="shared" ca="1" si="99"/>
        <v>4.7549502495000082E-4</v>
      </c>
      <c r="K357" s="1">
        <f t="shared" ca="1" si="100"/>
        <v>5.1688448939677373E-6</v>
      </c>
      <c r="L357" s="13">
        <f t="shared" ca="1" si="101"/>
        <v>210</v>
      </c>
      <c r="M357" s="7">
        <f t="shared" ca="1" si="102"/>
        <v>790</v>
      </c>
      <c r="N357" s="43">
        <f t="shared" ca="1" si="103"/>
        <v>7</v>
      </c>
      <c r="O357" s="92">
        <f t="shared" ca="1" si="104"/>
        <v>2.264588428134358</v>
      </c>
      <c r="P357" s="92">
        <f t="shared" ca="1" si="105"/>
        <v>22.645884281343584</v>
      </c>
      <c r="Q357" s="92">
        <f t="shared" ca="1" si="106"/>
        <v>21.340021421504403</v>
      </c>
      <c r="R357" s="92">
        <f t="shared" ca="1" si="107"/>
        <v>2.1992952851423992</v>
      </c>
      <c r="S357" s="92">
        <f t="shared" ca="1" si="108"/>
        <v>2.264588428134358</v>
      </c>
      <c r="T357" s="4">
        <f t="shared" ca="1" si="109"/>
        <v>1.1705306333700701E-5</v>
      </c>
      <c r="U357" s="99">
        <f t="shared" ca="1" si="110"/>
        <v>1567.2486983548911</v>
      </c>
      <c r="V357" s="4">
        <f t="shared" ca="1" si="111"/>
        <v>8.1008654320692611E-3</v>
      </c>
      <c r="W357" s="13">
        <f t="shared" ca="1" si="112"/>
        <v>6796.100625</v>
      </c>
      <c r="X357" s="4">
        <f t="shared" ca="1" si="113"/>
        <v>3.5127990014422197E-2</v>
      </c>
    </row>
    <row r="358" spans="1:24">
      <c r="A358">
        <v>2</v>
      </c>
      <c r="B358">
        <v>2</v>
      </c>
      <c r="C358">
        <f t="shared" ca="1" si="95"/>
        <v>7</v>
      </c>
      <c r="D358">
        <f t="shared" ca="1" si="96"/>
        <v>5</v>
      </c>
      <c r="E358">
        <f t="shared" ca="1" si="97"/>
        <v>2</v>
      </c>
      <c r="F358" s="100">
        <f t="shared" ca="1" si="98"/>
        <v>1.0870450000000002E-2</v>
      </c>
      <c r="G358">
        <v>0</v>
      </c>
      <c r="H358">
        <v>1</v>
      </c>
      <c r="I358">
        <v>3</v>
      </c>
      <c r="J358" s="1">
        <f t="shared" ca="1" si="99"/>
        <v>9.6059601000000268E-6</v>
      </c>
      <c r="K358" s="1">
        <f t="shared" ca="1" si="100"/>
        <v>1.044211089690453E-7</v>
      </c>
      <c r="L358" s="13">
        <f t="shared" ca="1" si="101"/>
        <v>189</v>
      </c>
      <c r="M358" s="7">
        <f t="shared" ca="1" si="102"/>
        <v>811</v>
      </c>
      <c r="N358" s="43">
        <f t="shared" ca="1" si="103"/>
        <v>7</v>
      </c>
      <c r="O358" s="92">
        <f t="shared" ca="1" si="104"/>
        <v>2.264588428134358</v>
      </c>
      <c r="P358" s="92">
        <f t="shared" ca="1" si="105"/>
        <v>22.645884281343584</v>
      </c>
      <c r="Q358" s="92">
        <f t="shared" ca="1" si="106"/>
        <v>22.645884281343584</v>
      </c>
      <c r="R358" s="92">
        <f t="shared" ca="1" si="107"/>
        <v>2.2645884281343585</v>
      </c>
      <c r="S358" s="92">
        <f t="shared" ca="1" si="108"/>
        <v>2.264588428134358</v>
      </c>
      <c r="T358" s="4">
        <f t="shared" ca="1" si="109"/>
        <v>2.3647083502425681E-7</v>
      </c>
      <c r="U358" s="99">
        <f t="shared" ca="1" si="110"/>
        <v>1546.2486983548911</v>
      </c>
      <c r="V358" s="4">
        <f t="shared" ca="1" si="111"/>
        <v>1.6146100382416056E-4</v>
      </c>
      <c r="W358" s="13">
        <f t="shared" ca="1" si="112"/>
        <v>5443.9631250000002</v>
      </c>
      <c r="X358" s="4">
        <f t="shared" ca="1" si="113"/>
        <v>5.6846466669908946E-4</v>
      </c>
    </row>
    <row r="359" spans="1:24">
      <c r="A359">
        <v>2</v>
      </c>
      <c r="B359">
        <v>2</v>
      </c>
      <c r="C359">
        <f t="shared" ca="1" si="95"/>
        <v>7</v>
      </c>
      <c r="D359">
        <f t="shared" ca="1" si="96"/>
        <v>5</v>
      </c>
      <c r="E359">
        <f t="shared" ca="1" si="97"/>
        <v>2</v>
      </c>
      <c r="F359" s="100">
        <f t="shared" ca="1" si="98"/>
        <v>1.0870450000000002E-2</v>
      </c>
      <c r="G359">
        <v>0</v>
      </c>
      <c r="H359">
        <v>1</v>
      </c>
      <c r="I359">
        <v>2</v>
      </c>
      <c r="J359" s="1">
        <f t="shared" ca="1" si="99"/>
        <v>9.7029900000000355E-8</v>
      </c>
      <c r="K359" s="1">
        <f t="shared" ca="1" si="100"/>
        <v>1.0547586764550041E-9</v>
      </c>
      <c r="L359" s="13">
        <f t="shared" ca="1" si="101"/>
        <v>168</v>
      </c>
      <c r="M359" s="7">
        <f t="shared" ca="1" si="102"/>
        <v>832</v>
      </c>
      <c r="N359" s="43">
        <f t="shared" ca="1" si="103"/>
        <v>7</v>
      </c>
      <c r="O359" s="92">
        <f t="shared" ca="1" si="104"/>
        <v>2.264588428134358</v>
      </c>
      <c r="P359" s="92">
        <f t="shared" ca="1" si="105"/>
        <v>22.645884281343584</v>
      </c>
      <c r="Q359" s="92">
        <f t="shared" ca="1" si="106"/>
        <v>22.645884281343584</v>
      </c>
      <c r="R359" s="92">
        <f t="shared" ca="1" si="107"/>
        <v>2.2645884281343585</v>
      </c>
      <c r="S359" s="92">
        <f t="shared" ca="1" si="108"/>
        <v>2.264588428134358</v>
      </c>
      <c r="T359" s="4">
        <f t="shared" ca="1" si="109"/>
        <v>2.3885942931743137E-9</v>
      </c>
      <c r="U359" s="99">
        <f t="shared" ca="1" si="110"/>
        <v>1525.2486983548911</v>
      </c>
      <c r="V359" s="4">
        <f t="shared" ca="1" si="111"/>
        <v>1.6087692983415226E-6</v>
      </c>
      <c r="W359" s="13">
        <f t="shared" ca="1" si="112"/>
        <v>4091.8256249999999</v>
      </c>
      <c r="X359" s="4">
        <f t="shared" ca="1" si="113"/>
        <v>4.31588858050967E-6</v>
      </c>
    </row>
    <row r="360" spans="1:24">
      <c r="A360">
        <v>2</v>
      </c>
      <c r="B360">
        <v>2</v>
      </c>
      <c r="C360">
        <f t="shared" ca="1" si="95"/>
        <v>7</v>
      </c>
      <c r="D360">
        <f t="shared" ca="1" si="96"/>
        <v>5</v>
      </c>
      <c r="E360">
        <f t="shared" ca="1" si="97"/>
        <v>2</v>
      </c>
      <c r="F360" s="100">
        <f t="shared" ca="1" si="98"/>
        <v>1.0870450000000002E-2</v>
      </c>
      <c r="G360">
        <v>0</v>
      </c>
      <c r="H360">
        <v>1</v>
      </c>
      <c r="I360">
        <v>1</v>
      </c>
      <c r="J360" s="1">
        <f t="shared" ca="1" si="99"/>
        <v>4.9005000000000225E-10</v>
      </c>
      <c r="K360" s="1">
        <f t="shared" ca="1" si="100"/>
        <v>5.3270640225000251E-12</v>
      </c>
      <c r="L360" s="13">
        <f t="shared" ca="1" si="101"/>
        <v>147</v>
      </c>
      <c r="M360" s="7">
        <f t="shared" ca="1" si="102"/>
        <v>853</v>
      </c>
      <c r="N360" s="43">
        <f t="shared" ca="1" si="103"/>
        <v>7</v>
      </c>
      <c r="O360" s="92">
        <f t="shared" ca="1" si="104"/>
        <v>2.264588428134358</v>
      </c>
      <c r="P360" s="92">
        <f t="shared" ca="1" si="105"/>
        <v>22.645884281343584</v>
      </c>
      <c r="Q360" s="92">
        <f t="shared" ca="1" si="106"/>
        <v>22.645884281343584</v>
      </c>
      <c r="R360" s="92">
        <f t="shared" ca="1" si="107"/>
        <v>2.2645884281343585</v>
      </c>
      <c r="S360" s="92">
        <f t="shared" ca="1" si="108"/>
        <v>2.264588428134358</v>
      </c>
      <c r="T360" s="4">
        <f t="shared" ca="1" si="109"/>
        <v>1.2063607541284423E-11</v>
      </c>
      <c r="U360" s="99">
        <f t="shared" ca="1" si="110"/>
        <v>1504.2486983548911</v>
      </c>
      <c r="V360" s="4">
        <f t="shared" ca="1" si="111"/>
        <v>8.0132291218988331E-9</v>
      </c>
      <c r="W360" s="13">
        <f t="shared" ca="1" si="112"/>
        <v>2739.6881249999997</v>
      </c>
      <c r="X360" s="4">
        <f t="shared" ca="1" si="113"/>
        <v>1.4594494043558051E-8</v>
      </c>
    </row>
    <row r="361" spans="1:24">
      <c r="A361">
        <v>2</v>
      </c>
      <c r="B361">
        <v>2</v>
      </c>
      <c r="C361">
        <f t="shared" ca="1" si="95"/>
        <v>7</v>
      </c>
      <c r="D361">
        <f t="shared" ca="1" si="96"/>
        <v>5</v>
      </c>
      <c r="E361">
        <f t="shared" ca="1" si="97"/>
        <v>2</v>
      </c>
      <c r="F361" s="100">
        <f t="shared" ca="1" si="98"/>
        <v>1.0870450000000002E-2</v>
      </c>
      <c r="G361">
        <v>0</v>
      </c>
      <c r="H361">
        <v>1</v>
      </c>
      <c r="I361">
        <v>0</v>
      </c>
      <c r="J361" s="1">
        <f t="shared" ca="1" si="99"/>
        <v>9.9000000000000548E-13</v>
      </c>
      <c r="K361" s="1">
        <f t="shared" ca="1" si="100"/>
        <v>1.0761745500000061E-14</v>
      </c>
      <c r="L361" s="13">
        <f t="shared" ca="1" si="101"/>
        <v>126</v>
      </c>
      <c r="M361" s="7">
        <f t="shared" ca="1" si="102"/>
        <v>874</v>
      </c>
      <c r="N361" s="43">
        <f t="shared" ca="1" si="103"/>
        <v>7</v>
      </c>
      <c r="O361" s="92">
        <f t="shared" ca="1" si="104"/>
        <v>2.264588428134358</v>
      </c>
      <c r="P361" s="92">
        <f t="shared" ca="1" si="105"/>
        <v>22.645884281343584</v>
      </c>
      <c r="Q361" s="92">
        <f t="shared" ca="1" si="106"/>
        <v>22.645884281343584</v>
      </c>
      <c r="R361" s="92">
        <f t="shared" ca="1" si="107"/>
        <v>2.2645884281343585</v>
      </c>
      <c r="S361" s="92">
        <f t="shared" ca="1" si="108"/>
        <v>2.264588428134358</v>
      </c>
      <c r="T361" s="4">
        <f t="shared" ca="1" si="109"/>
        <v>2.4370924325827138E-14</v>
      </c>
      <c r="U361" s="99">
        <f t="shared" ca="1" si="110"/>
        <v>1483.2486983548911</v>
      </c>
      <c r="V361" s="4">
        <f t="shared" ca="1" si="111"/>
        <v>1.5962345004901697E-11</v>
      </c>
      <c r="W361" s="13">
        <f t="shared" ca="1" si="112"/>
        <v>1387.5506249999999</v>
      </c>
      <c r="X361" s="4">
        <f t="shared" ca="1" si="113"/>
        <v>1.493246669461602E-11</v>
      </c>
    </row>
    <row r="362" spans="1:24">
      <c r="A362">
        <v>2</v>
      </c>
      <c r="B362">
        <v>2</v>
      </c>
      <c r="C362">
        <f t="shared" ca="1" si="95"/>
        <v>7</v>
      </c>
      <c r="D362">
        <f t="shared" ca="1" si="96"/>
        <v>5</v>
      </c>
      <c r="E362">
        <f t="shared" ca="1" si="97"/>
        <v>2</v>
      </c>
      <c r="F362" s="100">
        <f t="shared" ca="1" si="98"/>
        <v>1.0870450000000002E-2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3">
        <f t="shared" ca="1" si="103"/>
        <v>7</v>
      </c>
      <c r="O362" s="92">
        <f t="shared" ca="1" si="104"/>
        <v>2.264588428134358</v>
      </c>
      <c r="P362" s="92">
        <f t="shared" ca="1" si="105"/>
        <v>22.645884281343584</v>
      </c>
      <c r="Q362" s="92">
        <f t="shared" ca="1" si="106"/>
        <v>22.645884281343584</v>
      </c>
      <c r="R362" s="92">
        <f t="shared" ca="1" si="107"/>
        <v>2.2645884281343585</v>
      </c>
      <c r="S362" s="92">
        <f t="shared" ca="1" si="108"/>
        <v>2.264588428134358</v>
      </c>
      <c r="T362" s="4">
        <f t="shared" ca="1" si="109"/>
        <v>0</v>
      </c>
      <c r="U362" s="99">
        <f t="shared" ca="1" si="110"/>
        <v>1504.2486983548911</v>
      </c>
      <c r="V362" s="4">
        <f t="shared" ca="1" si="111"/>
        <v>0</v>
      </c>
      <c r="W362" s="13">
        <f t="shared" ca="1" si="112"/>
        <v>9464.9624999999996</v>
      </c>
      <c r="X362" s="4">
        <f t="shared" ca="1" si="113"/>
        <v>0</v>
      </c>
    </row>
    <row r="363" spans="1:24">
      <c r="A363">
        <v>2</v>
      </c>
      <c r="B363">
        <v>2</v>
      </c>
      <c r="C363">
        <f t="shared" ca="1" si="95"/>
        <v>7</v>
      </c>
      <c r="D363">
        <f t="shared" ca="1" si="96"/>
        <v>5</v>
      </c>
      <c r="E363">
        <f t="shared" ca="1" si="97"/>
        <v>2</v>
      </c>
      <c r="F363" s="100">
        <f t="shared" ca="1" si="98"/>
        <v>1.0870450000000002E-2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126</v>
      </c>
      <c r="M363" s="7">
        <f t="shared" ca="1" si="102"/>
        <v>874</v>
      </c>
      <c r="N363" s="43">
        <f t="shared" ca="1" si="103"/>
        <v>7</v>
      </c>
      <c r="O363" s="92">
        <f t="shared" ca="1" si="104"/>
        <v>2.264588428134358</v>
      </c>
      <c r="P363" s="92">
        <f t="shared" ca="1" si="105"/>
        <v>22.645884281343584</v>
      </c>
      <c r="Q363" s="92">
        <f t="shared" ca="1" si="106"/>
        <v>22.645884281343584</v>
      </c>
      <c r="R363" s="92">
        <f t="shared" ca="1" si="107"/>
        <v>2.2645884281343585</v>
      </c>
      <c r="S363" s="92">
        <f t="shared" ca="1" si="108"/>
        <v>2.264588428134358</v>
      </c>
      <c r="T363" s="4">
        <f t="shared" ca="1" si="109"/>
        <v>0</v>
      </c>
      <c r="U363" s="99">
        <f t="shared" ca="1" si="110"/>
        <v>1483.2486983548911</v>
      </c>
      <c r="V363" s="4">
        <f t="shared" ca="1" si="111"/>
        <v>0</v>
      </c>
      <c r="W363" s="13">
        <f t="shared" ca="1" si="112"/>
        <v>8112.8249999999998</v>
      </c>
      <c r="X363" s="4">
        <f t="shared" ca="1" si="113"/>
        <v>0</v>
      </c>
    </row>
    <row r="364" spans="1:24">
      <c r="A364">
        <v>2</v>
      </c>
      <c r="B364">
        <v>2</v>
      </c>
      <c r="C364">
        <f t="shared" ca="1" si="95"/>
        <v>7</v>
      </c>
      <c r="D364">
        <f t="shared" ca="1" si="96"/>
        <v>5</v>
      </c>
      <c r="E364">
        <f t="shared" ca="1" si="97"/>
        <v>2</v>
      </c>
      <c r="F364" s="100">
        <f t="shared" ca="1" si="98"/>
        <v>1.0870450000000002E-2</v>
      </c>
      <c r="G364">
        <v>0</v>
      </c>
      <c r="H364">
        <v>0</v>
      </c>
      <c r="I364">
        <v>5</v>
      </c>
      <c r="J364" s="1">
        <f t="shared" ca="1" si="99"/>
        <v>9.5099004990000158E-5</v>
      </c>
      <c r="K364" s="1">
        <f t="shared" ca="1" si="100"/>
        <v>1.0337689787935473E-6</v>
      </c>
      <c r="L364" s="13">
        <f t="shared" ca="1" si="101"/>
        <v>105</v>
      </c>
      <c r="M364" s="7">
        <f t="shared" ca="1" si="102"/>
        <v>895</v>
      </c>
      <c r="N364" s="43">
        <f t="shared" ca="1" si="103"/>
        <v>7</v>
      </c>
      <c r="O364" s="92">
        <f t="shared" ca="1" si="104"/>
        <v>2.264588428134358</v>
      </c>
      <c r="P364" s="92">
        <f t="shared" ca="1" si="105"/>
        <v>22.645884281343584</v>
      </c>
      <c r="Q364" s="92">
        <f t="shared" ca="1" si="106"/>
        <v>22.645884281343584</v>
      </c>
      <c r="R364" s="92">
        <f t="shared" ca="1" si="107"/>
        <v>2.2645884281343585</v>
      </c>
      <c r="S364" s="92">
        <f t="shared" ca="1" si="108"/>
        <v>2.264588428134358</v>
      </c>
      <c r="T364" s="4">
        <f t="shared" ca="1" si="109"/>
        <v>2.3410612667401397E-6</v>
      </c>
      <c r="U364" s="99">
        <f t="shared" ca="1" si="110"/>
        <v>1462.2486983548911</v>
      </c>
      <c r="V364" s="4">
        <f t="shared" ca="1" si="111"/>
        <v>1.5116273436405296E-3</v>
      </c>
      <c r="W364" s="13">
        <f t="shared" ca="1" si="112"/>
        <v>6760.6875</v>
      </c>
      <c r="X364" s="4">
        <f t="shared" ca="1" si="113"/>
        <v>6.9889890128173003E-3</v>
      </c>
    </row>
    <row r="365" spans="1:24">
      <c r="A365">
        <v>2</v>
      </c>
      <c r="B365">
        <v>2</v>
      </c>
      <c r="C365">
        <f t="shared" ca="1" si="95"/>
        <v>7</v>
      </c>
      <c r="D365">
        <f t="shared" ca="1" si="96"/>
        <v>5</v>
      </c>
      <c r="E365">
        <f t="shared" ca="1" si="97"/>
        <v>2</v>
      </c>
      <c r="F365" s="100">
        <f t="shared" ca="1" si="98"/>
        <v>1.0870450000000002E-2</v>
      </c>
      <c r="G365">
        <v>0</v>
      </c>
      <c r="H365">
        <v>0</v>
      </c>
      <c r="I365">
        <v>4</v>
      </c>
      <c r="J365" s="1">
        <f t="shared" ca="1" si="99"/>
        <v>4.8029800500000126E-6</v>
      </c>
      <c r="K365" s="1">
        <f t="shared" ca="1" si="100"/>
        <v>5.2210554484522645E-8</v>
      </c>
      <c r="L365" s="13">
        <f t="shared" ca="1" si="101"/>
        <v>100</v>
      </c>
      <c r="M365" s="7">
        <f t="shared" ca="1" si="102"/>
        <v>900</v>
      </c>
      <c r="N365" s="43">
        <f t="shared" ca="1" si="103"/>
        <v>7</v>
      </c>
      <c r="O365" s="92">
        <f t="shared" ca="1" si="104"/>
        <v>2.264588428134358</v>
      </c>
      <c r="P365" s="92">
        <f t="shared" ca="1" si="105"/>
        <v>22.645884281343584</v>
      </c>
      <c r="Q365" s="92">
        <f t="shared" ca="1" si="106"/>
        <v>22.645884281343584</v>
      </c>
      <c r="R365" s="92">
        <f t="shared" ca="1" si="107"/>
        <v>2.2645884281343585</v>
      </c>
      <c r="S365" s="92">
        <f t="shared" ca="1" si="108"/>
        <v>2.264588428134358</v>
      </c>
      <c r="T365" s="4">
        <f t="shared" ca="1" si="109"/>
        <v>1.1823541751212839E-7</v>
      </c>
      <c r="U365" s="99">
        <f t="shared" ca="1" si="110"/>
        <v>1457.2486983548911</v>
      </c>
      <c r="V365" s="4">
        <f t="shared" ca="1" si="111"/>
        <v>7.6083762562957749E-5</v>
      </c>
      <c r="W365" s="13">
        <f t="shared" ca="1" si="112"/>
        <v>5408.55</v>
      </c>
      <c r="X365" s="4">
        <f t="shared" ca="1" si="113"/>
        <v>2.8238339445726496E-4</v>
      </c>
    </row>
    <row r="366" spans="1:24">
      <c r="A366">
        <v>2</v>
      </c>
      <c r="B366">
        <v>2</v>
      </c>
      <c r="C366">
        <f t="shared" ca="1" si="95"/>
        <v>7</v>
      </c>
      <c r="D366">
        <f t="shared" ca="1" si="96"/>
        <v>5</v>
      </c>
      <c r="E366">
        <f t="shared" ca="1" si="97"/>
        <v>2</v>
      </c>
      <c r="F366" s="100">
        <f t="shared" ca="1" si="98"/>
        <v>1.0870450000000002E-2</v>
      </c>
      <c r="G366">
        <v>0</v>
      </c>
      <c r="H366">
        <v>0</v>
      </c>
      <c r="I366">
        <v>3</v>
      </c>
      <c r="J366" s="1">
        <f t="shared" ca="1" si="99"/>
        <v>9.7029900000000341E-8</v>
      </c>
      <c r="K366" s="1">
        <f t="shared" ca="1" si="100"/>
        <v>1.0547586764550038E-9</v>
      </c>
      <c r="L366" s="13">
        <f t="shared" ca="1" si="101"/>
        <v>100</v>
      </c>
      <c r="M366" s="7">
        <f t="shared" ca="1" si="102"/>
        <v>900</v>
      </c>
      <c r="N366" s="43">
        <f t="shared" ca="1" si="103"/>
        <v>7</v>
      </c>
      <c r="O366" s="92">
        <f t="shared" ca="1" si="104"/>
        <v>2.264588428134358</v>
      </c>
      <c r="P366" s="92">
        <f t="shared" ca="1" si="105"/>
        <v>22.645884281343584</v>
      </c>
      <c r="Q366" s="92">
        <f t="shared" ca="1" si="106"/>
        <v>22.645884281343584</v>
      </c>
      <c r="R366" s="92">
        <f t="shared" ca="1" si="107"/>
        <v>2.2645884281343585</v>
      </c>
      <c r="S366" s="92">
        <f t="shared" ca="1" si="108"/>
        <v>2.264588428134358</v>
      </c>
      <c r="T366" s="4">
        <f t="shared" ca="1" si="109"/>
        <v>2.3885942931743133E-9</v>
      </c>
      <c r="U366" s="99">
        <f t="shared" ca="1" si="110"/>
        <v>1457.2486983548911</v>
      </c>
      <c r="V366" s="4">
        <f t="shared" ca="1" si="111"/>
        <v>1.5370457083425821E-6</v>
      </c>
      <c r="W366" s="13">
        <f t="shared" ca="1" si="112"/>
        <v>4056.4124999999999</v>
      </c>
      <c r="X366" s="4">
        <f t="shared" ca="1" si="113"/>
        <v>4.278536279655533E-6</v>
      </c>
    </row>
    <row r="367" spans="1:24">
      <c r="A367">
        <v>2</v>
      </c>
      <c r="B367">
        <v>2</v>
      </c>
      <c r="C367">
        <f t="shared" ca="1" si="95"/>
        <v>7</v>
      </c>
      <c r="D367">
        <f t="shared" ca="1" si="96"/>
        <v>5</v>
      </c>
      <c r="E367">
        <f t="shared" ca="1" si="97"/>
        <v>2</v>
      </c>
      <c r="F367" s="100">
        <f t="shared" ca="1" si="98"/>
        <v>1.0870450000000002E-2</v>
      </c>
      <c r="G367">
        <v>0</v>
      </c>
      <c r="H367">
        <v>0</v>
      </c>
      <c r="I367">
        <v>2</v>
      </c>
      <c r="J367" s="1">
        <f t="shared" ca="1" si="99"/>
        <v>9.801000000000045E-10</v>
      </c>
      <c r="K367" s="1">
        <f t="shared" ca="1" si="100"/>
        <v>1.065412804500005E-11</v>
      </c>
      <c r="L367" s="13">
        <f t="shared" ca="1" si="101"/>
        <v>100</v>
      </c>
      <c r="M367" s="7">
        <f t="shared" ca="1" si="102"/>
        <v>900</v>
      </c>
      <c r="N367" s="43">
        <f t="shared" ca="1" si="103"/>
        <v>7</v>
      </c>
      <c r="O367" s="92">
        <f t="shared" ca="1" si="104"/>
        <v>2.264588428134358</v>
      </c>
      <c r="P367" s="92">
        <f t="shared" ca="1" si="105"/>
        <v>22.645884281343584</v>
      </c>
      <c r="Q367" s="92">
        <f t="shared" ca="1" si="106"/>
        <v>22.645884281343584</v>
      </c>
      <c r="R367" s="92">
        <f t="shared" ca="1" si="107"/>
        <v>2.2645884281343585</v>
      </c>
      <c r="S367" s="92">
        <f t="shared" ca="1" si="108"/>
        <v>2.264588428134358</v>
      </c>
      <c r="T367" s="4">
        <f t="shared" ca="1" si="109"/>
        <v>2.4127215082568845E-11</v>
      </c>
      <c r="U367" s="99">
        <f t="shared" ca="1" si="110"/>
        <v>1457.2486983548911</v>
      </c>
      <c r="V367" s="4">
        <f t="shared" ca="1" si="111"/>
        <v>1.5525714225682662E-8</v>
      </c>
      <c r="W367" s="13">
        <f t="shared" ca="1" si="112"/>
        <v>2704.2750000000001</v>
      </c>
      <c r="X367" s="4">
        <f t="shared" ca="1" si="113"/>
        <v>2.881169211889251E-8</v>
      </c>
    </row>
    <row r="368" spans="1:24">
      <c r="A368">
        <v>2</v>
      </c>
      <c r="B368">
        <v>2</v>
      </c>
      <c r="C368">
        <f t="shared" ca="1" si="95"/>
        <v>7</v>
      </c>
      <c r="D368">
        <f t="shared" ca="1" si="96"/>
        <v>5</v>
      </c>
      <c r="E368">
        <f t="shared" ca="1" si="97"/>
        <v>2</v>
      </c>
      <c r="F368" s="100">
        <f t="shared" ca="1" si="98"/>
        <v>1.0870450000000002E-2</v>
      </c>
      <c r="G368">
        <v>0</v>
      </c>
      <c r="H368">
        <v>0</v>
      </c>
      <c r="I368">
        <v>1</v>
      </c>
      <c r="J368" s="1">
        <f t="shared" ca="1" si="99"/>
        <v>4.9500000000000272E-12</v>
      </c>
      <c r="K368" s="1">
        <f t="shared" ca="1" si="100"/>
        <v>5.3808727500000308E-14</v>
      </c>
      <c r="L368" s="13">
        <f t="shared" ca="1" si="101"/>
        <v>100</v>
      </c>
      <c r="M368" s="7">
        <f t="shared" ca="1" si="102"/>
        <v>900</v>
      </c>
      <c r="N368" s="43">
        <f t="shared" ca="1" si="103"/>
        <v>7</v>
      </c>
      <c r="O368" s="92">
        <f t="shared" ca="1" si="104"/>
        <v>2.264588428134358</v>
      </c>
      <c r="P368" s="92">
        <f t="shared" ca="1" si="105"/>
        <v>22.645884281343584</v>
      </c>
      <c r="Q368" s="92">
        <f t="shared" ca="1" si="106"/>
        <v>22.645884281343584</v>
      </c>
      <c r="R368" s="92">
        <f t="shared" ca="1" si="107"/>
        <v>2.2645884281343585</v>
      </c>
      <c r="S368" s="92">
        <f t="shared" ca="1" si="108"/>
        <v>2.264588428134358</v>
      </c>
      <c r="T368" s="4">
        <f t="shared" ca="1" si="109"/>
        <v>1.2185462162913571E-13</v>
      </c>
      <c r="U368" s="99">
        <f t="shared" ca="1" si="110"/>
        <v>1457.2486983548911</v>
      </c>
      <c r="V368" s="4">
        <f t="shared" ca="1" si="111"/>
        <v>7.8412698109508487E-11</v>
      </c>
      <c r="W368" s="13">
        <f t="shared" ca="1" si="112"/>
        <v>1352.1375</v>
      </c>
      <c r="X368" s="4">
        <f t="shared" ca="1" si="113"/>
        <v>7.2756798280031672E-11</v>
      </c>
    </row>
    <row r="369" spans="1:24">
      <c r="A369">
        <v>2</v>
      </c>
      <c r="B369">
        <v>2</v>
      </c>
      <c r="C369">
        <f t="shared" ca="1" si="95"/>
        <v>7</v>
      </c>
      <c r="D369">
        <f t="shared" ca="1" si="96"/>
        <v>5</v>
      </c>
      <c r="E369">
        <f t="shared" ca="1" si="97"/>
        <v>2</v>
      </c>
      <c r="F369" s="100">
        <f t="shared" ca="1" si="98"/>
        <v>1.0870450000000002E-2</v>
      </c>
      <c r="G369">
        <v>0</v>
      </c>
      <c r="H369">
        <v>0</v>
      </c>
      <c r="I369">
        <v>0</v>
      </c>
      <c r="J369" s="1">
        <f t="shared" ca="1" si="99"/>
        <v>1.0000000000000063E-14</v>
      </c>
      <c r="K369" s="1">
        <f t="shared" ca="1" si="100"/>
        <v>1.087045000000007E-16</v>
      </c>
      <c r="L369" s="13">
        <f t="shared" ca="1" si="101"/>
        <v>100</v>
      </c>
      <c r="M369" s="7">
        <f t="shared" ca="1" si="102"/>
        <v>900</v>
      </c>
      <c r="N369" s="43">
        <f t="shared" ca="1" si="103"/>
        <v>7</v>
      </c>
      <c r="O369" s="92">
        <f t="shared" ca="1" si="104"/>
        <v>2.264588428134358</v>
      </c>
      <c r="P369" s="92">
        <f t="shared" ca="1" si="105"/>
        <v>22.645884281343584</v>
      </c>
      <c r="Q369" s="92">
        <f t="shared" ca="1" si="106"/>
        <v>22.645884281343584</v>
      </c>
      <c r="R369" s="92">
        <f t="shared" ca="1" si="107"/>
        <v>2.2645884281343585</v>
      </c>
      <c r="S369" s="92">
        <f t="shared" ca="1" si="108"/>
        <v>2.264588428134358</v>
      </c>
      <c r="T369" s="4">
        <f t="shared" ca="1" si="109"/>
        <v>2.4617095278613291E-16</v>
      </c>
      <c r="U369" s="99">
        <f t="shared" ca="1" si="110"/>
        <v>1457.2486983548911</v>
      </c>
      <c r="V369" s="4">
        <f t="shared" ca="1" si="111"/>
        <v>1.5840949113032028E-13</v>
      </c>
      <c r="W369" s="13">
        <f t="shared" ca="1" si="112"/>
        <v>0</v>
      </c>
      <c r="X369" s="4">
        <f t="shared" ca="1" si="113"/>
        <v>0</v>
      </c>
    </row>
    <row r="370" spans="1:24">
      <c r="A370">
        <v>2</v>
      </c>
      <c r="B370">
        <v>3</v>
      </c>
      <c r="C370">
        <f t="shared" ca="1" si="95"/>
        <v>8</v>
      </c>
      <c r="D370">
        <f t="shared" ca="1" si="96"/>
        <v>6</v>
      </c>
      <c r="E370">
        <f t="shared" ca="1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399</v>
      </c>
      <c r="M370" s="7">
        <f t="shared" ca="1" si="102"/>
        <v>601</v>
      </c>
      <c r="N370" s="43">
        <f t="shared" ca="1" si="103"/>
        <v>5</v>
      </c>
      <c r="O370" s="92">
        <f t="shared" ca="1" si="104"/>
        <v>1.7627004516625842</v>
      </c>
      <c r="P370" s="92">
        <f t="shared" ca="1" si="105"/>
        <v>17.627004516625838</v>
      </c>
      <c r="Q370" s="92">
        <f t="shared" ca="1" si="106"/>
        <v>17.627004516625838</v>
      </c>
      <c r="R370" s="92">
        <f t="shared" ca="1" si="107"/>
        <v>1.7627004516625839</v>
      </c>
      <c r="S370" s="92">
        <f t="shared" ca="1" si="108"/>
        <v>1.7627004516625842</v>
      </c>
      <c r="T370" s="4">
        <f t="shared" ca="1" si="109"/>
        <v>0</v>
      </c>
      <c r="U370" s="99">
        <f t="shared" ca="1" si="110"/>
        <v>1509.8515146533105</v>
      </c>
      <c r="V370" s="4">
        <f t="shared" ca="1" si="111"/>
        <v>0</v>
      </c>
      <c r="W370" s="13">
        <f t="shared" ca="1" si="112"/>
        <v>23319.800362499998</v>
      </c>
      <c r="X370" s="4">
        <f t="shared" ca="1" si="113"/>
        <v>0</v>
      </c>
    </row>
    <row r="371" spans="1:24">
      <c r="A371">
        <v>2</v>
      </c>
      <c r="B371">
        <v>3</v>
      </c>
      <c r="C371">
        <f t="shared" ca="1" si="95"/>
        <v>8</v>
      </c>
      <c r="D371">
        <f t="shared" ca="1" si="96"/>
        <v>6</v>
      </c>
      <c r="E371">
        <f t="shared" ca="1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0.92274469442791995</v>
      </c>
      <c r="K371" s="1">
        <f t="shared" ca="1" si="100"/>
        <v>0</v>
      </c>
      <c r="L371" s="13">
        <f t="shared" ca="1" si="101"/>
        <v>378</v>
      </c>
      <c r="M371" s="7">
        <f t="shared" ca="1" si="102"/>
        <v>622</v>
      </c>
      <c r="N371" s="43">
        <f t="shared" ca="1" si="103"/>
        <v>5</v>
      </c>
      <c r="O371" s="92">
        <f t="shared" ca="1" si="104"/>
        <v>1.7627004516625842</v>
      </c>
      <c r="P371" s="92">
        <f t="shared" ca="1" si="105"/>
        <v>17.627004516625838</v>
      </c>
      <c r="Q371" s="92">
        <f t="shared" ca="1" si="106"/>
        <v>17.627004516625838</v>
      </c>
      <c r="R371" s="92">
        <f t="shared" ca="1" si="107"/>
        <v>1.7627004516625839</v>
      </c>
      <c r="S371" s="92">
        <f t="shared" ca="1" si="108"/>
        <v>1.7627004516625842</v>
      </c>
      <c r="T371" s="4">
        <f t="shared" ca="1" si="109"/>
        <v>0</v>
      </c>
      <c r="U371" s="99">
        <f t="shared" ca="1" si="110"/>
        <v>1488.8515146533105</v>
      </c>
      <c r="V371" s="4">
        <f t="shared" ca="1" si="111"/>
        <v>0</v>
      </c>
      <c r="W371" s="13">
        <f t="shared" ca="1" si="112"/>
        <v>21967.662862499998</v>
      </c>
      <c r="X371" s="4">
        <f t="shared" ca="1" si="113"/>
        <v>0</v>
      </c>
    </row>
    <row r="372" spans="1:24">
      <c r="A372">
        <v>2</v>
      </c>
      <c r="B372">
        <v>3</v>
      </c>
      <c r="C372">
        <f t="shared" ca="1" si="95"/>
        <v>8</v>
      </c>
      <c r="D372">
        <f t="shared" ca="1" si="96"/>
        <v>6</v>
      </c>
      <c r="E372">
        <f t="shared" ca="1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5.5923920874419442E-2</v>
      </c>
      <c r="K372" s="1">
        <f t="shared" ca="1" si="100"/>
        <v>0</v>
      </c>
      <c r="L372" s="13">
        <f t="shared" ca="1" si="101"/>
        <v>357</v>
      </c>
      <c r="M372" s="7">
        <f t="shared" ca="1" si="102"/>
        <v>643</v>
      </c>
      <c r="N372" s="43">
        <f t="shared" ca="1" si="103"/>
        <v>5</v>
      </c>
      <c r="O372" s="92">
        <f t="shared" ca="1" si="104"/>
        <v>1.7627004516625842</v>
      </c>
      <c r="P372" s="92">
        <f t="shared" ca="1" si="105"/>
        <v>17.627004516625838</v>
      </c>
      <c r="Q372" s="92">
        <f t="shared" ca="1" si="106"/>
        <v>17.627004516625838</v>
      </c>
      <c r="R372" s="92">
        <f t="shared" ca="1" si="107"/>
        <v>1.7627004516625839</v>
      </c>
      <c r="S372" s="92">
        <f t="shared" ca="1" si="108"/>
        <v>1.7627004516625842</v>
      </c>
      <c r="T372" s="4">
        <f t="shared" ca="1" si="109"/>
        <v>0</v>
      </c>
      <c r="U372" s="99">
        <f t="shared" ca="1" si="110"/>
        <v>1467.8515146533105</v>
      </c>
      <c r="V372" s="4">
        <f t="shared" ca="1" si="111"/>
        <v>0</v>
      </c>
      <c r="W372" s="13">
        <f t="shared" ca="1" si="112"/>
        <v>20615.525362499997</v>
      </c>
      <c r="X372" s="4">
        <f t="shared" ca="1" si="113"/>
        <v>0</v>
      </c>
    </row>
    <row r="373" spans="1:24">
      <c r="A373">
        <v>2</v>
      </c>
      <c r="B373">
        <v>3</v>
      </c>
      <c r="C373">
        <f t="shared" ca="1" si="95"/>
        <v>8</v>
      </c>
      <c r="D373">
        <f t="shared" ca="1" si="96"/>
        <v>6</v>
      </c>
      <c r="E373">
        <f t="shared" ca="1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1.4122202241015026E-3</v>
      </c>
      <c r="K373" s="1">
        <f t="shared" ca="1" si="100"/>
        <v>0</v>
      </c>
      <c r="L373" s="13">
        <f t="shared" ca="1" si="101"/>
        <v>336</v>
      </c>
      <c r="M373" s="7">
        <f t="shared" ca="1" si="102"/>
        <v>664</v>
      </c>
      <c r="N373" s="43">
        <f t="shared" ca="1" si="103"/>
        <v>6</v>
      </c>
      <c r="O373" s="92">
        <f t="shared" ca="1" si="104"/>
        <v>2.003415856166523</v>
      </c>
      <c r="P373" s="92">
        <f t="shared" ca="1" si="105"/>
        <v>20.03415856166523</v>
      </c>
      <c r="Q373" s="92">
        <f t="shared" ca="1" si="106"/>
        <v>19.552727752657354</v>
      </c>
      <c r="R373" s="92">
        <f t="shared" ca="1" si="107"/>
        <v>1.9793443157161292</v>
      </c>
      <c r="S373" s="92">
        <f t="shared" ca="1" si="108"/>
        <v>2.003415856166523</v>
      </c>
      <c r="T373" s="4">
        <f t="shared" ca="1" si="109"/>
        <v>0</v>
      </c>
      <c r="U373" s="99">
        <f t="shared" ca="1" si="110"/>
        <v>1565.0284794818213</v>
      </c>
      <c r="V373" s="4">
        <f t="shared" ca="1" si="111"/>
        <v>0</v>
      </c>
      <c r="W373" s="13">
        <f t="shared" ca="1" si="112"/>
        <v>19263.3878625</v>
      </c>
      <c r="X373" s="4">
        <f t="shared" ca="1" si="113"/>
        <v>0</v>
      </c>
    </row>
    <row r="374" spans="1:24">
      <c r="A374">
        <v>2</v>
      </c>
      <c r="B374">
        <v>3</v>
      </c>
      <c r="C374">
        <f t="shared" ca="1" si="95"/>
        <v>8</v>
      </c>
      <c r="D374">
        <f t="shared" ca="1" si="96"/>
        <v>6</v>
      </c>
      <c r="E374">
        <f t="shared" ca="1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1.9019800998000047E-5</v>
      </c>
      <c r="K374" s="1">
        <f t="shared" ca="1" si="100"/>
        <v>0</v>
      </c>
      <c r="L374" s="13">
        <f t="shared" ca="1" si="101"/>
        <v>315</v>
      </c>
      <c r="M374" s="7">
        <f t="shared" ca="1" si="102"/>
        <v>685</v>
      </c>
      <c r="N374" s="43">
        <f t="shared" ca="1" si="103"/>
        <v>6</v>
      </c>
      <c r="O374" s="92">
        <f t="shared" ca="1" si="104"/>
        <v>2.003415856166523</v>
      </c>
      <c r="P374" s="92">
        <f t="shared" ca="1" si="105"/>
        <v>20.03415856166523</v>
      </c>
      <c r="Q374" s="92">
        <f t="shared" ca="1" si="106"/>
        <v>20.03415856166523</v>
      </c>
      <c r="R374" s="92">
        <f t="shared" ca="1" si="107"/>
        <v>2.003415856166523</v>
      </c>
      <c r="S374" s="92">
        <f t="shared" ca="1" si="108"/>
        <v>2.003415856166523</v>
      </c>
      <c r="T374" s="4">
        <f t="shared" ca="1" si="109"/>
        <v>0</v>
      </c>
      <c r="U374" s="99">
        <f t="shared" ca="1" si="110"/>
        <v>1544.0284794818213</v>
      </c>
      <c r="V374" s="4">
        <f t="shared" ca="1" si="111"/>
        <v>0</v>
      </c>
      <c r="W374" s="13">
        <f t="shared" ca="1" si="112"/>
        <v>17911.250362499999</v>
      </c>
      <c r="X374" s="4">
        <f t="shared" ca="1" si="113"/>
        <v>0</v>
      </c>
    </row>
    <row r="375" spans="1:24">
      <c r="A375">
        <v>2</v>
      </c>
      <c r="B375">
        <v>3</v>
      </c>
      <c r="C375">
        <f t="shared" ca="1" si="95"/>
        <v>8</v>
      </c>
      <c r="D375">
        <f t="shared" ca="1" si="96"/>
        <v>6</v>
      </c>
      <c r="E375">
        <f t="shared" ca="1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1.4408940150000054E-7</v>
      </c>
      <c r="K375" s="1">
        <f t="shared" ca="1" si="100"/>
        <v>0</v>
      </c>
      <c r="L375" s="13">
        <f t="shared" ca="1" si="101"/>
        <v>294</v>
      </c>
      <c r="M375" s="7">
        <f t="shared" ca="1" si="102"/>
        <v>706</v>
      </c>
      <c r="N375" s="43">
        <f t="shared" ca="1" si="103"/>
        <v>6</v>
      </c>
      <c r="O375" s="92">
        <f t="shared" ca="1" si="104"/>
        <v>2.003415856166523</v>
      </c>
      <c r="P375" s="92">
        <f t="shared" ca="1" si="105"/>
        <v>20.03415856166523</v>
      </c>
      <c r="Q375" s="92">
        <f t="shared" ca="1" si="106"/>
        <v>20.03415856166523</v>
      </c>
      <c r="R375" s="92">
        <f t="shared" ca="1" si="107"/>
        <v>2.003415856166523</v>
      </c>
      <c r="S375" s="92">
        <f t="shared" ca="1" si="108"/>
        <v>2.003415856166523</v>
      </c>
      <c r="T375" s="4">
        <f t="shared" ca="1" si="109"/>
        <v>0</v>
      </c>
      <c r="U375" s="99">
        <f t="shared" ca="1" si="110"/>
        <v>1523.0284794818213</v>
      </c>
      <c r="V375" s="4">
        <f t="shared" ca="1" si="111"/>
        <v>0</v>
      </c>
      <c r="W375" s="13">
        <f t="shared" ca="1" si="112"/>
        <v>16559.112862499998</v>
      </c>
      <c r="X375" s="4">
        <f t="shared" ca="1" si="113"/>
        <v>0</v>
      </c>
    </row>
    <row r="376" spans="1:24">
      <c r="A376">
        <v>2</v>
      </c>
      <c r="B376">
        <v>3</v>
      </c>
      <c r="C376">
        <f t="shared" ca="1" si="95"/>
        <v>8</v>
      </c>
      <c r="D376">
        <f t="shared" ca="1" si="96"/>
        <v>6</v>
      </c>
      <c r="E376">
        <f t="shared" ca="1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5.8217940000000265E-10</v>
      </c>
      <c r="K376" s="1">
        <f t="shared" ca="1" si="100"/>
        <v>0</v>
      </c>
      <c r="L376" s="13">
        <f t="shared" ca="1" si="101"/>
        <v>273</v>
      </c>
      <c r="M376" s="7">
        <f t="shared" ca="1" si="102"/>
        <v>727</v>
      </c>
      <c r="N376" s="43">
        <f t="shared" ca="1" si="103"/>
        <v>6</v>
      </c>
      <c r="O376" s="92">
        <f t="shared" ca="1" si="104"/>
        <v>2.003415856166523</v>
      </c>
      <c r="P376" s="92">
        <f t="shared" ca="1" si="105"/>
        <v>20.03415856166523</v>
      </c>
      <c r="Q376" s="92">
        <f t="shared" ca="1" si="106"/>
        <v>20.03415856166523</v>
      </c>
      <c r="R376" s="92">
        <f t="shared" ca="1" si="107"/>
        <v>2.003415856166523</v>
      </c>
      <c r="S376" s="92">
        <f t="shared" ca="1" si="108"/>
        <v>2.003415856166523</v>
      </c>
      <c r="T376" s="4">
        <f t="shared" ca="1" si="109"/>
        <v>0</v>
      </c>
      <c r="U376" s="99">
        <f t="shared" ca="1" si="110"/>
        <v>1502.0284794818213</v>
      </c>
      <c r="V376" s="4">
        <f t="shared" ca="1" si="111"/>
        <v>0</v>
      </c>
      <c r="W376" s="13">
        <f t="shared" ca="1" si="112"/>
        <v>15206.975362499999</v>
      </c>
      <c r="X376" s="4">
        <f t="shared" ca="1" si="113"/>
        <v>0</v>
      </c>
    </row>
    <row r="377" spans="1:24">
      <c r="A377">
        <v>2</v>
      </c>
      <c r="B377">
        <v>3</v>
      </c>
      <c r="C377">
        <f t="shared" ca="1" si="95"/>
        <v>8</v>
      </c>
      <c r="D377">
        <f t="shared" ca="1" si="96"/>
        <v>6</v>
      </c>
      <c r="E377">
        <f t="shared" ca="1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9.8010000000000529E-13</v>
      </c>
      <c r="K377" s="1">
        <f t="shared" ca="1" si="100"/>
        <v>0</v>
      </c>
      <c r="L377" s="13">
        <f t="shared" ca="1" si="101"/>
        <v>252</v>
      </c>
      <c r="M377" s="7">
        <f t="shared" ca="1" si="102"/>
        <v>748</v>
      </c>
      <c r="N377" s="43">
        <f t="shared" ca="1" si="103"/>
        <v>6</v>
      </c>
      <c r="O377" s="92">
        <f t="shared" ca="1" si="104"/>
        <v>2.003415856166523</v>
      </c>
      <c r="P377" s="92">
        <f t="shared" ca="1" si="105"/>
        <v>20.03415856166523</v>
      </c>
      <c r="Q377" s="92">
        <f t="shared" ca="1" si="106"/>
        <v>20.03415856166523</v>
      </c>
      <c r="R377" s="92">
        <f t="shared" ca="1" si="107"/>
        <v>2.003415856166523</v>
      </c>
      <c r="S377" s="92">
        <f t="shared" ca="1" si="108"/>
        <v>2.003415856166523</v>
      </c>
      <c r="T377" s="4">
        <f t="shared" ca="1" si="109"/>
        <v>0</v>
      </c>
      <c r="U377" s="99">
        <f t="shared" ca="1" si="110"/>
        <v>1481.0284794818213</v>
      </c>
      <c r="V377" s="4">
        <f t="shared" ca="1" si="111"/>
        <v>0</v>
      </c>
      <c r="W377" s="13">
        <f t="shared" ca="1" si="112"/>
        <v>13854.837862499999</v>
      </c>
      <c r="X377" s="4">
        <f t="shared" ca="1" si="113"/>
        <v>0</v>
      </c>
    </row>
    <row r="378" spans="1:24">
      <c r="A378">
        <v>2</v>
      </c>
      <c r="B378">
        <v>3</v>
      </c>
      <c r="C378">
        <f t="shared" ca="1" si="95"/>
        <v>8</v>
      </c>
      <c r="D378">
        <f t="shared" ca="1" si="96"/>
        <v>6</v>
      </c>
      <c r="E378">
        <f t="shared" ca="1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273</v>
      </c>
      <c r="M378" s="7">
        <f t="shared" ca="1" si="102"/>
        <v>727</v>
      </c>
      <c r="N378" s="43">
        <f t="shared" ca="1" si="103"/>
        <v>6</v>
      </c>
      <c r="O378" s="92">
        <f t="shared" ca="1" si="104"/>
        <v>2.003415856166523</v>
      </c>
      <c r="P378" s="92">
        <f t="shared" ca="1" si="105"/>
        <v>20.03415856166523</v>
      </c>
      <c r="Q378" s="92">
        <f t="shared" ca="1" si="106"/>
        <v>20.03415856166523</v>
      </c>
      <c r="R378" s="92">
        <f t="shared" ca="1" si="107"/>
        <v>2.003415856166523</v>
      </c>
      <c r="S378" s="92">
        <f t="shared" ca="1" si="108"/>
        <v>2.003415856166523</v>
      </c>
      <c r="T378" s="4">
        <f t="shared" ca="1" si="109"/>
        <v>0</v>
      </c>
      <c r="U378" s="99">
        <f t="shared" ca="1" si="110"/>
        <v>1502.0284794818213</v>
      </c>
      <c r="V378" s="4">
        <f t="shared" ca="1" si="111"/>
        <v>0</v>
      </c>
      <c r="W378" s="13">
        <f t="shared" ca="1" si="112"/>
        <v>21932.249737499998</v>
      </c>
      <c r="X378" s="4">
        <f t="shared" ca="1" si="113"/>
        <v>0</v>
      </c>
    </row>
    <row r="379" spans="1:24">
      <c r="A379">
        <v>2</v>
      </c>
      <c r="B379">
        <v>3</v>
      </c>
      <c r="C379">
        <f t="shared" ca="1" si="95"/>
        <v>8</v>
      </c>
      <c r="D379">
        <f t="shared" ca="1" si="96"/>
        <v>6</v>
      </c>
      <c r="E379">
        <f t="shared" ca="1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9.3206534790699087E-3</v>
      </c>
      <c r="K379" s="1">
        <f t="shared" ca="1" si="100"/>
        <v>0</v>
      </c>
      <c r="L379" s="13">
        <f t="shared" ca="1" si="101"/>
        <v>252</v>
      </c>
      <c r="M379" s="7">
        <f t="shared" ca="1" si="102"/>
        <v>748</v>
      </c>
      <c r="N379" s="43">
        <f t="shared" ca="1" si="103"/>
        <v>6</v>
      </c>
      <c r="O379" s="92">
        <f t="shared" ca="1" si="104"/>
        <v>2.003415856166523</v>
      </c>
      <c r="P379" s="92">
        <f t="shared" ca="1" si="105"/>
        <v>20.03415856166523</v>
      </c>
      <c r="Q379" s="92">
        <f t="shared" ca="1" si="106"/>
        <v>20.03415856166523</v>
      </c>
      <c r="R379" s="92">
        <f t="shared" ca="1" si="107"/>
        <v>2.003415856166523</v>
      </c>
      <c r="S379" s="92">
        <f t="shared" ca="1" si="108"/>
        <v>2.003415856166523</v>
      </c>
      <c r="T379" s="4">
        <f t="shared" ca="1" si="109"/>
        <v>0</v>
      </c>
      <c r="U379" s="99">
        <f t="shared" ca="1" si="110"/>
        <v>1481.0284794818213</v>
      </c>
      <c r="V379" s="4">
        <f t="shared" ca="1" si="111"/>
        <v>0</v>
      </c>
      <c r="W379" s="13">
        <f t="shared" ca="1" si="112"/>
        <v>20580.112237499998</v>
      </c>
      <c r="X379" s="4">
        <f t="shared" ca="1" si="113"/>
        <v>0</v>
      </c>
    </row>
    <row r="380" spans="1:24">
      <c r="A380">
        <v>2</v>
      </c>
      <c r="B380">
        <v>3</v>
      </c>
      <c r="C380">
        <f t="shared" ca="1" si="95"/>
        <v>8</v>
      </c>
      <c r="D380">
        <f t="shared" ca="1" si="96"/>
        <v>6</v>
      </c>
      <c r="E380">
        <f t="shared" ca="1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5.6488808964060098E-4</v>
      </c>
      <c r="K380" s="1">
        <f t="shared" ca="1" si="100"/>
        <v>0</v>
      </c>
      <c r="L380" s="13">
        <f t="shared" ca="1" si="101"/>
        <v>231</v>
      </c>
      <c r="M380" s="7">
        <f t="shared" ca="1" si="102"/>
        <v>769</v>
      </c>
      <c r="N380" s="43">
        <f t="shared" ca="1" si="103"/>
        <v>6</v>
      </c>
      <c r="O380" s="92">
        <f t="shared" ca="1" si="104"/>
        <v>2.003415856166523</v>
      </c>
      <c r="P380" s="92">
        <f t="shared" ca="1" si="105"/>
        <v>20.03415856166523</v>
      </c>
      <c r="Q380" s="92">
        <f t="shared" ca="1" si="106"/>
        <v>20.03415856166523</v>
      </c>
      <c r="R380" s="92">
        <f t="shared" ca="1" si="107"/>
        <v>2.003415856166523</v>
      </c>
      <c r="S380" s="92">
        <f t="shared" ca="1" si="108"/>
        <v>2.003415856166523</v>
      </c>
      <c r="T380" s="4">
        <f t="shared" ca="1" si="109"/>
        <v>0</v>
      </c>
      <c r="U380" s="99">
        <f t="shared" ca="1" si="110"/>
        <v>1460.0284794818213</v>
      </c>
      <c r="V380" s="4">
        <f t="shared" ca="1" si="111"/>
        <v>0</v>
      </c>
      <c r="W380" s="13">
        <f t="shared" ca="1" si="112"/>
        <v>19227.974737500001</v>
      </c>
      <c r="X380" s="4">
        <f t="shared" ca="1" si="113"/>
        <v>0</v>
      </c>
    </row>
    <row r="381" spans="1:24">
      <c r="A381">
        <v>2</v>
      </c>
      <c r="B381">
        <v>3</v>
      </c>
      <c r="C381">
        <f t="shared" ca="1" si="95"/>
        <v>8</v>
      </c>
      <c r="D381">
        <f t="shared" ca="1" si="96"/>
        <v>6</v>
      </c>
      <c r="E381">
        <f t="shared" ca="1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1.426485074850004E-5</v>
      </c>
      <c r="K381" s="1">
        <f t="shared" ca="1" si="100"/>
        <v>0</v>
      </c>
      <c r="L381" s="13">
        <f t="shared" ca="1" si="101"/>
        <v>210</v>
      </c>
      <c r="M381" s="7">
        <f t="shared" ca="1" si="102"/>
        <v>790</v>
      </c>
      <c r="N381" s="43">
        <f t="shared" ca="1" si="103"/>
        <v>7</v>
      </c>
      <c r="O381" s="92">
        <f t="shared" ca="1" si="104"/>
        <v>2.264588428134358</v>
      </c>
      <c r="P381" s="92">
        <f t="shared" ca="1" si="105"/>
        <v>22.645884281343584</v>
      </c>
      <c r="Q381" s="92">
        <f t="shared" ca="1" si="106"/>
        <v>21.340021421504403</v>
      </c>
      <c r="R381" s="92">
        <f t="shared" ca="1" si="107"/>
        <v>2.1992952851423992</v>
      </c>
      <c r="S381" s="92">
        <f t="shared" ca="1" si="108"/>
        <v>2.264588428134358</v>
      </c>
      <c r="T381" s="4">
        <f t="shared" ca="1" si="109"/>
        <v>0</v>
      </c>
      <c r="U381" s="99">
        <f t="shared" ca="1" si="110"/>
        <v>1567.2486983548911</v>
      </c>
      <c r="V381" s="4">
        <f t="shared" ca="1" si="111"/>
        <v>0</v>
      </c>
      <c r="W381" s="13">
        <f t="shared" ca="1" si="112"/>
        <v>17875.8372375</v>
      </c>
      <c r="X381" s="4">
        <f t="shared" ca="1" si="113"/>
        <v>0</v>
      </c>
    </row>
    <row r="382" spans="1:24">
      <c r="A382">
        <v>2</v>
      </c>
      <c r="B382">
        <v>3</v>
      </c>
      <c r="C382">
        <f t="shared" ca="1" si="95"/>
        <v>8</v>
      </c>
      <c r="D382">
        <f t="shared" ca="1" si="96"/>
        <v>6</v>
      </c>
      <c r="E382">
        <f t="shared" ca="1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1.9211920200000068E-7</v>
      </c>
      <c r="K382" s="1">
        <f t="shared" ca="1" si="100"/>
        <v>0</v>
      </c>
      <c r="L382" s="13">
        <f t="shared" ca="1" si="101"/>
        <v>189</v>
      </c>
      <c r="M382" s="7">
        <f t="shared" ca="1" si="102"/>
        <v>811</v>
      </c>
      <c r="N382" s="43">
        <f t="shared" ca="1" si="103"/>
        <v>7</v>
      </c>
      <c r="O382" s="92">
        <f t="shared" ca="1" si="104"/>
        <v>2.264588428134358</v>
      </c>
      <c r="P382" s="92">
        <f t="shared" ca="1" si="105"/>
        <v>22.645884281343584</v>
      </c>
      <c r="Q382" s="92">
        <f t="shared" ca="1" si="106"/>
        <v>22.645884281343584</v>
      </c>
      <c r="R382" s="92">
        <f t="shared" ca="1" si="107"/>
        <v>2.2645884281343585</v>
      </c>
      <c r="S382" s="92">
        <f t="shared" ca="1" si="108"/>
        <v>2.264588428134358</v>
      </c>
      <c r="T382" s="4">
        <f t="shared" ca="1" si="109"/>
        <v>0</v>
      </c>
      <c r="U382" s="99">
        <f t="shared" ca="1" si="110"/>
        <v>1546.2486983548911</v>
      </c>
      <c r="V382" s="4">
        <f t="shared" ca="1" si="111"/>
        <v>0</v>
      </c>
      <c r="W382" s="13">
        <f t="shared" ca="1" si="112"/>
        <v>16523.699737499999</v>
      </c>
      <c r="X382" s="4">
        <f t="shared" ca="1" si="113"/>
        <v>0</v>
      </c>
    </row>
    <row r="383" spans="1:24">
      <c r="A383">
        <v>2</v>
      </c>
      <c r="B383">
        <v>3</v>
      </c>
      <c r="C383">
        <f t="shared" ca="1" si="95"/>
        <v>8</v>
      </c>
      <c r="D383">
        <f t="shared" ca="1" si="96"/>
        <v>6</v>
      </c>
      <c r="E383">
        <f t="shared" ca="1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1.4554485000000069E-9</v>
      </c>
      <c r="K383" s="1">
        <f t="shared" ca="1" si="100"/>
        <v>0</v>
      </c>
      <c r="L383" s="13">
        <f t="shared" ca="1" si="101"/>
        <v>168</v>
      </c>
      <c r="M383" s="7">
        <f t="shared" ca="1" si="102"/>
        <v>832</v>
      </c>
      <c r="N383" s="43">
        <f t="shared" ca="1" si="103"/>
        <v>7</v>
      </c>
      <c r="O383" s="92">
        <f t="shared" ca="1" si="104"/>
        <v>2.264588428134358</v>
      </c>
      <c r="P383" s="92">
        <f t="shared" ca="1" si="105"/>
        <v>22.645884281343584</v>
      </c>
      <c r="Q383" s="92">
        <f t="shared" ca="1" si="106"/>
        <v>22.645884281343584</v>
      </c>
      <c r="R383" s="92">
        <f t="shared" ca="1" si="107"/>
        <v>2.2645884281343585</v>
      </c>
      <c r="S383" s="92">
        <f t="shared" ca="1" si="108"/>
        <v>2.264588428134358</v>
      </c>
      <c r="T383" s="4">
        <f t="shared" ca="1" si="109"/>
        <v>0</v>
      </c>
      <c r="U383" s="99">
        <f t="shared" ca="1" si="110"/>
        <v>1525.2486983548911</v>
      </c>
      <c r="V383" s="4">
        <f t="shared" ca="1" si="111"/>
        <v>0</v>
      </c>
      <c r="W383" s="13">
        <f t="shared" ca="1" si="112"/>
        <v>15171.562237499998</v>
      </c>
      <c r="X383" s="4">
        <f t="shared" ca="1" si="113"/>
        <v>0</v>
      </c>
    </row>
    <row r="384" spans="1:24">
      <c r="A384">
        <v>2</v>
      </c>
      <c r="B384">
        <v>3</v>
      </c>
      <c r="C384">
        <f t="shared" ca="1" si="95"/>
        <v>8</v>
      </c>
      <c r="D384">
        <f t="shared" ca="1" si="96"/>
        <v>6</v>
      </c>
      <c r="E384">
        <f t="shared" ca="1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5.8806000000000321E-12</v>
      </c>
      <c r="K384" s="1">
        <f t="shared" ca="1" si="100"/>
        <v>0</v>
      </c>
      <c r="L384" s="13">
        <f t="shared" ca="1" si="101"/>
        <v>147</v>
      </c>
      <c r="M384" s="7">
        <f t="shared" ca="1" si="102"/>
        <v>853</v>
      </c>
      <c r="N384" s="43">
        <f t="shared" ca="1" si="103"/>
        <v>7</v>
      </c>
      <c r="O384" s="92">
        <f t="shared" ca="1" si="104"/>
        <v>2.264588428134358</v>
      </c>
      <c r="P384" s="92">
        <f t="shared" ca="1" si="105"/>
        <v>22.645884281343584</v>
      </c>
      <c r="Q384" s="92">
        <f t="shared" ca="1" si="106"/>
        <v>22.645884281343584</v>
      </c>
      <c r="R384" s="92">
        <f t="shared" ca="1" si="107"/>
        <v>2.2645884281343585</v>
      </c>
      <c r="S384" s="92">
        <f t="shared" ca="1" si="108"/>
        <v>2.264588428134358</v>
      </c>
      <c r="T384" s="4">
        <f t="shared" ca="1" si="109"/>
        <v>0</v>
      </c>
      <c r="U384" s="99">
        <f t="shared" ca="1" si="110"/>
        <v>1504.2486983548911</v>
      </c>
      <c r="V384" s="4">
        <f t="shared" ca="1" si="111"/>
        <v>0</v>
      </c>
      <c r="W384" s="13">
        <f t="shared" ca="1" si="112"/>
        <v>13819.4247375</v>
      </c>
      <c r="X384" s="4">
        <f t="shared" ca="1" si="113"/>
        <v>0</v>
      </c>
    </row>
    <row r="385" spans="1:24">
      <c r="A385">
        <v>2</v>
      </c>
      <c r="B385">
        <v>3</v>
      </c>
      <c r="C385">
        <f t="shared" ca="1" si="95"/>
        <v>8</v>
      </c>
      <c r="D385">
        <f t="shared" ca="1" si="96"/>
        <v>6</v>
      </c>
      <c r="E385">
        <f t="shared" ca="1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9.9000000000000638E-15</v>
      </c>
      <c r="K385" s="1">
        <f t="shared" ca="1" si="100"/>
        <v>0</v>
      </c>
      <c r="L385" s="13">
        <f t="shared" ca="1" si="101"/>
        <v>126</v>
      </c>
      <c r="M385" s="7">
        <f t="shared" ca="1" si="102"/>
        <v>874</v>
      </c>
      <c r="N385" s="43">
        <f t="shared" ca="1" si="103"/>
        <v>7</v>
      </c>
      <c r="O385" s="92">
        <f t="shared" ca="1" si="104"/>
        <v>2.264588428134358</v>
      </c>
      <c r="P385" s="92">
        <f t="shared" ca="1" si="105"/>
        <v>22.645884281343584</v>
      </c>
      <c r="Q385" s="92">
        <f t="shared" ca="1" si="106"/>
        <v>22.645884281343584</v>
      </c>
      <c r="R385" s="92">
        <f t="shared" ca="1" si="107"/>
        <v>2.2645884281343585</v>
      </c>
      <c r="S385" s="92">
        <f t="shared" ca="1" si="108"/>
        <v>2.264588428134358</v>
      </c>
      <c r="T385" s="4">
        <f t="shared" ca="1" si="109"/>
        <v>0</v>
      </c>
      <c r="U385" s="99">
        <f t="shared" ca="1" si="110"/>
        <v>1483.2486983548911</v>
      </c>
      <c r="V385" s="4">
        <f t="shared" ca="1" si="111"/>
        <v>0</v>
      </c>
      <c r="W385" s="13">
        <f t="shared" ca="1" si="112"/>
        <v>12467.287237499999</v>
      </c>
      <c r="X385" s="4">
        <f t="shared" ca="1" si="113"/>
        <v>0</v>
      </c>
    </row>
    <row r="386" spans="1:24">
      <c r="A386">
        <v>2</v>
      </c>
      <c r="B386">
        <v>3</v>
      </c>
      <c r="C386">
        <f t="shared" ca="1" si="95"/>
        <v>8</v>
      </c>
      <c r="D386">
        <f t="shared" ca="1" si="96"/>
        <v>6</v>
      </c>
      <c r="E386">
        <f t="shared" ca="1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273</v>
      </c>
      <c r="M386" s="7">
        <f t="shared" ca="1" si="102"/>
        <v>727</v>
      </c>
      <c r="N386" s="43">
        <f t="shared" ca="1" si="103"/>
        <v>6</v>
      </c>
      <c r="O386" s="92">
        <f t="shared" ca="1" si="104"/>
        <v>2.003415856166523</v>
      </c>
      <c r="P386" s="92">
        <f t="shared" ca="1" si="105"/>
        <v>20.03415856166523</v>
      </c>
      <c r="Q386" s="92">
        <f t="shared" ca="1" si="106"/>
        <v>20.03415856166523</v>
      </c>
      <c r="R386" s="92">
        <f t="shared" ca="1" si="107"/>
        <v>2.003415856166523</v>
      </c>
      <c r="S386" s="92">
        <f t="shared" ca="1" si="108"/>
        <v>2.003415856166523</v>
      </c>
      <c r="T386" s="4">
        <f t="shared" ca="1" si="109"/>
        <v>0</v>
      </c>
      <c r="U386" s="99">
        <f t="shared" ca="1" si="110"/>
        <v>1502.0284794818213</v>
      </c>
      <c r="V386" s="4">
        <f t="shared" ca="1" si="111"/>
        <v>0</v>
      </c>
      <c r="W386" s="13">
        <f t="shared" ca="1" si="112"/>
        <v>10852.513124999999</v>
      </c>
      <c r="X386" s="4">
        <f t="shared" ca="1" si="113"/>
        <v>0</v>
      </c>
    </row>
    <row r="387" spans="1:24">
      <c r="A387">
        <v>2</v>
      </c>
      <c r="B387">
        <v>3</v>
      </c>
      <c r="C387">
        <f t="shared" ca="1" si="95"/>
        <v>8</v>
      </c>
      <c r="D387">
        <f t="shared" ca="1" si="96"/>
        <v>6</v>
      </c>
      <c r="E387">
        <f t="shared" ca="1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9.3206534790699087E-3</v>
      </c>
      <c r="K387" s="1">
        <f t="shared" ca="1" si="100"/>
        <v>0</v>
      </c>
      <c r="L387" s="13">
        <f t="shared" ca="1" si="101"/>
        <v>252</v>
      </c>
      <c r="M387" s="7">
        <f t="shared" ca="1" si="102"/>
        <v>748</v>
      </c>
      <c r="N387" s="43">
        <f t="shared" ca="1" si="103"/>
        <v>6</v>
      </c>
      <c r="O387" s="92">
        <f t="shared" ca="1" si="104"/>
        <v>2.003415856166523</v>
      </c>
      <c r="P387" s="92">
        <f t="shared" ca="1" si="105"/>
        <v>20.03415856166523</v>
      </c>
      <c r="Q387" s="92">
        <f t="shared" ca="1" si="106"/>
        <v>20.03415856166523</v>
      </c>
      <c r="R387" s="92">
        <f t="shared" ca="1" si="107"/>
        <v>2.003415856166523</v>
      </c>
      <c r="S387" s="92">
        <f t="shared" ca="1" si="108"/>
        <v>2.003415856166523</v>
      </c>
      <c r="T387" s="4">
        <f t="shared" ca="1" si="109"/>
        <v>0</v>
      </c>
      <c r="U387" s="99">
        <f t="shared" ca="1" si="110"/>
        <v>1481.0284794818213</v>
      </c>
      <c r="V387" s="4">
        <f t="shared" ca="1" si="111"/>
        <v>0</v>
      </c>
      <c r="W387" s="13">
        <f t="shared" ca="1" si="112"/>
        <v>9500.3756250000006</v>
      </c>
      <c r="X387" s="4">
        <f t="shared" ca="1" si="113"/>
        <v>0</v>
      </c>
    </row>
    <row r="388" spans="1:24">
      <c r="A388">
        <v>2</v>
      </c>
      <c r="B388">
        <v>3</v>
      </c>
      <c r="C388">
        <f t="shared" ca="1" si="95"/>
        <v>8</v>
      </c>
      <c r="D388">
        <f t="shared" ca="1" si="96"/>
        <v>6</v>
      </c>
      <c r="E388">
        <f t="shared" ca="1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5.6488808964060098E-4</v>
      </c>
      <c r="K388" s="1">
        <f t="shared" ca="1" si="100"/>
        <v>0</v>
      </c>
      <c r="L388" s="13">
        <f t="shared" ca="1" si="101"/>
        <v>231</v>
      </c>
      <c r="M388" s="7">
        <f t="shared" ca="1" si="102"/>
        <v>769</v>
      </c>
      <c r="N388" s="43">
        <f t="shared" ca="1" si="103"/>
        <v>6</v>
      </c>
      <c r="O388" s="92">
        <f t="shared" ca="1" si="104"/>
        <v>2.003415856166523</v>
      </c>
      <c r="P388" s="92">
        <f t="shared" ca="1" si="105"/>
        <v>20.03415856166523</v>
      </c>
      <c r="Q388" s="92">
        <f t="shared" ca="1" si="106"/>
        <v>20.03415856166523</v>
      </c>
      <c r="R388" s="92">
        <f t="shared" ca="1" si="107"/>
        <v>2.003415856166523</v>
      </c>
      <c r="S388" s="92">
        <f t="shared" ca="1" si="108"/>
        <v>2.003415856166523</v>
      </c>
      <c r="T388" s="4">
        <f t="shared" ca="1" si="109"/>
        <v>0</v>
      </c>
      <c r="U388" s="99">
        <f t="shared" ca="1" si="110"/>
        <v>1460.0284794818213</v>
      </c>
      <c r="V388" s="4">
        <f t="shared" ca="1" si="111"/>
        <v>0</v>
      </c>
      <c r="W388" s="13">
        <f t="shared" ca="1" si="112"/>
        <v>8148.2381249999999</v>
      </c>
      <c r="X388" s="4">
        <f t="shared" ca="1" si="113"/>
        <v>0</v>
      </c>
    </row>
    <row r="389" spans="1:24">
      <c r="A389">
        <v>2</v>
      </c>
      <c r="B389">
        <v>3</v>
      </c>
      <c r="C389">
        <f t="shared" ca="1" si="95"/>
        <v>8</v>
      </c>
      <c r="D389">
        <f t="shared" ca="1" si="96"/>
        <v>6</v>
      </c>
      <c r="E389">
        <f t="shared" ca="1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1.426485074850004E-5</v>
      </c>
      <c r="K389" s="1">
        <f t="shared" ca="1" si="100"/>
        <v>0</v>
      </c>
      <c r="L389" s="13">
        <f t="shared" ca="1" si="101"/>
        <v>210</v>
      </c>
      <c r="M389" s="7">
        <f t="shared" ca="1" si="102"/>
        <v>790</v>
      </c>
      <c r="N389" s="43">
        <f t="shared" ca="1" si="103"/>
        <v>7</v>
      </c>
      <c r="O389" s="92">
        <f t="shared" ca="1" si="104"/>
        <v>2.264588428134358</v>
      </c>
      <c r="P389" s="92">
        <f t="shared" ca="1" si="105"/>
        <v>22.645884281343584</v>
      </c>
      <c r="Q389" s="92">
        <f t="shared" ca="1" si="106"/>
        <v>21.340021421504403</v>
      </c>
      <c r="R389" s="92">
        <f t="shared" ca="1" si="107"/>
        <v>2.1992952851423992</v>
      </c>
      <c r="S389" s="92">
        <f t="shared" ca="1" si="108"/>
        <v>2.264588428134358</v>
      </c>
      <c r="T389" s="4">
        <f t="shared" ca="1" si="109"/>
        <v>0</v>
      </c>
      <c r="U389" s="99">
        <f t="shared" ca="1" si="110"/>
        <v>1567.2486983548911</v>
      </c>
      <c r="V389" s="4">
        <f t="shared" ca="1" si="111"/>
        <v>0</v>
      </c>
      <c r="W389" s="13">
        <f t="shared" ca="1" si="112"/>
        <v>6796.100625</v>
      </c>
      <c r="X389" s="4">
        <f t="shared" ca="1" si="113"/>
        <v>0</v>
      </c>
    </row>
    <row r="390" spans="1:24">
      <c r="A390">
        <v>2</v>
      </c>
      <c r="B390">
        <v>3</v>
      </c>
      <c r="C390">
        <f t="shared" ca="1" si="95"/>
        <v>8</v>
      </c>
      <c r="D390">
        <f t="shared" ca="1" si="96"/>
        <v>6</v>
      </c>
      <c r="E390">
        <f t="shared" ca="1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1.9211920200000068E-7</v>
      </c>
      <c r="K390" s="1">
        <f t="shared" ca="1" si="100"/>
        <v>0</v>
      </c>
      <c r="L390" s="13">
        <f t="shared" ca="1" si="101"/>
        <v>189</v>
      </c>
      <c r="M390" s="7">
        <f t="shared" ca="1" si="102"/>
        <v>811</v>
      </c>
      <c r="N390" s="43">
        <f t="shared" ca="1" si="103"/>
        <v>7</v>
      </c>
      <c r="O390" s="92">
        <f t="shared" ca="1" si="104"/>
        <v>2.264588428134358</v>
      </c>
      <c r="P390" s="92">
        <f t="shared" ca="1" si="105"/>
        <v>22.645884281343584</v>
      </c>
      <c r="Q390" s="92">
        <f t="shared" ca="1" si="106"/>
        <v>22.645884281343584</v>
      </c>
      <c r="R390" s="92">
        <f t="shared" ca="1" si="107"/>
        <v>2.2645884281343585</v>
      </c>
      <c r="S390" s="92">
        <f t="shared" ca="1" si="108"/>
        <v>2.264588428134358</v>
      </c>
      <c r="T390" s="4">
        <f t="shared" ca="1" si="109"/>
        <v>0</v>
      </c>
      <c r="U390" s="99">
        <f t="shared" ca="1" si="110"/>
        <v>1546.2486983548911</v>
      </c>
      <c r="V390" s="4">
        <f t="shared" ca="1" si="111"/>
        <v>0</v>
      </c>
      <c r="W390" s="13">
        <f t="shared" ca="1" si="112"/>
        <v>5443.9631250000002</v>
      </c>
      <c r="X390" s="4">
        <f t="shared" ca="1" si="113"/>
        <v>0</v>
      </c>
    </row>
    <row r="391" spans="1:24">
      <c r="A391">
        <v>2</v>
      </c>
      <c r="B391">
        <v>3</v>
      </c>
      <c r="C391">
        <f t="shared" ca="1" si="95"/>
        <v>8</v>
      </c>
      <c r="D391">
        <f t="shared" ca="1" si="96"/>
        <v>6</v>
      </c>
      <c r="E391">
        <f t="shared" ca="1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1.4554485000000069E-9</v>
      </c>
      <c r="K391" s="1">
        <f t="shared" ca="1" si="100"/>
        <v>0</v>
      </c>
      <c r="L391" s="13">
        <f t="shared" ca="1" si="101"/>
        <v>168</v>
      </c>
      <c r="M391" s="7">
        <f t="shared" ca="1" si="102"/>
        <v>832</v>
      </c>
      <c r="N391" s="43">
        <f t="shared" ca="1" si="103"/>
        <v>7</v>
      </c>
      <c r="O391" s="92">
        <f t="shared" ca="1" si="104"/>
        <v>2.264588428134358</v>
      </c>
      <c r="P391" s="92">
        <f t="shared" ca="1" si="105"/>
        <v>22.645884281343584</v>
      </c>
      <c r="Q391" s="92">
        <f t="shared" ca="1" si="106"/>
        <v>22.645884281343584</v>
      </c>
      <c r="R391" s="92">
        <f t="shared" ca="1" si="107"/>
        <v>2.2645884281343585</v>
      </c>
      <c r="S391" s="92">
        <f t="shared" ca="1" si="108"/>
        <v>2.264588428134358</v>
      </c>
      <c r="T391" s="4">
        <f t="shared" ca="1" si="109"/>
        <v>0</v>
      </c>
      <c r="U391" s="99">
        <f t="shared" ca="1" si="110"/>
        <v>1525.2486983548911</v>
      </c>
      <c r="V391" s="4">
        <f t="shared" ca="1" si="111"/>
        <v>0</v>
      </c>
      <c r="W391" s="13">
        <f t="shared" ca="1" si="112"/>
        <v>4091.8256249999999</v>
      </c>
      <c r="X391" s="4">
        <f t="shared" ca="1" si="113"/>
        <v>0</v>
      </c>
    </row>
    <row r="392" spans="1:24">
      <c r="A392">
        <v>2</v>
      </c>
      <c r="B392">
        <v>3</v>
      </c>
      <c r="C392">
        <f t="shared" ca="1" si="95"/>
        <v>8</v>
      </c>
      <c r="D392">
        <f t="shared" ca="1" si="96"/>
        <v>6</v>
      </c>
      <c r="E392">
        <f t="shared" ca="1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5.8806000000000321E-12</v>
      </c>
      <c r="K392" s="1">
        <f t="shared" ca="1" si="100"/>
        <v>0</v>
      </c>
      <c r="L392" s="13">
        <f t="shared" ca="1" si="101"/>
        <v>147</v>
      </c>
      <c r="M392" s="7">
        <f t="shared" ca="1" si="102"/>
        <v>853</v>
      </c>
      <c r="N392" s="43">
        <f t="shared" ca="1" si="103"/>
        <v>7</v>
      </c>
      <c r="O392" s="92">
        <f t="shared" ca="1" si="104"/>
        <v>2.264588428134358</v>
      </c>
      <c r="P392" s="92">
        <f t="shared" ca="1" si="105"/>
        <v>22.645884281343584</v>
      </c>
      <c r="Q392" s="92">
        <f t="shared" ca="1" si="106"/>
        <v>22.645884281343584</v>
      </c>
      <c r="R392" s="92">
        <f t="shared" ca="1" si="107"/>
        <v>2.2645884281343585</v>
      </c>
      <c r="S392" s="92">
        <f t="shared" ca="1" si="108"/>
        <v>2.264588428134358</v>
      </c>
      <c r="T392" s="4">
        <f t="shared" ca="1" si="109"/>
        <v>0</v>
      </c>
      <c r="U392" s="99">
        <f t="shared" ca="1" si="110"/>
        <v>1504.2486983548911</v>
      </c>
      <c r="V392" s="4">
        <f t="shared" ca="1" si="111"/>
        <v>0</v>
      </c>
      <c r="W392" s="13">
        <f t="shared" ca="1" si="112"/>
        <v>2739.6881249999997</v>
      </c>
      <c r="X392" s="4">
        <f t="shared" ca="1" si="113"/>
        <v>0</v>
      </c>
    </row>
    <row r="393" spans="1:24">
      <c r="A393">
        <v>2</v>
      </c>
      <c r="B393">
        <v>3</v>
      </c>
      <c r="C393">
        <f t="shared" ca="1" si="95"/>
        <v>8</v>
      </c>
      <c r="D393">
        <f t="shared" ca="1" si="96"/>
        <v>6</v>
      </c>
      <c r="E393">
        <f t="shared" ca="1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9.9000000000000638E-15</v>
      </c>
      <c r="K393" s="1">
        <f t="shared" ca="1" si="100"/>
        <v>0</v>
      </c>
      <c r="L393" s="13">
        <f t="shared" ca="1" si="101"/>
        <v>126</v>
      </c>
      <c r="M393" s="7">
        <f t="shared" ca="1" si="102"/>
        <v>874</v>
      </c>
      <c r="N393" s="43">
        <f t="shared" ca="1" si="103"/>
        <v>7</v>
      </c>
      <c r="O393" s="92">
        <f t="shared" ca="1" si="104"/>
        <v>2.264588428134358</v>
      </c>
      <c r="P393" s="92">
        <f t="shared" ca="1" si="105"/>
        <v>22.645884281343584</v>
      </c>
      <c r="Q393" s="92">
        <f t="shared" ca="1" si="106"/>
        <v>22.645884281343584</v>
      </c>
      <c r="R393" s="92">
        <f t="shared" ca="1" si="107"/>
        <v>2.2645884281343585</v>
      </c>
      <c r="S393" s="92">
        <f t="shared" ca="1" si="108"/>
        <v>2.264588428134358</v>
      </c>
      <c r="T393" s="4">
        <f t="shared" ca="1" si="109"/>
        <v>0</v>
      </c>
      <c r="U393" s="99">
        <f t="shared" ca="1" si="110"/>
        <v>1483.2486983548911</v>
      </c>
      <c r="V393" s="4">
        <f t="shared" ca="1" si="111"/>
        <v>0</v>
      </c>
      <c r="W393" s="13">
        <f t="shared" ca="1" si="112"/>
        <v>1387.5506249999999</v>
      </c>
      <c r="X393" s="4">
        <f t="shared" ca="1" si="113"/>
        <v>0</v>
      </c>
    </row>
    <row r="394" spans="1:24">
      <c r="A394">
        <v>2</v>
      </c>
      <c r="B394">
        <v>3</v>
      </c>
      <c r="C394">
        <f t="shared" ca="1" si="95"/>
        <v>8</v>
      </c>
      <c r="D394">
        <f t="shared" ca="1" si="96"/>
        <v>6</v>
      </c>
      <c r="E394">
        <f t="shared" ca="1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3">
        <f t="shared" ca="1" si="103"/>
        <v>7</v>
      </c>
      <c r="O394" s="92">
        <f t="shared" ca="1" si="104"/>
        <v>2.264588428134358</v>
      </c>
      <c r="P394" s="92">
        <f t="shared" ca="1" si="105"/>
        <v>22.645884281343584</v>
      </c>
      <c r="Q394" s="92">
        <f t="shared" ca="1" si="106"/>
        <v>22.645884281343584</v>
      </c>
      <c r="R394" s="92">
        <f t="shared" ca="1" si="107"/>
        <v>2.2645884281343585</v>
      </c>
      <c r="S394" s="92">
        <f t="shared" ca="1" si="108"/>
        <v>2.264588428134358</v>
      </c>
      <c r="T394" s="4">
        <f t="shared" ca="1" si="109"/>
        <v>0</v>
      </c>
      <c r="U394" s="99">
        <f t="shared" ca="1" si="110"/>
        <v>1504.2486983548911</v>
      </c>
      <c r="V394" s="4">
        <f t="shared" ca="1" si="111"/>
        <v>0</v>
      </c>
      <c r="W394" s="13">
        <f t="shared" ca="1" si="112"/>
        <v>9464.9624999999996</v>
      </c>
      <c r="X394" s="4">
        <f t="shared" ca="1" si="113"/>
        <v>0</v>
      </c>
    </row>
    <row r="395" spans="1:24">
      <c r="A395">
        <v>2</v>
      </c>
      <c r="B395">
        <v>3</v>
      </c>
      <c r="C395">
        <f t="shared" ca="1" si="95"/>
        <v>8</v>
      </c>
      <c r="D395">
        <f t="shared" ca="1" si="96"/>
        <v>6</v>
      </c>
      <c r="E395">
        <f t="shared" ca="1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9.4148014940100163E-5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3">
        <f t="shared" ca="1" si="103"/>
        <v>7</v>
      </c>
      <c r="O395" s="92">
        <f t="shared" ca="1" si="104"/>
        <v>2.264588428134358</v>
      </c>
      <c r="P395" s="92">
        <f t="shared" ca="1" si="105"/>
        <v>22.645884281343584</v>
      </c>
      <c r="Q395" s="92">
        <f t="shared" ca="1" si="106"/>
        <v>22.645884281343584</v>
      </c>
      <c r="R395" s="92">
        <f t="shared" ca="1" si="107"/>
        <v>2.2645884281343585</v>
      </c>
      <c r="S395" s="92">
        <f t="shared" ca="1" si="108"/>
        <v>2.264588428134358</v>
      </c>
      <c r="T395" s="4">
        <f t="shared" ca="1" si="109"/>
        <v>0</v>
      </c>
      <c r="U395" s="99">
        <f t="shared" ca="1" si="110"/>
        <v>1483.2486983548911</v>
      </c>
      <c r="V395" s="4">
        <f t="shared" ca="1" si="111"/>
        <v>0</v>
      </c>
      <c r="W395" s="13">
        <f t="shared" ca="1" si="112"/>
        <v>8112.8249999999998</v>
      </c>
      <c r="X395" s="4">
        <f t="shared" ca="1" si="113"/>
        <v>0</v>
      </c>
    </row>
    <row r="396" spans="1:24">
      <c r="A396">
        <v>2</v>
      </c>
      <c r="B396">
        <v>3</v>
      </c>
      <c r="C396">
        <f t="shared" ca="1" si="95"/>
        <v>8</v>
      </c>
      <c r="D396">
        <f t="shared" ca="1" si="96"/>
        <v>6</v>
      </c>
      <c r="E396">
        <f t="shared" ca="1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5.7059402994000143E-6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3">
        <f t="shared" ca="1" si="103"/>
        <v>7</v>
      </c>
      <c r="O396" s="92">
        <f t="shared" ca="1" si="104"/>
        <v>2.264588428134358</v>
      </c>
      <c r="P396" s="92">
        <f t="shared" ca="1" si="105"/>
        <v>22.645884281343584</v>
      </c>
      <c r="Q396" s="92">
        <f t="shared" ca="1" si="106"/>
        <v>22.645884281343584</v>
      </c>
      <c r="R396" s="92">
        <f t="shared" ca="1" si="107"/>
        <v>2.2645884281343585</v>
      </c>
      <c r="S396" s="92">
        <f t="shared" ca="1" si="108"/>
        <v>2.264588428134358</v>
      </c>
      <c r="T396" s="4">
        <f t="shared" ca="1" si="109"/>
        <v>0</v>
      </c>
      <c r="U396" s="99">
        <f t="shared" ca="1" si="110"/>
        <v>1462.2486983548911</v>
      </c>
      <c r="V396" s="4">
        <f t="shared" ca="1" si="111"/>
        <v>0</v>
      </c>
      <c r="W396" s="13">
        <f t="shared" ca="1" si="112"/>
        <v>6760.6875</v>
      </c>
      <c r="X396" s="4">
        <f t="shared" ca="1" si="113"/>
        <v>0</v>
      </c>
    </row>
    <row r="397" spans="1:24">
      <c r="A397">
        <v>2</v>
      </c>
      <c r="B397">
        <v>3</v>
      </c>
      <c r="C397">
        <f t="shared" ca="1" si="95"/>
        <v>8</v>
      </c>
      <c r="D397">
        <f t="shared" ca="1" si="96"/>
        <v>6</v>
      </c>
      <c r="E397">
        <f t="shared" ca="1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1.4408940150000052E-7</v>
      </c>
      <c r="K397" s="1">
        <f t="shared" ca="1" si="100"/>
        <v>0</v>
      </c>
      <c r="L397" s="13">
        <f t="shared" ca="1" si="101"/>
        <v>100</v>
      </c>
      <c r="M397" s="7">
        <f t="shared" ca="1" si="102"/>
        <v>900</v>
      </c>
      <c r="N397" s="43">
        <f t="shared" ca="1" si="103"/>
        <v>7</v>
      </c>
      <c r="O397" s="92">
        <f t="shared" ca="1" si="104"/>
        <v>2.264588428134358</v>
      </c>
      <c r="P397" s="92">
        <f t="shared" ca="1" si="105"/>
        <v>22.645884281343584</v>
      </c>
      <c r="Q397" s="92">
        <f t="shared" ca="1" si="106"/>
        <v>22.645884281343584</v>
      </c>
      <c r="R397" s="92">
        <f t="shared" ca="1" si="107"/>
        <v>2.2645884281343585</v>
      </c>
      <c r="S397" s="92">
        <f t="shared" ca="1" si="108"/>
        <v>2.264588428134358</v>
      </c>
      <c r="T397" s="4">
        <f t="shared" ca="1" si="109"/>
        <v>0</v>
      </c>
      <c r="U397" s="99">
        <f t="shared" ca="1" si="110"/>
        <v>1457.2486983548911</v>
      </c>
      <c r="V397" s="4">
        <f t="shared" ca="1" si="111"/>
        <v>0</v>
      </c>
      <c r="W397" s="13">
        <f t="shared" ca="1" si="112"/>
        <v>5408.55</v>
      </c>
      <c r="X397" s="4">
        <f t="shared" ca="1" si="113"/>
        <v>0</v>
      </c>
    </row>
    <row r="398" spans="1:24">
      <c r="A398">
        <v>2</v>
      </c>
      <c r="B398">
        <v>3</v>
      </c>
      <c r="C398">
        <f t="shared" ca="1" si="95"/>
        <v>8</v>
      </c>
      <c r="D398">
        <f t="shared" ca="1" si="96"/>
        <v>6</v>
      </c>
      <c r="E398">
        <f t="shared" ca="1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1.9405980000000086E-9</v>
      </c>
      <c r="K398" s="1">
        <f t="shared" ca="1" si="100"/>
        <v>0</v>
      </c>
      <c r="L398" s="13">
        <f t="shared" ca="1" si="101"/>
        <v>100</v>
      </c>
      <c r="M398" s="7">
        <f t="shared" ca="1" si="102"/>
        <v>900</v>
      </c>
      <c r="N398" s="43">
        <f t="shared" ca="1" si="103"/>
        <v>7</v>
      </c>
      <c r="O398" s="92">
        <f t="shared" ca="1" si="104"/>
        <v>2.264588428134358</v>
      </c>
      <c r="P398" s="92">
        <f t="shared" ca="1" si="105"/>
        <v>22.645884281343584</v>
      </c>
      <c r="Q398" s="92">
        <f t="shared" ca="1" si="106"/>
        <v>22.645884281343584</v>
      </c>
      <c r="R398" s="92">
        <f t="shared" ca="1" si="107"/>
        <v>2.2645884281343585</v>
      </c>
      <c r="S398" s="92">
        <f t="shared" ca="1" si="108"/>
        <v>2.264588428134358</v>
      </c>
      <c r="T398" s="4">
        <f t="shared" ca="1" si="109"/>
        <v>0</v>
      </c>
      <c r="U398" s="99">
        <f t="shared" ca="1" si="110"/>
        <v>1457.2486983548911</v>
      </c>
      <c r="V398" s="4">
        <f t="shared" ca="1" si="111"/>
        <v>0</v>
      </c>
      <c r="W398" s="13">
        <f t="shared" ca="1" si="112"/>
        <v>4056.4124999999999</v>
      </c>
      <c r="X398" s="4">
        <f t="shared" ca="1" si="113"/>
        <v>0</v>
      </c>
    </row>
    <row r="399" spans="1:24">
      <c r="A399">
        <v>2</v>
      </c>
      <c r="B399">
        <v>3</v>
      </c>
      <c r="C399">
        <f t="shared" ca="1" si="95"/>
        <v>8</v>
      </c>
      <c r="D399">
        <f t="shared" ca="1" si="96"/>
        <v>6</v>
      </c>
      <c r="E399">
        <f t="shared" ca="1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1.4701500000000082E-11</v>
      </c>
      <c r="K399" s="1">
        <f t="shared" ca="1" si="100"/>
        <v>0</v>
      </c>
      <c r="L399" s="13">
        <f t="shared" ca="1" si="101"/>
        <v>100</v>
      </c>
      <c r="M399" s="7">
        <f t="shared" ca="1" si="102"/>
        <v>900</v>
      </c>
      <c r="N399" s="43">
        <f t="shared" ca="1" si="103"/>
        <v>7</v>
      </c>
      <c r="O399" s="92">
        <f t="shared" ca="1" si="104"/>
        <v>2.264588428134358</v>
      </c>
      <c r="P399" s="92">
        <f t="shared" ca="1" si="105"/>
        <v>22.645884281343584</v>
      </c>
      <c r="Q399" s="92">
        <f t="shared" ca="1" si="106"/>
        <v>22.645884281343584</v>
      </c>
      <c r="R399" s="92">
        <f t="shared" ca="1" si="107"/>
        <v>2.2645884281343585</v>
      </c>
      <c r="S399" s="92">
        <f t="shared" ca="1" si="108"/>
        <v>2.264588428134358</v>
      </c>
      <c r="T399" s="4">
        <f t="shared" ca="1" si="109"/>
        <v>0</v>
      </c>
      <c r="U399" s="99">
        <f t="shared" ca="1" si="110"/>
        <v>1457.2486983548911</v>
      </c>
      <c r="V399" s="4">
        <f t="shared" ca="1" si="111"/>
        <v>0</v>
      </c>
      <c r="W399" s="13">
        <f t="shared" ca="1" si="112"/>
        <v>2704.2750000000001</v>
      </c>
      <c r="X399" s="4">
        <f t="shared" ca="1" si="113"/>
        <v>0</v>
      </c>
    </row>
    <row r="400" spans="1:24">
      <c r="A400">
        <v>2</v>
      </c>
      <c r="B400">
        <v>3</v>
      </c>
      <c r="C400">
        <f t="shared" ca="1" si="95"/>
        <v>8</v>
      </c>
      <c r="D400">
        <f t="shared" ca="1" si="96"/>
        <v>6</v>
      </c>
      <c r="E400">
        <f t="shared" ca="1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5.9400000000000383E-14</v>
      </c>
      <c r="K400" s="1">
        <f t="shared" ca="1" si="100"/>
        <v>0</v>
      </c>
      <c r="L400" s="13">
        <f t="shared" ca="1" si="101"/>
        <v>100</v>
      </c>
      <c r="M400" s="7">
        <f t="shared" ca="1" si="102"/>
        <v>900</v>
      </c>
      <c r="N400" s="43">
        <f t="shared" ca="1" si="103"/>
        <v>7</v>
      </c>
      <c r="O400" s="92">
        <f t="shared" ca="1" si="104"/>
        <v>2.264588428134358</v>
      </c>
      <c r="P400" s="92">
        <f t="shared" ca="1" si="105"/>
        <v>22.645884281343584</v>
      </c>
      <c r="Q400" s="92">
        <f t="shared" ca="1" si="106"/>
        <v>22.645884281343584</v>
      </c>
      <c r="R400" s="92">
        <f t="shared" ca="1" si="107"/>
        <v>2.2645884281343585</v>
      </c>
      <c r="S400" s="92">
        <f t="shared" ca="1" si="108"/>
        <v>2.264588428134358</v>
      </c>
      <c r="T400" s="4">
        <f t="shared" ca="1" si="109"/>
        <v>0</v>
      </c>
      <c r="U400" s="99">
        <f t="shared" ca="1" si="110"/>
        <v>1457.2486983548911</v>
      </c>
      <c r="V400" s="4">
        <f t="shared" ca="1" si="111"/>
        <v>0</v>
      </c>
      <c r="W400" s="13">
        <f t="shared" ca="1" si="112"/>
        <v>1352.1375</v>
      </c>
      <c r="X400" s="4">
        <f t="shared" ca="1" si="113"/>
        <v>0</v>
      </c>
    </row>
    <row r="401" spans="1:24">
      <c r="A401">
        <v>2</v>
      </c>
      <c r="B401">
        <v>3</v>
      </c>
      <c r="C401">
        <f t="shared" ca="1" si="95"/>
        <v>8</v>
      </c>
      <c r="D401">
        <f t="shared" ca="1" si="96"/>
        <v>6</v>
      </c>
      <c r="E401">
        <f t="shared" ca="1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1.0000000000000073E-16</v>
      </c>
      <c r="K401" s="1">
        <f t="shared" ca="1" si="100"/>
        <v>0</v>
      </c>
      <c r="L401" s="13">
        <f t="shared" ca="1" si="101"/>
        <v>100</v>
      </c>
      <c r="M401" s="7">
        <f t="shared" ca="1" si="102"/>
        <v>900</v>
      </c>
      <c r="N401" s="43">
        <f t="shared" ca="1" si="103"/>
        <v>7</v>
      </c>
      <c r="O401" s="92">
        <f t="shared" ca="1" si="104"/>
        <v>2.264588428134358</v>
      </c>
      <c r="P401" s="92">
        <f t="shared" ca="1" si="105"/>
        <v>22.645884281343584</v>
      </c>
      <c r="Q401" s="92">
        <f t="shared" ca="1" si="106"/>
        <v>22.645884281343584</v>
      </c>
      <c r="R401" s="92">
        <f t="shared" ca="1" si="107"/>
        <v>2.2645884281343585</v>
      </c>
      <c r="S401" s="92">
        <f t="shared" ca="1" si="108"/>
        <v>2.264588428134358</v>
      </c>
      <c r="T401" s="4">
        <f t="shared" ca="1" si="109"/>
        <v>0</v>
      </c>
      <c r="U401" s="99">
        <f t="shared" ca="1" si="110"/>
        <v>1457.2486983548911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</row>
    <row r="402" spans="1:24">
      <c r="A402">
        <v>3</v>
      </c>
      <c r="B402">
        <v>0</v>
      </c>
      <c r="C402">
        <f t="shared" ref="C402:C465" ca="1" si="114">MIN(8, 1+$B$10+$B$9+A402+B402)</f>
        <v>6</v>
      </c>
      <c r="D402">
        <f t="shared" ref="D402:D465" ca="1" si="115">C402-(1+$B$10)</f>
        <v>4</v>
      </c>
      <c r="E402">
        <f t="shared" ref="E402:E465" ca="1" si="116">MIN(A402, C402-(1+$B$10+$B$9))</f>
        <v>3</v>
      </c>
      <c r="F402" s="100">
        <f t="shared" ref="F402:F465" ca="1" si="117">IF(A402=3, $E$5, IF(A402=2, (1-$E$5)*$E$4 + (1-$E$5)*(1-$E$4)*(1-$E$3)*Set1AM3*Set1AM33, IF(A402=1, (1-$E$5)*(1-$E$4)*$E$3 + (1-$E$5)*(1-$E$4)*(1-$E$3)*Set1AM3*Set1AM32, (1-$E$5)*(1-$E$4)*(1-$E$3)*(1-Set1AM3)))) * IF($B$9+$B$10&gt;0, IF(B402=3, $E$5, IF(B402=2, (1-$E$5)*$E$4, IF(B402=1, (1-$E$5)*(1-$E$4)*$E$3, (1-$E$5)*(1-$E$4)*(1-$E$3)))), IF(B402=0, 1, 0))</f>
        <v>0</v>
      </c>
      <c r="G402">
        <v>1</v>
      </c>
      <c r="H402">
        <v>1</v>
      </c>
      <c r="I402">
        <v>7</v>
      </c>
      <c r="J402" s="1">
        <f t="shared" ref="J402:J465" ca="1" si="118">IF($B$8&lt;100%, POWER($B$8,G402)*POWER(1-$B$8, 1-G402), 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399</v>
      </c>
      <c r="M402" s="7">
        <f t="shared" ref="M402:M465" ca="1" si="121">MAX(Set1MinTP-(L402+Set1Regain), 0)</f>
        <v>601</v>
      </c>
      <c r="N402" s="43">
        <f t="shared" ref="N402:N465" ca="1" si="122">CEILING(M402/Set1MeleeTP, 1)</f>
        <v>5</v>
      </c>
      <c r="O402" s="92">
        <f t="shared" ref="O402:O465" ca="1" si="123">VLOOKUP(N402,AvgRoundsSet1,2)</f>
        <v>1.7627004516625842</v>
      </c>
      <c r="P402" s="92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17.627004516625838</v>
      </c>
      <c r="Q402" s="92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17.627004516625838</v>
      </c>
      <c r="R402" s="92">
        <f t="shared" ref="R402:R465" ca="1" si="126">(P402+Q402)/20</f>
        <v>1.7627004516625839</v>
      </c>
      <c r="S402" s="92">
        <f t="shared" ref="S402:S465" ca="1" si="127">R402*Set1ConserveTP + O402*(1-Set1ConserveTP)</f>
        <v>1.7627004516625842</v>
      </c>
      <c r="T402" s="4">
        <f t="shared" ref="T402:T465" ca="1" si="128">K402*S402</f>
        <v>0</v>
      </c>
      <c r="U402" s="99">
        <f t="shared" ref="U402:U465" ca="1" si="129">MIN(L402+(S402+Set1OverTP)*AvgHitsPerRound1*Set1MeleeTP + Set1Regain + 10.5*Set1ConserveTP, 3000)</f>
        <v>1509.8515146533105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23319.800362499998</v>
      </c>
      <c r="X402" s="4">
        <f t="shared" ref="X402:X465" ca="1" si="132">K402*W402</f>
        <v>0</v>
      </c>
    </row>
    <row r="403" spans="1:24">
      <c r="A403">
        <v>3</v>
      </c>
      <c r="B403">
        <v>0</v>
      </c>
      <c r="C403">
        <f t="shared" ca="1" si="114"/>
        <v>6</v>
      </c>
      <c r="D403">
        <f t="shared" ca="1" si="115"/>
        <v>4</v>
      </c>
      <c r="E403">
        <f t="shared" ca="1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378</v>
      </c>
      <c r="M403" s="7">
        <f t="shared" ca="1" si="121"/>
        <v>622</v>
      </c>
      <c r="N403" s="43">
        <f t="shared" ca="1" si="122"/>
        <v>5</v>
      </c>
      <c r="O403" s="92">
        <f t="shared" ca="1" si="123"/>
        <v>1.7627004516625842</v>
      </c>
      <c r="P403" s="92">
        <f t="shared" ca="1" si="124"/>
        <v>17.627004516625838</v>
      </c>
      <c r="Q403" s="92">
        <f t="shared" ca="1" si="125"/>
        <v>17.627004516625838</v>
      </c>
      <c r="R403" s="92">
        <f t="shared" ca="1" si="126"/>
        <v>1.7627004516625839</v>
      </c>
      <c r="S403" s="92">
        <f t="shared" ca="1" si="127"/>
        <v>1.7627004516625842</v>
      </c>
      <c r="T403" s="4">
        <f t="shared" ca="1" si="128"/>
        <v>0</v>
      </c>
      <c r="U403" s="99">
        <f t="shared" ca="1" si="129"/>
        <v>1488.8515146533105</v>
      </c>
      <c r="V403" s="4">
        <f t="shared" ca="1" si="130"/>
        <v>0</v>
      </c>
      <c r="W403" s="13">
        <f t="shared" ca="1" si="131"/>
        <v>21967.662862499998</v>
      </c>
      <c r="X403" s="4">
        <f t="shared" ca="1" si="132"/>
        <v>0</v>
      </c>
    </row>
    <row r="404" spans="1:24">
      <c r="A404">
        <v>3</v>
      </c>
      <c r="B404">
        <v>0</v>
      </c>
      <c r="C404">
        <f t="shared" ca="1" si="114"/>
        <v>6</v>
      </c>
      <c r="D404">
        <f t="shared" ca="1" si="115"/>
        <v>4</v>
      </c>
      <c r="E404">
        <f t="shared" ca="1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357</v>
      </c>
      <c r="M404" s="7">
        <f t="shared" ca="1" si="121"/>
        <v>643</v>
      </c>
      <c r="N404" s="43">
        <f t="shared" ca="1" si="122"/>
        <v>5</v>
      </c>
      <c r="O404" s="92">
        <f t="shared" ca="1" si="123"/>
        <v>1.7627004516625842</v>
      </c>
      <c r="P404" s="92">
        <f t="shared" ca="1" si="124"/>
        <v>17.627004516625838</v>
      </c>
      <c r="Q404" s="92">
        <f t="shared" ca="1" si="125"/>
        <v>17.627004516625838</v>
      </c>
      <c r="R404" s="92">
        <f t="shared" ca="1" si="126"/>
        <v>1.7627004516625839</v>
      </c>
      <c r="S404" s="92">
        <f t="shared" ca="1" si="127"/>
        <v>1.7627004516625842</v>
      </c>
      <c r="T404" s="4">
        <f t="shared" ca="1" si="128"/>
        <v>0</v>
      </c>
      <c r="U404" s="99">
        <f t="shared" ca="1" si="129"/>
        <v>1467.8515146533105</v>
      </c>
      <c r="V404" s="4">
        <f t="shared" ca="1" si="130"/>
        <v>0</v>
      </c>
      <c r="W404" s="13">
        <f t="shared" ca="1" si="131"/>
        <v>20615.525362499997</v>
      </c>
      <c r="X404" s="4">
        <f t="shared" ca="1" si="132"/>
        <v>0</v>
      </c>
    </row>
    <row r="405" spans="1:24">
      <c r="A405">
        <v>3</v>
      </c>
      <c r="B405">
        <v>0</v>
      </c>
      <c r="C405">
        <f t="shared" ca="1" si="114"/>
        <v>6</v>
      </c>
      <c r="D405">
        <f t="shared" ca="1" si="115"/>
        <v>4</v>
      </c>
      <c r="E405">
        <f t="shared" ca="1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0.94148014940099989</v>
      </c>
      <c r="K405" s="1">
        <f t="shared" ca="1" si="119"/>
        <v>0</v>
      </c>
      <c r="L405" s="13">
        <f t="shared" ca="1" si="120"/>
        <v>336</v>
      </c>
      <c r="M405" s="7">
        <f t="shared" ca="1" si="121"/>
        <v>664</v>
      </c>
      <c r="N405" s="43">
        <f t="shared" ca="1" si="122"/>
        <v>6</v>
      </c>
      <c r="O405" s="92">
        <f t="shared" ca="1" si="123"/>
        <v>2.003415856166523</v>
      </c>
      <c r="P405" s="92">
        <f t="shared" ca="1" si="124"/>
        <v>20.03415856166523</v>
      </c>
      <c r="Q405" s="92">
        <f t="shared" ca="1" si="125"/>
        <v>19.552727752657354</v>
      </c>
      <c r="R405" s="92">
        <f t="shared" ca="1" si="126"/>
        <v>1.9793443157161292</v>
      </c>
      <c r="S405" s="92">
        <f t="shared" ca="1" si="127"/>
        <v>2.003415856166523</v>
      </c>
      <c r="T405" s="4">
        <f t="shared" ca="1" si="128"/>
        <v>0</v>
      </c>
      <c r="U405" s="99">
        <f t="shared" ca="1" si="129"/>
        <v>1565.0284794818213</v>
      </c>
      <c r="V405" s="4">
        <f t="shared" ca="1" si="130"/>
        <v>0</v>
      </c>
      <c r="W405" s="13">
        <f t="shared" ca="1" si="131"/>
        <v>19263.3878625</v>
      </c>
      <c r="X405" s="4">
        <f t="shared" ca="1" si="132"/>
        <v>0</v>
      </c>
    </row>
    <row r="406" spans="1:24">
      <c r="A406">
        <v>3</v>
      </c>
      <c r="B406">
        <v>0</v>
      </c>
      <c r="C406">
        <f t="shared" ca="1" si="114"/>
        <v>6</v>
      </c>
      <c r="D406">
        <f t="shared" ca="1" si="115"/>
        <v>4</v>
      </c>
      <c r="E406">
        <f t="shared" ca="1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3.8039601996000032E-2</v>
      </c>
      <c r="K406" s="1">
        <f t="shared" ca="1" si="119"/>
        <v>0</v>
      </c>
      <c r="L406" s="13">
        <f t="shared" ca="1" si="120"/>
        <v>315</v>
      </c>
      <c r="M406" s="7">
        <f t="shared" ca="1" si="121"/>
        <v>685</v>
      </c>
      <c r="N406" s="43">
        <f t="shared" ca="1" si="122"/>
        <v>6</v>
      </c>
      <c r="O406" s="92">
        <f t="shared" ca="1" si="123"/>
        <v>2.003415856166523</v>
      </c>
      <c r="P406" s="92">
        <f t="shared" ca="1" si="124"/>
        <v>20.03415856166523</v>
      </c>
      <c r="Q406" s="92">
        <f t="shared" ca="1" si="125"/>
        <v>20.03415856166523</v>
      </c>
      <c r="R406" s="92">
        <f t="shared" ca="1" si="126"/>
        <v>2.003415856166523</v>
      </c>
      <c r="S406" s="92">
        <f t="shared" ca="1" si="127"/>
        <v>2.003415856166523</v>
      </c>
      <c r="T406" s="4">
        <f t="shared" ca="1" si="128"/>
        <v>0</v>
      </c>
      <c r="U406" s="99">
        <f t="shared" ca="1" si="129"/>
        <v>1544.0284794818213</v>
      </c>
      <c r="V406" s="4">
        <f t="shared" ca="1" si="130"/>
        <v>0</v>
      </c>
      <c r="W406" s="13">
        <f t="shared" ca="1" si="131"/>
        <v>17911.250362499999</v>
      </c>
      <c r="X406" s="4">
        <f t="shared" ca="1" si="132"/>
        <v>0</v>
      </c>
    </row>
    <row r="407" spans="1:24">
      <c r="A407">
        <v>3</v>
      </c>
      <c r="B407">
        <v>0</v>
      </c>
      <c r="C407">
        <f t="shared" ca="1" si="114"/>
        <v>6</v>
      </c>
      <c r="D407">
        <f t="shared" ca="1" si="115"/>
        <v>4</v>
      </c>
      <c r="E407">
        <f t="shared" ca="1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5.7635760600000105E-4</v>
      </c>
      <c r="K407" s="1">
        <f t="shared" ca="1" si="119"/>
        <v>0</v>
      </c>
      <c r="L407" s="13">
        <f t="shared" ca="1" si="120"/>
        <v>294</v>
      </c>
      <c r="M407" s="7">
        <f t="shared" ca="1" si="121"/>
        <v>706</v>
      </c>
      <c r="N407" s="43">
        <f t="shared" ca="1" si="122"/>
        <v>6</v>
      </c>
      <c r="O407" s="92">
        <f t="shared" ca="1" si="123"/>
        <v>2.003415856166523</v>
      </c>
      <c r="P407" s="92">
        <f t="shared" ca="1" si="124"/>
        <v>20.03415856166523</v>
      </c>
      <c r="Q407" s="92">
        <f t="shared" ca="1" si="125"/>
        <v>20.03415856166523</v>
      </c>
      <c r="R407" s="92">
        <f t="shared" ca="1" si="126"/>
        <v>2.003415856166523</v>
      </c>
      <c r="S407" s="92">
        <f t="shared" ca="1" si="127"/>
        <v>2.003415856166523</v>
      </c>
      <c r="T407" s="4">
        <f t="shared" ca="1" si="128"/>
        <v>0</v>
      </c>
      <c r="U407" s="99">
        <f t="shared" ca="1" si="129"/>
        <v>1523.0284794818213</v>
      </c>
      <c r="V407" s="4">
        <f t="shared" ca="1" si="130"/>
        <v>0</v>
      </c>
      <c r="W407" s="13">
        <f t="shared" ca="1" si="131"/>
        <v>16559.112862499998</v>
      </c>
      <c r="X407" s="4">
        <f t="shared" ca="1" si="132"/>
        <v>0</v>
      </c>
    </row>
    <row r="408" spans="1:24">
      <c r="A408">
        <v>3</v>
      </c>
      <c r="B408">
        <v>0</v>
      </c>
      <c r="C408">
        <f t="shared" ca="1" si="114"/>
        <v>6</v>
      </c>
      <c r="D408">
        <f t="shared" ca="1" si="115"/>
        <v>4</v>
      </c>
      <c r="E408">
        <f t="shared" ca="1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3.8811960000000103E-6</v>
      </c>
      <c r="K408" s="1">
        <f t="shared" ca="1" si="119"/>
        <v>0</v>
      </c>
      <c r="L408" s="13">
        <f t="shared" ca="1" si="120"/>
        <v>273</v>
      </c>
      <c r="M408" s="7">
        <f t="shared" ca="1" si="121"/>
        <v>727</v>
      </c>
      <c r="N408" s="43">
        <f t="shared" ca="1" si="122"/>
        <v>6</v>
      </c>
      <c r="O408" s="92">
        <f t="shared" ca="1" si="123"/>
        <v>2.003415856166523</v>
      </c>
      <c r="P408" s="92">
        <f t="shared" ca="1" si="124"/>
        <v>20.03415856166523</v>
      </c>
      <c r="Q408" s="92">
        <f t="shared" ca="1" si="125"/>
        <v>20.03415856166523</v>
      </c>
      <c r="R408" s="92">
        <f t="shared" ca="1" si="126"/>
        <v>2.003415856166523</v>
      </c>
      <c r="S408" s="92">
        <f t="shared" ca="1" si="127"/>
        <v>2.003415856166523</v>
      </c>
      <c r="T408" s="4">
        <f t="shared" ca="1" si="128"/>
        <v>0</v>
      </c>
      <c r="U408" s="99">
        <f t="shared" ca="1" si="129"/>
        <v>1502.0284794818213</v>
      </c>
      <c r="V408" s="4">
        <f t="shared" ca="1" si="130"/>
        <v>0</v>
      </c>
      <c r="W408" s="13">
        <f t="shared" ca="1" si="131"/>
        <v>15206.975362499999</v>
      </c>
      <c r="X408" s="4">
        <f t="shared" ca="1" si="132"/>
        <v>0</v>
      </c>
    </row>
    <row r="409" spans="1:24">
      <c r="A409">
        <v>3</v>
      </c>
      <c r="B409">
        <v>0</v>
      </c>
      <c r="C409">
        <f t="shared" ca="1" si="114"/>
        <v>6</v>
      </c>
      <c r="D409">
        <f t="shared" ca="1" si="115"/>
        <v>4</v>
      </c>
      <c r="E409">
        <f t="shared" ca="1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9.8010000000000359E-9</v>
      </c>
      <c r="K409" s="1">
        <f t="shared" ca="1" si="119"/>
        <v>0</v>
      </c>
      <c r="L409" s="13">
        <f t="shared" ca="1" si="120"/>
        <v>252</v>
      </c>
      <c r="M409" s="7">
        <f t="shared" ca="1" si="121"/>
        <v>748</v>
      </c>
      <c r="N409" s="43">
        <f t="shared" ca="1" si="122"/>
        <v>6</v>
      </c>
      <c r="O409" s="92">
        <f t="shared" ca="1" si="123"/>
        <v>2.003415856166523</v>
      </c>
      <c r="P409" s="92">
        <f t="shared" ca="1" si="124"/>
        <v>20.03415856166523</v>
      </c>
      <c r="Q409" s="92">
        <f t="shared" ca="1" si="125"/>
        <v>20.03415856166523</v>
      </c>
      <c r="R409" s="92">
        <f t="shared" ca="1" si="126"/>
        <v>2.003415856166523</v>
      </c>
      <c r="S409" s="92">
        <f t="shared" ca="1" si="127"/>
        <v>2.003415856166523</v>
      </c>
      <c r="T409" s="4">
        <f t="shared" ca="1" si="128"/>
        <v>0</v>
      </c>
      <c r="U409" s="99">
        <f t="shared" ca="1" si="129"/>
        <v>1481.0284794818213</v>
      </c>
      <c r="V409" s="4">
        <f t="shared" ca="1" si="130"/>
        <v>0</v>
      </c>
      <c r="W409" s="13">
        <f t="shared" ca="1" si="131"/>
        <v>13854.837862499999</v>
      </c>
      <c r="X409" s="4">
        <f t="shared" ca="1" si="132"/>
        <v>0</v>
      </c>
    </row>
    <row r="410" spans="1:24">
      <c r="A410">
        <v>3</v>
      </c>
      <c r="B410">
        <v>0</v>
      </c>
      <c r="C410">
        <f t="shared" ca="1" si="114"/>
        <v>6</v>
      </c>
      <c r="D410">
        <f t="shared" ca="1" si="115"/>
        <v>4</v>
      </c>
      <c r="E410">
        <f t="shared" ca="1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273</v>
      </c>
      <c r="M410" s="7">
        <f t="shared" ca="1" si="121"/>
        <v>727</v>
      </c>
      <c r="N410" s="43">
        <f t="shared" ca="1" si="122"/>
        <v>6</v>
      </c>
      <c r="O410" s="92">
        <f t="shared" ca="1" si="123"/>
        <v>2.003415856166523</v>
      </c>
      <c r="P410" s="92">
        <f t="shared" ca="1" si="124"/>
        <v>20.03415856166523</v>
      </c>
      <c r="Q410" s="92">
        <f t="shared" ca="1" si="125"/>
        <v>20.03415856166523</v>
      </c>
      <c r="R410" s="92">
        <f t="shared" ca="1" si="126"/>
        <v>2.003415856166523</v>
      </c>
      <c r="S410" s="92">
        <f t="shared" ca="1" si="127"/>
        <v>2.003415856166523</v>
      </c>
      <c r="T410" s="4">
        <f t="shared" ca="1" si="128"/>
        <v>0</v>
      </c>
      <c r="U410" s="99">
        <f t="shared" ca="1" si="129"/>
        <v>1502.0284794818213</v>
      </c>
      <c r="V410" s="4">
        <f t="shared" ca="1" si="130"/>
        <v>0</v>
      </c>
      <c r="W410" s="13">
        <f t="shared" ca="1" si="131"/>
        <v>21932.249737499998</v>
      </c>
      <c r="X410" s="4">
        <f t="shared" ca="1" si="132"/>
        <v>0</v>
      </c>
    </row>
    <row r="411" spans="1:24">
      <c r="A411">
        <v>3</v>
      </c>
      <c r="B411">
        <v>0</v>
      </c>
      <c r="C411">
        <f t="shared" ca="1" si="114"/>
        <v>6</v>
      </c>
      <c r="D411">
        <f t="shared" ca="1" si="115"/>
        <v>4</v>
      </c>
      <c r="E411">
        <f t="shared" ca="1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252</v>
      </c>
      <c r="M411" s="7">
        <f t="shared" ca="1" si="121"/>
        <v>748</v>
      </c>
      <c r="N411" s="43">
        <f t="shared" ca="1" si="122"/>
        <v>6</v>
      </c>
      <c r="O411" s="92">
        <f t="shared" ca="1" si="123"/>
        <v>2.003415856166523</v>
      </c>
      <c r="P411" s="92">
        <f t="shared" ca="1" si="124"/>
        <v>20.03415856166523</v>
      </c>
      <c r="Q411" s="92">
        <f t="shared" ca="1" si="125"/>
        <v>20.03415856166523</v>
      </c>
      <c r="R411" s="92">
        <f t="shared" ca="1" si="126"/>
        <v>2.003415856166523</v>
      </c>
      <c r="S411" s="92">
        <f t="shared" ca="1" si="127"/>
        <v>2.003415856166523</v>
      </c>
      <c r="T411" s="4">
        <f t="shared" ca="1" si="128"/>
        <v>0</v>
      </c>
      <c r="U411" s="99">
        <f t="shared" ca="1" si="129"/>
        <v>1481.0284794818213</v>
      </c>
      <c r="V411" s="4">
        <f t="shared" ca="1" si="130"/>
        <v>0</v>
      </c>
      <c r="W411" s="13">
        <f t="shared" ca="1" si="131"/>
        <v>20580.112237499998</v>
      </c>
      <c r="X411" s="4">
        <f t="shared" ca="1" si="132"/>
        <v>0</v>
      </c>
    </row>
    <row r="412" spans="1:24">
      <c r="A412">
        <v>3</v>
      </c>
      <c r="B412">
        <v>0</v>
      </c>
      <c r="C412">
        <f t="shared" ca="1" si="114"/>
        <v>6</v>
      </c>
      <c r="D412">
        <f t="shared" ca="1" si="115"/>
        <v>4</v>
      </c>
      <c r="E412">
        <f t="shared" ca="1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231</v>
      </c>
      <c r="M412" s="7">
        <f t="shared" ca="1" si="121"/>
        <v>769</v>
      </c>
      <c r="N412" s="43">
        <f t="shared" ca="1" si="122"/>
        <v>6</v>
      </c>
      <c r="O412" s="92">
        <f t="shared" ca="1" si="123"/>
        <v>2.003415856166523</v>
      </c>
      <c r="P412" s="92">
        <f t="shared" ca="1" si="124"/>
        <v>20.03415856166523</v>
      </c>
      <c r="Q412" s="92">
        <f t="shared" ca="1" si="125"/>
        <v>20.03415856166523</v>
      </c>
      <c r="R412" s="92">
        <f t="shared" ca="1" si="126"/>
        <v>2.003415856166523</v>
      </c>
      <c r="S412" s="92">
        <f t="shared" ca="1" si="127"/>
        <v>2.003415856166523</v>
      </c>
      <c r="T412" s="4">
        <f t="shared" ca="1" si="128"/>
        <v>0</v>
      </c>
      <c r="U412" s="99">
        <f t="shared" ca="1" si="129"/>
        <v>1460.0284794818213</v>
      </c>
      <c r="V412" s="4">
        <f t="shared" ca="1" si="130"/>
        <v>0</v>
      </c>
      <c r="W412" s="13">
        <f t="shared" ca="1" si="131"/>
        <v>19227.974737500001</v>
      </c>
      <c r="X412" s="4">
        <f t="shared" ca="1" si="132"/>
        <v>0</v>
      </c>
    </row>
    <row r="413" spans="1:24">
      <c r="A413">
        <v>3</v>
      </c>
      <c r="B413">
        <v>0</v>
      </c>
      <c r="C413">
        <f t="shared" ca="1" si="114"/>
        <v>6</v>
      </c>
      <c r="D413">
        <f t="shared" ca="1" si="115"/>
        <v>4</v>
      </c>
      <c r="E413">
        <f t="shared" ca="1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9.5099004990000079E-3</v>
      </c>
      <c r="K413" s="1">
        <f t="shared" ca="1" si="119"/>
        <v>0</v>
      </c>
      <c r="L413" s="13">
        <f t="shared" ca="1" si="120"/>
        <v>210</v>
      </c>
      <c r="M413" s="7">
        <f t="shared" ca="1" si="121"/>
        <v>790</v>
      </c>
      <c r="N413" s="43">
        <f t="shared" ca="1" si="122"/>
        <v>7</v>
      </c>
      <c r="O413" s="92">
        <f t="shared" ca="1" si="123"/>
        <v>2.264588428134358</v>
      </c>
      <c r="P413" s="92">
        <f t="shared" ca="1" si="124"/>
        <v>22.645884281343584</v>
      </c>
      <c r="Q413" s="92">
        <f t="shared" ca="1" si="125"/>
        <v>21.340021421504403</v>
      </c>
      <c r="R413" s="92">
        <f t="shared" ca="1" si="126"/>
        <v>2.1992952851423992</v>
      </c>
      <c r="S413" s="92">
        <f t="shared" ca="1" si="127"/>
        <v>2.264588428134358</v>
      </c>
      <c r="T413" s="4">
        <f t="shared" ca="1" si="128"/>
        <v>0</v>
      </c>
      <c r="U413" s="99">
        <f t="shared" ca="1" si="129"/>
        <v>1567.2486983548911</v>
      </c>
      <c r="V413" s="4">
        <f t="shared" ca="1" si="130"/>
        <v>0</v>
      </c>
      <c r="W413" s="13">
        <f t="shared" ca="1" si="131"/>
        <v>17875.8372375</v>
      </c>
      <c r="X413" s="4">
        <f t="shared" ca="1" si="132"/>
        <v>0</v>
      </c>
    </row>
    <row r="414" spans="1:24">
      <c r="A414">
        <v>3</v>
      </c>
      <c r="B414">
        <v>0</v>
      </c>
      <c r="C414">
        <f t="shared" ca="1" si="114"/>
        <v>6</v>
      </c>
      <c r="D414">
        <f t="shared" ca="1" si="115"/>
        <v>4</v>
      </c>
      <c r="E414">
        <f t="shared" ca="1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3.8423840400000073E-4</v>
      </c>
      <c r="K414" s="1">
        <f t="shared" ca="1" si="119"/>
        <v>0</v>
      </c>
      <c r="L414" s="13">
        <f t="shared" ca="1" si="120"/>
        <v>189</v>
      </c>
      <c r="M414" s="7">
        <f t="shared" ca="1" si="121"/>
        <v>811</v>
      </c>
      <c r="N414" s="43">
        <f t="shared" ca="1" si="122"/>
        <v>7</v>
      </c>
      <c r="O414" s="92">
        <f t="shared" ca="1" si="123"/>
        <v>2.264588428134358</v>
      </c>
      <c r="P414" s="92">
        <f t="shared" ca="1" si="124"/>
        <v>22.645884281343584</v>
      </c>
      <c r="Q414" s="92">
        <f t="shared" ca="1" si="125"/>
        <v>22.645884281343584</v>
      </c>
      <c r="R414" s="92">
        <f t="shared" ca="1" si="126"/>
        <v>2.2645884281343585</v>
      </c>
      <c r="S414" s="92">
        <f t="shared" ca="1" si="127"/>
        <v>2.264588428134358</v>
      </c>
      <c r="T414" s="4">
        <f t="shared" ca="1" si="128"/>
        <v>0</v>
      </c>
      <c r="U414" s="99">
        <f t="shared" ca="1" si="129"/>
        <v>1546.2486983548911</v>
      </c>
      <c r="V414" s="4">
        <f t="shared" ca="1" si="130"/>
        <v>0</v>
      </c>
      <c r="W414" s="13">
        <f t="shared" ca="1" si="131"/>
        <v>16523.699737499999</v>
      </c>
      <c r="X414" s="4">
        <f t="shared" ca="1" si="132"/>
        <v>0</v>
      </c>
    </row>
    <row r="415" spans="1:24">
      <c r="A415">
        <v>3</v>
      </c>
      <c r="B415">
        <v>0</v>
      </c>
      <c r="C415">
        <f t="shared" ca="1" si="114"/>
        <v>6</v>
      </c>
      <c r="D415">
        <f t="shared" ca="1" si="115"/>
        <v>4</v>
      </c>
      <c r="E415">
        <f t="shared" ca="1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5.8217940000000154E-6</v>
      </c>
      <c r="K415" s="1">
        <f t="shared" ca="1" si="119"/>
        <v>0</v>
      </c>
      <c r="L415" s="13">
        <f t="shared" ca="1" si="120"/>
        <v>168</v>
      </c>
      <c r="M415" s="7">
        <f t="shared" ca="1" si="121"/>
        <v>832</v>
      </c>
      <c r="N415" s="43">
        <f t="shared" ca="1" si="122"/>
        <v>7</v>
      </c>
      <c r="O415" s="92">
        <f t="shared" ca="1" si="123"/>
        <v>2.264588428134358</v>
      </c>
      <c r="P415" s="92">
        <f t="shared" ca="1" si="124"/>
        <v>22.645884281343584</v>
      </c>
      <c r="Q415" s="92">
        <f t="shared" ca="1" si="125"/>
        <v>22.645884281343584</v>
      </c>
      <c r="R415" s="92">
        <f t="shared" ca="1" si="126"/>
        <v>2.2645884281343585</v>
      </c>
      <c r="S415" s="92">
        <f t="shared" ca="1" si="127"/>
        <v>2.264588428134358</v>
      </c>
      <c r="T415" s="4">
        <f t="shared" ca="1" si="128"/>
        <v>0</v>
      </c>
      <c r="U415" s="99">
        <f t="shared" ca="1" si="129"/>
        <v>1525.2486983548911</v>
      </c>
      <c r="V415" s="4">
        <f t="shared" ca="1" si="130"/>
        <v>0</v>
      </c>
      <c r="W415" s="13">
        <f t="shared" ca="1" si="131"/>
        <v>15171.562237499998</v>
      </c>
      <c r="X415" s="4">
        <f t="shared" ca="1" si="132"/>
        <v>0</v>
      </c>
    </row>
    <row r="416" spans="1:24">
      <c r="A416">
        <v>3</v>
      </c>
      <c r="B416">
        <v>0</v>
      </c>
      <c r="C416">
        <f t="shared" ca="1" si="114"/>
        <v>6</v>
      </c>
      <c r="D416">
        <f t="shared" ca="1" si="115"/>
        <v>4</v>
      </c>
      <c r="E416">
        <f t="shared" ca="1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3.9204000000000137E-8</v>
      </c>
      <c r="K416" s="1">
        <f t="shared" ca="1" si="119"/>
        <v>0</v>
      </c>
      <c r="L416" s="13">
        <f t="shared" ca="1" si="120"/>
        <v>147</v>
      </c>
      <c r="M416" s="7">
        <f t="shared" ca="1" si="121"/>
        <v>853</v>
      </c>
      <c r="N416" s="43">
        <f t="shared" ca="1" si="122"/>
        <v>7</v>
      </c>
      <c r="O416" s="92">
        <f t="shared" ca="1" si="123"/>
        <v>2.264588428134358</v>
      </c>
      <c r="P416" s="92">
        <f t="shared" ca="1" si="124"/>
        <v>22.645884281343584</v>
      </c>
      <c r="Q416" s="92">
        <f t="shared" ca="1" si="125"/>
        <v>22.645884281343584</v>
      </c>
      <c r="R416" s="92">
        <f t="shared" ca="1" si="126"/>
        <v>2.2645884281343585</v>
      </c>
      <c r="S416" s="92">
        <f t="shared" ca="1" si="127"/>
        <v>2.264588428134358</v>
      </c>
      <c r="T416" s="4">
        <f t="shared" ca="1" si="128"/>
        <v>0</v>
      </c>
      <c r="U416" s="99">
        <f t="shared" ca="1" si="129"/>
        <v>1504.2486983548911</v>
      </c>
      <c r="V416" s="4">
        <f t="shared" ca="1" si="130"/>
        <v>0</v>
      </c>
      <c r="W416" s="13">
        <f t="shared" ca="1" si="131"/>
        <v>13819.4247375</v>
      </c>
      <c r="X416" s="4">
        <f t="shared" ca="1" si="132"/>
        <v>0</v>
      </c>
    </row>
    <row r="417" spans="1:24">
      <c r="A417">
        <v>3</v>
      </c>
      <c r="B417">
        <v>0</v>
      </c>
      <c r="C417">
        <f t="shared" ca="1" si="114"/>
        <v>6</v>
      </c>
      <c r="D417">
        <f t="shared" ca="1" si="115"/>
        <v>4</v>
      </c>
      <c r="E417">
        <f t="shared" ca="1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9.9000000000000459E-11</v>
      </c>
      <c r="K417" s="1">
        <f t="shared" ca="1" si="119"/>
        <v>0</v>
      </c>
      <c r="L417" s="13">
        <f t="shared" ca="1" si="120"/>
        <v>126</v>
      </c>
      <c r="M417" s="7">
        <f t="shared" ca="1" si="121"/>
        <v>874</v>
      </c>
      <c r="N417" s="43">
        <f t="shared" ca="1" si="122"/>
        <v>7</v>
      </c>
      <c r="O417" s="92">
        <f t="shared" ca="1" si="123"/>
        <v>2.264588428134358</v>
      </c>
      <c r="P417" s="92">
        <f t="shared" ca="1" si="124"/>
        <v>22.645884281343584</v>
      </c>
      <c r="Q417" s="92">
        <f t="shared" ca="1" si="125"/>
        <v>22.645884281343584</v>
      </c>
      <c r="R417" s="92">
        <f t="shared" ca="1" si="126"/>
        <v>2.2645884281343585</v>
      </c>
      <c r="S417" s="92">
        <f t="shared" ca="1" si="127"/>
        <v>2.264588428134358</v>
      </c>
      <c r="T417" s="4">
        <f t="shared" ca="1" si="128"/>
        <v>0</v>
      </c>
      <c r="U417" s="99">
        <f t="shared" ca="1" si="129"/>
        <v>1483.2486983548911</v>
      </c>
      <c r="V417" s="4">
        <f t="shared" ca="1" si="130"/>
        <v>0</v>
      </c>
      <c r="W417" s="13">
        <f t="shared" ca="1" si="131"/>
        <v>12467.287237499999</v>
      </c>
      <c r="X417" s="4">
        <f t="shared" ca="1" si="132"/>
        <v>0</v>
      </c>
    </row>
    <row r="418" spans="1:24">
      <c r="A418">
        <v>3</v>
      </c>
      <c r="B418">
        <v>0</v>
      </c>
      <c r="C418">
        <f t="shared" ca="1" si="114"/>
        <v>6</v>
      </c>
      <c r="D418">
        <f t="shared" ca="1" si="115"/>
        <v>4</v>
      </c>
      <c r="E418">
        <f t="shared" ca="1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273</v>
      </c>
      <c r="M418" s="7">
        <f t="shared" ca="1" si="121"/>
        <v>727</v>
      </c>
      <c r="N418" s="43">
        <f t="shared" ca="1" si="122"/>
        <v>6</v>
      </c>
      <c r="O418" s="92">
        <f t="shared" ca="1" si="123"/>
        <v>2.003415856166523</v>
      </c>
      <c r="P418" s="92">
        <f t="shared" ca="1" si="124"/>
        <v>20.03415856166523</v>
      </c>
      <c r="Q418" s="92">
        <f t="shared" ca="1" si="125"/>
        <v>20.03415856166523</v>
      </c>
      <c r="R418" s="92">
        <f t="shared" ca="1" si="126"/>
        <v>2.003415856166523</v>
      </c>
      <c r="S418" s="92">
        <f t="shared" ca="1" si="127"/>
        <v>2.003415856166523</v>
      </c>
      <c r="T418" s="4">
        <f t="shared" ca="1" si="128"/>
        <v>0</v>
      </c>
      <c r="U418" s="99">
        <f t="shared" ca="1" si="129"/>
        <v>1502.0284794818213</v>
      </c>
      <c r="V418" s="4">
        <f t="shared" ca="1" si="130"/>
        <v>0</v>
      </c>
      <c r="W418" s="13">
        <f t="shared" ca="1" si="131"/>
        <v>10852.513124999999</v>
      </c>
      <c r="X418" s="4">
        <f t="shared" ca="1" si="132"/>
        <v>0</v>
      </c>
    </row>
    <row r="419" spans="1:24">
      <c r="A419">
        <v>3</v>
      </c>
      <c r="B419">
        <v>0</v>
      </c>
      <c r="C419">
        <f t="shared" ca="1" si="114"/>
        <v>6</v>
      </c>
      <c r="D419">
        <f t="shared" ca="1" si="115"/>
        <v>4</v>
      </c>
      <c r="E419">
        <f t="shared" ca="1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252</v>
      </c>
      <c r="M419" s="7">
        <f t="shared" ca="1" si="121"/>
        <v>748</v>
      </c>
      <c r="N419" s="43">
        <f t="shared" ca="1" si="122"/>
        <v>6</v>
      </c>
      <c r="O419" s="92">
        <f t="shared" ca="1" si="123"/>
        <v>2.003415856166523</v>
      </c>
      <c r="P419" s="92">
        <f t="shared" ca="1" si="124"/>
        <v>20.03415856166523</v>
      </c>
      <c r="Q419" s="92">
        <f t="shared" ca="1" si="125"/>
        <v>20.03415856166523</v>
      </c>
      <c r="R419" s="92">
        <f t="shared" ca="1" si="126"/>
        <v>2.003415856166523</v>
      </c>
      <c r="S419" s="92">
        <f t="shared" ca="1" si="127"/>
        <v>2.003415856166523</v>
      </c>
      <c r="T419" s="4">
        <f t="shared" ca="1" si="128"/>
        <v>0</v>
      </c>
      <c r="U419" s="99">
        <f t="shared" ca="1" si="129"/>
        <v>1481.0284794818213</v>
      </c>
      <c r="V419" s="4">
        <f t="shared" ca="1" si="130"/>
        <v>0</v>
      </c>
      <c r="W419" s="13">
        <f t="shared" ca="1" si="131"/>
        <v>9500.3756250000006</v>
      </c>
      <c r="X419" s="4">
        <f t="shared" ca="1" si="132"/>
        <v>0</v>
      </c>
    </row>
    <row r="420" spans="1:24">
      <c r="A420">
        <v>3</v>
      </c>
      <c r="B420">
        <v>0</v>
      </c>
      <c r="C420">
        <f t="shared" ca="1" si="114"/>
        <v>6</v>
      </c>
      <c r="D420">
        <f t="shared" ca="1" si="115"/>
        <v>4</v>
      </c>
      <c r="E420">
        <f t="shared" ca="1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231</v>
      </c>
      <c r="M420" s="7">
        <f t="shared" ca="1" si="121"/>
        <v>769</v>
      </c>
      <c r="N420" s="43">
        <f t="shared" ca="1" si="122"/>
        <v>6</v>
      </c>
      <c r="O420" s="92">
        <f t="shared" ca="1" si="123"/>
        <v>2.003415856166523</v>
      </c>
      <c r="P420" s="92">
        <f t="shared" ca="1" si="124"/>
        <v>20.03415856166523</v>
      </c>
      <c r="Q420" s="92">
        <f t="shared" ca="1" si="125"/>
        <v>20.03415856166523</v>
      </c>
      <c r="R420" s="92">
        <f t="shared" ca="1" si="126"/>
        <v>2.003415856166523</v>
      </c>
      <c r="S420" s="92">
        <f t="shared" ca="1" si="127"/>
        <v>2.003415856166523</v>
      </c>
      <c r="T420" s="4">
        <f t="shared" ca="1" si="128"/>
        <v>0</v>
      </c>
      <c r="U420" s="99">
        <f t="shared" ca="1" si="129"/>
        <v>1460.0284794818213</v>
      </c>
      <c r="V420" s="4">
        <f t="shared" ca="1" si="130"/>
        <v>0</v>
      </c>
      <c r="W420" s="13">
        <f t="shared" ca="1" si="131"/>
        <v>8148.2381249999999</v>
      </c>
      <c r="X420" s="4">
        <f t="shared" ca="1" si="132"/>
        <v>0</v>
      </c>
    </row>
    <row r="421" spans="1:24">
      <c r="A421">
        <v>3</v>
      </c>
      <c r="B421">
        <v>0</v>
      </c>
      <c r="C421">
        <f t="shared" ca="1" si="114"/>
        <v>6</v>
      </c>
      <c r="D421">
        <f t="shared" ca="1" si="115"/>
        <v>4</v>
      </c>
      <c r="E421">
        <f t="shared" ca="1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9.5099004990000079E-3</v>
      </c>
      <c r="K421" s="1">
        <f t="shared" ca="1" si="119"/>
        <v>0</v>
      </c>
      <c r="L421" s="13">
        <f t="shared" ca="1" si="120"/>
        <v>210</v>
      </c>
      <c r="M421" s="7">
        <f t="shared" ca="1" si="121"/>
        <v>790</v>
      </c>
      <c r="N421" s="43">
        <f t="shared" ca="1" si="122"/>
        <v>7</v>
      </c>
      <c r="O421" s="92">
        <f t="shared" ca="1" si="123"/>
        <v>2.264588428134358</v>
      </c>
      <c r="P421" s="92">
        <f t="shared" ca="1" si="124"/>
        <v>22.645884281343584</v>
      </c>
      <c r="Q421" s="92">
        <f t="shared" ca="1" si="125"/>
        <v>21.340021421504403</v>
      </c>
      <c r="R421" s="92">
        <f t="shared" ca="1" si="126"/>
        <v>2.1992952851423992</v>
      </c>
      <c r="S421" s="92">
        <f t="shared" ca="1" si="127"/>
        <v>2.264588428134358</v>
      </c>
      <c r="T421" s="4">
        <f t="shared" ca="1" si="128"/>
        <v>0</v>
      </c>
      <c r="U421" s="99">
        <f t="shared" ca="1" si="129"/>
        <v>1567.2486983548911</v>
      </c>
      <c r="V421" s="4">
        <f t="shared" ca="1" si="130"/>
        <v>0</v>
      </c>
      <c r="W421" s="13">
        <f t="shared" ca="1" si="131"/>
        <v>6796.100625</v>
      </c>
      <c r="X421" s="4">
        <f t="shared" ca="1" si="132"/>
        <v>0</v>
      </c>
    </row>
    <row r="422" spans="1:24">
      <c r="A422">
        <v>3</v>
      </c>
      <c r="B422">
        <v>0</v>
      </c>
      <c r="C422">
        <f t="shared" ca="1" si="114"/>
        <v>6</v>
      </c>
      <c r="D422">
        <f t="shared" ca="1" si="115"/>
        <v>4</v>
      </c>
      <c r="E422">
        <f t="shared" ca="1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3.8423840400000073E-4</v>
      </c>
      <c r="K422" s="1">
        <f t="shared" ca="1" si="119"/>
        <v>0</v>
      </c>
      <c r="L422" s="13">
        <f t="shared" ca="1" si="120"/>
        <v>189</v>
      </c>
      <c r="M422" s="7">
        <f t="shared" ca="1" si="121"/>
        <v>811</v>
      </c>
      <c r="N422" s="43">
        <f t="shared" ca="1" si="122"/>
        <v>7</v>
      </c>
      <c r="O422" s="92">
        <f t="shared" ca="1" si="123"/>
        <v>2.264588428134358</v>
      </c>
      <c r="P422" s="92">
        <f t="shared" ca="1" si="124"/>
        <v>22.645884281343584</v>
      </c>
      <c r="Q422" s="92">
        <f t="shared" ca="1" si="125"/>
        <v>22.645884281343584</v>
      </c>
      <c r="R422" s="92">
        <f t="shared" ca="1" si="126"/>
        <v>2.2645884281343585</v>
      </c>
      <c r="S422" s="92">
        <f t="shared" ca="1" si="127"/>
        <v>2.264588428134358</v>
      </c>
      <c r="T422" s="4">
        <f t="shared" ca="1" si="128"/>
        <v>0</v>
      </c>
      <c r="U422" s="99">
        <f t="shared" ca="1" si="129"/>
        <v>1546.2486983548911</v>
      </c>
      <c r="V422" s="4">
        <f t="shared" ca="1" si="130"/>
        <v>0</v>
      </c>
      <c r="W422" s="13">
        <f t="shared" ca="1" si="131"/>
        <v>5443.9631250000002</v>
      </c>
      <c r="X422" s="4">
        <f t="shared" ca="1" si="132"/>
        <v>0</v>
      </c>
    </row>
    <row r="423" spans="1:24">
      <c r="A423">
        <v>3</v>
      </c>
      <c r="B423">
        <v>0</v>
      </c>
      <c r="C423">
        <f t="shared" ca="1" si="114"/>
        <v>6</v>
      </c>
      <c r="D423">
        <f t="shared" ca="1" si="115"/>
        <v>4</v>
      </c>
      <c r="E423">
        <f t="shared" ca="1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5.8217940000000154E-6</v>
      </c>
      <c r="K423" s="1">
        <f t="shared" ca="1" si="119"/>
        <v>0</v>
      </c>
      <c r="L423" s="13">
        <f t="shared" ca="1" si="120"/>
        <v>168</v>
      </c>
      <c r="M423" s="7">
        <f t="shared" ca="1" si="121"/>
        <v>832</v>
      </c>
      <c r="N423" s="43">
        <f t="shared" ca="1" si="122"/>
        <v>7</v>
      </c>
      <c r="O423" s="92">
        <f t="shared" ca="1" si="123"/>
        <v>2.264588428134358</v>
      </c>
      <c r="P423" s="92">
        <f t="shared" ca="1" si="124"/>
        <v>22.645884281343584</v>
      </c>
      <c r="Q423" s="92">
        <f t="shared" ca="1" si="125"/>
        <v>22.645884281343584</v>
      </c>
      <c r="R423" s="92">
        <f t="shared" ca="1" si="126"/>
        <v>2.2645884281343585</v>
      </c>
      <c r="S423" s="92">
        <f t="shared" ca="1" si="127"/>
        <v>2.264588428134358</v>
      </c>
      <c r="T423" s="4">
        <f t="shared" ca="1" si="128"/>
        <v>0</v>
      </c>
      <c r="U423" s="99">
        <f t="shared" ca="1" si="129"/>
        <v>1525.2486983548911</v>
      </c>
      <c r="V423" s="4">
        <f t="shared" ca="1" si="130"/>
        <v>0</v>
      </c>
      <c r="W423" s="13">
        <f t="shared" ca="1" si="131"/>
        <v>4091.8256249999999</v>
      </c>
      <c r="X423" s="4">
        <f t="shared" ca="1" si="132"/>
        <v>0</v>
      </c>
    </row>
    <row r="424" spans="1:24">
      <c r="A424">
        <v>3</v>
      </c>
      <c r="B424">
        <v>0</v>
      </c>
      <c r="C424">
        <f t="shared" ca="1" si="114"/>
        <v>6</v>
      </c>
      <c r="D424">
        <f t="shared" ca="1" si="115"/>
        <v>4</v>
      </c>
      <c r="E424">
        <f t="shared" ca="1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3.9204000000000137E-8</v>
      </c>
      <c r="K424" s="1">
        <f t="shared" ca="1" si="119"/>
        <v>0</v>
      </c>
      <c r="L424" s="13">
        <f t="shared" ca="1" si="120"/>
        <v>147</v>
      </c>
      <c r="M424" s="7">
        <f t="shared" ca="1" si="121"/>
        <v>853</v>
      </c>
      <c r="N424" s="43">
        <f t="shared" ca="1" si="122"/>
        <v>7</v>
      </c>
      <c r="O424" s="92">
        <f t="shared" ca="1" si="123"/>
        <v>2.264588428134358</v>
      </c>
      <c r="P424" s="92">
        <f t="shared" ca="1" si="124"/>
        <v>22.645884281343584</v>
      </c>
      <c r="Q424" s="92">
        <f t="shared" ca="1" si="125"/>
        <v>22.645884281343584</v>
      </c>
      <c r="R424" s="92">
        <f t="shared" ca="1" si="126"/>
        <v>2.2645884281343585</v>
      </c>
      <c r="S424" s="92">
        <f t="shared" ca="1" si="127"/>
        <v>2.264588428134358</v>
      </c>
      <c r="T424" s="4">
        <f t="shared" ca="1" si="128"/>
        <v>0</v>
      </c>
      <c r="U424" s="99">
        <f t="shared" ca="1" si="129"/>
        <v>1504.2486983548911</v>
      </c>
      <c r="V424" s="4">
        <f t="shared" ca="1" si="130"/>
        <v>0</v>
      </c>
      <c r="W424" s="13">
        <f t="shared" ca="1" si="131"/>
        <v>2739.6881249999997</v>
      </c>
      <c r="X424" s="4">
        <f t="shared" ca="1" si="132"/>
        <v>0</v>
      </c>
    </row>
    <row r="425" spans="1:24">
      <c r="A425">
        <v>3</v>
      </c>
      <c r="B425">
        <v>0</v>
      </c>
      <c r="C425">
        <f t="shared" ca="1" si="114"/>
        <v>6</v>
      </c>
      <c r="D425">
        <f t="shared" ca="1" si="115"/>
        <v>4</v>
      </c>
      <c r="E425">
        <f t="shared" ca="1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9.9000000000000459E-11</v>
      </c>
      <c r="K425" s="1">
        <f t="shared" ca="1" si="119"/>
        <v>0</v>
      </c>
      <c r="L425" s="13">
        <f t="shared" ca="1" si="120"/>
        <v>126</v>
      </c>
      <c r="M425" s="7">
        <f t="shared" ca="1" si="121"/>
        <v>874</v>
      </c>
      <c r="N425" s="43">
        <f t="shared" ca="1" si="122"/>
        <v>7</v>
      </c>
      <c r="O425" s="92">
        <f t="shared" ca="1" si="123"/>
        <v>2.264588428134358</v>
      </c>
      <c r="P425" s="92">
        <f t="shared" ca="1" si="124"/>
        <v>22.645884281343584</v>
      </c>
      <c r="Q425" s="92">
        <f t="shared" ca="1" si="125"/>
        <v>22.645884281343584</v>
      </c>
      <c r="R425" s="92">
        <f t="shared" ca="1" si="126"/>
        <v>2.2645884281343585</v>
      </c>
      <c r="S425" s="92">
        <f t="shared" ca="1" si="127"/>
        <v>2.264588428134358</v>
      </c>
      <c r="T425" s="4">
        <f t="shared" ca="1" si="128"/>
        <v>0</v>
      </c>
      <c r="U425" s="99">
        <f t="shared" ca="1" si="129"/>
        <v>1483.2486983548911</v>
      </c>
      <c r="V425" s="4">
        <f t="shared" ca="1" si="130"/>
        <v>0</v>
      </c>
      <c r="W425" s="13">
        <f t="shared" ca="1" si="131"/>
        <v>1387.5506249999999</v>
      </c>
      <c r="X425" s="4">
        <f t="shared" ca="1" si="132"/>
        <v>0</v>
      </c>
    </row>
    <row r="426" spans="1:24">
      <c r="A426">
        <v>3</v>
      </c>
      <c r="B426">
        <v>0</v>
      </c>
      <c r="C426">
        <f t="shared" ca="1" si="114"/>
        <v>6</v>
      </c>
      <c r="D426">
        <f t="shared" ca="1" si="115"/>
        <v>4</v>
      </c>
      <c r="E426">
        <f t="shared" ca="1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3">
        <f t="shared" ca="1" si="122"/>
        <v>7</v>
      </c>
      <c r="O426" s="92">
        <f t="shared" ca="1" si="123"/>
        <v>2.264588428134358</v>
      </c>
      <c r="P426" s="92">
        <f t="shared" ca="1" si="124"/>
        <v>22.645884281343584</v>
      </c>
      <c r="Q426" s="92">
        <f t="shared" ca="1" si="125"/>
        <v>22.645884281343584</v>
      </c>
      <c r="R426" s="92">
        <f t="shared" ca="1" si="126"/>
        <v>2.2645884281343585</v>
      </c>
      <c r="S426" s="92">
        <f t="shared" ca="1" si="127"/>
        <v>2.264588428134358</v>
      </c>
      <c r="T426" s="4">
        <f t="shared" ca="1" si="128"/>
        <v>0</v>
      </c>
      <c r="U426" s="99">
        <f t="shared" ca="1" si="129"/>
        <v>1504.2486983548911</v>
      </c>
      <c r="V426" s="4">
        <f t="shared" ca="1" si="130"/>
        <v>0</v>
      </c>
      <c r="W426" s="13">
        <f t="shared" ca="1" si="131"/>
        <v>9464.9624999999996</v>
      </c>
      <c r="X426" s="4">
        <f t="shared" ca="1" si="132"/>
        <v>0</v>
      </c>
    </row>
    <row r="427" spans="1:24">
      <c r="A427">
        <v>3</v>
      </c>
      <c r="B427">
        <v>0</v>
      </c>
      <c r="C427">
        <f t="shared" ca="1" si="114"/>
        <v>6</v>
      </c>
      <c r="D427">
        <f t="shared" ca="1" si="115"/>
        <v>4</v>
      </c>
      <c r="E427">
        <f t="shared" ca="1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3">
        <f t="shared" ca="1" si="122"/>
        <v>7</v>
      </c>
      <c r="O427" s="92">
        <f t="shared" ca="1" si="123"/>
        <v>2.264588428134358</v>
      </c>
      <c r="P427" s="92">
        <f t="shared" ca="1" si="124"/>
        <v>22.645884281343584</v>
      </c>
      <c r="Q427" s="92">
        <f t="shared" ca="1" si="125"/>
        <v>22.645884281343584</v>
      </c>
      <c r="R427" s="92">
        <f t="shared" ca="1" si="126"/>
        <v>2.2645884281343585</v>
      </c>
      <c r="S427" s="92">
        <f t="shared" ca="1" si="127"/>
        <v>2.264588428134358</v>
      </c>
      <c r="T427" s="4">
        <f t="shared" ca="1" si="128"/>
        <v>0</v>
      </c>
      <c r="U427" s="99">
        <f t="shared" ca="1" si="129"/>
        <v>1483.2486983548911</v>
      </c>
      <c r="V427" s="4">
        <f t="shared" ca="1" si="130"/>
        <v>0</v>
      </c>
      <c r="W427" s="13">
        <f t="shared" ca="1" si="131"/>
        <v>8112.8249999999998</v>
      </c>
      <c r="X427" s="4">
        <f t="shared" ca="1" si="132"/>
        <v>0</v>
      </c>
    </row>
    <row r="428" spans="1:24">
      <c r="A428">
        <v>3</v>
      </c>
      <c r="B428">
        <v>0</v>
      </c>
      <c r="C428">
        <f t="shared" ca="1" si="114"/>
        <v>6</v>
      </c>
      <c r="D428">
        <f t="shared" ca="1" si="115"/>
        <v>4</v>
      </c>
      <c r="E428">
        <f t="shared" ca="1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3">
        <f t="shared" ca="1" si="122"/>
        <v>7</v>
      </c>
      <c r="O428" s="92">
        <f t="shared" ca="1" si="123"/>
        <v>2.264588428134358</v>
      </c>
      <c r="P428" s="92">
        <f t="shared" ca="1" si="124"/>
        <v>22.645884281343584</v>
      </c>
      <c r="Q428" s="92">
        <f t="shared" ca="1" si="125"/>
        <v>22.645884281343584</v>
      </c>
      <c r="R428" s="92">
        <f t="shared" ca="1" si="126"/>
        <v>2.2645884281343585</v>
      </c>
      <c r="S428" s="92">
        <f t="shared" ca="1" si="127"/>
        <v>2.264588428134358</v>
      </c>
      <c r="T428" s="4">
        <f t="shared" ca="1" si="128"/>
        <v>0</v>
      </c>
      <c r="U428" s="99">
        <f t="shared" ca="1" si="129"/>
        <v>1462.2486983548911</v>
      </c>
      <c r="V428" s="4">
        <f t="shared" ca="1" si="130"/>
        <v>0</v>
      </c>
      <c r="W428" s="13">
        <f t="shared" ca="1" si="131"/>
        <v>6760.6875</v>
      </c>
      <c r="X428" s="4">
        <f t="shared" ca="1" si="132"/>
        <v>0</v>
      </c>
    </row>
    <row r="429" spans="1:24">
      <c r="A429">
        <v>3</v>
      </c>
      <c r="B429">
        <v>0</v>
      </c>
      <c r="C429">
        <f t="shared" ca="1" si="114"/>
        <v>6</v>
      </c>
      <c r="D429">
        <f t="shared" ca="1" si="115"/>
        <v>4</v>
      </c>
      <c r="E429">
        <f t="shared" ca="1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9.605960100000017E-5</v>
      </c>
      <c r="K429" s="1">
        <f t="shared" ca="1" si="119"/>
        <v>0</v>
      </c>
      <c r="L429" s="13">
        <f t="shared" ca="1" si="120"/>
        <v>100</v>
      </c>
      <c r="M429" s="7">
        <f t="shared" ca="1" si="121"/>
        <v>900</v>
      </c>
      <c r="N429" s="43">
        <f t="shared" ca="1" si="122"/>
        <v>7</v>
      </c>
      <c r="O429" s="92">
        <f t="shared" ca="1" si="123"/>
        <v>2.264588428134358</v>
      </c>
      <c r="P429" s="92">
        <f t="shared" ca="1" si="124"/>
        <v>22.645884281343584</v>
      </c>
      <c r="Q429" s="92">
        <f t="shared" ca="1" si="125"/>
        <v>22.645884281343584</v>
      </c>
      <c r="R429" s="92">
        <f t="shared" ca="1" si="126"/>
        <v>2.2645884281343585</v>
      </c>
      <c r="S429" s="92">
        <f t="shared" ca="1" si="127"/>
        <v>2.264588428134358</v>
      </c>
      <c r="T429" s="4">
        <f t="shared" ca="1" si="128"/>
        <v>0</v>
      </c>
      <c r="U429" s="99">
        <f t="shared" ca="1" si="129"/>
        <v>1457.2486983548911</v>
      </c>
      <c r="V429" s="4">
        <f t="shared" ca="1" si="130"/>
        <v>0</v>
      </c>
      <c r="W429" s="13">
        <f t="shared" ca="1" si="131"/>
        <v>5408.55</v>
      </c>
      <c r="X429" s="4">
        <f t="shared" ca="1" si="132"/>
        <v>0</v>
      </c>
    </row>
    <row r="430" spans="1:24">
      <c r="A430">
        <v>3</v>
      </c>
      <c r="B430">
        <v>0</v>
      </c>
      <c r="C430">
        <f t="shared" ca="1" si="114"/>
        <v>6</v>
      </c>
      <c r="D430">
        <f t="shared" ca="1" si="115"/>
        <v>4</v>
      </c>
      <c r="E430">
        <f t="shared" ca="1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3.8811960000000103E-6</v>
      </c>
      <c r="K430" s="1">
        <f t="shared" ca="1" si="119"/>
        <v>0</v>
      </c>
      <c r="L430" s="13">
        <f t="shared" ca="1" si="120"/>
        <v>100</v>
      </c>
      <c r="M430" s="7">
        <f t="shared" ca="1" si="121"/>
        <v>900</v>
      </c>
      <c r="N430" s="43">
        <f t="shared" ca="1" si="122"/>
        <v>7</v>
      </c>
      <c r="O430" s="92">
        <f t="shared" ca="1" si="123"/>
        <v>2.264588428134358</v>
      </c>
      <c r="P430" s="92">
        <f t="shared" ca="1" si="124"/>
        <v>22.645884281343584</v>
      </c>
      <c r="Q430" s="92">
        <f t="shared" ca="1" si="125"/>
        <v>22.645884281343584</v>
      </c>
      <c r="R430" s="92">
        <f t="shared" ca="1" si="126"/>
        <v>2.2645884281343585</v>
      </c>
      <c r="S430" s="92">
        <f t="shared" ca="1" si="127"/>
        <v>2.264588428134358</v>
      </c>
      <c r="T430" s="4">
        <f t="shared" ca="1" si="128"/>
        <v>0</v>
      </c>
      <c r="U430" s="99">
        <f t="shared" ca="1" si="129"/>
        <v>1457.2486983548911</v>
      </c>
      <c r="V430" s="4">
        <f t="shared" ca="1" si="130"/>
        <v>0</v>
      </c>
      <c r="W430" s="13">
        <f t="shared" ca="1" si="131"/>
        <v>4056.4124999999999</v>
      </c>
      <c r="X430" s="4">
        <f t="shared" ca="1" si="132"/>
        <v>0</v>
      </c>
    </row>
    <row r="431" spans="1:24">
      <c r="A431">
        <v>3</v>
      </c>
      <c r="B431">
        <v>0</v>
      </c>
      <c r="C431">
        <f t="shared" ca="1" si="114"/>
        <v>6</v>
      </c>
      <c r="D431">
        <f t="shared" ca="1" si="115"/>
        <v>4</v>
      </c>
      <c r="E431">
        <f t="shared" ca="1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5.8806000000000209E-8</v>
      </c>
      <c r="K431" s="1">
        <f t="shared" ca="1" si="119"/>
        <v>0</v>
      </c>
      <c r="L431" s="13">
        <f t="shared" ca="1" si="120"/>
        <v>100</v>
      </c>
      <c r="M431" s="7">
        <f t="shared" ca="1" si="121"/>
        <v>900</v>
      </c>
      <c r="N431" s="43">
        <f t="shared" ca="1" si="122"/>
        <v>7</v>
      </c>
      <c r="O431" s="92">
        <f t="shared" ca="1" si="123"/>
        <v>2.264588428134358</v>
      </c>
      <c r="P431" s="92">
        <f t="shared" ca="1" si="124"/>
        <v>22.645884281343584</v>
      </c>
      <c r="Q431" s="92">
        <f t="shared" ca="1" si="125"/>
        <v>22.645884281343584</v>
      </c>
      <c r="R431" s="92">
        <f t="shared" ca="1" si="126"/>
        <v>2.2645884281343585</v>
      </c>
      <c r="S431" s="92">
        <f t="shared" ca="1" si="127"/>
        <v>2.264588428134358</v>
      </c>
      <c r="T431" s="4">
        <f t="shared" ca="1" si="128"/>
        <v>0</v>
      </c>
      <c r="U431" s="99">
        <f t="shared" ca="1" si="129"/>
        <v>1457.2486983548911</v>
      </c>
      <c r="V431" s="4">
        <f t="shared" ca="1" si="130"/>
        <v>0</v>
      </c>
      <c r="W431" s="13">
        <f t="shared" ca="1" si="131"/>
        <v>2704.2750000000001</v>
      </c>
      <c r="X431" s="4">
        <f t="shared" ca="1" si="132"/>
        <v>0</v>
      </c>
    </row>
    <row r="432" spans="1:24">
      <c r="A432">
        <v>3</v>
      </c>
      <c r="B432">
        <v>0</v>
      </c>
      <c r="C432">
        <f t="shared" ca="1" si="114"/>
        <v>6</v>
      </c>
      <c r="D432">
        <f t="shared" ca="1" si="115"/>
        <v>4</v>
      </c>
      <c r="E432">
        <f t="shared" ca="1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3.9600000000000173E-10</v>
      </c>
      <c r="K432" s="1">
        <f t="shared" ca="1" si="119"/>
        <v>0</v>
      </c>
      <c r="L432" s="13">
        <f t="shared" ca="1" si="120"/>
        <v>100</v>
      </c>
      <c r="M432" s="7">
        <f t="shared" ca="1" si="121"/>
        <v>900</v>
      </c>
      <c r="N432" s="43">
        <f t="shared" ca="1" si="122"/>
        <v>7</v>
      </c>
      <c r="O432" s="92">
        <f t="shared" ca="1" si="123"/>
        <v>2.264588428134358</v>
      </c>
      <c r="P432" s="92">
        <f t="shared" ca="1" si="124"/>
        <v>22.645884281343584</v>
      </c>
      <c r="Q432" s="92">
        <f t="shared" ca="1" si="125"/>
        <v>22.645884281343584</v>
      </c>
      <c r="R432" s="92">
        <f t="shared" ca="1" si="126"/>
        <v>2.2645884281343585</v>
      </c>
      <c r="S432" s="92">
        <f t="shared" ca="1" si="127"/>
        <v>2.264588428134358</v>
      </c>
      <c r="T432" s="4">
        <f t="shared" ca="1" si="128"/>
        <v>0</v>
      </c>
      <c r="U432" s="99">
        <f t="shared" ca="1" si="129"/>
        <v>1457.2486983548911</v>
      </c>
      <c r="V432" s="4">
        <f t="shared" ca="1" si="130"/>
        <v>0</v>
      </c>
      <c r="W432" s="13">
        <f t="shared" ca="1" si="131"/>
        <v>1352.1375</v>
      </c>
      <c r="X432" s="4">
        <f t="shared" ca="1" si="132"/>
        <v>0</v>
      </c>
    </row>
    <row r="433" spans="1:24">
      <c r="A433">
        <v>3</v>
      </c>
      <c r="B433">
        <v>0</v>
      </c>
      <c r="C433">
        <f t="shared" ca="1" si="114"/>
        <v>6</v>
      </c>
      <c r="D433">
        <f t="shared" ca="1" si="115"/>
        <v>4</v>
      </c>
      <c r="E433">
        <f t="shared" ca="1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1.0000000000000054E-12</v>
      </c>
      <c r="K433" s="1">
        <f t="shared" ca="1" si="119"/>
        <v>0</v>
      </c>
      <c r="L433" s="13">
        <f t="shared" ca="1" si="120"/>
        <v>100</v>
      </c>
      <c r="M433" s="7">
        <f t="shared" ca="1" si="121"/>
        <v>900</v>
      </c>
      <c r="N433" s="43">
        <f t="shared" ca="1" si="122"/>
        <v>7</v>
      </c>
      <c r="O433" s="92">
        <f t="shared" ca="1" si="123"/>
        <v>2.264588428134358</v>
      </c>
      <c r="P433" s="92">
        <f t="shared" ca="1" si="124"/>
        <v>22.645884281343584</v>
      </c>
      <c r="Q433" s="92">
        <f t="shared" ca="1" si="125"/>
        <v>22.645884281343584</v>
      </c>
      <c r="R433" s="92">
        <f t="shared" ca="1" si="126"/>
        <v>2.2645884281343585</v>
      </c>
      <c r="S433" s="92">
        <f t="shared" ca="1" si="127"/>
        <v>2.264588428134358</v>
      </c>
      <c r="T433" s="4">
        <f t="shared" ca="1" si="128"/>
        <v>0</v>
      </c>
      <c r="U433" s="99">
        <f t="shared" ca="1" si="129"/>
        <v>1457.2486983548911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</row>
    <row r="434" spans="1:24">
      <c r="A434">
        <v>3</v>
      </c>
      <c r="B434">
        <v>1</v>
      </c>
      <c r="C434">
        <f t="shared" ca="1" si="114"/>
        <v>7</v>
      </c>
      <c r="D434">
        <f t="shared" ca="1" si="115"/>
        <v>5</v>
      </c>
      <c r="E434">
        <f t="shared" ca="1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399</v>
      </c>
      <c r="M434" s="7">
        <f t="shared" ca="1" si="121"/>
        <v>601</v>
      </c>
      <c r="N434" s="43">
        <f t="shared" ca="1" si="122"/>
        <v>5</v>
      </c>
      <c r="O434" s="92">
        <f t="shared" ca="1" si="123"/>
        <v>1.7627004516625842</v>
      </c>
      <c r="P434" s="92">
        <f t="shared" ca="1" si="124"/>
        <v>17.627004516625838</v>
      </c>
      <c r="Q434" s="92">
        <f t="shared" ca="1" si="125"/>
        <v>17.627004516625838</v>
      </c>
      <c r="R434" s="92">
        <f t="shared" ca="1" si="126"/>
        <v>1.7627004516625839</v>
      </c>
      <c r="S434" s="92">
        <f t="shared" ca="1" si="127"/>
        <v>1.7627004516625842</v>
      </c>
      <c r="T434" s="4">
        <f t="shared" ca="1" si="128"/>
        <v>0</v>
      </c>
      <c r="U434" s="99">
        <f t="shared" ca="1" si="129"/>
        <v>1509.8515146533105</v>
      </c>
      <c r="V434" s="4">
        <f t="shared" ca="1" si="130"/>
        <v>0</v>
      </c>
      <c r="W434" s="13">
        <f t="shared" ca="1" si="131"/>
        <v>23319.800362499998</v>
      </c>
      <c r="X434" s="4">
        <f t="shared" ca="1" si="132"/>
        <v>0</v>
      </c>
    </row>
    <row r="435" spans="1:24">
      <c r="A435">
        <v>3</v>
      </c>
      <c r="B435">
        <v>1</v>
      </c>
      <c r="C435">
        <f t="shared" ca="1" si="114"/>
        <v>7</v>
      </c>
      <c r="D435">
        <f t="shared" ca="1" si="115"/>
        <v>5</v>
      </c>
      <c r="E435">
        <f t="shared" ca="1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378</v>
      </c>
      <c r="M435" s="7">
        <f t="shared" ca="1" si="121"/>
        <v>622</v>
      </c>
      <c r="N435" s="43">
        <f t="shared" ca="1" si="122"/>
        <v>5</v>
      </c>
      <c r="O435" s="92">
        <f t="shared" ca="1" si="123"/>
        <v>1.7627004516625842</v>
      </c>
      <c r="P435" s="92">
        <f t="shared" ca="1" si="124"/>
        <v>17.627004516625838</v>
      </c>
      <c r="Q435" s="92">
        <f t="shared" ca="1" si="125"/>
        <v>17.627004516625838</v>
      </c>
      <c r="R435" s="92">
        <f t="shared" ca="1" si="126"/>
        <v>1.7627004516625839</v>
      </c>
      <c r="S435" s="92">
        <f t="shared" ca="1" si="127"/>
        <v>1.7627004516625842</v>
      </c>
      <c r="T435" s="4">
        <f t="shared" ca="1" si="128"/>
        <v>0</v>
      </c>
      <c r="U435" s="99">
        <f t="shared" ca="1" si="129"/>
        <v>1488.8515146533105</v>
      </c>
      <c r="V435" s="4">
        <f t="shared" ca="1" si="130"/>
        <v>0</v>
      </c>
      <c r="W435" s="13">
        <f t="shared" ca="1" si="131"/>
        <v>21967.662862499998</v>
      </c>
      <c r="X435" s="4">
        <f t="shared" ca="1" si="132"/>
        <v>0</v>
      </c>
    </row>
    <row r="436" spans="1:24">
      <c r="A436">
        <v>3</v>
      </c>
      <c r="B436">
        <v>1</v>
      </c>
      <c r="C436">
        <f t="shared" ca="1" si="114"/>
        <v>7</v>
      </c>
      <c r="D436">
        <f t="shared" ca="1" si="115"/>
        <v>5</v>
      </c>
      <c r="E436">
        <f t="shared" ca="1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0.93206534790698992</v>
      </c>
      <c r="K436" s="1">
        <f t="shared" ca="1" si="119"/>
        <v>0</v>
      </c>
      <c r="L436" s="13">
        <f t="shared" ca="1" si="120"/>
        <v>357</v>
      </c>
      <c r="M436" s="7">
        <f t="shared" ca="1" si="121"/>
        <v>643</v>
      </c>
      <c r="N436" s="43">
        <f t="shared" ca="1" si="122"/>
        <v>5</v>
      </c>
      <c r="O436" s="92">
        <f t="shared" ca="1" si="123"/>
        <v>1.7627004516625842</v>
      </c>
      <c r="P436" s="92">
        <f t="shared" ca="1" si="124"/>
        <v>17.627004516625838</v>
      </c>
      <c r="Q436" s="92">
        <f t="shared" ca="1" si="125"/>
        <v>17.627004516625838</v>
      </c>
      <c r="R436" s="92">
        <f t="shared" ca="1" si="126"/>
        <v>1.7627004516625839</v>
      </c>
      <c r="S436" s="92">
        <f t="shared" ca="1" si="127"/>
        <v>1.7627004516625842</v>
      </c>
      <c r="T436" s="4">
        <f t="shared" ca="1" si="128"/>
        <v>0</v>
      </c>
      <c r="U436" s="99">
        <f t="shared" ca="1" si="129"/>
        <v>1467.8515146533105</v>
      </c>
      <c r="V436" s="4">
        <f t="shared" ca="1" si="130"/>
        <v>0</v>
      </c>
      <c r="W436" s="13">
        <f t="shared" ca="1" si="131"/>
        <v>20615.525362499997</v>
      </c>
      <c r="X436" s="4">
        <f t="shared" ca="1" si="132"/>
        <v>0</v>
      </c>
    </row>
    <row r="437" spans="1:24">
      <c r="A437">
        <v>3</v>
      </c>
      <c r="B437">
        <v>1</v>
      </c>
      <c r="C437">
        <f t="shared" ca="1" si="114"/>
        <v>7</v>
      </c>
      <c r="D437">
        <f t="shared" ca="1" si="115"/>
        <v>5</v>
      </c>
      <c r="E437">
        <f t="shared" ca="1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4.7074007470050035E-2</v>
      </c>
      <c r="K437" s="1">
        <f t="shared" ca="1" si="119"/>
        <v>0</v>
      </c>
      <c r="L437" s="13">
        <f t="shared" ca="1" si="120"/>
        <v>336</v>
      </c>
      <c r="M437" s="7">
        <f t="shared" ca="1" si="121"/>
        <v>664</v>
      </c>
      <c r="N437" s="43">
        <f t="shared" ca="1" si="122"/>
        <v>6</v>
      </c>
      <c r="O437" s="92">
        <f t="shared" ca="1" si="123"/>
        <v>2.003415856166523</v>
      </c>
      <c r="P437" s="92">
        <f t="shared" ca="1" si="124"/>
        <v>20.03415856166523</v>
      </c>
      <c r="Q437" s="92">
        <f t="shared" ca="1" si="125"/>
        <v>19.552727752657354</v>
      </c>
      <c r="R437" s="92">
        <f t="shared" ca="1" si="126"/>
        <v>1.9793443157161292</v>
      </c>
      <c r="S437" s="92">
        <f t="shared" ca="1" si="127"/>
        <v>2.003415856166523</v>
      </c>
      <c r="T437" s="4">
        <f t="shared" ca="1" si="128"/>
        <v>0</v>
      </c>
      <c r="U437" s="99">
        <f t="shared" ca="1" si="129"/>
        <v>1565.0284794818213</v>
      </c>
      <c r="V437" s="4">
        <f t="shared" ca="1" si="130"/>
        <v>0</v>
      </c>
      <c r="W437" s="13">
        <f t="shared" ca="1" si="131"/>
        <v>19263.3878625</v>
      </c>
      <c r="X437" s="4">
        <f t="shared" ca="1" si="132"/>
        <v>0</v>
      </c>
    </row>
    <row r="438" spans="1:24">
      <c r="A438">
        <v>3</v>
      </c>
      <c r="B438">
        <v>1</v>
      </c>
      <c r="C438">
        <f t="shared" ca="1" si="114"/>
        <v>7</v>
      </c>
      <c r="D438">
        <f t="shared" ca="1" si="115"/>
        <v>5</v>
      </c>
      <c r="E438">
        <f t="shared" ca="1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9.5099004990000164E-4</v>
      </c>
      <c r="K438" s="1">
        <f t="shared" ca="1" si="119"/>
        <v>0</v>
      </c>
      <c r="L438" s="13">
        <f t="shared" ca="1" si="120"/>
        <v>315</v>
      </c>
      <c r="M438" s="7">
        <f t="shared" ca="1" si="121"/>
        <v>685</v>
      </c>
      <c r="N438" s="43">
        <f t="shared" ca="1" si="122"/>
        <v>6</v>
      </c>
      <c r="O438" s="92">
        <f t="shared" ca="1" si="123"/>
        <v>2.003415856166523</v>
      </c>
      <c r="P438" s="92">
        <f t="shared" ca="1" si="124"/>
        <v>20.03415856166523</v>
      </c>
      <c r="Q438" s="92">
        <f t="shared" ca="1" si="125"/>
        <v>20.03415856166523</v>
      </c>
      <c r="R438" s="92">
        <f t="shared" ca="1" si="126"/>
        <v>2.003415856166523</v>
      </c>
      <c r="S438" s="92">
        <f t="shared" ca="1" si="127"/>
        <v>2.003415856166523</v>
      </c>
      <c r="T438" s="4">
        <f t="shared" ca="1" si="128"/>
        <v>0</v>
      </c>
      <c r="U438" s="99">
        <f t="shared" ca="1" si="129"/>
        <v>1544.0284794818213</v>
      </c>
      <c r="V438" s="4">
        <f t="shared" ca="1" si="130"/>
        <v>0</v>
      </c>
      <c r="W438" s="13">
        <f t="shared" ca="1" si="131"/>
        <v>17911.250362499999</v>
      </c>
      <c r="X438" s="4">
        <f t="shared" ca="1" si="132"/>
        <v>0</v>
      </c>
    </row>
    <row r="439" spans="1:24">
      <c r="A439">
        <v>3</v>
      </c>
      <c r="B439">
        <v>1</v>
      </c>
      <c r="C439">
        <f t="shared" ca="1" si="114"/>
        <v>7</v>
      </c>
      <c r="D439">
        <f t="shared" ca="1" si="115"/>
        <v>5</v>
      </c>
      <c r="E439">
        <f t="shared" ca="1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9.6059601000000268E-6</v>
      </c>
      <c r="K439" s="1">
        <f t="shared" ca="1" si="119"/>
        <v>0</v>
      </c>
      <c r="L439" s="13">
        <f t="shared" ca="1" si="120"/>
        <v>294</v>
      </c>
      <c r="M439" s="7">
        <f t="shared" ca="1" si="121"/>
        <v>706</v>
      </c>
      <c r="N439" s="43">
        <f t="shared" ca="1" si="122"/>
        <v>6</v>
      </c>
      <c r="O439" s="92">
        <f t="shared" ca="1" si="123"/>
        <v>2.003415856166523</v>
      </c>
      <c r="P439" s="92">
        <f t="shared" ca="1" si="124"/>
        <v>20.03415856166523</v>
      </c>
      <c r="Q439" s="92">
        <f t="shared" ca="1" si="125"/>
        <v>20.03415856166523</v>
      </c>
      <c r="R439" s="92">
        <f t="shared" ca="1" si="126"/>
        <v>2.003415856166523</v>
      </c>
      <c r="S439" s="92">
        <f t="shared" ca="1" si="127"/>
        <v>2.003415856166523</v>
      </c>
      <c r="T439" s="4">
        <f t="shared" ca="1" si="128"/>
        <v>0</v>
      </c>
      <c r="U439" s="99">
        <f t="shared" ca="1" si="129"/>
        <v>1523.0284794818213</v>
      </c>
      <c r="V439" s="4">
        <f t="shared" ca="1" si="130"/>
        <v>0</v>
      </c>
      <c r="W439" s="13">
        <f t="shared" ca="1" si="131"/>
        <v>16559.112862499998</v>
      </c>
      <c r="X439" s="4">
        <f t="shared" ca="1" si="132"/>
        <v>0</v>
      </c>
    </row>
    <row r="440" spans="1:24">
      <c r="A440">
        <v>3</v>
      </c>
      <c r="B440">
        <v>1</v>
      </c>
      <c r="C440">
        <f t="shared" ca="1" si="114"/>
        <v>7</v>
      </c>
      <c r="D440">
        <f t="shared" ca="1" si="115"/>
        <v>5</v>
      </c>
      <c r="E440">
        <f t="shared" ca="1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4.8514950000000171E-8</v>
      </c>
      <c r="K440" s="1">
        <f t="shared" ca="1" si="119"/>
        <v>0</v>
      </c>
      <c r="L440" s="13">
        <f t="shared" ca="1" si="120"/>
        <v>273</v>
      </c>
      <c r="M440" s="7">
        <f t="shared" ca="1" si="121"/>
        <v>727</v>
      </c>
      <c r="N440" s="43">
        <f t="shared" ca="1" si="122"/>
        <v>6</v>
      </c>
      <c r="O440" s="92">
        <f t="shared" ca="1" si="123"/>
        <v>2.003415856166523</v>
      </c>
      <c r="P440" s="92">
        <f t="shared" ca="1" si="124"/>
        <v>20.03415856166523</v>
      </c>
      <c r="Q440" s="92">
        <f t="shared" ca="1" si="125"/>
        <v>20.03415856166523</v>
      </c>
      <c r="R440" s="92">
        <f t="shared" ca="1" si="126"/>
        <v>2.003415856166523</v>
      </c>
      <c r="S440" s="92">
        <f t="shared" ca="1" si="127"/>
        <v>2.003415856166523</v>
      </c>
      <c r="T440" s="4">
        <f t="shared" ca="1" si="128"/>
        <v>0</v>
      </c>
      <c r="U440" s="99">
        <f t="shared" ca="1" si="129"/>
        <v>1502.0284794818213</v>
      </c>
      <c r="V440" s="4">
        <f t="shared" ca="1" si="130"/>
        <v>0</v>
      </c>
      <c r="W440" s="13">
        <f t="shared" ca="1" si="131"/>
        <v>15206.975362499999</v>
      </c>
      <c r="X440" s="4">
        <f t="shared" ca="1" si="132"/>
        <v>0</v>
      </c>
    </row>
    <row r="441" spans="1:24">
      <c r="A441">
        <v>3</v>
      </c>
      <c r="B441">
        <v>1</v>
      </c>
      <c r="C441">
        <f t="shared" ca="1" si="114"/>
        <v>7</v>
      </c>
      <c r="D441">
        <f t="shared" ca="1" si="115"/>
        <v>5</v>
      </c>
      <c r="E441">
        <f t="shared" ca="1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9.8010000000000445E-11</v>
      </c>
      <c r="K441" s="1">
        <f t="shared" ca="1" si="119"/>
        <v>0</v>
      </c>
      <c r="L441" s="13">
        <f t="shared" ca="1" si="120"/>
        <v>252</v>
      </c>
      <c r="M441" s="7">
        <f t="shared" ca="1" si="121"/>
        <v>748</v>
      </c>
      <c r="N441" s="43">
        <f t="shared" ca="1" si="122"/>
        <v>6</v>
      </c>
      <c r="O441" s="92">
        <f t="shared" ca="1" si="123"/>
        <v>2.003415856166523</v>
      </c>
      <c r="P441" s="92">
        <f t="shared" ca="1" si="124"/>
        <v>20.03415856166523</v>
      </c>
      <c r="Q441" s="92">
        <f t="shared" ca="1" si="125"/>
        <v>20.03415856166523</v>
      </c>
      <c r="R441" s="92">
        <f t="shared" ca="1" si="126"/>
        <v>2.003415856166523</v>
      </c>
      <c r="S441" s="92">
        <f t="shared" ca="1" si="127"/>
        <v>2.003415856166523</v>
      </c>
      <c r="T441" s="4">
        <f t="shared" ca="1" si="128"/>
        <v>0</v>
      </c>
      <c r="U441" s="99">
        <f t="shared" ca="1" si="129"/>
        <v>1481.0284794818213</v>
      </c>
      <c r="V441" s="4">
        <f t="shared" ca="1" si="130"/>
        <v>0</v>
      </c>
      <c r="W441" s="13">
        <f t="shared" ca="1" si="131"/>
        <v>13854.837862499999</v>
      </c>
      <c r="X441" s="4">
        <f t="shared" ca="1" si="132"/>
        <v>0</v>
      </c>
    </row>
    <row r="442" spans="1:24">
      <c r="A442">
        <v>3</v>
      </c>
      <c r="B442">
        <v>1</v>
      </c>
      <c r="C442">
        <f t="shared" ca="1" si="114"/>
        <v>7</v>
      </c>
      <c r="D442">
        <f t="shared" ca="1" si="115"/>
        <v>5</v>
      </c>
      <c r="E442">
        <f t="shared" ca="1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273</v>
      </c>
      <c r="M442" s="7">
        <f t="shared" ca="1" si="121"/>
        <v>727</v>
      </c>
      <c r="N442" s="43">
        <f t="shared" ca="1" si="122"/>
        <v>6</v>
      </c>
      <c r="O442" s="92">
        <f t="shared" ca="1" si="123"/>
        <v>2.003415856166523</v>
      </c>
      <c r="P442" s="92">
        <f t="shared" ca="1" si="124"/>
        <v>20.03415856166523</v>
      </c>
      <c r="Q442" s="92">
        <f t="shared" ca="1" si="125"/>
        <v>20.03415856166523</v>
      </c>
      <c r="R442" s="92">
        <f t="shared" ca="1" si="126"/>
        <v>2.003415856166523</v>
      </c>
      <c r="S442" s="92">
        <f t="shared" ca="1" si="127"/>
        <v>2.003415856166523</v>
      </c>
      <c r="T442" s="4">
        <f t="shared" ca="1" si="128"/>
        <v>0</v>
      </c>
      <c r="U442" s="99">
        <f t="shared" ca="1" si="129"/>
        <v>1502.0284794818213</v>
      </c>
      <c r="V442" s="4">
        <f t="shared" ca="1" si="130"/>
        <v>0</v>
      </c>
      <c r="W442" s="13">
        <f t="shared" ca="1" si="131"/>
        <v>21932.249737499998</v>
      </c>
      <c r="X442" s="4">
        <f t="shared" ca="1" si="132"/>
        <v>0</v>
      </c>
    </row>
    <row r="443" spans="1:24">
      <c r="A443">
        <v>3</v>
      </c>
      <c r="B443">
        <v>1</v>
      </c>
      <c r="C443">
        <f t="shared" ca="1" si="114"/>
        <v>7</v>
      </c>
      <c r="D443">
        <f t="shared" ca="1" si="115"/>
        <v>5</v>
      </c>
      <c r="E443">
        <f t="shared" ca="1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252</v>
      </c>
      <c r="M443" s="7">
        <f t="shared" ca="1" si="121"/>
        <v>748</v>
      </c>
      <c r="N443" s="43">
        <f t="shared" ca="1" si="122"/>
        <v>6</v>
      </c>
      <c r="O443" s="92">
        <f t="shared" ca="1" si="123"/>
        <v>2.003415856166523</v>
      </c>
      <c r="P443" s="92">
        <f t="shared" ca="1" si="124"/>
        <v>20.03415856166523</v>
      </c>
      <c r="Q443" s="92">
        <f t="shared" ca="1" si="125"/>
        <v>20.03415856166523</v>
      </c>
      <c r="R443" s="92">
        <f t="shared" ca="1" si="126"/>
        <v>2.003415856166523</v>
      </c>
      <c r="S443" s="92">
        <f t="shared" ca="1" si="127"/>
        <v>2.003415856166523</v>
      </c>
      <c r="T443" s="4">
        <f t="shared" ca="1" si="128"/>
        <v>0</v>
      </c>
      <c r="U443" s="99">
        <f t="shared" ca="1" si="129"/>
        <v>1481.0284794818213</v>
      </c>
      <c r="V443" s="4">
        <f t="shared" ca="1" si="130"/>
        <v>0</v>
      </c>
      <c r="W443" s="13">
        <f t="shared" ca="1" si="131"/>
        <v>20580.112237499998</v>
      </c>
      <c r="X443" s="4">
        <f t="shared" ca="1" si="132"/>
        <v>0</v>
      </c>
    </row>
    <row r="444" spans="1:24">
      <c r="A444">
        <v>3</v>
      </c>
      <c r="B444">
        <v>1</v>
      </c>
      <c r="C444">
        <f t="shared" ca="1" si="114"/>
        <v>7</v>
      </c>
      <c r="D444">
        <f t="shared" ca="1" si="115"/>
        <v>5</v>
      </c>
      <c r="E444">
        <f t="shared" ca="1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9.4148014940100087E-3</v>
      </c>
      <c r="K444" s="1">
        <f t="shared" ca="1" si="119"/>
        <v>0</v>
      </c>
      <c r="L444" s="13">
        <f t="shared" ca="1" si="120"/>
        <v>231</v>
      </c>
      <c r="M444" s="7">
        <f t="shared" ca="1" si="121"/>
        <v>769</v>
      </c>
      <c r="N444" s="43">
        <f t="shared" ca="1" si="122"/>
        <v>6</v>
      </c>
      <c r="O444" s="92">
        <f t="shared" ca="1" si="123"/>
        <v>2.003415856166523</v>
      </c>
      <c r="P444" s="92">
        <f t="shared" ca="1" si="124"/>
        <v>20.03415856166523</v>
      </c>
      <c r="Q444" s="92">
        <f t="shared" ca="1" si="125"/>
        <v>20.03415856166523</v>
      </c>
      <c r="R444" s="92">
        <f t="shared" ca="1" si="126"/>
        <v>2.003415856166523</v>
      </c>
      <c r="S444" s="92">
        <f t="shared" ca="1" si="127"/>
        <v>2.003415856166523</v>
      </c>
      <c r="T444" s="4">
        <f t="shared" ca="1" si="128"/>
        <v>0</v>
      </c>
      <c r="U444" s="99">
        <f t="shared" ca="1" si="129"/>
        <v>1460.0284794818213</v>
      </c>
      <c r="V444" s="4">
        <f t="shared" ca="1" si="130"/>
        <v>0</v>
      </c>
      <c r="W444" s="13">
        <f t="shared" ca="1" si="131"/>
        <v>19227.974737500001</v>
      </c>
      <c r="X444" s="4">
        <f t="shared" ca="1" si="132"/>
        <v>0</v>
      </c>
    </row>
    <row r="445" spans="1:24">
      <c r="A445">
        <v>3</v>
      </c>
      <c r="B445">
        <v>1</v>
      </c>
      <c r="C445">
        <f t="shared" ca="1" si="114"/>
        <v>7</v>
      </c>
      <c r="D445">
        <f t="shared" ca="1" si="115"/>
        <v>5</v>
      </c>
      <c r="E445">
        <f t="shared" ca="1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4.7549502495000082E-4</v>
      </c>
      <c r="K445" s="1">
        <f t="shared" ca="1" si="119"/>
        <v>0</v>
      </c>
      <c r="L445" s="13">
        <f t="shared" ca="1" si="120"/>
        <v>210</v>
      </c>
      <c r="M445" s="7">
        <f t="shared" ca="1" si="121"/>
        <v>790</v>
      </c>
      <c r="N445" s="43">
        <f t="shared" ca="1" si="122"/>
        <v>7</v>
      </c>
      <c r="O445" s="92">
        <f t="shared" ca="1" si="123"/>
        <v>2.264588428134358</v>
      </c>
      <c r="P445" s="92">
        <f t="shared" ca="1" si="124"/>
        <v>22.645884281343584</v>
      </c>
      <c r="Q445" s="92">
        <f t="shared" ca="1" si="125"/>
        <v>21.340021421504403</v>
      </c>
      <c r="R445" s="92">
        <f t="shared" ca="1" si="126"/>
        <v>2.1992952851423992</v>
      </c>
      <c r="S445" s="92">
        <f t="shared" ca="1" si="127"/>
        <v>2.264588428134358</v>
      </c>
      <c r="T445" s="4">
        <f t="shared" ca="1" si="128"/>
        <v>0</v>
      </c>
      <c r="U445" s="99">
        <f t="shared" ca="1" si="129"/>
        <v>1567.2486983548911</v>
      </c>
      <c r="V445" s="4">
        <f t="shared" ca="1" si="130"/>
        <v>0</v>
      </c>
      <c r="W445" s="13">
        <f t="shared" ca="1" si="131"/>
        <v>17875.8372375</v>
      </c>
      <c r="X445" s="4">
        <f t="shared" ca="1" si="132"/>
        <v>0</v>
      </c>
    </row>
    <row r="446" spans="1:24">
      <c r="A446">
        <v>3</v>
      </c>
      <c r="B446">
        <v>1</v>
      </c>
      <c r="C446">
        <f t="shared" ca="1" si="114"/>
        <v>7</v>
      </c>
      <c r="D446">
        <f t="shared" ca="1" si="115"/>
        <v>5</v>
      </c>
      <c r="E446">
        <f t="shared" ca="1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9.6059601000000268E-6</v>
      </c>
      <c r="K446" s="1">
        <f t="shared" ca="1" si="119"/>
        <v>0</v>
      </c>
      <c r="L446" s="13">
        <f t="shared" ca="1" si="120"/>
        <v>189</v>
      </c>
      <c r="M446" s="7">
        <f t="shared" ca="1" si="121"/>
        <v>811</v>
      </c>
      <c r="N446" s="43">
        <f t="shared" ca="1" si="122"/>
        <v>7</v>
      </c>
      <c r="O446" s="92">
        <f t="shared" ca="1" si="123"/>
        <v>2.264588428134358</v>
      </c>
      <c r="P446" s="92">
        <f t="shared" ca="1" si="124"/>
        <v>22.645884281343584</v>
      </c>
      <c r="Q446" s="92">
        <f t="shared" ca="1" si="125"/>
        <v>22.645884281343584</v>
      </c>
      <c r="R446" s="92">
        <f t="shared" ca="1" si="126"/>
        <v>2.2645884281343585</v>
      </c>
      <c r="S446" s="92">
        <f t="shared" ca="1" si="127"/>
        <v>2.264588428134358</v>
      </c>
      <c r="T446" s="4">
        <f t="shared" ca="1" si="128"/>
        <v>0</v>
      </c>
      <c r="U446" s="99">
        <f t="shared" ca="1" si="129"/>
        <v>1546.2486983548911</v>
      </c>
      <c r="V446" s="4">
        <f t="shared" ca="1" si="130"/>
        <v>0</v>
      </c>
      <c r="W446" s="13">
        <f t="shared" ca="1" si="131"/>
        <v>16523.699737499999</v>
      </c>
      <c r="X446" s="4">
        <f t="shared" ca="1" si="132"/>
        <v>0</v>
      </c>
    </row>
    <row r="447" spans="1:24">
      <c r="A447">
        <v>3</v>
      </c>
      <c r="B447">
        <v>1</v>
      </c>
      <c r="C447">
        <f t="shared" ca="1" si="114"/>
        <v>7</v>
      </c>
      <c r="D447">
        <f t="shared" ca="1" si="115"/>
        <v>5</v>
      </c>
      <c r="E447">
        <f t="shared" ca="1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9.7029900000000355E-8</v>
      </c>
      <c r="K447" s="1">
        <f t="shared" ca="1" si="119"/>
        <v>0</v>
      </c>
      <c r="L447" s="13">
        <f t="shared" ca="1" si="120"/>
        <v>168</v>
      </c>
      <c r="M447" s="7">
        <f t="shared" ca="1" si="121"/>
        <v>832</v>
      </c>
      <c r="N447" s="43">
        <f t="shared" ca="1" si="122"/>
        <v>7</v>
      </c>
      <c r="O447" s="92">
        <f t="shared" ca="1" si="123"/>
        <v>2.264588428134358</v>
      </c>
      <c r="P447" s="92">
        <f t="shared" ca="1" si="124"/>
        <v>22.645884281343584</v>
      </c>
      <c r="Q447" s="92">
        <f t="shared" ca="1" si="125"/>
        <v>22.645884281343584</v>
      </c>
      <c r="R447" s="92">
        <f t="shared" ca="1" si="126"/>
        <v>2.2645884281343585</v>
      </c>
      <c r="S447" s="92">
        <f t="shared" ca="1" si="127"/>
        <v>2.264588428134358</v>
      </c>
      <c r="T447" s="4">
        <f t="shared" ca="1" si="128"/>
        <v>0</v>
      </c>
      <c r="U447" s="99">
        <f t="shared" ca="1" si="129"/>
        <v>1525.2486983548911</v>
      </c>
      <c r="V447" s="4">
        <f t="shared" ca="1" si="130"/>
        <v>0</v>
      </c>
      <c r="W447" s="13">
        <f t="shared" ca="1" si="131"/>
        <v>15171.562237499998</v>
      </c>
      <c r="X447" s="4">
        <f t="shared" ca="1" si="132"/>
        <v>0</v>
      </c>
    </row>
    <row r="448" spans="1:24">
      <c r="A448">
        <v>3</v>
      </c>
      <c r="B448">
        <v>1</v>
      </c>
      <c r="C448">
        <f t="shared" ca="1" si="114"/>
        <v>7</v>
      </c>
      <c r="D448">
        <f t="shared" ca="1" si="115"/>
        <v>5</v>
      </c>
      <c r="E448">
        <f t="shared" ca="1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4.9005000000000225E-10</v>
      </c>
      <c r="K448" s="1">
        <f t="shared" ca="1" si="119"/>
        <v>0</v>
      </c>
      <c r="L448" s="13">
        <f t="shared" ca="1" si="120"/>
        <v>147</v>
      </c>
      <c r="M448" s="7">
        <f t="shared" ca="1" si="121"/>
        <v>853</v>
      </c>
      <c r="N448" s="43">
        <f t="shared" ca="1" si="122"/>
        <v>7</v>
      </c>
      <c r="O448" s="92">
        <f t="shared" ca="1" si="123"/>
        <v>2.264588428134358</v>
      </c>
      <c r="P448" s="92">
        <f t="shared" ca="1" si="124"/>
        <v>22.645884281343584</v>
      </c>
      <c r="Q448" s="92">
        <f t="shared" ca="1" si="125"/>
        <v>22.645884281343584</v>
      </c>
      <c r="R448" s="92">
        <f t="shared" ca="1" si="126"/>
        <v>2.2645884281343585</v>
      </c>
      <c r="S448" s="92">
        <f t="shared" ca="1" si="127"/>
        <v>2.264588428134358</v>
      </c>
      <c r="T448" s="4">
        <f t="shared" ca="1" si="128"/>
        <v>0</v>
      </c>
      <c r="U448" s="99">
        <f t="shared" ca="1" si="129"/>
        <v>1504.2486983548911</v>
      </c>
      <c r="V448" s="4">
        <f t="shared" ca="1" si="130"/>
        <v>0</v>
      </c>
      <c r="W448" s="13">
        <f t="shared" ca="1" si="131"/>
        <v>13819.4247375</v>
      </c>
      <c r="X448" s="4">
        <f t="shared" ca="1" si="132"/>
        <v>0</v>
      </c>
    </row>
    <row r="449" spans="1:24">
      <c r="A449">
        <v>3</v>
      </c>
      <c r="B449">
        <v>1</v>
      </c>
      <c r="C449">
        <f t="shared" ca="1" si="114"/>
        <v>7</v>
      </c>
      <c r="D449">
        <f t="shared" ca="1" si="115"/>
        <v>5</v>
      </c>
      <c r="E449">
        <f t="shared" ca="1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9.9000000000000548E-13</v>
      </c>
      <c r="K449" s="1">
        <f t="shared" ca="1" si="119"/>
        <v>0</v>
      </c>
      <c r="L449" s="13">
        <f t="shared" ca="1" si="120"/>
        <v>126</v>
      </c>
      <c r="M449" s="7">
        <f t="shared" ca="1" si="121"/>
        <v>874</v>
      </c>
      <c r="N449" s="43">
        <f t="shared" ca="1" si="122"/>
        <v>7</v>
      </c>
      <c r="O449" s="92">
        <f t="shared" ca="1" si="123"/>
        <v>2.264588428134358</v>
      </c>
      <c r="P449" s="92">
        <f t="shared" ca="1" si="124"/>
        <v>22.645884281343584</v>
      </c>
      <c r="Q449" s="92">
        <f t="shared" ca="1" si="125"/>
        <v>22.645884281343584</v>
      </c>
      <c r="R449" s="92">
        <f t="shared" ca="1" si="126"/>
        <v>2.2645884281343585</v>
      </c>
      <c r="S449" s="92">
        <f t="shared" ca="1" si="127"/>
        <v>2.264588428134358</v>
      </c>
      <c r="T449" s="4">
        <f t="shared" ca="1" si="128"/>
        <v>0</v>
      </c>
      <c r="U449" s="99">
        <f t="shared" ca="1" si="129"/>
        <v>1483.2486983548911</v>
      </c>
      <c r="V449" s="4">
        <f t="shared" ca="1" si="130"/>
        <v>0</v>
      </c>
      <c r="W449" s="13">
        <f t="shared" ca="1" si="131"/>
        <v>12467.287237499999</v>
      </c>
      <c r="X449" s="4">
        <f t="shared" ca="1" si="132"/>
        <v>0</v>
      </c>
    </row>
    <row r="450" spans="1:24">
      <c r="A450">
        <v>3</v>
      </c>
      <c r="B450">
        <v>1</v>
      </c>
      <c r="C450">
        <f t="shared" ca="1" si="114"/>
        <v>7</v>
      </c>
      <c r="D450">
        <f t="shared" ca="1" si="115"/>
        <v>5</v>
      </c>
      <c r="E450">
        <f t="shared" ca="1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273</v>
      </c>
      <c r="M450" s="7">
        <f t="shared" ca="1" si="121"/>
        <v>727</v>
      </c>
      <c r="N450" s="43">
        <f t="shared" ca="1" si="122"/>
        <v>6</v>
      </c>
      <c r="O450" s="92">
        <f t="shared" ca="1" si="123"/>
        <v>2.003415856166523</v>
      </c>
      <c r="P450" s="92">
        <f t="shared" ca="1" si="124"/>
        <v>20.03415856166523</v>
      </c>
      <c r="Q450" s="92">
        <f t="shared" ca="1" si="125"/>
        <v>20.03415856166523</v>
      </c>
      <c r="R450" s="92">
        <f t="shared" ca="1" si="126"/>
        <v>2.003415856166523</v>
      </c>
      <c r="S450" s="92">
        <f t="shared" ca="1" si="127"/>
        <v>2.003415856166523</v>
      </c>
      <c r="T450" s="4">
        <f t="shared" ca="1" si="128"/>
        <v>0</v>
      </c>
      <c r="U450" s="99">
        <f t="shared" ca="1" si="129"/>
        <v>1502.0284794818213</v>
      </c>
      <c r="V450" s="4">
        <f t="shared" ca="1" si="130"/>
        <v>0</v>
      </c>
      <c r="W450" s="13">
        <f t="shared" ca="1" si="131"/>
        <v>10852.513124999999</v>
      </c>
      <c r="X450" s="4">
        <f t="shared" ca="1" si="132"/>
        <v>0</v>
      </c>
    </row>
    <row r="451" spans="1:24">
      <c r="A451">
        <v>3</v>
      </c>
      <c r="B451">
        <v>1</v>
      </c>
      <c r="C451">
        <f t="shared" ca="1" si="114"/>
        <v>7</v>
      </c>
      <c r="D451">
        <f t="shared" ca="1" si="115"/>
        <v>5</v>
      </c>
      <c r="E451">
        <f t="shared" ca="1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252</v>
      </c>
      <c r="M451" s="7">
        <f t="shared" ca="1" si="121"/>
        <v>748</v>
      </c>
      <c r="N451" s="43">
        <f t="shared" ca="1" si="122"/>
        <v>6</v>
      </c>
      <c r="O451" s="92">
        <f t="shared" ca="1" si="123"/>
        <v>2.003415856166523</v>
      </c>
      <c r="P451" s="92">
        <f t="shared" ca="1" si="124"/>
        <v>20.03415856166523</v>
      </c>
      <c r="Q451" s="92">
        <f t="shared" ca="1" si="125"/>
        <v>20.03415856166523</v>
      </c>
      <c r="R451" s="92">
        <f t="shared" ca="1" si="126"/>
        <v>2.003415856166523</v>
      </c>
      <c r="S451" s="92">
        <f t="shared" ca="1" si="127"/>
        <v>2.003415856166523</v>
      </c>
      <c r="T451" s="4">
        <f t="shared" ca="1" si="128"/>
        <v>0</v>
      </c>
      <c r="U451" s="99">
        <f t="shared" ca="1" si="129"/>
        <v>1481.0284794818213</v>
      </c>
      <c r="V451" s="4">
        <f t="shared" ca="1" si="130"/>
        <v>0</v>
      </c>
      <c r="W451" s="13">
        <f t="shared" ca="1" si="131"/>
        <v>9500.3756250000006</v>
      </c>
      <c r="X451" s="4">
        <f t="shared" ca="1" si="132"/>
        <v>0</v>
      </c>
    </row>
    <row r="452" spans="1:24">
      <c r="A452">
        <v>3</v>
      </c>
      <c r="B452">
        <v>1</v>
      </c>
      <c r="C452">
        <f t="shared" ca="1" si="114"/>
        <v>7</v>
      </c>
      <c r="D452">
        <f t="shared" ca="1" si="115"/>
        <v>5</v>
      </c>
      <c r="E452">
        <f t="shared" ca="1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9.4148014940100087E-3</v>
      </c>
      <c r="K452" s="1">
        <f t="shared" ca="1" si="119"/>
        <v>0</v>
      </c>
      <c r="L452" s="13">
        <f t="shared" ca="1" si="120"/>
        <v>231</v>
      </c>
      <c r="M452" s="7">
        <f t="shared" ca="1" si="121"/>
        <v>769</v>
      </c>
      <c r="N452" s="43">
        <f t="shared" ca="1" si="122"/>
        <v>6</v>
      </c>
      <c r="O452" s="92">
        <f t="shared" ca="1" si="123"/>
        <v>2.003415856166523</v>
      </c>
      <c r="P452" s="92">
        <f t="shared" ca="1" si="124"/>
        <v>20.03415856166523</v>
      </c>
      <c r="Q452" s="92">
        <f t="shared" ca="1" si="125"/>
        <v>20.03415856166523</v>
      </c>
      <c r="R452" s="92">
        <f t="shared" ca="1" si="126"/>
        <v>2.003415856166523</v>
      </c>
      <c r="S452" s="92">
        <f t="shared" ca="1" si="127"/>
        <v>2.003415856166523</v>
      </c>
      <c r="T452" s="4">
        <f t="shared" ca="1" si="128"/>
        <v>0</v>
      </c>
      <c r="U452" s="99">
        <f t="shared" ca="1" si="129"/>
        <v>1460.0284794818213</v>
      </c>
      <c r="V452" s="4">
        <f t="shared" ca="1" si="130"/>
        <v>0</v>
      </c>
      <c r="W452" s="13">
        <f t="shared" ca="1" si="131"/>
        <v>8148.2381249999999</v>
      </c>
      <c r="X452" s="4">
        <f t="shared" ca="1" si="132"/>
        <v>0</v>
      </c>
    </row>
    <row r="453" spans="1:24">
      <c r="A453">
        <v>3</v>
      </c>
      <c r="B453">
        <v>1</v>
      </c>
      <c r="C453">
        <f t="shared" ca="1" si="114"/>
        <v>7</v>
      </c>
      <c r="D453">
        <f t="shared" ca="1" si="115"/>
        <v>5</v>
      </c>
      <c r="E453">
        <f t="shared" ca="1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4.7549502495000082E-4</v>
      </c>
      <c r="K453" s="1">
        <f t="shared" ca="1" si="119"/>
        <v>0</v>
      </c>
      <c r="L453" s="13">
        <f t="shared" ca="1" si="120"/>
        <v>210</v>
      </c>
      <c r="M453" s="7">
        <f t="shared" ca="1" si="121"/>
        <v>790</v>
      </c>
      <c r="N453" s="43">
        <f t="shared" ca="1" si="122"/>
        <v>7</v>
      </c>
      <c r="O453" s="92">
        <f t="shared" ca="1" si="123"/>
        <v>2.264588428134358</v>
      </c>
      <c r="P453" s="92">
        <f t="shared" ca="1" si="124"/>
        <v>22.645884281343584</v>
      </c>
      <c r="Q453" s="92">
        <f t="shared" ca="1" si="125"/>
        <v>21.340021421504403</v>
      </c>
      <c r="R453" s="92">
        <f t="shared" ca="1" si="126"/>
        <v>2.1992952851423992</v>
      </c>
      <c r="S453" s="92">
        <f t="shared" ca="1" si="127"/>
        <v>2.264588428134358</v>
      </c>
      <c r="T453" s="4">
        <f t="shared" ca="1" si="128"/>
        <v>0</v>
      </c>
      <c r="U453" s="99">
        <f t="shared" ca="1" si="129"/>
        <v>1567.2486983548911</v>
      </c>
      <c r="V453" s="4">
        <f t="shared" ca="1" si="130"/>
        <v>0</v>
      </c>
      <c r="W453" s="13">
        <f t="shared" ca="1" si="131"/>
        <v>6796.100625</v>
      </c>
      <c r="X453" s="4">
        <f t="shared" ca="1" si="132"/>
        <v>0</v>
      </c>
    </row>
    <row r="454" spans="1:24">
      <c r="A454">
        <v>3</v>
      </c>
      <c r="B454">
        <v>1</v>
      </c>
      <c r="C454">
        <f t="shared" ca="1" si="114"/>
        <v>7</v>
      </c>
      <c r="D454">
        <f t="shared" ca="1" si="115"/>
        <v>5</v>
      </c>
      <c r="E454">
        <f t="shared" ca="1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9.6059601000000268E-6</v>
      </c>
      <c r="K454" s="1">
        <f t="shared" ca="1" si="119"/>
        <v>0</v>
      </c>
      <c r="L454" s="13">
        <f t="shared" ca="1" si="120"/>
        <v>189</v>
      </c>
      <c r="M454" s="7">
        <f t="shared" ca="1" si="121"/>
        <v>811</v>
      </c>
      <c r="N454" s="43">
        <f t="shared" ca="1" si="122"/>
        <v>7</v>
      </c>
      <c r="O454" s="92">
        <f t="shared" ca="1" si="123"/>
        <v>2.264588428134358</v>
      </c>
      <c r="P454" s="92">
        <f t="shared" ca="1" si="124"/>
        <v>22.645884281343584</v>
      </c>
      <c r="Q454" s="92">
        <f t="shared" ca="1" si="125"/>
        <v>22.645884281343584</v>
      </c>
      <c r="R454" s="92">
        <f t="shared" ca="1" si="126"/>
        <v>2.2645884281343585</v>
      </c>
      <c r="S454" s="92">
        <f t="shared" ca="1" si="127"/>
        <v>2.264588428134358</v>
      </c>
      <c r="T454" s="4">
        <f t="shared" ca="1" si="128"/>
        <v>0</v>
      </c>
      <c r="U454" s="99">
        <f t="shared" ca="1" si="129"/>
        <v>1546.2486983548911</v>
      </c>
      <c r="V454" s="4">
        <f t="shared" ca="1" si="130"/>
        <v>0</v>
      </c>
      <c r="W454" s="13">
        <f t="shared" ca="1" si="131"/>
        <v>5443.9631250000002</v>
      </c>
      <c r="X454" s="4">
        <f t="shared" ca="1" si="132"/>
        <v>0</v>
      </c>
    </row>
    <row r="455" spans="1:24">
      <c r="A455">
        <v>3</v>
      </c>
      <c r="B455">
        <v>1</v>
      </c>
      <c r="C455">
        <f t="shared" ca="1" si="114"/>
        <v>7</v>
      </c>
      <c r="D455">
        <f t="shared" ca="1" si="115"/>
        <v>5</v>
      </c>
      <c r="E455">
        <f t="shared" ca="1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9.7029900000000355E-8</v>
      </c>
      <c r="K455" s="1">
        <f t="shared" ca="1" si="119"/>
        <v>0</v>
      </c>
      <c r="L455" s="13">
        <f t="shared" ca="1" si="120"/>
        <v>168</v>
      </c>
      <c r="M455" s="7">
        <f t="shared" ca="1" si="121"/>
        <v>832</v>
      </c>
      <c r="N455" s="43">
        <f t="shared" ca="1" si="122"/>
        <v>7</v>
      </c>
      <c r="O455" s="92">
        <f t="shared" ca="1" si="123"/>
        <v>2.264588428134358</v>
      </c>
      <c r="P455" s="92">
        <f t="shared" ca="1" si="124"/>
        <v>22.645884281343584</v>
      </c>
      <c r="Q455" s="92">
        <f t="shared" ca="1" si="125"/>
        <v>22.645884281343584</v>
      </c>
      <c r="R455" s="92">
        <f t="shared" ca="1" si="126"/>
        <v>2.2645884281343585</v>
      </c>
      <c r="S455" s="92">
        <f t="shared" ca="1" si="127"/>
        <v>2.264588428134358</v>
      </c>
      <c r="T455" s="4">
        <f t="shared" ca="1" si="128"/>
        <v>0</v>
      </c>
      <c r="U455" s="99">
        <f t="shared" ca="1" si="129"/>
        <v>1525.2486983548911</v>
      </c>
      <c r="V455" s="4">
        <f t="shared" ca="1" si="130"/>
        <v>0</v>
      </c>
      <c r="W455" s="13">
        <f t="shared" ca="1" si="131"/>
        <v>4091.8256249999999</v>
      </c>
      <c r="X455" s="4">
        <f t="shared" ca="1" si="132"/>
        <v>0</v>
      </c>
    </row>
    <row r="456" spans="1:24">
      <c r="A456">
        <v>3</v>
      </c>
      <c r="B456">
        <v>1</v>
      </c>
      <c r="C456">
        <f t="shared" ca="1" si="114"/>
        <v>7</v>
      </c>
      <c r="D456">
        <f t="shared" ca="1" si="115"/>
        <v>5</v>
      </c>
      <c r="E456">
        <f t="shared" ca="1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4.9005000000000225E-10</v>
      </c>
      <c r="K456" s="1">
        <f t="shared" ca="1" si="119"/>
        <v>0</v>
      </c>
      <c r="L456" s="13">
        <f t="shared" ca="1" si="120"/>
        <v>147</v>
      </c>
      <c r="M456" s="7">
        <f t="shared" ca="1" si="121"/>
        <v>853</v>
      </c>
      <c r="N456" s="43">
        <f t="shared" ca="1" si="122"/>
        <v>7</v>
      </c>
      <c r="O456" s="92">
        <f t="shared" ca="1" si="123"/>
        <v>2.264588428134358</v>
      </c>
      <c r="P456" s="92">
        <f t="shared" ca="1" si="124"/>
        <v>22.645884281343584</v>
      </c>
      <c r="Q456" s="92">
        <f t="shared" ca="1" si="125"/>
        <v>22.645884281343584</v>
      </c>
      <c r="R456" s="92">
        <f t="shared" ca="1" si="126"/>
        <v>2.2645884281343585</v>
      </c>
      <c r="S456" s="92">
        <f t="shared" ca="1" si="127"/>
        <v>2.264588428134358</v>
      </c>
      <c r="T456" s="4">
        <f t="shared" ca="1" si="128"/>
        <v>0</v>
      </c>
      <c r="U456" s="99">
        <f t="shared" ca="1" si="129"/>
        <v>1504.2486983548911</v>
      </c>
      <c r="V456" s="4">
        <f t="shared" ca="1" si="130"/>
        <v>0</v>
      </c>
      <c r="W456" s="13">
        <f t="shared" ca="1" si="131"/>
        <v>2739.6881249999997</v>
      </c>
      <c r="X456" s="4">
        <f t="shared" ca="1" si="132"/>
        <v>0</v>
      </c>
    </row>
    <row r="457" spans="1:24">
      <c r="A457">
        <v>3</v>
      </c>
      <c r="B457">
        <v>1</v>
      </c>
      <c r="C457">
        <f t="shared" ca="1" si="114"/>
        <v>7</v>
      </c>
      <c r="D457">
        <f t="shared" ca="1" si="115"/>
        <v>5</v>
      </c>
      <c r="E457">
        <f t="shared" ca="1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9.9000000000000548E-13</v>
      </c>
      <c r="K457" s="1">
        <f t="shared" ca="1" si="119"/>
        <v>0</v>
      </c>
      <c r="L457" s="13">
        <f t="shared" ca="1" si="120"/>
        <v>126</v>
      </c>
      <c r="M457" s="7">
        <f t="shared" ca="1" si="121"/>
        <v>874</v>
      </c>
      <c r="N457" s="43">
        <f t="shared" ca="1" si="122"/>
        <v>7</v>
      </c>
      <c r="O457" s="92">
        <f t="shared" ca="1" si="123"/>
        <v>2.264588428134358</v>
      </c>
      <c r="P457" s="92">
        <f t="shared" ca="1" si="124"/>
        <v>22.645884281343584</v>
      </c>
      <c r="Q457" s="92">
        <f t="shared" ca="1" si="125"/>
        <v>22.645884281343584</v>
      </c>
      <c r="R457" s="92">
        <f t="shared" ca="1" si="126"/>
        <v>2.2645884281343585</v>
      </c>
      <c r="S457" s="92">
        <f t="shared" ca="1" si="127"/>
        <v>2.264588428134358</v>
      </c>
      <c r="T457" s="4">
        <f t="shared" ca="1" si="128"/>
        <v>0</v>
      </c>
      <c r="U457" s="99">
        <f t="shared" ca="1" si="129"/>
        <v>1483.2486983548911</v>
      </c>
      <c r="V457" s="4">
        <f t="shared" ca="1" si="130"/>
        <v>0</v>
      </c>
      <c r="W457" s="13">
        <f t="shared" ca="1" si="131"/>
        <v>1387.5506249999999</v>
      </c>
      <c r="X457" s="4">
        <f t="shared" ca="1" si="132"/>
        <v>0</v>
      </c>
    </row>
    <row r="458" spans="1:24">
      <c r="A458">
        <v>3</v>
      </c>
      <c r="B458">
        <v>1</v>
      </c>
      <c r="C458">
        <f t="shared" ca="1" si="114"/>
        <v>7</v>
      </c>
      <c r="D458">
        <f t="shared" ca="1" si="115"/>
        <v>5</v>
      </c>
      <c r="E458">
        <f t="shared" ca="1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3">
        <f t="shared" ca="1" si="122"/>
        <v>7</v>
      </c>
      <c r="O458" s="92">
        <f t="shared" ca="1" si="123"/>
        <v>2.264588428134358</v>
      </c>
      <c r="P458" s="92">
        <f t="shared" ca="1" si="124"/>
        <v>22.645884281343584</v>
      </c>
      <c r="Q458" s="92">
        <f t="shared" ca="1" si="125"/>
        <v>22.645884281343584</v>
      </c>
      <c r="R458" s="92">
        <f t="shared" ca="1" si="126"/>
        <v>2.2645884281343585</v>
      </c>
      <c r="S458" s="92">
        <f t="shared" ca="1" si="127"/>
        <v>2.264588428134358</v>
      </c>
      <c r="T458" s="4">
        <f t="shared" ca="1" si="128"/>
        <v>0</v>
      </c>
      <c r="U458" s="99">
        <f t="shared" ca="1" si="129"/>
        <v>1504.2486983548911</v>
      </c>
      <c r="V458" s="4">
        <f t="shared" ca="1" si="130"/>
        <v>0</v>
      </c>
      <c r="W458" s="13">
        <f t="shared" ca="1" si="131"/>
        <v>9464.9624999999996</v>
      </c>
      <c r="X458" s="4">
        <f t="shared" ca="1" si="132"/>
        <v>0</v>
      </c>
    </row>
    <row r="459" spans="1:24">
      <c r="A459">
        <v>3</v>
      </c>
      <c r="B459">
        <v>1</v>
      </c>
      <c r="C459">
        <f t="shared" ca="1" si="114"/>
        <v>7</v>
      </c>
      <c r="D459">
        <f t="shared" ca="1" si="115"/>
        <v>5</v>
      </c>
      <c r="E459">
        <f t="shared" ca="1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3">
        <f t="shared" ca="1" si="122"/>
        <v>7</v>
      </c>
      <c r="O459" s="92">
        <f t="shared" ca="1" si="123"/>
        <v>2.264588428134358</v>
      </c>
      <c r="P459" s="92">
        <f t="shared" ca="1" si="124"/>
        <v>22.645884281343584</v>
      </c>
      <c r="Q459" s="92">
        <f t="shared" ca="1" si="125"/>
        <v>22.645884281343584</v>
      </c>
      <c r="R459" s="92">
        <f t="shared" ca="1" si="126"/>
        <v>2.2645884281343585</v>
      </c>
      <c r="S459" s="92">
        <f t="shared" ca="1" si="127"/>
        <v>2.264588428134358</v>
      </c>
      <c r="T459" s="4">
        <f t="shared" ca="1" si="128"/>
        <v>0</v>
      </c>
      <c r="U459" s="99">
        <f t="shared" ca="1" si="129"/>
        <v>1483.2486983548911</v>
      </c>
      <c r="V459" s="4">
        <f t="shared" ca="1" si="130"/>
        <v>0</v>
      </c>
      <c r="W459" s="13">
        <f t="shared" ca="1" si="131"/>
        <v>8112.8249999999998</v>
      </c>
      <c r="X459" s="4">
        <f t="shared" ca="1" si="132"/>
        <v>0</v>
      </c>
    </row>
    <row r="460" spans="1:24">
      <c r="A460">
        <v>3</v>
      </c>
      <c r="B460">
        <v>1</v>
      </c>
      <c r="C460">
        <f t="shared" ca="1" si="114"/>
        <v>7</v>
      </c>
      <c r="D460">
        <f t="shared" ca="1" si="115"/>
        <v>5</v>
      </c>
      <c r="E460">
        <f t="shared" ca="1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9.5099004990000158E-5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3">
        <f t="shared" ca="1" si="122"/>
        <v>7</v>
      </c>
      <c r="O460" s="92">
        <f t="shared" ca="1" si="123"/>
        <v>2.264588428134358</v>
      </c>
      <c r="P460" s="92">
        <f t="shared" ca="1" si="124"/>
        <v>22.645884281343584</v>
      </c>
      <c r="Q460" s="92">
        <f t="shared" ca="1" si="125"/>
        <v>22.645884281343584</v>
      </c>
      <c r="R460" s="92">
        <f t="shared" ca="1" si="126"/>
        <v>2.2645884281343585</v>
      </c>
      <c r="S460" s="92">
        <f t="shared" ca="1" si="127"/>
        <v>2.264588428134358</v>
      </c>
      <c r="T460" s="4">
        <f t="shared" ca="1" si="128"/>
        <v>0</v>
      </c>
      <c r="U460" s="99">
        <f t="shared" ca="1" si="129"/>
        <v>1462.2486983548911</v>
      </c>
      <c r="V460" s="4">
        <f t="shared" ca="1" si="130"/>
        <v>0</v>
      </c>
      <c r="W460" s="13">
        <f t="shared" ca="1" si="131"/>
        <v>6760.6875</v>
      </c>
      <c r="X460" s="4">
        <f t="shared" ca="1" si="132"/>
        <v>0</v>
      </c>
    </row>
    <row r="461" spans="1:24">
      <c r="A461">
        <v>3</v>
      </c>
      <c r="B461">
        <v>1</v>
      </c>
      <c r="C461">
        <f t="shared" ca="1" si="114"/>
        <v>7</v>
      </c>
      <c r="D461">
        <f t="shared" ca="1" si="115"/>
        <v>5</v>
      </c>
      <c r="E461">
        <f t="shared" ca="1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4.8029800500000126E-6</v>
      </c>
      <c r="K461" s="1">
        <f t="shared" ca="1" si="119"/>
        <v>0</v>
      </c>
      <c r="L461" s="13">
        <f t="shared" ca="1" si="120"/>
        <v>100</v>
      </c>
      <c r="M461" s="7">
        <f t="shared" ca="1" si="121"/>
        <v>900</v>
      </c>
      <c r="N461" s="43">
        <f t="shared" ca="1" si="122"/>
        <v>7</v>
      </c>
      <c r="O461" s="92">
        <f t="shared" ca="1" si="123"/>
        <v>2.264588428134358</v>
      </c>
      <c r="P461" s="92">
        <f t="shared" ca="1" si="124"/>
        <v>22.645884281343584</v>
      </c>
      <c r="Q461" s="92">
        <f t="shared" ca="1" si="125"/>
        <v>22.645884281343584</v>
      </c>
      <c r="R461" s="92">
        <f t="shared" ca="1" si="126"/>
        <v>2.2645884281343585</v>
      </c>
      <c r="S461" s="92">
        <f t="shared" ca="1" si="127"/>
        <v>2.264588428134358</v>
      </c>
      <c r="T461" s="4">
        <f t="shared" ca="1" si="128"/>
        <v>0</v>
      </c>
      <c r="U461" s="99">
        <f t="shared" ca="1" si="129"/>
        <v>1457.2486983548911</v>
      </c>
      <c r="V461" s="4">
        <f t="shared" ca="1" si="130"/>
        <v>0</v>
      </c>
      <c r="W461" s="13">
        <f t="shared" ca="1" si="131"/>
        <v>5408.55</v>
      </c>
      <c r="X461" s="4">
        <f t="shared" ca="1" si="132"/>
        <v>0</v>
      </c>
    </row>
    <row r="462" spans="1:24">
      <c r="A462">
        <v>3</v>
      </c>
      <c r="B462">
        <v>1</v>
      </c>
      <c r="C462">
        <f t="shared" ca="1" si="114"/>
        <v>7</v>
      </c>
      <c r="D462">
        <f t="shared" ca="1" si="115"/>
        <v>5</v>
      </c>
      <c r="E462">
        <f t="shared" ca="1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9.7029900000000341E-8</v>
      </c>
      <c r="K462" s="1">
        <f t="shared" ca="1" si="119"/>
        <v>0</v>
      </c>
      <c r="L462" s="13">
        <f t="shared" ca="1" si="120"/>
        <v>100</v>
      </c>
      <c r="M462" s="7">
        <f t="shared" ca="1" si="121"/>
        <v>900</v>
      </c>
      <c r="N462" s="43">
        <f t="shared" ca="1" si="122"/>
        <v>7</v>
      </c>
      <c r="O462" s="92">
        <f t="shared" ca="1" si="123"/>
        <v>2.264588428134358</v>
      </c>
      <c r="P462" s="92">
        <f t="shared" ca="1" si="124"/>
        <v>22.645884281343584</v>
      </c>
      <c r="Q462" s="92">
        <f t="shared" ca="1" si="125"/>
        <v>22.645884281343584</v>
      </c>
      <c r="R462" s="92">
        <f t="shared" ca="1" si="126"/>
        <v>2.2645884281343585</v>
      </c>
      <c r="S462" s="92">
        <f t="shared" ca="1" si="127"/>
        <v>2.264588428134358</v>
      </c>
      <c r="T462" s="4">
        <f t="shared" ca="1" si="128"/>
        <v>0</v>
      </c>
      <c r="U462" s="99">
        <f t="shared" ca="1" si="129"/>
        <v>1457.2486983548911</v>
      </c>
      <c r="V462" s="4">
        <f t="shared" ca="1" si="130"/>
        <v>0</v>
      </c>
      <c r="W462" s="13">
        <f t="shared" ca="1" si="131"/>
        <v>4056.4124999999999</v>
      </c>
      <c r="X462" s="4">
        <f t="shared" ca="1" si="132"/>
        <v>0</v>
      </c>
    </row>
    <row r="463" spans="1:24">
      <c r="A463">
        <v>3</v>
      </c>
      <c r="B463">
        <v>1</v>
      </c>
      <c r="C463">
        <f t="shared" ca="1" si="114"/>
        <v>7</v>
      </c>
      <c r="D463">
        <f t="shared" ca="1" si="115"/>
        <v>5</v>
      </c>
      <c r="E463">
        <f t="shared" ca="1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9.801000000000045E-10</v>
      </c>
      <c r="K463" s="1">
        <f t="shared" ca="1" si="119"/>
        <v>0</v>
      </c>
      <c r="L463" s="13">
        <f t="shared" ca="1" si="120"/>
        <v>100</v>
      </c>
      <c r="M463" s="7">
        <f t="shared" ca="1" si="121"/>
        <v>900</v>
      </c>
      <c r="N463" s="43">
        <f t="shared" ca="1" si="122"/>
        <v>7</v>
      </c>
      <c r="O463" s="92">
        <f t="shared" ca="1" si="123"/>
        <v>2.264588428134358</v>
      </c>
      <c r="P463" s="92">
        <f t="shared" ca="1" si="124"/>
        <v>22.645884281343584</v>
      </c>
      <c r="Q463" s="92">
        <f t="shared" ca="1" si="125"/>
        <v>22.645884281343584</v>
      </c>
      <c r="R463" s="92">
        <f t="shared" ca="1" si="126"/>
        <v>2.2645884281343585</v>
      </c>
      <c r="S463" s="92">
        <f t="shared" ca="1" si="127"/>
        <v>2.264588428134358</v>
      </c>
      <c r="T463" s="4">
        <f t="shared" ca="1" si="128"/>
        <v>0</v>
      </c>
      <c r="U463" s="99">
        <f t="shared" ca="1" si="129"/>
        <v>1457.2486983548911</v>
      </c>
      <c r="V463" s="4">
        <f t="shared" ca="1" si="130"/>
        <v>0</v>
      </c>
      <c r="W463" s="13">
        <f t="shared" ca="1" si="131"/>
        <v>2704.2750000000001</v>
      </c>
      <c r="X463" s="4">
        <f t="shared" ca="1" si="132"/>
        <v>0</v>
      </c>
    </row>
    <row r="464" spans="1:24">
      <c r="A464">
        <v>3</v>
      </c>
      <c r="B464">
        <v>1</v>
      </c>
      <c r="C464">
        <f t="shared" ca="1" si="114"/>
        <v>7</v>
      </c>
      <c r="D464">
        <f t="shared" ca="1" si="115"/>
        <v>5</v>
      </c>
      <c r="E464">
        <f t="shared" ca="1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4.9500000000000272E-12</v>
      </c>
      <c r="K464" s="1">
        <f t="shared" ca="1" si="119"/>
        <v>0</v>
      </c>
      <c r="L464" s="13">
        <f t="shared" ca="1" si="120"/>
        <v>100</v>
      </c>
      <c r="M464" s="7">
        <f t="shared" ca="1" si="121"/>
        <v>900</v>
      </c>
      <c r="N464" s="43">
        <f t="shared" ca="1" si="122"/>
        <v>7</v>
      </c>
      <c r="O464" s="92">
        <f t="shared" ca="1" si="123"/>
        <v>2.264588428134358</v>
      </c>
      <c r="P464" s="92">
        <f t="shared" ca="1" si="124"/>
        <v>22.645884281343584</v>
      </c>
      <c r="Q464" s="92">
        <f t="shared" ca="1" si="125"/>
        <v>22.645884281343584</v>
      </c>
      <c r="R464" s="92">
        <f t="shared" ca="1" si="126"/>
        <v>2.2645884281343585</v>
      </c>
      <c r="S464" s="92">
        <f t="shared" ca="1" si="127"/>
        <v>2.264588428134358</v>
      </c>
      <c r="T464" s="4">
        <f t="shared" ca="1" si="128"/>
        <v>0</v>
      </c>
      <c r="U464" s="99">
        <f t="shared" ca="1" si="129"/>
        <v>1457.2486983548911</v>
      </c>
      <c r="V464" s="4">
        <f t="shared" ca="1" si="130"/>
        <v>0</v>
      </c>
      <c r="W464" s="13">
        <f t="shared" ca="1" si="131"/>
        <v>1352.1375</v>
      </c>
      <c r="X464" s="4">
        <f t="shared" ca="1" si="132"/>
        <v>0</v>
      </c>
    </row>
    <row r="465" spans="1:24">
      <c r="A465">
        <v>3</v>
      </c>
      <c r="B465">
        <v>1</v>
      </c>
      <c r="C465">
        <f t="shared" ca="1" si="114"/>
        <v>7</v>
      </c>
      <c r="D465">
        <f t="shared" ca="1" si="115"/>
        <v>5</v>
      </c>
      <c r="E465">
        <f t="shared" ca="1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1.0000000000000063E-14</v>
      </c>
      <c r="K465" s="1">
        <f t="shared" ca="1" si="119"/>
        <v>0</v>
      </c>
      <c r="L465" s="13">
        <f t="shared" ca="1" si="120"/>
        <v>100</v>
      </c>
      <c r="M465" s="7">
        <f t="shared" ca="1" si="121"/>
        <v>900</v>
      </c>
      <c r="N465" s="43">
        <f t="shared" ca="1" si="122"/>
        <v>7</v>
      </c>
      <c r="O465" s="92">
        <f t="shared" ca="1" si="123"/>
        <v>2.264588428134358</v>
      </c>
      <c r="P465" s="92">
        <f t="shared" ca="1" si="124"/>
        <v>22.645884281343584</v>
      </c>
      <c r="Q465" s="92">
        <f t="shared" ca="1" si="125"/>
        <v>22.645884281343584</v>
      </c>
      <c r="R465" s="92">
        <f t="shared" ca="1" si="126"/>
        <v>2.2645884281343585</v>
      </c>
      <c r="S465" s="92">
        <f t="shared" ca="1" si="127"/>
        <v>2.264588428134358</v>
      </c>
      <c r="T465" s="4">
        <f t="shared" ca="1" si="128"/>
        <v>0</v>
      </c>
      <c r="U465" s="99">
        <f t="shared" ca="1" si="129"/>
        <v>1457.2486983548911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</row>
    <row r="466" spans="1:24">
      <c r="A466">
        <v>3</v>
      </c>
      <c r="B466">
        <v>2</v>
      </c>
      <c r="C466">
        <f t="shared" ref="C466:C529" ca="1" si="133">MIN(8, 1+$B$10+$B$9+A466+B466)</f>
        <v>8</v>
      </c>
      <c r="D466">
        <f t="shared" ref="D466:D529" ca="1" si="134">C466-(1+$B$10)</f>
        <v>6</v>
      </c>
      <c r="E466">
        <f t="shared" ref="E466:E529" ca="1" si="135">MIN(A466, C466-(1+$B$10+$B$9))</f>
        <v>3</v>
      </c>
      <c r="F466" s="100">
        <f t="shared" ref="F466:F529" ca="1" si="136">IF(A466=3, $E$5, IF(A466=2, (1-$E$5)*$E$4 + (1-$E$5)*(1-$E$4)*(1-$E$3)*Set1AM3*Set1AM33, IF(A466=1, (1-$E$5)*(1-$E$4)*$E$3 + (1-$E$5)*(1-$E$4)*(1-$E$3)*Set1AM3*Set1AM32, (1-$E$5)*(1-$E$4)*(1-$E$3)*(1-Set1AM3)))) * IF($B$9+$B$10&gt;0, IF(B466=3, $E$5, IF(B466=2, (1-$E$5)*$E$4, IF(B466=1, (1-$E$5)*(1-$E$4)*$E$3, (1-$E$5)*(1-$E$4)*(1-$E$3)))), IF(B466=0, 1, 0))</f>
        <v>0</v>
      </c>
      <c r="G466">
        <v>1</v>
      </c>
      <c r="H466">
        <v>1</v>
      </c>
      <c r="I466">
        <v>7</v>
      </c>
      <c r="J466" s="1">
        <f t="shared" ref="J466:J529" ca="1" si="137">IF($B$8&lt;100%, POWER($B$8,G466)*POWER(1-$B$8, 1-G466), 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399</v>
      </c>
      <c r="M466" s="7">
        <f t="shared" ref="M466:M529" ca="1" si="140">MAX(Set1MinTP-(L466+Set1Regain), 0)</f>
        <v>601</v>
      </c>
      <c r="N466" s="43">
        <f t="shared" ref="N466:N529" ca="1" si="141">CEILING(M466/Set1MeleeTP, 1)</f>
        <v>5</v>
      </c>
      <c r="O466" s="92">
        <f t="shared" ref="O466:O529" ca="1" si="142">VLOOKUP(N466,AvgRoundsSet1,2)</f>
        <v>1.7627004516625842</v>
      </c>
      <c r="P466" s="92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17.627004516625838</v>
      </c>
      <c r="Q466" s="92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17.627004516625838</v>
      </c>
      <c r="R466" s="92">
        <f t="shared" ref="R466:R529" ca="1" si="145">(P466+Q466)/20</f>
        <v>1.7627004516625839</v>
      </c>
      <c r="S466" s="92">
        <f t="shared" ref="S466:S529" ca="1" si="146">R466*Set1ConserveTP + O466*(1-Set1ConserveTP)</f>
        <v>1.7627004516625842</v>
      </c>
      <c r="T466" s="4">
        <f t="shared" ref="T466:T529" ca="1" si="147">K466*S466</f>
        <v>0</v>
      </c>
      <c r="U466" s="99">
        <f t="shared" ref="U466:U529" ca="1" si="148">MIN(L466+(S466+Set1OverTP)*AvgHitsPerRound1*Set1MeleeTP + Set1Regain + 10.5*Set1ConserveTP, 3000)</f>
        <v>1509.8515146533105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23319.800362499998</v>
      </c>
      <c r="X466" s="4">
        <f t="shared" ref="X466:X529" ca="1" si="151">K466*W466</f>
        <v>0</v>
      </c>
    </row>
    <row r="467" spans="1:24">
      <c r="A467">
        <v>3</v>
      </c>
      <c r="B467">
        <v>2</v>
      </c>
      <c r="C467">
        <f t="shared" ca="1" si="133"/>
        <v>8</v>
      </c>
      <c r="D467">
        <f t="shared" ca="1" si="134"/>
        <v>6</v>
      </c>
      <c r="E467">
        <f t="shared" ca="1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0.92274469442791995</v>
      </c>
      <c r="K467" s="1">
        <f t="shared" ca="1" si="138"/>
        <v>0</v>
      </c>
      <c r="L467" s="13">
        <f t="shared" ca="1" si="139"/>
        <v>378</v>
      </c>
      <c r="M467" s="7">
        <f t="shared" ca="1" si="140"/>
        <v>622</v>
      </c>
      <c r="N467" s="43">
        <f t="shared" ca="1" si="141"/>
        <v>5</v>
      </c>
      <c r="O467" s="92">
        <f t="shared" ca="1" si="142"/>
        <v>1.7627004516625842</v>
      </c>
      <c r="P467" s="92">
        <f t="shared" ca="1" si="143"/>
        <v>17.627004516625838</v>
      </c>
      <c r="Q467" s="92">
        <f t="shared" ca="1" si="144"/>
        <v>17.627004516625838</v>
      </c>
      <c r="R467" s="92">
        <f t="shared" ca="1" si="145"/>
        <v>1.7627004516625839</v>
      </c>
      <c r="S467" s="92">
        <f t="shared" ca="1" si="146"/>
        <v>1.7627004516625842</v>
      </c>
      <c r="T467" s="4">
        <f t="shared" ca="1" si="147"/>
        <v>0</v>
      </c>
      <c r="U467" s="99">
        <f t="shared" ca="1" si="148"/>
        <v>1488.8515146533105</v>
      </c>
      <c r="V467" s="4">
        <f t="shared" ca="1" si="149"/>
        <v>0</v>
      </c>
      <c r="W467" s="13">
        <f t="shared" ca="1" si="150"/>
        <v>21967.662862499998</v>
      </c>
      <c r="X467" s="4">
        <f t="shared" ca="1" si="151"/>
        <v>0</v>
      </c>
    </row>
    <row r="468" spans="1:24">
      <c r="A468">
        <v>3</v>
      </c>
      <c r="B468">
        <v>2</v>
      </c>
      <c r="C468">
        <f t="shared" ca="1" si="133"/>
        <v>8</v>
      </c>
      <c r="D468">
        <f t="shared" ca="1" si="134"/>
        <v>6</v>
      </c>
      <c r="E468">
        <f t="shared" ca="1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5.5923920874419442E-2</v>
      </c>
      <c r="K468" s="1">
        <f t="shared" ca="1" si="138"/>
        <v>0</v>
      </c>
      <c r="L468" s="13">
        <f t="shared" ca="1" si="139"/>
        <v>357</v>
      </c>
      <c r="M468" s="7">
        <f t="shared" ca="1" si="140"/>
        <v>643</v>
      </c>
      <c r="N468" s="43">
        <f t="shared" ca="1" si="141"/>
        <v>5</v>
      </c>
      <c r="O468" s="92">
        <f t="shared" ca="1" si="142"/>
        <v>1.7627004516625842</v>
      </c>
      <c r="P468" s="92">
        <f t="shared" ca="1" si="143"/>
        <v>17.627004516625838</v>
      </c>
      <c r="Q468" s="92">
        <f t="shared" ca="1" si="144"/>
        <v>17.627004516625838</v>
      </c>
      <c r="R468" s="92">
        <f t="shared" ca="1" si="145"/>
        <v>1.7627004516625839</v>
      </c>
      <c r="S468" s="92">
        <f t="shared" ca="1" si="146"/>
        <v>1.7627004516625842</v>
      </c>
      <c r="T468" s="4">
        <f t="shared" ca="1" si="147"/>
        <v>0</v>
      </c>
      <c r="U468" s="99">
        <f t="shared" ca="1" si="148"/>
        <v>1467.8515146533105</v>
      </c>
      <c r="V468" s="4">
        <f t="shared" ca="1" si="149"/>
        <v>0</v>
      </c>
      <c r="W468" s="13">
        <f t="shared" ca="1" si="150"/>
        <v>20615.525362499997</v>
      </c>
      <c r="X468" s="4">
        <f t="shared" ca="1" si="151"/>
        <v>0</v>
      </c>
    </row>
    <row r="469" spans="1:24">
      <c r="A469">
        <v>3</v>
      </c>
      <c r="B469">
        <v>2</v>
      </c>
      <c r="C469">
        <f t="shared" ca="1" si="133"/>
        <v>8</v>
      </c>
      <c r="D469">
        <f t="shared" ca="1" si="134"/>
        <v>6</v>
      </c>
      <c r="E469">
        <f t="shared" ca="1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1.4122202241015026E-3</v>
      </c>
      <c r="K469" s="1">
        <f t="shared" ca="1" si="138"/>
        <v>0</v>
      </c>
      <c r="L469" s="13">
        <f t="shared" ca="1" si="139"/>
        <v>336</v>
      </c>
      <c r="M469" s="7">
        <f t="shared" ca="1" si="140"/>
        <v>664</v>
      </c>
      <c r="N469" s="43">
        <f t="shared" ca="1" si="141"/>
        <v>6</v>
      </c>
      <c r="O469" s="92">
        <f t="shared" ca="1" si="142"/>
        <v>2.003415856166523</v>
      </c>
      <c r="P469" s="92">
        <f t="shared" ca="1" si="143"/>
        <v>20.03415856166523</v>
      </c>
      <c r="Q469" s="92">
        <f t="shared" ca="1" si="144"/>
        <v>19.552727752657354</v>
      </c>
      <c r="R469" s="92">
        <f t="shared" ca="1" si="145"/>
        <v>1.9793443157161292</v>
      </c>
      <c r="S469" s="92">
        <f t="shared" ca="1" si="146"/>
        <v>2.003415856166523</v>
      </c>
      <c r="T469" s="4">
        <f t="shared" ca="1" si="147"/>
        <v>0</v>
      </c>
      <c r="U469" s="99">
        <f t="shared" ca="1" si="148"/>
        <v>1565.0284794818213</v>
      </c>
      <c r="V469" s="4">
        <f t="shared" ca="1" si="149"/>
        <v>0</v>
      </c>
      <c r="W469" s="13">
        <f t="shared" ca="1" si="150"/>
        <v>19263.3878625</v>
      </c>
      <c r="X469" s="4">
        <f t="shared" ca="1" si="151"/>
        <v>0</v>
      </c>
    </row>
    <row r="470" spans="1:24">
      <c r="A470">
        <v>3</v>
      </c>
      <c r="B470">
        <v>2</v>
      </c>
      <c r="C470">
        <f t="shared" ca="1" si="133"/>
        <v>8</v>
      </c>
      <c r="D470">
        <f t="shared" ca="1" si="134"/>
        <v>6</v>
      </c>
      <c r="E470">
        <f t="shared" ca="1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1.9019800998000047E-5</v>
      </c>
      <c r="K470" s="1">
        <f t="shared" ca="1" si="138"/>
        <v>0</v>
      </c>
      <c r="L470" s="13">
        <f t="shared" ca="1" si="139"/>
        <v>315</v>
      </c>
      <c r="M470" s="7">
        <f t="shared" ca="1" si="140"/>
        <v>685</v>
      </c>
      <c r="N470" s="43">
        <f t="shared" ca="1" si="141"/>
        <v>6</v>
      </c>
      <c r="O470" s="92">
        <f t="shared" ca="1" si="142"/>
        <v>2.003415856166523</v>
      </c>
      <c r="P470" s="92">
        <f t="shared" ca="1" si="143"/>
        <v>20.03415856166523</v>
      </c>
      <c r="Q470" s="92">
        <f t="shared" ca="1" si="144"/>
        <v>20.03415856166523</v>
      </c>
      <c r="R470" s="92">
        <f t="shared" ca="1" si="145"/>
        <v>2.003415856166523</v>
      </c>
      <c r="S470" s="92">
        <f t="shared" ca="1" si="146"/>
        <v>2.003415856166523</v>
      </c>
      <c r="T470" s="4">
        <f t="shared" ca="1" si="147"/>
        <v>0</v>
      </c>
      <c r="U470" s="99">
        <f t="shared" ca="1" si="148"/>
        <v>1544.0284794818213</v>
      </c>
      <c r="V470" s="4">
        <f t="shared" ca="1" si="149"/>
        <v>0</v>
      </c>
      <c r="W470" s="13">
        <f t="shared" ca="1" si="150"/>
        <v>17911.250362499999</v>
      </c>
      <c r="X470" s="4">
        <f t="shared" ca="1" si="151"/>
        <v>0</v>
      </c>
    </row>
    <row r="471" spans="1:24">
      <c r="A471">
        <v>3</v>
      </c>
      <c r="B471">
        <v>2</v>
      </c>
      <c r="C471">
        <f t="shared" ca="1" si="133"/>
        <v>8</v>
      </c>
      <c r="D471">
        <f t="shared" ca="1" si="134"/>
        <v>6</v>
      </c>
      <c r="E471">
        <f t="shared" ca="1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1.4408940150000054E-7</v>
      </c>
      <c r="K471" s="1">
        <f t="shared" ca="1" si="138"/>
        <v>0</v>
      </c>
      <c r="L471" s="13">
        <f t="shared" ca="1" si="139"/>
        <v>294</v>
      </c>
      <c r="M471" s="7">
        <f t="shared" ca="1" si="140"/>
        <v>706</v>
      </c>
      <c r="N471" s="43">
        <f t="shared" ca="1" si="141"/>
        <v>6</v>
      </c>
      <c r="O471" s="92">
        <f t="shared" ca="1" si="142"/>
        <v>2.003415856166523</v>
      </c>
      <c r="P471" s="92">
        <f t="shared" ca="1" si="143"/>
        <v>20.03415856166523</v>
      </c>
      <c r="Q471" s="92">
        <f t="shared" ca="1" si="144"/>
        <v>20.03415856166523</v>
      </c>
      <c r="R471" s="92">
        <f t="shared" ca="1" si="145"/>
        <v>2.003415856166523</v>
      </c>
      <c r="S471" s="92">
        <f t="shared" ca="1" si="146"/>
        <v>2.003415856166523</v>
      </c>
      <c r="T471" s="4">
        <f t="shared" ca="1" si="147"/>
        <v>0</v>
      </c>
      <c r="U471" s="99">
        <f t="shared" ca="1" si="148"/>
        <v>1523.0284794818213</v>
      </c>
      <c r="V471" s="4">
        <f t="shared" ca="1" si="149"/>
        <v>0</v>
      </c>
      <c r="W471" s="13">
        <f t="shared" ca="1" si="150"/>
        <v>16559.112862499998</v>
      </c>
      <c r="X471" s="4">
        <f t="shared" ca="1" si="151"/>
        <v>0</v>
      </c>
    </row>
    <row r="472" spans="1:24">
      <c r="A472">
        <v>3</v>
      </c>
      <c r="B472">
        <v>2</v>
      </c>
      <c r="C472">
        <f t="shared" ca="1" si="133"/>
        <v>8</v>
      </c>
      <c r="D472">
        <f t="shared" ca="1" si="134"/>
        <v>6</v>
      </c>
      <c r="E472">
        <f t="shared" ca="1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5.8217940000000265E-10</v>
      </c>
      <c r="K472" s="1">
        <f t="shared" ca="1" si="138"/>
        <v>0</v>
      </c>
      <c r="L472" s="13">
        <f t="shared" ca="1" si="139"/>
        <v>273</v>
      </c>
      <c r="M472" s="7">
        <f t="shared" ca="1" si="140"/>
        <v>727</v>
      </c>
      <c r="N472" s="43">
        <f t="shared" ca="1" si="141"/>
        <v>6</v>
      </c>
      <c r="O472" s="92">
        <f t="shared" ca="1" si="142"/>
        <v>2.003415856166523</v>
      </c>
      <c r="P472" s="92">
        <f t="shared" ca="1" si="143"/>
        <v>20.03415856166523</v>
      </c>
      <c r="Q472" s="92">
        <f t="shared" ca="1" si="144"/>
        <v>20.03415856166523</v>
      </c>
      <c r="R472" s="92">
        <f t="shared" ca="1" si="145"/>
        <v>2.003415856166523</v>
      </c>
      <c r="S472" s="92">
        <f t="shared" ca="1" si="146"/>
        <v>2.003415856166523</v>
      </c>
      <c r="T472" s="4">
        <f t="shared" ca="1" si="147"/>
        <v>0</v>
      </c>
      <c r="U472" s="99">
        <f t="shared" ca="1" si="148"/>
        <v>1502.0284794818213</v>
      </c>
      <c r="V472" s="4">
        <f t="shared" ca="1" si="149"/>
        <v>0</v>
      </c>
      <c r="W472" s="13">
        <f t="shared" ca="1" si="150"/>
        <v>15206.975362499999</v>
      </c>
      <c r="X472" s="4">
        <f t="shared" ca="1" si="151"/>
        <v>0</v>
      </c>
    </row>
    <row r="473" spans="1:24">
      <c r="A473">
        <v>3</v>
      </c>
      <c r="B473">
        <v>2</v>
      </c>
      <c r="C473">
        <f t="shared" ca="1" si="133"/>
        <v>8</v>
      </c>
      <c r="D473">
        <f t="shared" ca="1" si="134"/>
        <v>6</v>
      </c>
      <c r="E473">
        <f t="shared" ca="1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9.8010000000000529E-13</v>
      </c>
      <c r="K473" s="1">
        <f t="shared" ca="1" si="138"/>
        <v>0</v>
      </c>
      <c r="L473" s="13">
        <f t="shared" ca="1" si="139"/>
        <v>252</v>
      </c>
      <c r="M473" s="7">
        <f t="shared" ca="1" si="140"/>
        <v>748</v>
      </c>
      <c r="N473" s="43">
        <f t="shared" ca="1" si="141"/>
        <v>6</v>
      </c>
      <c r="O473" s="92">
        <f t="shared" ca="1" si="142"/>
        <v>2.003415856166523</v>
      </c>
      <c r="P473" s="92">
        <f t="shared" ca="1" si="143"/>
        <v>20.03415856166523</v>
      </c>
      <c r="Q473" s="92">
        <f t="shared" ca="1" si="144"/>
        <v>20.03415856166523</v>
      </c>
      <c r="R473" s="92">
        <f t="shared" ca="1" si="145"/>
        <v>2.003415856166523</v>
      </c>
      <c r="S473" s="92">
        <f t="shared" ca="1" si="146"/>
        <v>2.003415856166523</v>
      </c>
      <c r="T473" s="4">
        <f t="shared" ca="1" si="147"/>
        <v>0</v>
      </c>
      <c r="U473" s="99">
        <f t="shared" ca="1" si="148"/>
        <v>1481.0284794818213</v>
      </c>
      <c r="V473" s="4">
        <f t="shared" ca="1" si="149"/>
        <v>0</v>
      </c>
      <c r="W473" s="13">
        <f t="shared" ca="1" si="150"/>
        <v>13854.837862499999</v>
      </c>
      <c r="X473" s="4">
        <f t="shared" ca="1" si="151"/>
        <v>0</v>
      </c>
    </row>
    <row r="474" spans="1:24">
      <c r="A474">
        <v>3</v>
      </c>
      <c r="B474">
        <v>2</v>
      </c>
      <c r="C474">
        <f t="shared" ca="1" si="133"/>
        <v>8</v>
      </c>
      <c r="D474">
        <f t="shared" ca="1" si="134"/>
        <v>6</v>
      </c>
      <c r="E474">
        <f t="shared" ca="1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273</v>
      </c>
      <c r="M474" s="7">
        <f t="shared" ca="1" si="140"/>
        <v>727</v>
      </c>
      <c r="N474" s="43">
        <f t="shared" ca="1" si="141"/>
        <v>6</v>
      </c>
      <c r="O474" s="92">
        <f t="shared" ca="1" si="142"/>
        <v>2.003415856166523</v>
      </c>
      <c r="P474" s="92">
        <f t="shared" ca="1" si="143"/>
        <v>20.03415856166523</v>
      </c>
      <c r="Q474" s="92">
        <f t="shared" ca="1" si="144"/>
        <v>20.03415856166523</v>
      </c>
      <c r="R474" s="92">
        <f t="shared" ca="1" si="145"/>
        <v>2.003415856166523</v>
      </c>
      <c r="S474" s="92">
        <f t="shared" ca="1" si="146"/>
        <v>2.003415856166523</v>
      </c>
      <c r="T474" s="4">
        <f t="shared" ca="1" si="147"/>
        <v>0</v>
      </c>
      <c r="U474" s="99">
        <f t="shared" ca="1" si="148"/>
        <v>1502.0284794818213</v>
      </c>
      <c r="V474" s="4">
        <f t="shared" ca="1" si="149"/>
        <v>0</v>
      </c>
      <c r="W474" s="13">
        <f t="shared" ca="1" si="150"/>
        <v>21932.249737499998</v>
      </c>
      <c r="X474" s="4">
        <f t="shared" ca="1" si="151"/>
        <v>0</v>
      </c>
    </row>
    <row r="475" spans="1:24">
      <c r="A475">
        <v>3</v>
      </c>
      <c r="B475">
        <v>2</v>
      </c>
      <c r="C475">
        <f t="shared" ca="1" si="133"/>
        <v>8</v>
      </c>
      <c r="D475">
        <f t="shared" ca="1" si="134"/>
        <v>6</v>
      </c>
      <c r="E475">
        <f t="shared" ca="1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9.3206534790699087E-3</v>
      </c>
      <c r="K475" s="1">
        <f t="shared" ca="1" si="138"/>
        <v>0</v>
      </c>
      <c r="L475" s="13">
        <f t="shared" ca="1" si="139"/>
        <v>252</v>
      </c>
      <c r="M475" s="7">
        <f t="shared" ca="1" si="140"/>
        <v>748</v>
      </c>
      <c r="N475" s="43">
        <f t="shared" ca="1" si="141"/>
        <v>6</v>
      </c>
      <c r="O475" s="92">
        <f t="shared" ca="1" si="142"/>
        <v>2.003415856166523</v>
      </c>
      <c r="P475" s="92">
        <f t="shared" ca="1" si="143"/>
        <v>20.03415856166523</v>
      </c>
      <c r="Q475" s="92">
        <f t="shared" ca="1" si="144"/>
        <v>20.03415856166523</v>
      </c>
      <c r="R475" s="92">
        <f t="shared" ca="1" si="145"/>
        <v>2.003415856166523</v>
      </c>
      <c r="S475" s="92">
        <f t="shared" ca="1" si="146"/>
        <v>2.003415856166523</v>
      </c>
      <c r="T475" s="4">
        <f t="shared" ca="1" si="147"/>
        <v>0</v>
      </c>
      <c r="U475" s="99">
        <f t="shared" ca="1" si="148"/>
        <v>1481.0284794818213</v>
      </c>
      <c r="V475" s="4">
        <f t="shared" ca="1" si="149"/>
        <v>0</v>
      </c>
      <c r="W475" s="13">
        <f t="shared" ca="1" si="150"/>
        <v>20580.112237499998</v>
      </c>
      <c r="X475" s="4">
        <f t="shared" ca="1" si="151"/>
        <v>0</v>
      </c>
    </row>
    <row r="476" spans="1:24">
      <c r="A476">
        <v>3</v>
      </c>
      <c r="B476">
        <v>2</v>
      </c>
      <c r="C476">
        <f t="shared" ca="1" si="133"/>
        <v>8</v>
      </c>
      <c r="D476">
        <f t="shared" ca="1" si="134"/>
        <v>6</v>
      </c>
      <c r="E476">
        <f t="shared" ca="1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5.6488808964060098E-4</v>
      </c>
      <c r="K476" s="1">
        <f t="shared" ca="1" si="138"/>
        <v>0</v>
      </c>
      <c r="L476" s="13">
        <f t="shared" ca="1" si="139"/>
        <v>231</v>
      </c>
      <c r="M476" s="7">
        <f t="shared" ca="1" si="140"/>
        <v>769</v>
      </c>
      <c r="N476" s="43">
        <f t="shared" ca="1" si="141"/>
        <v>6</v>
      </c>
      <c r="O476" s="92">
        <f t="shared" ca="1" si="142"/>
        <v>2.003415856166523</v>
      </c>
      <c r="P476" s="92">
        <f t="shared" ca="1" si="143"/>
        <v>20.03415856166523</v>
      </c>
      <c r="Q476" s="92">
        <f t="shared" ca="1" si="144"/>
        <v>20.03415856166523</v>
      </c>
      <c r="R476" s="92">
        <f t="shared" ca="1" si="145"/>
        <v>2.003415856166523</v>
      </c>
      <c r="S476" s="92">
        <f t="shared" ca="1" si="146"/>
        <v>2.003415856166523</v>
      </c>
      <c r="T476" s="4">
        <f t="shared" ca="1" si="147"/>
        <v>0</v>
      </c>
      <c r="U476" s="99">
        <f t="shared" ca="1" si="148"/>
        <v>1460.0284794818213</v>
      </c>
      <c r="V476" s="4">
        <f t="shared" ca="1" si="149"/>
        <v>0</v>
      </c>
      <c r="W476" s="13">
        <f t="shared" ca="1" si="150"/>
        <v>19227.974737500001</v>
      </c>
      <c r="X476" s="4">
        <f t="shared" ca="1" si="151"/>
        <v>0</v>
      </c>
    </row>
    <row r="477" spans="1:24">
      <c r="A477">
        <v>3</v>
      </c>
      <c r="B477">
        <v>2</v>
      </c>
      <c r="C477">
        <f t="shared" ca="1" si="133"/>
        <v>8</v>
      </c>
      <c r="D477">
        <f t="shared" ca="1" si="134"/>
        <v>6</v>
      </c>
      <c r="E477">
        <f t="shared" ca="1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1.426485074850004E-5</v>
      </c>
      <c r="K477" s="1">
        <f t="shared" ca="1" si="138"/>
        <v>0</v>
      </c>
      <c r="L477" s="13">
        <f t="shared" ca="1" si="139"/>
        <v>210</v>
      </c>
      <c r="M477" s="7">
        <f t="shared" ca="1" si="140"/>
        <v>790</v>
      </c>
      <c r="N477" s="43">
        <f t="shared" ca="1" si="141"/>
        <v>7</v>
      </c>
      <c r="O477" s="92">
        <f t="shared" ca="1" si="142"/>
        <v>2.264588428134358</v>
      </c>
      <c r="P477" s="92">
        <f t="shared" ca="1" si="143"/>
        <v>22.645884281343584</v>
      </c>
      <c r="Q477" s="92">
        <f t="shared" ca="1" si="144"/>
        <v>21.340021421504403</v>
      </c>
      <c r="R477" s="92">
        <f t="shared" ca="1" si="145"/>
        <v>2.1992952851423992</v>
      </c>
      <c r="S477" s="92">
        <f t="shared" ca="1" si="146"/>
        <v>2.264588428134358</v>
      </c>
      <c r="T477" s="4">
        <f t="shared" ca="1" si="147"/>
        <v>0</v>
      </c>
      <c r="U477" s="99">
        <f t="shared" ca="1" si="148"/>
        <v>1567.2486983548911</v>
      </c>
      <c r="V477" s="4">
        <f t="shared" ca="1" si="149"/>
        <v>0</v>
      </c>
      <c r="W477" s="13">
        <f t="shared" ca="1" si="150"/>
        <v>17875.8372375</v>
      </c>
      <c r="X477" s="4">
        <f t="shared" ca="1" si="151"/>
        <v>0</v>
      </c>
    </row>
    <row r="478" spans="1:24">
      <c r="A478">
        <v>3</v>
      </c>
      <c r="B478">
        <v>2</v>
      </c>
      <c r="C478">
        <f t="shared" ca="1" si="133"/>
        <v>8</v>
      </c>
      <c r="D478">
        <f t="shared" ca="1" si="134"/>
        <v>6</v>
      </c>
      <c r="E478">
        <f t="shared" ca="1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1.9211920200000068E-7</v>
      </c>
      <c r="K478" s="1">
        <f t="shared" ca="1" si="138"/>
        <v>0</v>
      </c>
      <c r="L478" s="13">
        <f t="shared" ca="1" si="139"/>
        <v>189</v>
      </c>
      <c r="M478" s="7">
        <f t="shared" ca="1" si="140"/>
        <v>811</v>
      </c>
      <c r="N478" s="43">
        <f t="shared" ca="1" si="141"/>
        <v>7</v>
      </c>
      <c r="O478" s="92">
        <f t="shared" ca="1" si="142"/>
        <v>2.264588428134358</v>
      </c>
      <c r="P478" s="92">
        <f t="shared" ca="1" si="143"/>
        <v>22.645884281343584</v>
      </c>
      <c r="Q478" s="92">
        <f t="shared" ca="1" si="144"/>
        <v>22.645884281343584</v>
      </c>
      <c r="R478" s="92">
        <f t="shared" ca="1" si="145"/>
        <v>2.2645884281343585</v>
      </c>
      <c r="S478" s="92">
        <f t="shared" ca="1" si="146"/>
        <v>2.264588428134358</v>
      </c>
      <c r="T478" s="4">
        <f t="shared" ca="1" si="147"/>
        <v>0</v>
      </c>
      <c r="U478" s="99">
        <f t="shared" ca="1" si="148"/>
        <v>1546.2486983548911</v>
      </c>
      <c r="V478" s="4">
        <f t="shared" ca="1" si="149"/>
        <v>0</v>
      </c>
      <c r="W478" s="13">
        <f t="shared" ca="1" si="150"/>
        <v>16523.699737499999</v>
      </c>
      <c r="X478" s="4">
        <f t="shared" ca="1" si="151"/>
        <v>0</v>
      </c>
    </row>
    <row r="479" spans="1:24">
      <c r="A479">
        <v>3</v>
      </c>
      <c r="B479">
        <v>2</v>
      </c>
      <c r="C479">
        <f t="shared" ca="1" si="133"/>
        <v>8</v>
      </c>
      <c r="D479">
        <f t="shared" ca="1" si="134"/>
        <v>6</v>
      </c>
      <c r="E479">
        <f t="shared" ca="1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1.4554485000000069E-9</v>
      </c>
      <c r="K479" s="1">
        <f t="shared" ca="1" si="138"/>
        <v>0</v>
      </c>
      <c r="L479" s="13">
        <f t="shared" ca="1" si="139"/>
        <v>168</v>
      </c>
      <c r="M479" s="7">
        <f t="shared" ca="1" si="140"/>
        <v>832</v>
      </c>
      <c r="N479" s="43">
        <f t="shared" ca="1" si="141"/>
        <v>7</v>
      </c>
      <c r="O479" s="92">
        <f t="shared" ca="1" si="142"/>
        <v>2.264588428134358</v>
      </c>
      <c r="P479" s="92">
        <f t="shared" ca="1" si="143"/>
        <v>22.645884281343584</v>
      </c>
      <c r="Q479" s="92">
        <f t="shared" ca="1" si="144"/>
        <v>22.645884281343584</v>
      </c>
      <c r="R479" s="92">
        <f t="shared" ca="1" si="145"/>
        <v>2.2645884281343585</v>
      </c>
      <c r="S479" s="92">
        <f t="shared" ca="1" si="146"/>
        <v>2.264588428134358</v>
      </c>
      <c r="T479" s="4">
        <f t="shared" ca="1" si="147"/>
        <v>0</v>
      </c>
      <c r="U479" s="99">
        <f t="shared" ca="1" si="148"/>
        <v>1525.2486983548911</v>
      </c>
      <c r="V479" s="4">
        <f t="shared" ca="1" si="149"/>
        <v>0</v>
      </c>
      <c r="W479" s="13">
        <f t="shared" ca="1" si="150"/>
        <v>15171.562237499998</v>
      </c>
      <c r="X479" s="4">
        <f t="shared" ca="1" si="151"/>
        <v>0</v>
      </c>
    </row>
    <row r="480" spans="1:24">
      <c r="A480">
        <v>3</v>
      </c>
      <c r="B480">
        <v>2</v>
      </c>
      <c r="C480">
        <f t="shared" ca="1" si="133"/>
        <v>8</v>
      </c>
      <c r="D480">
        <f t="shared" ca="1" si="134"/>
        <v>6</v>
      </c>
      <c r="E480">
        <f t="shared" ca="1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5.8806000000000321E-12</v>
      </c>
      <c r="K480" s="1">
        <f t="shared" ca="1" si="138"/>
        <v>0</v>
      </c>
      <c r="L480" s="13">
        <f t="shared" ca="1" si="139"/>
        <v>147</v>
      </c>
      <c r="M480" s="7">
        <f t="shared" ca="1" si="140"/>
        <v>853</v>
      </c>
      <c r="N480" s="43">
        <f t="shared" ca="1" si="141"/>
        <v>7</v>
      </c>
      <c r="O480" s="92">
        <f t="shared" ca="1" si="142"/>
        <v>2.264588428134358</v>
      </c>
      <c r="P480" s="92">
        <f t="shared" ca="1" si="143"/>
        <v>22.645884281343584</v>
      </c>
      <c r="Q480" s="92">
        <f t="shared" ca="1" si="144"/>
        <v>22.645884281343584</v>
      </c>
      <c r="R480" s="92">
        <f t="shared" ca="1" si="145"/>
        <v>2.2645884281343585</v>
      </c>
      <c r="S480" s="92">
        <f t="shared" ca="1" si="146"/>
        <v>2.264588428134358</v>
      </c>
      <c r="T480" s="4">
        <f t="shared" ca="1" si="147"/>
        <v>0</v>
      </c>
      <c r="U480" s="99">
        <f t="shared" ca="1" si="148"/>
        <v>1504.2486983548911</v>
      </c>
      <c r="V480" s="4">
        <f t="shared" ca="1" si="149"/>
        <v>0</v>
      </c>
      <c r="W480" s="13">
        <f t="shared" ca="1" si="150"/>
        <v>13819.4247375</v>
      </c>
      <c r="X480" s="4">
        <f t="shared" ca="1" si="151"/>
        <v>0</v>
      </c>
    </row>
    <row r="481" spans="1:24">
      <c r="A481">
        <v>3</v>
      </c>
      <c r="B481">
        <v>2</v>
      </c>
      <c r="C481">
        <f t="shared" ca="1" si="133"/>
        <v>8</v>
      </c>
      <c r="D481">
        <f t="shared" ca="1" si="134"/>
        <v>6</v>
      </c>
      <c r="E481">
        <f t="shared" ca="1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9.9000000000000638E-15</v>
      </c>
      <c r="K481" s="1">
        <f t="shared" ca="1" si="138"/>
        <v>0</v>
      </c>
      <c r="L481" s="13">
        <f t="shared" ca="1" si="139"/>
        <v>126</v>
      </c>
      <c r="M481" s="7">
        <f t="shared" ca="1" si="140"/>
        <v>874</v>
      </c>
      <c r="N481" s="43">
        <f t="shared" ca="1" si="141"/>
        <v>7</v>
      </c>
      <c r="O481" s="92">
        <f t="shared" ca="1" si="142"/>
        <v>2.264588428134358</v>
      </c>
      <c r="P481" s="92">
        <f t="shared" ca="1" si="143"/>
        <v>22.645884281343584</v>
      </c>
      <c r="Q481" s="92">
        <f t="shared" ca="1" si="144"/>
        <v>22.645884281343584</v>
      </c>
      <c r="R481" s="92">
        <f t="shared" ca="1" si="145"/>
        <v>2.2645884281343585</v>
      </c>
      <c r="S481" s="92">
        <f t="shared" ca="1" si="146"/>
        <v>2.264588428134358</v>
      </c>
      <c r="T481" s="4">
        <f t="shared" ca="1" si="147"/>
        <v>0</v>
      </c>
      <c r="U481" s="99">
        <f t="shared" ca="1" si="148"/>
        <v>1483.2486983548911</v>
      </c>
      <c r="V481" s="4">
        <f t="shared" ca="1" si="149"/>
        <v>0</v>
      </c>
      <c r="W481" s="13">
        <f t="shared" ca="1" si="150"/>
        <v>12467.287237499999</v>
      </c>
      <c r="X481" s="4">
        <f t="shared" ca="1" si="151"/>
        <v>0</v>
      </c>
    </row>
    <row r="482" spans="1:24">
      <c r="A482">
        <v>3</v>
      </c>
      <c r="B482">
        <v>2</v>
      </c>
      <c r="C482">
        <f t="shared" ca="1" si="133"/>
        <v>8</v>
      </c>
      <c r="D482">
        <f t="shared" ca="1" si="134"/>
        <v>6</v>
      </c>
      <c r="E482">
        <f t="shared" ca="1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273</v>
      </c>
      <c r="M482" s="7">
        <f t="shared" ca="1" si="140"/>
        <v>727</v>
      </c>
      <c r="N482" s="43">
        <f t="shared" ca="1" si="141"/>
        <v>6</v>
      </c>
      <c r="O482" s="92">
        <f t="shared" ca="1" si="142"/>
        <v>2.003415856166523</v>
      </c>
      <c r="P482" s="92">
        <f t="shared" ca="1" si="143"/>
        <v>20.03415856166523</v>
      </c>
      <c r="Q482" s="92">
        <f t="shared" ca="1" si="144"/>
        <v>20.03415856166523</v>
      </c>
      <c r="R482" s="92">
        <f t="shared" ca="1" si="145"/>
        <v>2.003415856166523</v>
      </c>
      <c r="S482" s="92">
        <f t="shared" ca="1" si="146"/>
        <v>2.003415856166523</v>
      </c>
      <c r="T482" s="4">
        <f t="shared" ca="1" si="147"/>
        <v>0</v>
      </c>
      <c r="U482" s="99">
        <f t="shared" ca="1" si="148"/>
        <v>1502.0284794818213</v>
      </c>
      <c r="V482" s="4">
        <f t="shared" ca="1" si="149"/>
        <v>0</v>
      </c>
      <c r="W482" s="13">
        <f t="shared" ca="1" si="150"/>
        <v>10852.513124999999</v>
      </c>
      <c r="X482" s="4">
        <f t="shared" ca="1" si="151"/>
        <v>0</v>
      </c>
    </row>
    <row r="483" spans="1:24">
      <c r="A483">
        <v>3</v>
      </c>
      <c r="B483">
        <v>2</v>
      </c>
      <c r="C483">
        <f t="shared" ca="1" si="133"/>
        <v>8</v>
      </c>
      <c r="D483">
        <f t="shared" ca="1" si="134"/>
        <v>6</v>
      </c>
      <c r="E483">
        <f t="shared" ca="1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9.3206534790699087E-3</v>
      </c>
      <c r="K483" s="1">
        <f t="shared" ca="1" si="138"/>
        <v>0</v>
      </c>
      <c r="L483" s="13">
        <f t="shared" ca="1" si="139"/>
        <v>252</v>
      </c>
      <c r="M483" s="7">
        <f t="shared" ca="1" si="140"/>
        <v>748</v>
      </c>
      <c r="N483" s="43">
        <f t="shared" ca="1" si="141"/>
        <v>6</v>
      </c>
      <c r="O483" s="92">
        <f t="shared" ca="1" si="142"/>
        <v>2.003415856166523</v>
      </c>
      <c r="P483" s="92">
        <f t="shared" ca="1" si="143"/>
        <v>20.03415856166523</v>
      </c>
      <c r="Q483" s="92">
        <f t="shared" ca="1" si="144"/>
        <v>20.03415856166523</v>
      </c>
      <c r="R483" s="92">
        <f t="shared" ca="1" si="145"/>
        <v>2.003415856166523</v>
      </c>
      <c r="S483" s="92">
        <f t="shared" ca="1" si="146"/>
        <v>2.003415856166523</v>
      </c>
      <c r="T483" s="4">
        <f t="shared" ca="1" si="147"/>
        <v>0</v>
      </c>
      <c r="U483" s="99">
        <f t="shared" ca="1" si="148"/>
        <v>1481.0284794818213</v>
      </c>
      <c r="V483" s="4">
        <f t="shared" ca="1" si="149"/>
        <v>0</v>
      </c>
      <c r="W483" s="13">
        <f t="shared" ca="1" si="150"/>
        <v>9500.3756250000006</v>
      </c>
      <c r="X483" s="4">
        <f t="shared" ca="1" si="151"/>
        <v>0</v>
      </c>
    </row>
    <row r="484" spans="1:24">
      <c r="A484">
        <v>3</v>
      </c>
      <c r="B484">
        <v>2</v>
      </c>
      <c r="C484">
        <f t="shared" ca="1" si="133"/>
        <v>8</v>
      </c>
      <c r="D484">
        <f t="shared" ca="1" si="134"/>
        <v>6</v>
      </c>
      <c r="E484">
        <f t="shared" ca="1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5.6488808964060098E-4</v>
      </c>
      <c r="K484" s="1">
        <f t="shared" ca="1" si="138"/>
        <v>0</v>
      </c>
      <c r="L484" s="13">
        <f t="shared" ca="1" si="139"/>
        <v>231</v>
      </c>
      <c r="M484" s="7">
        <f t="shared" ca="1" si="140"/>
        <v>769</v>
      </c>
      <c r="N484" s="43">
        <f t="shared" ca="1" si="141"/>
        <v>6</v>
      </c>
      <c r="O484" s="92">
        <f t="shared" ca="1" si="142"/>
        <v>2.003415856166523</v>
      </c>
      <c r="P484" s="92">
        <f t="shared" ca="1" si="143"/>
        <v>20.03415856166523</v>
      </c>
      <c r="Q484" s="92">
        <f t="shared" ca="1" si="144"/>
        <v>20.03415856166523</v>
      </c>
      <c r="R484" s="92">
        <f t="shared" ca="1" si="145"/>
        <v>2.003415856166523</v>
      </c>
      <c r="S484" s="92">
        <f t="shared" ca="1" si="146"/>
        <v>2.003415856166523</v>
      </c>
      <c r="T484" s="4">
        <f t="shared" ca="1" si="147"/>
        <v>0</v>
      </c>
      <c r="U484" s="99">
        <f t="shared" ca="1" si="148"/>
        <v>1460.0284794818213</v>
      </c>
      <c r="V484" s="4">
        <f t="shared" ca="1" si="149"/>
        <v>0</v>
      </c>
      <c r="W484" s="13">
        <f t="shared" ca="1" si="150"/>
        <v>8148.2381249999999</v>
      </c>
      <c r="X484" s="4">
        <f t="shared" ca="1" si="151"/>
        <v>0</v>
      </c>
    </row>
    <row r="485" spans="1:24">
      <c r="A485">
        <v>3</v>
      </c>
      <c r="B485">
        <v>2</v>
      </c>
      <c r="C485">
        <f t="shared" ca="1" si="133"/>
        <v>8</v>
      </c>
      <c r="D485">
        <f t="shared" ca="1" si="134"/>
        <v>6</v>
      </c>
      <c r="E485">
        <f t="shared" ca="1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1.426485074850004E-5</v>
      </c>
      <c r="K485" s="1">
        <f t="shared" ca="1" si="138"/>
        <v>0</v>
      </c>
      <c r="L485" s="13">
        <f t="shared" ca="1" si="139"/>
        <v>210</v>
      </c>
      <c r="M485" s="7">
        <f t="shared" ca="1" si="140"/>
        <v>790</v>
      </c>
      <c r="N485" s="43">
        <f t="shared" ca="1" si="141"/>
        <v>7</v>
      </c>
      <c r="O485" s="92">
        <f t="shared" ca="1" si="142"/>
        <v>2.264588428134358</v>
      </c>
      <c r="P485" s="92">
        <f t="shared" ca="1" si="143"/>
        <v>22.645884281343584</v>
      </c>
      <c r="Q485" s="92">
        <f t="shared" ca="1" si="144"/>
        <v>21.340021421504403</v>
      </c>
      <c r="R485" s="92">
        <f t="shared" ca="1" si="145"/>
        <v>2.1992952851423992</v>
      </c>
      <c r="S485" s="92">
        <f t="shared" ca="1" si="146"/>
        <v>2.264588428134358</v>
      </c>
      <c r="T485" s="4">
        <f t="shared" ca="1" si="147"/>
        <v>0</v>
      </c>
      <c r="U485" s="99">
        <f t="shared" ca="1" si="148"/>
        <v>1567.2486983548911</v>
      </c>
      <c r="V485" s="4">
        <f t="shared" ca="1" si="149"/>
        <v>0</v>
      </c>
      <c r="W485" s="13">
        <f t="shared" ca="1" si="150"/>
        <v>6796.100625</v>
      </c>
      <c r="X485" s="4">
        <f t="shared" ca="1" si="151"/>
        <v>0</v>
      </c>
    </row>
    <row r="486" spans="1:24">
      <c r="A486">
        <v>3</v>
      </c>
      <c r="B486">
        <v>2</v>
      </c>
      <c r="C486">
        <f t="shared" ca="1" si="133"/>
        <v>8</v>
      </c>
      <c r="D486">
        <f t="shared" ca="1" si="134"/>
        <v>6</v>
      </c>
      <c r="E486">
        <f t="shared" ca="1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1.9211920200000068E-7</v>
      </c>
      <c r="K486" s="1">
        <f t="shared" ca="1" si="138"/>
        <v>0</v>
      </c>
      <c r="L486" s="13">
        <f t="shared" ca="1" si="139"/>
        <v>189</v>
      </c>
      <c r="M486" s="7">
        <f t="shared" ca="1" si="140"/>
        <v>811</v>
      </c>
      <c r="N486" s="43">
        <f t="shared" ca="1" si="141"/>
        <v>7</v>
      </c>
      <c r="O486" s="92">
        <f t="shared" ca="1" si="142"/>
        <v>2.264588428134358</v>
      </c>
      <c r="P486" s="92">
        <f t="shared" ca="1" si="143"/>
        <v>22.645884281343584</v>
      </c>
      <c r="Q486" s="92">
        <f t="shared" ca="1" si="144"/>
        <v>22.645884281343584</v>
      </c>
      <c r="R486" s="92">
        <f t="shared" ca="1" si="145"/>
        <v>2.2645884281343585</v>
      </c>
      <c r="S486" s="92">
        <f t="shared" ca="1" si="146"/>
        <v>2.264588428134358</v>
      </c>
      <c r="T486" s="4">
        <f t="shared" ca="1" si="147"/>
        <v>0</v>
      </c>
      <c r="U486" s="99">
        <f t="shared" ca="1" si="148"/>
        <v>1546.2486983548911</v>
      </c>
      <c r="V486" s="4">
        <f t="shared" ca="1" si="149"/>
        <v>0</v>
      </c>
      <c r="W486" s="13">
        <f t="shared" ca="1" si="150"/>
        <v>5443.9631250000002</v>
      </c>
      <c r="X486" s="4">
        <f t="shared" ca="1" si="151"/>
        <v>0</v>
      </c>
    </row>
    <row r="487" spans="1:24">
      <c r="A487">
        <v>3</v>
      </c>
      <c r="B487">
        <v>2</v>
      </c>
      <c r="C487">
        <f t="shared" ca="1" si="133"/>
        <v>8</v>
      </c>
      <c r="D487">
        <f t="shared" ca="1" si="134"/>
        <v>6</v>
      </c>
      <c r="E487">
        <f t="shared" ca="1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1.4554485000000069E-9</v>
      </c>
      <c r="K487" s="1">
        <f t="shared" ca="1" si="138"/>
        <v>0</v>
      </c>
      <c r="L487" s="13">
        <f t="shared" ca="1" si="139"/>
        <v>168</v>
      </c>
      <c r="M487" s="7">
        <f t="shared" ca="1" si="140"/>
        <v>832</v>
      </c>
      <c r="N487" s="43">
        <f t="shared" ca="1" si="141"/>
        <v>7</v>
      </c>
      <c r="O487" s="92">
        <f t="shared" ca="1" si="142"/>
        <v>2.264588428134358</v>
      </c>
      <c r="P487" s="92">
        <f t="shared" ca="1" si="143"/>
        <v>22.645884281343584</v>
      </c>
      <c r="Q487" s="92">
        <f t="shared" ca="1" si="144"/>
        <v>22.645884281343584</v>
      </c>
      <c r="R487" s="92">
        <f t="shared" ca="1" si="145"/>
        <v>2.2645884281343585</v>
      </c>
      <c r="S487" s="92">
        <f t="shared" ca="1" si="146"/>
        <v>2.264588428134358</v>
      </c>
      <c r="T487" s="4">
        <f t="shared" ca="1" si="147"/>
        <v>0</v>
      </c>
      <c r="U487" s="99">
        <f t="shared" ca="1" si="148"/>
        <v>1525.2486983548911</v>
      </c>
      <c r="V487" s="4">
        <f t="shared" ca="1" si="149"/>
        <v>0</v>
      </c>
      <c r="W487" s="13">
        <f t="shared" ca="1" si="150"/>
        <v>4091.8256249999999</v>
      </c>
      <c r="X487" s="4">
        <f t="shared" ca="1" si="151"/>
        <v>0</v>
      </c>
    </row>
    <row r="488" spans="1:24">
      <c r="A488">
        <v>3</v>
      </c>
      <c r="B488">
        <v>2</v>
      </c>
      <c r="C488">
        <f t="shared" ca="1" si="133"/>
        <v>8</v>
      </c>
      <c r="D488">
        <f t="shared" ca="1" si="134"/>
        <v>6</v>
      </c>
      <c r="E488">
        <f t="shared" ca="1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5.8806000000000321E-12</v>
      </c>
      <c r="K488" s="1">
        <f t="shared" ca="1" si="138"/>
        <v>0</v>
      </c>
      <c r="L488" s="13">
        <f t="shared" ca="1" si="139"/>
        <v>147</v>
      </c>
      <c r="M488" s="7">
        <f t="shared" ca="1" si="140"/>
        <v>853</v>
      </c>
      <c r="N488" s="43">
        <f t="shared" ca="1" si="141"/>
        <v>7</v>
      </c>
      <c r="O488" s="92">
        <f t="shared" ca="1" si="142"/>
        <v>2.264588428134358</v>
      </c>
      <c r="P488" s="92">
        <f t="shared" ca="1" si="143"/>
        <v>22.645884281343584</v>
      </c>
      <c r="Q488" s="92">
        <f t="shared" ca="1" si="144"/>
        <v>22.645884281343584</v>
      </c>
      <c r="R488" s="92">
        <f t="shared" ca="1" si="145"/>
        <v>2.2645884281343585</v>
      </c>
      <c r="S488" s="92">
        <f t="shared" ca="1" si="146"/>
        <v>2.264588428134358</v>
      </c>
      <c r="T488" s="4">
        <f t="shared" ca="1" si="147"/>
        <v>0</v>
      </c>
      <c r="U488" s="99">
        <f t="shared" ca="1" si="148"/>
        <v>1504.2486983548911</v>
      </c>
      <c r="V488" s="4">
        <f t="shared" ca="1" si="149"/>
        <v>0</v>
      </c>
      <c r="W488" s="13">
        <f t="shared" ca="1" si="150"/>
        <v>2739.6881249999997</v>
      </c>
      <c r="X488" s="4">
        <f t="shared" ca="1" si="151"/>
        <v>0</v>
      </c>
    </row>
    <row r="489" spans="1:24">
      <c r="A489">
        <v>3</v>
      </c>
      <c r="B489">
        <v>2</v>
      </c>
      <c r="C489">
        <f t="shared" ca="1" si="133"/>
        <v>8</v>
      </c>
      <c r="D489">
        <f t="shared" ca="1" si="134"/>
        <v>6</v>
      </c>
      <c r="E489">
        <f t="shared" ca="1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9.9000000000000638E-15</v>
      </c>
      <c r="K489" s="1">
        <f t="shared" ca="1" si="138"/>
        <v>0</v>
      </c>
      <c r="L489" s="13">
        <f t="shared" ca="1" si="139"/>
        <v>126</v>
      </c>
      <c r="M489" s="7">
        <f t="shared" ca="1" si="140"/>
        <v>874</v>
      </c>
      <c r="N489" s="43">
        <f t="shared" ca="1" si="141"/>
        <v>7</v>
      </c>
      <c r="O489" s="92">
        <f t="shared" ca="1" si="142"/>
        <v>2.264588428134358</v>
      </c>
      <c r="P489" s="92">
        <f t="shared" ca="1" si="143"/>
        <v>22.645884281343584</v>
      </c>
      <c r="Q489" s="92">
        <f t="shared" ca="1" si="144"/>
        <v>22.645884281343584</v>
      </c>
      <c r="R489" s="92">
        <f t="shared" ca="1" si="145"/>
        <v>2.2645884281343585</v>
      </c>
      <c r="S489" s="92">
        <f t="shared" ca="1" si="146"/>
        <v>2.264588428134358</v>
      </c>
      <c r="T489" s="4">
        <f t="shared" ca="1" si="147"/>
        <v>0</v>
      </c>
      <c r="U489" s="99">
        <f t="shared" ca="1" si="148"/>
        <v>1483.2486983548911</v>
      </c>
      <c r="V489" s="4">
        <f t="shared" ca="1" si="149"/>
        <v>0</v>
      </c>
      <c r="W489" s="13">
        <f t="shared" ca="1" si="150"/>
        <v>1387.5506249999999</v>
      </c>
      <c r="X489" s="4">
        <f t="shared" ca="1" si="151"/>
        <v>0</v>
      </c>
    </row>
    <row r="490" spans="1:24">
      <c r="A490">
        <v>3</v>
      </c>
      <c r="B490">
        <v>2</v>
      </c>
      <c r="C490">
        <f t="shared" ca="1" si="133"/>
        <v>8</v>
      </c>
      <c r="D490">
        <f t="shared" ca="1" si="134"/>
        <v>6</v>
      </c>
      <c r="E490">
        <f t="shared" ca="1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3">
        <f t="shared" ca="1" si="141"/>
        <v>7</v>
      </c>
      <c r="O490" s="92">
        <f t="shared" ca="1" si="142"/>
        <v>2.264588428134358</v>
      </c>
      <c r="P490" s="92">
        <f t="shared" ca="1" si="143"/>
        <v>22.645884281343584</v>
      </c>
      <c r="Q490" s="92">
        <f t="shared" ca="1" si="144"/>
        <v>22.645884281343584</v>
      </c>
      <c r="R490" s="92">
        <f t="shared" ca="1" si="145"/>
        <v>2.2645884281343585</v>
      </c>
      <c r="S490" s="92">
        <f t="shared" ca="1" si="146"/>
        <v>2.264588428134358</v>
      </c>
      <c r="T490" s="4">
        <f t="shared" ca="1" si="147"/>
        <v>0</v>
      </c>
      <c r="U490" s="99">
        <f t="shared" ca="1" si="148"/>
        <v>1504.2486983548911</v>
      </c>
      <c r="V490" s="4">
        <f t="shared" ca="1" si="149"/>
        <v>0</v>
      </c>
      <c r="W490" s="13">
        <f t="shared" ca="1" si="150"/>
        <v>9464.9624999999996</v>
      </c>
      <c r="X490" s="4">
        <f t="shared" ca="1" si="151"/>
        <v>0</v>
      </c>
    </row>
    <row r="491" spans="1:24">
      <c r="A491">
        <v>3</v>
      </c>
      <c r="B491">
        <v>2</v>
      </c>
      <c r="C491">
        <f t="shared" ca="1" si="133"/>
        <v>8</v>
      </c>
      <c r="D491">
        <f t="shared" ca="1" si="134"/>
        <v>6</v>
      </c>
      <c r="E491">
        <f t="shared" ca="1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9.4148014940100163E-5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3">
        <f t="shared" ca="1" si="141"/>
        <v>7</v>
      </c>
      <c r="O491" s="92">
        <f t="shared" ca="1" si="142"/>
        <v>2.264588428134358</v>
      </c>
      <c r="P491" s="92">
        <f t="shared" ca="1" si="143"/>
        <v>22.645884281343584</v>
      </c>
      <c r="Q491" s="92">
        <f t="shared" ca="1" si="144"/>
        <v>22.645884281343584</v>
      </c>
      <c r="R491" s="92">
        <f t="shared" ca="1" si="145"/>
        <v>2.2645884281343585</v>
      </c>
      <c r="S491" s="92">
        <f t="shared" ca="1" si="146"/>
        <v>2.264588428134358</v>
      </c>
      <c r="T491" s="4">
        <f t="shared" ca="1" si="147"/>
        <v>0</v>
      </c>
      <c r="U491" s="99">
        <f t="shared" ca="1" si="148"/>
        <v>1483.2486983548911</v>
      </c>
      <c r="V491" s="4">
        <f t="shared" ca="1" si="149"/>
        <v>0</v>
      </c>
      <c r="W491" s="13">
        <f t="shared" ca="1" si="150"/>
        <v>8112.8249999999998</v>
      </c>
      <c r="X491" s="4">
        <f t="shared" ca="1" si="151"/>
        <v>0</v>
      </c>
    </row>
    <row r="492" spans="1:24">
      <c r="A492">
        <v>3</v>
      </c>
      <c r="B492">
        <v>2</v>
      </c>
      <c r="C492">
        <f t="shared" ca="1" si="133"/>
        <v>8</v>
      </c>
      <c r="D492">
        <f t="shared" ca="1" si="134"/>
        <v>6</v>
      </c>
      <c r="E492">
        <f t="shared" ca="1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5.7059402994000143E-6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3">
        <f t="shared" ca="1" si="141"/>
        <v>7</v>
      </c>
      <c r="O492" s="92">
        <f t="shared" ca="1" si="142"/>
        <v>2.264588428134358</v>
      </c>
      <c r="P492" s="92">
        <f t="shared" ca="1" si="143"/>
        <v>22.645884281343584</v>
      </c>
      <c r="Q492" s="92">
        <f t="shared" ca="1" si="144"/>
        <v>22.645884281343584</v>
      </c>
      <c r="R492" s="92">
        <f t="shared" ca="1" si="145"/>
        <v>2.2645884281343585</v>
      </c>
      <c r="S492" s="92">
        <f t="shared" ca="1" si="146"/>
        <v>2.264588428134358</v>
      </c>
      <c r="T492" s="4">
        <f t="shared" ca="1" si="147"/>
        <v>0</v>
      </c>
      <c r="U492" s="99">
        <f t="shared" ca="1" si="148"/>
        <v>1462.2486983548911</v>
      </c>
      <c r="V492" s="4">
        <f t="shared" ca="1" si="149"/>
        <v>0</v>
      </c>
      <c r="W492" s="13">
        <f t="shared" ca="1" si="150"/>
        <v>6760.6875</v>
      </c>
      <c r="X492" s="4">
        <f t="shared" ca="1" si="151"/>
        <v>0</v>
      </c>
    </row>
    <row r="493" spans="1:24">
      <c r="A493">
        <v>3</v>
      </c>
      <c r="B493">
        <v>2</v>
      </c>
      <c r="C493">
        <f t="shared" ca="1" si="133"/>
        <v>8</v>
      </c>
      <c r="D493">
        <f t="shared" ca="1" si="134"/>
        <v>6</v>
      </c>
      <c r="E493">
        <f t="shared" ca="1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1.4408940150000052E-7</v>
      </c>
      <c r="K493" s="1">
        <f t="shared" ca="1" si="138"/>
        <v>0</v>
      </c>
      <c r="L493" s="13">
        <f t="shared" ca="1" si="139"/>
        <v>100</v>
      </c>
      <c r="M493" s="7">
        <f t="shared" ca="1" si="140"/>
        <v>900</v>
      </c>
      <c r="N493" s="43">
        <f t="shared" ca="1" si="141"/>
        <v>7</v>
      </c>
      <c r="O493" s="92">
        <f t="shared" ca="1" si="142"/>
        <v>2.264588428134358</v>
      </c>
      <c r="P493" s="92">
        <f t="shared" ca="1" si="143"/>
        <v>22.645884281343584</v>
      </c>
      <c r="Q493" s="92">
        <f t="shared" ca="1" si="144"/>
        <v>22.645884281343584</v>
      </c>
      <c r="R493" s="92">
        <f t="shared" ca="1" si="145"/>
        <v>2.2645884281343585</v>
      </c>
      <c r="S493" s="92">
        <f t="shared" ca="1" si="146"/>
        <v>2.264588428134358</v>
      </c>
      <c r="T493" s="4">
        <f t="shared" ca="1" si="147"/>
        <v>0</v>
      </c>
      <c r="U493" s="99">
        <f t="shared" ca="1" si="148"/>
        <v>1457.2486983548911</v>
      </c>
      <c r="V493" s="4">
        <f t="shared" ca="1" si="149"/>
        <v>0</v>
      </c>
      <c r="W493" s="13">
        <f t="shared" ca="1" si="150"/>
        <v>5408.55</v>
      </c>
      <c r="X493" s="4">
        <f t="shared" ca="1" si="151"/>
        <v>0</v>
      </c>
    </row>
    <row r="494" spans="1:24">
      <c r="A494">
        <v>3</v>
      </c>
      <c r="B494">
        <v>2</v>
      </c>
      <c r="C494">
        <f t="shared" ca="1" si="133"/>
        <v>8</v>
      </c>
      <c r="D494">
        <f t="shared" ca="1" si="134"/>
        <v>6</v>
      </c>
      <c r="E494">
        <f t="shared" ca="1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1.9405980000000086E-9</v>
      </c>
      <c r="K494" s="1">
        <f t="shared" ca="1" si="138"/>
        <v>0</v>
      </c>
      <c r="L494" s="13">
        <f t="shared" ca="1" si="139"/>
        <v>100</v>
      </c>
      <c r="M494" s="7">
        <f t="shared" ca="1" si="140"/>
        <v>900</v>
      </c>
      <c r="N494" s="43">
        <f t="shared" ca="1" si="141"/>
        <v>7</v>
      </c>
      <c r="O494" s="92">
        <f t="shared" ca="1" si="142"/>
        <v>2.264588428134358</v>
      </c>
      <c r="P494" s="92">
        <f t="shared" ca="1" si="143"/>
        <v>22.645884281343584</v>
      </c>
      <c r="Q494" s="92">
        <f t="shared" ca="1" si="144"/>
        <v>22.645884281343584</v>
      </c>
      <c r="R494" s="92">
        <f t="shared" ca="1" si="145"/>
        <v>2.2645884281343585</v>
      </c>
      <c r="S494" s="92">
        <f t="shared" ca="1" si="146"/>
        <v>2.264588428134358</v>
      </c>
      <c r="T494" s="4">
        <f t="shared" ca="1" si="147"/>
        <v>0</v>
      </c>
      <c r="U494" s="99">
        <f t="shared" ca="1" si="148"/>
        <v>1457.2486983548911</v>
      </c>
      <c r="V494" s="4">
        <f t="shared" ca="1" si="149"/>
        <v>0</v>
      </c>
      <c r="W494" s="13">
        <f t="shared" ca="1" si="150"/>
        <v>4056.4124999999999</v>
      </c>
      <c r="X494" s="4">
        <f t="shared" ca="1" si="151"/>
        <v>0</v>
      </c>
    </row>
    <row r="495" spans="1:24">
      <c r="A495">
        <v>3</v>
      </c>
      <c r="B495">
        <v>2</v>
      </c>
      <c r="C495">
        <f t="shared" ca="1" si="133"/>
        <v>8</v>
      </c>
      <c r="D495">
        <f t="shared" ca="1" si="134"/>
        <v>6</v>
      </c>
      <c r="E495">
        <f t="shared" ca="1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1.4701500000000082E-11</v>
      </c>
      <c r="K495" s="1">
        <f t="shared" ca="1" si="138"/>
        <v>0</v>
      </c>
      <c r="L495" s="13">
        <f t="shared" ca="1" si="139"/>
        <v>100</v>
      </c>
      <c r="M495" s="7">
        <f t="shared" ca="1" si="140"/>
        <v>900</v>
      </c>
      <c r="N495" s="43">
        <f t="shared" ca="1" si="141"/>
        <v>7</v>
      </c>
      <c r="O495" s="92">
        <f t="shared" ca="1" si="142"/>
        <v>2.264588428134358</v>
      </c>
      <c r="P495" s="92">
        <f t="shared" ca="1" si="143"/>
        <v>22.645884281343584</v>
      </c>
      <c r="Q495" s="92">
        <f t="shared" ca="1" si="144"/>
        <v>22.645884281343584</v>
      </c>
      <c r="R495" s="92">
        <f t="shared" ca="1" si="145"/>
        <v>2.2645884281343585</v>
      </c>
      <c r="S495" s="92">
        <f t="shared" ca="1" si="146"/>
        <v>2.264588428134358</v>
      </c>
      <c r="T495" s="4">
        <f t="shared" ca="1" si="147"/>
        <v>0</v>
      </c>
      <c r="U495" s="99">
        <f t="shared" ca="1" si="148"/>
        <v>1457.2486983548911</v>
      </c>
      <c r="V495" s="4">
        <f t="shared" ca="1" si="149"/>
        <v>0</v>
      </c>
      <c r="W495" s="13">
        <f t="shared" ca="1" si="150"/>
        <v>2704.2750000000001</v>
      </c>
      <c r="X495" s="4">
        <f t="shared" ca="1" si="151"/>
        <v>0</v>
      </c>
    </row>
    <row r="496" spans="1:24">
      <c r="A496">
        <v>3</v>
      </c>
      <c r="B496">
        <v>2</v>
      </c>
      <c r="C496">
        <f t="shared" ca="1" si="133"/>
        <v>8</v>
      </c>
      <c r="D496">
        <f t="shared" ca="1" si="134"/>
        <v>6</v>
      </c>
      <c r="E496">
        <f t="shared" ca="1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5.9400000000000383E-14</v>
      </c>
      <c r="K496" s="1">
        <f t="shared" ca="1" si="138"/>
        <v>0</v>
      </c>
      <c r="L496" s="13">
        <f t="shared" ca="1" si="139"/>
        <v>100</v>
      </c>
      <c r="M496" s="7">
        <f t="shared" ca="1" si="140"/>
        <v>900</v>
      </c>
      <c r="N496" s="43">
        <f t="shared" ca="1" si="141"/>
        <v>7</v>
      </c>
      <c r="O496" s="92">
        <f t="shared" ca="1" si="142"/>
        <v>2.264588428134358</v>
      </c>
      <c r="P496" s="92">
        <f t="shared" ca="1" si="143"/>
        <v>22.645884281343584</v>
      </c>
      <c r="Q496" s="92">
        <f t="shared" ca="1" si="144"/>
        <v>22.645884281343584</v>
      </c>
      <c r="R496" s="92">
        <f t="shared" ca="1" si="145"/>
        <v>2.2645884281343585</v>
      </c>
      <c r="S496" s="92">
        <f t="shared" ca="1" si="146"/>
        <v>2.264588428134358</v>
      </c>
      <c r="T496" s="4">
        <f t="shared" ca="1" si="147"/>
        <v>0</v>
      </c>
      <c r="U496" s="99">
        <f t="shared" ca="1" si="148"/>
        <v>1457.2486983548911</v>
      </c>
      <c r="V496" s="4">
        <f t="shared" ca="1" si="149"/>
        <v>0</v>
      </c>
      <c r="W496" s="13">
        <f t="shared" ca="1" si="150"/>
        <v>1352.1375</v>
      </c>
      <c r="X496" s="4">
        <f t="shared" ca="1" si="151"/>
        <v>0</v>
      </c>
    </row>
    <row r="497" spans="1:24">
      <c r="A497">
        <v>3</v>
      </c>
      <c r="B497">
        <v>2</v>
      </c>
      <c r="C497">
        <f t="shared" ca="1" si="133"/>
        <v>8</v>
      </c>
      <c r="D497">
        <f t="shared" ca="1" si="134"/>
        <v>6</v>
      </c>
      <c r="E497">
        <f t="shared" ca="1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1.0000000000000073E-16</v>
      </c>
      <c r="K497" s="1">
        <f t="shared" ca="1" si="138"/>
        <v>0</v>
      </c>
      <c r="L497" s="13">
        <f t="shared" ca="1" si="139"/>
        <v>100</v>
      </c>
      <c r="M497" s="7">
        <f t="shared" ca="1" si="140"/>
        <v>900</v>
      </c>
      <c r="N497" s="43">
        <f t="shared" ca="1" si="141"/>
        <v>7</v>
      </c>
      <c r="O497" s="92">
        <f t="shared" ca="1" si="142"/>
        <v>2.264588428134358</v>
      </c>
      <c r="P497" s="92">
        <f t="shared" ca="1" si="143"/>
        <v>22.645884281343584</v>
      </c>
      <c r="Q497" s="92">
        <f t="shared" ca="1" si="144"/>
        <v>22.645884281343584</v>
      </c>
      <c r="R497" s="92">
        <f t="shared" ca="1" si="145"/>
        <v>2.2645884281343585</v>
      </c>
      <c r="S497" s="92">
        <f t="shared" ca="1" si="146"/>
        <v>2.264588428134358</v>
      </c>
      <c r="T497" s="4">
        <f t="shared" ca="1" si="147"/>
        <v>0</v>
      </c>
      <c r="U497" s="99">
        <f t="shared" ca="1" si="148"/>
        <v>1457.2486983548911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</row>
    <row r="498" spans="1:24">
      <c r="A498">
        <v>3</v>
      </c>
      <c r="B498">
        <v>3</v>
      </c>
      <c r="C498">
        <f t="shared" ca="1" si="133"/>
        <v>8</v>
      </c>
      <c r="D498">
        <f t="shared" ca="1" si="134"/>
        <v>6</v>
      </c>
      <c r="E498">
        <f t="shared" ca="1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399</v>
      </c>
      <c r="M498" s="7">
        <f t="shared" ca="1" si="140"/>
        <v>601</v>
      </c>
      <c r="N498" s="43">
        <f t="shared" ca="1" si="141"/>
        <v>5</v>
      </c>
      <c r="O498" s="92">
        <f t="shared" ca="1" si="142"/>
        <v>1.7627004516625842</v>
      </c>
      <c r="P498" s="92">
        <f t="shared" ca="1" si="143"/>
        <v>17.627004516625838</v>
      </c>
      <c r="Q498" s="92">
        <f t="shared" ca="1" si="144"/>
        <v>17.627004516625838</v>
      </c>
      <c r="R498" s="92">
        <f t="shared" ca="1" si="145"/>
        <v>1.7627004516625839</v>
      </c>
      <c r="S498" s="92">
        <f t="shared" ca="1" si="146"/>
        <v>1.7627004516625842</v>
      </c>
      <c r="T498" s="4">
        <f t="shared" ca="1" si="147"/>
        <v>0</v>
      </c>
      <c r="U498" s="99">
        <f t="shared" ca="1" si="148"/>
        <v>1509.8515146533105</v>
      </c>
      <c r="V498" s="4">
        <f t="shared" ca="1" si="149"/>
        <v>0</v>
      </c>
      <c r="W498" s="13">
        <f t="shared" ca="1" si="150"/>
        <v>23319.800362499998</v>
      </c>
      <c r="X498" s="4">
        <f t="shared" ca="1" si="151"/>
        <v>0</v>
      </c>
    </row>
    <row r="499" spans="1:24">
      <c r="A499">
        <v>3</v>
      </c>
      <c r="B499">
        <v>3</v>
      </c>
      <c r="C499">
        <f t="shared" ca="1" si="133"/>
        <v>8</v>
      </c>
      <c r="D499">
        <f t="shared" ca="1" si="134"/>
        <v>6</v>
      </c>
      <c r="E499">
        <f t="shared" ca="1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0.92274469442791995</v>
      </c>
      <c r="K499" s="1">
        <f t="shared" ca="1" si="138"/>
        <v>0</v>
      </c>
      <c r="L499" s="13">
        <f t="shared" ca="1" si="139"/>
        <v>378</v>
      </c>
      <c r="M499" s="7">
        <f t="shared" ca="1" si="140"/>
        <v>622</v>
      </c>
      <c r="N499" s="43">
        <f t="shared" ca="1" si="141"/>
        <v>5</v>
      </c>
      <c r="O499" s="92">
        <f t="shared" ca="1" si="142"/>
        <v>1.7627004516625842</v>
      </c>
      <c r="P499" s="92">
        <f t="shared" ca="1" si="143"/>
        <v>17.627004516625838</v>
      </c>
      <c r="Q499" s="92">
        <f t="shared" ca="1" si="144"/>
        <v>17.627004516625838</v>
      </c>
      <c r="R499" s="92">
        <f t="shared" ca="1" si="145"/>
        <v>1.7627004516625839</v>
      </c>
      <c r="S499" s="92">
        <f t="shared" ca="1" si="146"/>
        <v>1.7627004516625842</v>
      </c>
      <c r="T499" s="4">
        <f t="shared" ca="1" si="147"/>
        <v>0</v>
      </c>
      <c r="U499" s="99">
        <f t="shared" ca="1" si="148"/>
        <v>1488.8515146533105</v>
      </c>
      <c r="V499" s="4">
        <f t="shared" ca="1" si="149"/>
        <v>0</v>
      </c>
      <c r="W499" s="13">
        <f t="shared" ca="1" si="150"/>
        <v>21967.662862499998</v>
      </c>
      <c r="X499" s="4">
        <f t="shared" ca="1" si="151"/>
        <v>0</v>
      </c>
    </row>
    <row r="500" spans="1:24">
      <c r="A500">
        <v>3</v>
      </c>
      <c r="B500">
        <v>3</v>
      </c>
      <c r="C500">
        <f t="shared" ca="1" si="133"/>
        <v>8</v>
      </c>
      <c r="D500">
        <f t="shared" ca="1" si="134"/>
        <v>6</v>
      </c>
      <c r="E500">
        <f t="shared" ca="1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5.5923920874419442E-2</v>
      </c>
      <c r="K500" s="1">
        <f t="shared" ca="1" si="138"/>
        <v>0</v>
      </c>
      <c r="L500" s="13">
        <f t="shared" ca="1" si="139"/>
        <v>357</v>
      </c>
      <c r="M500" s="7">
        <f t="shared" ca="1" si="140"/>
        <v>643</v>
      </c>
      <c r="N500" s="43">
        <f t="shared" ca="1" si="141"/>
        <v>5</v>
      </c>
      <c r="O500" s="92">
        <f t="shared" ca="1" si="142"/>
        <v>1.7627004516625842</v>
      </c>
      <c r="P500" s="92">
        <f t="shared" ca="1" si="143"/>
        <v>17.627004516625838</v>
      </c>
      <c r="Q500" s="92">
        <f t="shared" ca="1" si="144"/>
        <v>17.627004516625838</v>
      </c>
      <c r="R500" s="92">
        <f t="shared" ca="1" si="145"/>
        <v>1.7627004516625839</v>
      </c>
      <c r="S500" s="92">
        <f t="shared" ca="1" si="146"/>
        <v>1.7627004516625842</v>
      </c>
      <c r="T500" s="4">
        <f t="shared" ca="1" si="147"/>
        <v>0</v>
      </c>
      <c r="U500" s="99">
        <f t="shared" ca="1" si="148"/>
        <v>1467.8515146533105</v>
      </c>
      <c r="V500" s="4">
        <f t="shared" ca="1" si="149"/>
        <v>0</v>
      </c>
      <c r="W500" s="13">
        <f t="shared" ca="1" si="150"/>
        <v>20615.525362499997</v>
      </c>
      <c r="X500" s="4">
        <f t="shared" ca="1" si="151"/>
        <v>0</v>
      </c>
    </row>
    <row r="501" spans="1:24">
      <c r="A501">
        <v>3</v>
      </c>
      <c r="B501">
        <v>3</v>
      </c>
      <c r="C501">
        <f t="shared" ca="1" si="133"/>
        <v>8</v>
      </c>
      <c r="D501">
        <f t="shared" ca="1" si="134"/>
        <v>6</v>
      </c>
      <c r="E501">
        <f t="shared" ca="1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1.4122202241015026E-3</v>
      </c>
      <c r="K501" s="1">
        <f t="shared" ca="1" si="138"/>
        <v>0</v>
      </c>
      <c r="L501" s="13">
        <f t="shared" ca="1" si="139"/>
        <v>336</v>
      </c>
      <c r="M501" s="7">
        <f t="shared" ca="1" si="140"/>
        <v>664</v>
      </c>
      <c r="N501" s="43">
        <f t="shared" ca="1" si="141"/>
        <v>6</v>
      </c>
      <c r="O501" s="92">
        <f t="shared" ca="1" si="142"/>
        <v>2.003415856166523</v>
      </c>
      <c r="P501" s="92">
        <f t="shared" ca="1" si="143"/>
        <v>20.03415856166523</v>
      </c>
      <c r="Q501" s="92">
        <f t="shared" ca="1" si="144"/>
        <v>19.552727752657354</v>
      </c>
      <c r="R501" s="92">
        <f t="shared" ca="1" si="145"/>
        <v>1.9793443157161292</v>
      </c>
      <c r="S501" s="92">
        <f t="shared" ca="1" si="146"/>
        <v>2.003415856166523</v>
      </c>
      <c r="T501" s="4">
        <f t="shared" ca="1" si="147"/>
        <v>0</v>
      </c>
      <c r="U501" s="99">
        <f t="shared" ca="1" si="148"/>
        <v>1565.0284794818213</v>
      </c>
      <c r="V501" s="4">
        <f t="shared" ca="1" si="149"/>
        <v>0</v>
      </c>
      <c r="W501" s="13">
        <f t="shared" ca="1" si="150"/>
        <v>19263.3878625</v>
      </c>
      <c r="X501" s="4">
        <f t="shared" ca="1" si="151"/>
        <v>0</v>
      </c>
    </row>
    <row r="502" spans="1:24">
      <c r="A502">
        <v>3</v>
      </c>
      <c r="B502">
        <v>3</v>
      </c>
      <c r="C502">
        <f t="shared" ca="1" si="133"/>
        <v>8</v>
      </c>
      <c r="D502">
        <f t="shared" ca="1" si="134"/>
        <v>6</v>
      </c>
      <c r="E502">
        <f t="shared" ca="1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1.9019800998000047E-5</v>
      </c>
      <c r="K502" s="1">
        <f t="shared" ca="1" si="138"/>
        <v>0</v>
      </c>
      <c r="L502" s="13">
        <f t="shared" ca="1" si="139"/>
        <v>315</v>
      </c>
      <c r="M502" s="7">
        <f t="shared" ca="1" si="140"/>
        <v>685</v>
      </c>
      <c r="N502" s="43">
        <f t="shared" ca="1" si="141"/>
        <v>6</v>
      </c>
      <c r="O502" s="92">
        <f t="shared" ca="1" si="142"/>
        <v>2.003415856166523</v>
      </c>
      <c r="P502" s="92">
        <f t="shared" ca="1" si="143"/>
        <v>20.03415856166523</v>
      </c>
      <c r="Q502" s="92">
        <f t="shared" ca="1" si="144"/>
        <v>20.03415856166523</v>
      </c>
      <c r="R502" s="92">
        <f t="shared" ca="1" si="145"/>
        <v>2.003415856166523</v>
      </c>
      <c r="S502" s="92">
        <f t="shared" ca="1" si="146"/>
        <v>2.003415856166523</v>
      </c>
      <c r="T502" s="4">
        <f t="shared" ca="1" si="147"/>
        <v>0</v>
      </c>
      <c r="U502" s="99">
        <f t="shared" ca="1" si="148"/>
        <v>1544.0284794818213</v>
      </c>
      <c r="V502" s="4">
        <f t="shared" ca="1" si="149"/>
        <v>0</v>
      </c>
      <c r="W502" s="13">
        <f t="shared" ca="1" si="150"/>
        <v>17911.250362499999</v>
      </c>
      <c r="X502" s="4">
        <f t="shared" ca="1" si="151"/>
        <v>0</v>
      </c>
    </row>
    <row r="503" spans="1:24">
      <c r="A503">
        <v>3</v>
      </c>
      <c r="B503">
        <v>3</v>
      </c>
      <c r="C503">
        <f t="shared" ca="1" si="133"/>
        <v>8</v>
      </c>
      <c r="D503">
        <f t="shared" ca="1" si="134"/>
        <v>6</v>
      </c>
      <c r="E503">
        <f t="shared" ca="1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1.4408940150000054E-7</v>
      </c>
      <c r="K503" s="1">
        <f t="shared" ca="1" si="138"/>
        <v>0</v>
      </c>
      <c r="L503" s="13">
        <f t="shared" ca="1" si="139"/>
        <v>294</v>
      </c>
      <c r="M503" s="7">
        <f t="shared" ca="1" si="140"/>
        <v>706</v>
      </c>
      <c r="N503" s="43">
        <f t="shared" ca="1" si="141"/>
        <v>6</v>
      </c>
      <c r="O503" s="92">
        <f t="shared" ca="1" si="142"/>
        <v>2.003415856166523</v>
      </c>
      <c r="P503" s="92">
        <f t="shared" ca="1" si="143"/>
        <v>20.03415856166523</v>
      </c>
      <c r="Q503" s="92">
        <f t="shared" ca="1" si="144"/>
        <v>20.03415856166523</v>
      </c>
      <c r="R503" s="92">
        <f t="shared" ca="1" si="145"/>
        <v>2.003415856166523</v>
      </c>
      <c r="S503" s="92">
        <f t="shared" ca="1" si="146"/>
        <v>2.003415856166523</v>
      </c>
      <c r="T503" s="4">
        <f t="shared" ca="1" si="147"/>
        <v>0</v>
      </c>
      <c r="U503" s="99">
        <f t="shared" ca="1" si="148"/>
        <v>1523.0284794818213</v>
      </c>
      <c r="V503" s="4">
        <f t="shared" ca="1" si="149"/>
        <v>0</v>
      </c>
      <c r="W503" s="13">
        <f t="shared" ca="1" si="150"/>
        <v>16559.112862499998</v>
      </c>
      <c r="X503" s="4">
        <f t="shared" ca="1" si="151"/>
        <v>0</v>
      </c>
    </row>
    <row r="504" spans="1:24">
      <c r="A504">
        <v>3</v>
      </c>
      <c r="B504">
        <v>3</v>
      </c>
      <c r="C504">
        <f t="shared" ca="1" si="133"/>
        <v>8</v>
      </c>
      <c r="D504">
        <f t="shared" ca="1" si="134"/>
        <v>6</v>
      </c>
      <c r="E504">
        <f t="shared" ca="1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5.8217940000000265E-10</v>
      </c>
      <c r="K504" s="1">
        <f t="shared" ca="1" si="138"/>
        <v>0</v>
      </c>
      <c r="L504" s="13">
        <f t="shared" ca="1" si="139"/>
        <v>273</v>
      </c>
      <c r="M504" s="7">
        <f t="shared" ca="1" si="140"/>
        <v>727</v>
      </c>
      <c r="N504" s="43">
        <f t="shared" ca="1" si="141"/>
        <v>6</v>
      </c>
      <c r="O504" s="92">
        <f t="shared" ca="1" si="142"/>
        <v>2.003415856166523</v>
      </c>
      <c r="P504" s="92">
        <f t="shared" ca="1" si="143"/>
        <v>20.03415856166523</v>
      </c>
      <c r="Q504" s="92">
        <f t="shared" ca="1" si="144"/>
        <v>20.03415856166523</v>
      </c>
      <c r="R504" s="92">
        <f t="shared" ca="1" si="145"/>
        <v>2.003415856166523</v>
      </c>
      <c r="S504" s="92">
        <f t="shared" ca="1" si="146"/>
        <v>2.003415856166523</v>
      </c>
      <c r="T504" s="4">
        <f t="shared" ca="1" si="147"/>
        <v>0</v>
      </c>
      <c r="U504" s="99">
        <f t="shared" ca="1" si="148"/>
        <v>1502.0284794818213</v>
      </c>
      <c r="V504" s="4">
        <f t="shared" ca="1" si="149"/>
        <v>0</v>
      </c>
      <c r="W504" s="13">
        <f t="shared" ca="1" si="150"/>
        <v>15206.975362499999</v>
      </c>
      <c r="X504" s="4">
        <f t="shared" ca="1" si="151"/>
        <v>0</v>
      </c>
    </row>
    <row r="505" spans="1:24">
      <c r="A505">
        <v>3</v>
      </c>
      <c r="B505">
        <v>3</v>
      </c>
      <c r="C505">
        <f t="shared" ca="1" si="133"/>
        <v>8</v>
      </c>
      <c r="D505">
        <f t="shared" ca="1" si="134"/>
        <v>6</v>
      </c>
      <c r="E505">
        <f t="shared" ca="1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9.8010000000000529E-13</v>
      </c>
      <c r="K505" s="1">
        <f t="shared" ca="1" si="138"/>
        <v>0</v>
      </c>
      <c r="L505" s="13">
        <f t="shared" ca="1" si="139"/>
        <v>252</v>
      </c>
      <c r="M505" s="7">
        <f t="shared" ca="1" si="140"/>
        <v>748</v>
      </c>
      <c r="N505" s="43">
        <f t="shared" ca="1" si="141"/>
        <v>6</v>
      </c>
      <c r="O505" s="92">
        <f t="shared" ca="1" si="142"/>
        <v>2.003415856166523</v>
      </c>
      <c r="P505" s="92">
        <f t="shared" ca="1" si="143"/>
        <v>20.03415856166523</v>
      </c>
      <c r="Q505" s="92">
        <f t="shared" ca="1" si="144"/>
        <v>20.03415856166523</v>
      </c>
      <c r="R505" s="92">
        <f t="shared" ca="1" si="145"/>
        <v>2.003415856166523</v>
      </c>
      <c r="S505" s="92">
        <f t="shared" ca="1" si="146"/>
        <v>2.003415856166523</v>
      </c>
      <c r="T505" s="4">
        <f t="shared" ca="1" si="147"/>
        <v>0</v>
      </c>
      <c r="U505" s="99">
        <f t="shared" ca="1" si="148"/>
        <v>1481.0284794818213</v>
      </c>
      <c r="V505" s="4">
        <f t="shared" ca="1" si="149"/>
        <v>0</v>
      </c>
      <c r="W505" s="13">
        <f t="shared" ca="1" si="150"/>
        <v>13854.837862499999</v>
      </c>
      <c r="X505" s="4">
        <f t="shared" ca="1" si="151"/>
        <v>0</v>
      </c>
    </row>
    <row r="506" spans="1:24">
      <c r="A506">
        <v>3</v>
      </c>
      <c r="B506">
        <v>3</v>
      </c>
      <c r="C506">
        <f t="shared" ca="1" si="133"/>
        <v>8</v>
      </c>
      <c r="D506">
        <f t="shared" ca="1" si="134"/>
        <v>6</v>
      </c>
      <c r="E506">
        <f t="shared" ca="1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273</v>
      </c>
      <c r="M506" s="7">
        <f t="shared" ca="1" si="140"/>
        <v>727</v>
      </c>
      <c r="N506" s="43">
        <f t="shared" ca="1" si="141"/>
        <v>6</v>
      </c>
      <c r="O506" s="92">
        <f t="shared" ca="1" si="142"/>
        <v>2.003415856166523</v>
      </c>
      <c r="P506" s="92">
        <f t="shared" ca="1" si="143"/>
        <v>20.03415856166523</v>
      </c>
      <c r="Q506" s="92">
        <f t="shared" ca="1" si="144"/>
        <v>20.03415856166523</v>
      </c>
      <c r="R506" s="92">
        <f t="shared" ca="1" si="145"/>
        <v>2.003415856166523</v>
      </c>
      <c r="S506" s="92">
        <f t="shared" ca="1" si="146"/>
        <v>2.003415856166523</v>
      </c>
      <c r="T506" s="4">
        <f t="shared" ca="1" si="147"/>
        <v>0</v>
      </c>
      <c r="U506" s="99">
        <f t="shared" ca="1" si="148"/>
        <v>1502.0284794818213</v>
      </c>
      <c r="V506" s="4">
        <f t="shared" ca="1" si="149"/>
        <v>0</v>
      </c>
      <c r="W506" s="13">
        <f t="shared" ca="1" si="150"/>
        <v>21932.249737499998</v>
      </c>
      <c r="X506" s="4">
        <f t="shared" ca="1" si="151"/>
        <v>0</v>
      </c>
    </row>
    <row r="507" spans="1:24">
      <c r="A507">
        <v>3</v>
      </c>
      <c r="B507">
        <v>3</v>
      </c>
      <c r="C507">
        <f t="shared" ca="1" si="133"/>
        <v>8</v>
      </c>
      <c r="D507">
        <f t="shared" ca="1" si="134"/>
        <v>6</v>
      </c>
      <c r="E507">
        <f t="shared" ca="1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9.3206534790699087E-3</v>
      </c>
      <c r="K507" s="1">
        <f t="shared" ca="1" si="138"/>
        <v>0</v>
      </c>
      <c r="L507" s="13">
        <f t="shared" ca="1" si="139"/>
        <v>252</v>
      </c>
      <c r="M507" s="7">
        <f t="shared" ca="1" si="140"/>
        <v>748</v>
      </c>
      <c r="N507" s="43">
        <f t="shared" ca="1" si="141"/>
        <v>6</v>
      </c>
      <c r="O507" s="92">
        <f t="shared" ca="1" si="142"/>
        <v>2.003415856166523</v>
      </c>
      <c r="P507" s="92">
        <f t="shared" ca="1" si="143"/>
        <v>20.03415856166523</v>
      </c>
      <c r="Q507" s="92">
        <f t="shared" ca="1" si="144"/>
        <v>20.03415856166523</v>
      </c>
      <c r="R507" s="92">
        <f t="shared" ca="1" si="145"/>
        <v>2.003415856166523</v>
      </c>
      <c r="S507" s="92">
        <f t="shared" ca="1" si="146"/>
        <v>2.003415856166523</v>
      </c>
      <c r="T507" s="4">
        <f t="shared" ca="1" si="147"/>
        <v>0</v>
      </c>
      <c r="U507" s="99">
        <f t="shared" ca="1" si="148"/>
        <v>1481.0284794818213</v>
      </c>
      <c r="V507" s="4">
        <f t="shared" ca="1" si="149"/>
        <v>0</v>
      </c>
      <c r="W507" s="13">
        <f t="shared" ca="1" si="150"/>
        <v>20580.112237499998</v>
      </c>
      <c r="X507" s="4">
        <f t="shared" ca="1" si="151"/>
        <v>0</v>
      </c>
    </row>
    <row r="508" spans="1:24">
      <c r="A508">
        <v>3</v>
      </c>
      <c r="B508">
        <v>3</v>
      </c>
      <c r="C508">
        <f t="shared" ca="1" si="133"/>
        <v>8</v>
      </c>
      <c r="D508">
        <f t="shared" ca="1" si="134"/>
        <v>6</v>
      </c>
      <c r="E508">
        <f t="shared" ca="1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5.6488808964060098E-4</v>
      </c>
      <c r="K508" s="1">
        <f t="shared" ca="1" si="138"/>
        <v>0</v>
      </c>
      <c r="L508" s="13">
        <f t="shared" ca="1" si="139"/>
        <v>231</v>
      </c>
      <c r="M508" s="7">
        <f t="shared" ca="1" si="140"/>
        <v>769</v>
      </c>
      <c r="N508" s="43">
        <f t="shared" ca="1" si="141"/>
        <v>6</v>
      </c>
      <c r="O508" s="92">
        <f t="shared" ca="1" si="142"/>
        <v>2.003415856166523</v>
      </c>
      <c r="P508" s="92">
        <f t="shared" ca="1" si="143"/>
        <v>20.03415856166523</v>
      </c>
      <c r="Q508" s="92">
        <f t="shared" ca="1" si="144"/>
        <v>20.03415856166523</v>
      </c>
      <c r="R508" s="92">
        <f t="shared" ca="1" si="145"/>
        <v>2.003415856166523</v>
      </c>
      <c r="S508" s="92">
        <f t="shared" ca="1" si="146"/>
        <v>2.003415856166523</v>
      </c>
      <c r="T508" s="4">
        <f t="shared" ca="1" si="147"/>
        <v>0</v>
      </c>
      <c r="U508" s="99">
        <f t="shared" ca="1" si="148"/>
        <v>1460.0284794818213</v>
      </c>
      <c r="V508" s="4">
        <f t="shared" ca="1" si="149"/>
        <v>0</v>
      </c>
      <c r="W508" s="13">
        <f t="shared" ca="1" si="150"/>
        <v>19227.974737500001</v>
      </c>
      <c r="X508" s="4">
        <f t="shared" ca="1" si="151"/>
        <v>0</v>
      </c>
    </row>
    <row r="509" spans="1:24">
      <c r="A509">
        <v>3</v>
      </c>
      <c r="B509">
        <v>3</v>
      </c>
      <c r="C509">
        <f t="shared" ca="1" si="133"/>
        <v>8</v>
      </c>
      <c r="D509">
        <f t="shared" ca="1" si="134"/>
        <v>6</v>
      </c>
      <c r="E509">
        <f t="shared" ca="1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1.426485074850004E-5</v>
      </c>
      <c r="K509" s="1">
        <f t="shared" ca="1" si="138"/>
        <v>0</v>
      </c>
      <c r="L509" s="13">
        <f t="shared" ca="1" si="139"/>
        <v>210</v>
      </c>
      <c r="M509" s="7">
        <f t="shared" ca="1" si="140"/>
        <v>790</v>
      </c>
      <c r="N509" s="43">
        <f t="shared" ca="1" si="141"/>
        <v>7</v>
      </c>
      <c r="O509" s="92">
        <f t="shared" ca="1" si="142"/>
        <v>2.264588428134358</v>
      </c>
      <c r="P509" s="92">
        <f t="shared" ca="1" si="143"/>
        <v>22.645884281343584</v>
      </c>
      <c r="Q509" s="92">
        <f t="shared" ca="1" si="144"/>
        <v>21.340021421504403</v>
      </c>
      <c r="R509" s="92">
        <f t="shared" ca="1" si="145"/>
        <v>2.1992952851423992</v>
      </c>
      <c r="S509" s="92">
        <f t="shared" ca="1" si="146"/>
        <v>2.264588428134358</v>
      </c>
      <c r="T509" s="4">
        <f t="shared" ca="1" si="147"/>
        <v>0</v>
      </c>
      <c r="U509" s="99">
        <f t="shared" ca="1" si="148"/>
        <v>1567.2486983548911</v>
      </c>
      <c r="V509" s="4">
        <f t="shared" ca="1" si="149"/>
        <v>0</v>
      </c>
      <c r="W509" s="13">
        <f t="shared" ca="1" si="150"/>
        <v>17875.8372375</v>
      </c>
      <c r="X509" s="4">
        <f t="shared" ca="1" si="151"/>
        <v>0</v>
      </c>
    </row>
    <row r="510" spans="1:24">
      <c r="A510">
        <v>3</v>
      </c>
      <c r="B510">
        <v>3</v>
      </c>
      <c r="C510">
        <f t="shared" ca="1" si="133"/>
        <v>8</v>
      </c>
      <c r="D510">
        <f t="shared" ca="1" si="134"/>
        <v>6</v>
      </c>
      <c r="E510">
        <f t="shared" ca="1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1.9211920200000068E-7</v>
      </c>
      <c r="K510" s="1">
        <f t="shared" ca="1" si="138"/>
        <v>0</v>
      </c>
      <c r="L510" s="13">
        <f t="shared" ca="1" si="139"/>
        <v>189</v>
      </c>
      <c r="M510" s="7">
        <f t="shared" ca="1" si="140"/>
        <v>811</v>
      </c>
      <c r="N510" s="43">
        <f t="shared" ca="1" si="141"/>
        <v>7</v>
      </c>
      <c r="O510" s="92">
        <f t="shared" ca="1" si="142"/>
        <v>2.264588428134358</v>
      </c>
      <c r="P510" s="92">
        <f t="shared" ca="1" si="143"/>
        <v>22.645884281343584</v>
      </c>
      <c r="Q510" s="92">
        <f t="shared" ca="1" si="144"/>
        <v>22.645884281343584</v>
      </c>
      <c r="R510" s="92">
        <f t="shared" ca="1" si="145"/>
        <v>2.2645884281343585</v>
      </c>
      <c r="S510" s="92">
        <f t="shared" ca="1" si="146"/>
        <v>2.264588428134358</v>
      </c>
      <c r="T510" s="4">
        <f t="shared" ca="1" si="147"/>
        <v>0</v>
      </c>
      <c r="U510" s="99">
        <f t="shared" ca="1" si="148"/>
        <v>1546.2486983548911</v>
      </c>
      <c r="V510" s="4">
        <f t="shared" ca="1" si="149"/>
        <v>0</v>
      </c>
      <c r="W510" s="13">
        <f t="shared" ca="1" si="150"/>
        <v>16523.699737499999</v>
      </c>
      <c r="X510" s="4">
        <f t="shared" ca="1" si="151"/>
        <v>0</v>
      </c>
    </row>
    <row r="511" spans="1:24">
      <c r="A511">
        <v>3</v>
      </c>
      <c r="B511">
        <v>3</v>
      </c>
      <c r="C511">
        <f t="shared" ca="1" si="133"/>
        <v>8</v>
      </c>
      <c r="D511">
        <f t="shared" ca="1" si="134"/>
        <v>6</v>
      </c>
      <c r="E511">
        <f t="shared" ca="1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1.4554485000000069E-9</v>
      </c>
      <c r="K511" s="1">
        <f t="shared" ca="1" si="138"/>
        <v>0</v>
      </c>
      <c r="L511" s="13">
        <f t="shared" ca="1" si="139"/>
        <v>168</v>
      </c>
      <c r="M511" s="7">
        <f t="shared" ca="1" si="140"/>
        <v>832</v>
      </c>
      <c r="N511" s="43">
        <f t="shared" ca="1" si="141"/>
        <v>7</v>
      </c>
      <c r="O511" s="92">
        <f t="shared" ca="1" si="142"/>
        <v>2.264588428134358</v>
      </c>
      <c r="P511" s="92">
        <f t="shared" ca="1" si="143"/>
        <v>22.645884281343584</v>
      </c>
      <c r="Q511" s="92">
        <f t="shared" ca="1" si="144"/>
        <v>22.645884281343584</v>
      </c>
      <c r="R511" s="92">
        <f t="shared" ca="1" si="145"/>
        <v>2.2645884281343585</v>
      </c>
      <c r="S511" s="92">
        <f t="shared" ca="1" si="146"/>
        <v>2.264588428134358</v>
      </c>
      <c r="T511" s="4">
        <f t="shared" ca="1" si="147"/>
        <v>0</v>
      </c>
      <c r="U511" s="99">
        <f t="shared" ca="1" si="148"/>
        <v>1525.2486983548911</v>
      </c>
      <c r="V511" s="4">
        <f t="shared" ca="1" si="149"/>
        <v>0</v>
      </c>
      <c r="W511" s="13">
        <f t="shared" ca="1" si="150"/>
        <v>15171.562237499998</v>
      </c>
      <c r="X511" s="4">
        <f t="shared" ca="1" si="151"/>
        <v>0</v>
      </c>
    </row>
    <row r="512" spans="1:24">
      <c r="A512">
        <v>3</v>
      </c>
      <c r="B512">
        <v>3</v>
      </c>
      <c r="C512">
        <f t="shared" ca="1" si="133"/>
        <v>8</v>
      </c>
      <c r="D512">
        <f t="shared" ca="1" si="134"/>
        <v>6</v>
      </c>
      <c r="E512">
        <f t="shared" ca="1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5.8806000000000321E-12</v>
      </c>
      <c r="K512" s="1">
        <f t="shared" ca="1" si="138"/>
        <v>0</v>
      </c>
      <c r="L512" s="13">
        <f t="shared" ca="1" si="139"/>
        <v>147</v>
      </c>
      <c r="M512" s="7">
        <f t="shared" ca="1" si="140"/>
        <v>853</v>
      </c>
      <c r="N512" s="43">
        <f t="shared" ca="1" si="141"/>
        <v>7</v>
      </c>
      <c r="O512" s="92">
        <f t="shared" ca="1" si="142"/>
        <v>2.264588428134358</v>
      </c>
      <c r="P512" s="92">
        <f t="shared" ca="1" si="143"/>
        <v>22.645884281343584</v>
      </c>
      <c r="Q512" s="92">
        <f t="shared" ca="1" si="144"/>
        <v>22.645884281343584</v>
      </c>
      <c r="R512" s="92">
        <f t="shared" ca="1" si="145"/>
        <v>2.2645884281343585</v>
      </c>
      <c r="S512" s="92">
        <f t="shared" ca="1" si="146"/>
        <v>2.264588428134358</v>
      </c>
      <c r="T512" s="4">
        <f t="shared" ca="1" si="147"/>
        <v>0</v>
      </c>
      <c r="U512" s="99">
        <f t="shared" ca="1" si="148"/>
        <v>1504.2486983548911</v>
      </c>
      <c r="V512" s="4">
        <f t="shared" ca="1" si="149"/>
        <v>0</v>
      </c>
      <c r="W512" s="13">
        <f t="shared" ca="1" si="150"/>
        <v>13819.4247375</v>
      </c>
      <c r="X512" s="4">
        <f t="shared" ca="1" si="151"/>
        <v>0</v>
      </c>
    </row>
    <row r="513" spans="1:24">
      <c r="A513">
        <v>3</v>
      </c>
      <c r="B513">
        <v>3</v>
      </c>
      <c r="C513">
        <f t="shared" ca="1" si="133"/>
        <v>8</v>
      </c>
      <c r="D513">
        <f t="shared" ca="1" si="134"/>
        <v>6</v>
      </c>
      <c r="E513">
        <f t="shared" ca="1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9.9000000000000638E-15</v>
      </c>
      <c r="K513" s="1">
        <f t="shared" ca="1" si="138"/>
        <v>0</v>
      </c>
      <c r="L513" s="13">
        <f t="shared" ca="1" si="139"/>
        <v>126</v>
      </c>
      <c r="M513" s="7">
        <f t="shared" ca="1" si="140"/>
        <v>874</v>
      </c>
      <c r="N513" s="43">
        <f t="shared" ca="1" si="141"/>
        <v>7</v>
      </c>
      <c r="O513" s="92">
        <f t="shared" ca="1" si="142"/>
        <v>2.264588428134358</v>
      </c>
      <c r="P513" s="92">
        <f t="shared" ca="1" si="143"/>
        <v>22.645884281343584</v>
      </c>
      <c r="Q513" s="92">
        <f t="shared" ca="1" si="144"/>
        <v>22.645884281343584</v>
      </c>
      <c r="R513" s="92">
        <f t="shared" ca="1" si="145"/>
        <v>2.2645884281343585</v>
      </c>
      <c r="S513" s="92">
        <f t="shared" ca="1" si="146"/>
        <v>2.264588428134358</v>
      </c>
      <c r="T513" s="4">
        <f t="shared" ca="1" si="147"/>
        <v>0</v>
      </c>
      <c r="U513" s="99">
        <f t="shared" ca="1" si="148"/>
        <v>1483.2486983548911</v>
      </c>
      <c r="V513" s="4">
        <f t="shared" ca="1" si="149"/>
        <v>0</v>
      </c>
      <c r="W513" s="13">
        <f t="shared" ca="1" si="150"/>
        <v>12467.287237499999</v>
      </c>
      <c r="X513" s="4">
        <f t="shared" ca="1" si="151"/>
        <v>0</v>
      </c>
    </row>
    <row r="514" spans="1:24">
      <c r="A514">
        <v>3</v>
      </c>
      <c r="B514">
        <v>3</v>
      </c>
      <c r="C514">
        <f t="shared" ca="1" si="133"/>
        <v>8</v>
      </c>
      <c r="D514">
        <f t="shared" ca="1" si="134"/>
        <v>6</v>
      </c>
      <c r="E514">
        <f t="shared" ca="1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273</v>
      </c>
      <c r="M514" s="7">
        <f t="shared" ca="1" si="140"/>
        <v>727</v>
      </c>
      <c r="N514" s="43">
        <f t="shared" ca="1" si="141"/>
        <v>6</v>
      </c>
      <c r="O514" s="92">
        <f t="shared" ca="1" si="142"/>
        <v>2.003415856166523</v>
      </c>
      <c r="P514" s="92">
        <f t="shared" ca="1" si="143"/>
        <v>20.03415856166523</v>
      </c>
      <c r="Q514" s="92">
        <f t="shared" ca="1" si="144"/>
        <v>20.03415856166523</v>
      </c>
      <c r="R514" s="92">
        <f t="shared" ca="1" si="145"/>
        <v>2.003415856166523</v>
      </c>
      <c r="S514" s="92">
        <f t="shared" ca="1" si="146"/>
        <v>2.003415856166523</v>
      </c>
      <c r="T514" s="4">
        <f t="shared" ca="1" si="147"/>
        <v>0</v>
      </c>
      <c r="U514" s="99">
        <f t="shared" ca="1" si="148"/>
        <v>1502.0284794818213</v>
      </c>
      <c r="V514" s="4">
        <f t="shared" ca="1" si="149"/>
        <v>0</v>
      </c>
      <c r="W514" s="13">
        <f t="shared" ca="1" si="150"/>
        <v>10852.513124999999</v>
      </c>
      <c r="X514" s="4">
        <f t="shared" ca="1" si="151"/>
        <v>0</v>
      </c>
    </row>
    <row r="515" spans="1:24">
      <c r="A515">
        <v>3</v>
      </c>
      <c r="B515">
        <v>3</v>
      </c>
      <c r="C515">
        <f t="shared" ca="1" si="133"/>
        <v>8</v>
      </c>
      <c r="D515">
        <f t="shared" ca="1" si="134"/>
        <v>6</v>
      </c>
      <c r="E515">
        <f t="shared" ca="1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9.3206534790699087E-3</v>
      </c>
      <c r="K515" s="1">
        <f t="shared" ca="1" si="138"/>
        <v>0</v>
      </c>
      <c r="L515" s="13">
        <f t="shared" ca="1" si="139"/>
        <v>252</v>
      </c>
      <c r="M515" s="7">
        <f t="shared" ca="1" si="140"/>
        <v>748</v>
      </c>
      <c r="N515" s="43">
        <f t="shared" ca="1" si="141"/>
        <v>6</v>
      </c>
      <c r="O515" s="92">
        <f t="shared" ca="1" si="142"/>
        <v>2.003415856166523</v>
      </c>
      <c r="P515" s="92">
        <f t="shared" ca="1" si="143"/>
        <v>20.03415856166523</v>
      </c>
      <c r="Q515" s="92">
        <f t="shared" ca="1" si="144"/>
        <v>20.03415856166523</v>
      </c>
      <c r="R515" s="92">
        <f t="shared" ca="1" si="145"/>
        <v>2.003415856166523</v>
      </c>
      <c r="S515" s="92">
        <f t="shared" ca="1" si="146"/>
        <v>2.003415856166523</v>
      </c>
      <c r="T515" s="4">
        <f t="shared" ca="1" si="147"/>
        <v>0</v>
      </c>
      <c r="U515" s="99">
        <f t="shared" ca="1" si="148"/>
        <v>1481.0284794818213</v>
      </c>
      <c r="V515" s="4">
        <f t="shared" ca="1" si="149"/>
        <v>0</v>
      </c>
      <c r="W515" s="13">
        <f t="shared" ca="1" si="150"/>
        <v>9500.3756250000006</v>
      </c>
      <c r="X515" s="4">
        <f t="shared" ca="1" si="151"/>
        <v>0</v>
      </c>
    </row>
    <row r="516" spans="1:24">
      <c r="A516">
        <v>3</v>
      </c>
      <c r="B516">
        <v>3</v>
      </c>
      <c r="C516">
        <f t="shared" ca="1" si="133"/>
        <v>8</v>
      </c>
      <c r="D516">
        <f t="shared" ca="1" si="134"/>
        <v>6</v>
      </c>
      <c r="E516">
        <f t="shared" ca="1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5.6488808964060098E-4</v>
      </c>
      <c r="K516" s="1">
        <f t="shared" ca="1" si="138"/>
        <v>0</v>
      </c>
      <c r="L516" s="13">
        <f t="shared" ca="1" si="139"/>
        <v>231</v>
      </c>
      <c r="M516" s="7">
        <f t="shared" ca="1" si="140"/>
        <v>769</v>
      </c>
      <c r="N516" s="43">
        <f t="shared" ca="1" si="141"/>
        <v>6</v>
      </c>
      <c r="O516" s="92">
        <f t="shared" ca="1" si="142"/>
        <v>2.003415856166523</v>
      </c>
      <c r="P516" s="92">
        <f t="shared" ca="1" si="143"/>
        <v>20.03415856166523</v>
      </c>
      <c r="Q516" s="92">
        <f t="shared" ca="1" si="144"/>
        <v>20.03415856166523</v>
      </c>
      <c r="R516" s="92">
        <f t="shared" ca="1" si="145"/>
        <v>2.003415856166523</v>
      </c>
      <c r="S516" s="92">
        <f t="shared" ca="1" si="146"/>
        <v>2.003415856166523</v>
      </c>
      <c r="T516" s="4">
        <f t="shared" ca="1" si="147"/>
        <v>0</v>
      </c>
      <c r="U516" s="99">
        <f t="shared" ca="1" si="148"/>
        <v>1460.0284794818213</v>
      </c>
      <c r="V516" s="4">
        <f t="shared" ca="1" si="149"/>
        <v>0</v>
      </c>
      <c r="W516" s="13">
        <f t="shared" ca="1" si="150"/>
        <v>8148.2381249999999</v>
      </c>
      <c r="X516" s="4">
        <f t="shared" ca="1" si="151"/>
        <v>0</v>
      </c>
    </row>
    <row r="517" spans="1:24">
      <c r="A517">
        <v>3</v>
      </c>
      <c r="B517">
        <v>3</v>
      </c>
      <c r="C517">
        <f t="shared" ca="1" si="133"/>
        <v>8</v>
      </c>
      <c r="D517">
        <f t="shared" ca="1" si="134"/>
        <v>6</v>
      </c>
      <c r="E517">
        <f t="shared" ca="1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1.426485074850004E-5</v>
      </c>
      <c r="K517" s="1">
        <f t="shared" ca="1" si="138"/>
        <v>0</v>
      </c>
      <c r="L517" s="13">
        <f t="shared" ca="1" si="139"/>
        <v>210</v>
      </c>
      <c r="M517" s="7">
        <f t="shared" ca="1" si="140"/>
        <v>790</v>
      </c>
      <c r="N517" s="43">
        <f t="shared" ca="1" si="141"/>
        <v>7</v>
      </c>
      <c r="O517" s="92">
        <f t="shared" ca="1" si="142"/>
        <v>2.264588428134358</v>
      </c>
      <c r="P517" s="92">
        <f t="shared" ca="1" si="143"/>
        <v>22.645884281343584</v>
      </c>
      <c r="Q517" s="92">
        <f t="shared" ca="1" si="144"/>
        <v>21.340021421504403</v>
      </c>
      <c r="R517" s="92">
        <f t="shared" ca="1" si="145"/>
        <v>2.1992952851423992</v>
      </c>
      <c r="S517" s="92">
        <f t="shared" ca="1" si="146"/>
        <v>2.264588428134358</v>
      </c>
      <c r="T517" s="4">
        <f t="shared" ca="1" si="147"/>
        <v>0</v>
      </c>
      <c r="U517" s="99">
        <f t="shared" ca="1" si="148"/>
        <v>1567.2486983548911</v>
      </c>
      <c r="V517" s="4">
        <f t="shared" ca="1" si="149"/>
        <v>0</v>
      </c>
      <c r="W517" s="13">
        <f t="shared" ca="1" si="150"/>
        <v>6796.100625</v>
      </c>
      <c r="X517" s="4">
        <f t="shared" ca="1" si="151"/>
        <v>0</v>
      </c>
    </row>
    <row r="518" spans="1:24">
      <c r="A518">
        <v>3</v>
      </c>
      <c r="B518">
        <v>3</v>
      </c>
      <c r="C518">
        <f t="shared" ca="1" si="133"/>
        <v>8</v>
      </c>
      <c r="D518">
        <f t="shared" ca="1" si="134"/>
        <v>6</v>
      </c>
      <c r="E518">
        <f t="shared" ca="1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1.9211920200000068E-7</v>
      </c>
      <c r="K518" s="1">
        <f t="shared" ca="1" si="138"/>
        <v>0</v>
      </c>
      <c r="L518" s="13">
        <f t="shared" ca="1" si="139"/>
        <v>189</v>
      </c>
      <c r="M518" s="7">
        <f t="shared" ca="1" si="140"/>
        <v>811</v>
      </c>
      <c r="N518" s="43">
        <f t="shared" ca="1" si="141"/>
        <v>7</v>
      </c>
      <c r="O518" s="92">
        <f t="shared" ca="1" si="142"/>
        <v>2.264588428134358</v>
      </c>
      <c r="P518" s="92">
        <f t="shared" ca="1" si="143"/>
        <v>22.645884281343584</v>
      </c>
      <c r="Q518" s="92">
        <f t="shared" ca="1" si="144"/>
        <v>22.645884281343584</v>
      </c>
      <c r="R518" s="92">
        <f t="shared" ca="1" si="145"/>
        <v>2.2645884281343585</v>
      </c>
      <c r="S518" s="92">
        <f t="shared" ca="1" si="146"/>
        <v>2.264588428134358</v>
      </c>
      <c r="T518" s="4">
        <f t="shared" ca="1" si="147"/>
        <v>0</v>
      </c>
      <c r="U518" s="99">
        <f t="shared" ca="1" si="148"/>
        <v>1546.2486983548911</v>
      </c>
      <c r="V518" s="4">
        <f t="shared" ca="1" si="149"/>
        <v>0</v>
      </c>
      <c r="W518" s="13">
        <f t="shared" ca="1" si="150"/>
        <v>5443.9631250000002</v>
      </c>
      <c r="X518" s="4">
        <f t="shared" ca="1" si="151"/>
        <v>0</v>
      </c>
    </row>
    <row r="519" spans="1:24">
      <c r="A519">
        <v>3</v>
      </c>
      <c r="B519">
        <v>3</v>
      </c>
      <c r="C519">
        <f t="shared" ca="1" si="133"/>
        <v>8</v>
      </c>
      <c r="D519">
        <f t="shared" ca="1" si="134"/>
        <v>6</v>
      </c>
      <c r="E519">
        <f t="shared" ca="1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1.4554485000000069E-9</v>
      </c>
      <c r="K519" s="1">
        <f t="shared" ca="1" si="138"/>
        <v>0</v>
      </c>
      <c r="L519" s="13">
        <f t="shared" ca="1" si="139"/>
        <v>168</v>
      </c>
      <c r="M519" s="7">
        <f t="shared" ca="1" si="140"/>
        <v>832</v>
      </c>
      <c r="N519" s="43">
        <f t="shared" ca="1" si="141"/>
        <v>7</v>
      </c>
      <c r="O519" s="92">
        <f t="shared" ca="1" si="142"/>
        <v>2.264588428134358</v>
      </c>
      <c r="P519" s="92">
        <f t="shared" ca="1" si="143"/>
        <v>22.645884281343584</v>
      </c>
      <c r="Q519" s="92">
        <f t="shared" ca="1" si="144"/>
        <v>22.645884281343584</v>
      </c>
      <c r="R519" s="92">
        <f t="shared" ca="1" si="145"/>
        <v>2.2645884281343585</v>
      </c>
      <c r="S519" s="92">
        <f t="shared" ca="1" si="146"/>
        <v>2.264588428134358</v>
      </c>
      <c r="T519" s="4">
        <f t="shared" ca="1" si="147"/>
        <v>0</v>
      </c>
      <c r="U519" s="99">
        <f t="shared" ca="1" si="148"/>
        <v>1525.2486983548911</v>
      </c>
      <c r="V519" s="4">
        <f t="shared" ca="1" si="149"/>
        <v>0</v>
      </c>
      <c r="W519" s="13">
        <f t="shared" ca="1" si="150"/>
        <v>4091.8256249999999</v>
      </c>
      <c r="X519" s="4">
        <f t="shared" ca="1" si="151"/>
        <v>0</v>
      </c>
    </row>
    <row r="520" spans="1:24">
      <c r="A520">
        <v>3</v>
      </c>
      <c r="B520">
        <v>3</v>
      </c>
      <c r="C520">
        <f t="shared" ca="1" si="133"/>
        <v>8</v>
      </c>
      <c r="D520">
        <f t="shared" ca="1" si="134"/>
        <v>6</v>
      </c>
      <c r="E520">
        <f t="shared" ca="1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5.8806000000000321E-12</v>
      </c>
      <c r="K520" s="1">
        <f t="shared" ca="1" si="138"/>
        <v>0</v>
      </c>
      <c r="L520" s="13">
        <f t="shared" ca="1" si="139"/>
        <v>147</v>
      </c>
      <c r="M520" s="7">
        <f t="shared" ca="1" si="140"/>
        <v>853</v>
      </c>
      <c r="N520" s="43">
        <f t="shared" ca="1" si="141"/>
        <v>7</v>
      </c>
      <c r="O520" s="92">
        <f t="shared" ca="1" si="142"/>
        <v>2.264588428134358</v>
      </c>
      <c r="P520" s="92">
        <f t="shared" ca="1" si="143"/>
        <v>22.645884281343584</v>
      </c>
      <c r="Q520" s="92">
        <f t="shared" ca="1" si="144"/>
        <v>22.645884281343584</v>
      </c>
      <c r="R520" s="92">
        <f t="shared" ca="1" si="145"/>
        <v>2.2645884281343585</v>
      </c>
      <c r="S520" s="92">
        <f t="shared" ca="1" si="146"/>
        <v>2.264588428134358</v>
      </c>
      <c r="T520" s="4">
        <f t="shared" ca="1" si="147"/>
        <v>0</v>
      </c>
      <c r="U520" s="99">
        <f t="shared" ca="1" si="148"/>
        <v>1504.2486983548911</v>
      </c>
      <c r="V520" s="4">
        <f t="shared" ca="1" si="149"/>
        <v>0</v>
      </c>
      <c r="W520" s="13">
        <f t="shared" ca="1" si="150"/>
        <v>2739.6881249999997</v>
      </c>
      <c r="X520" s="4">
        <f t="shared" ca="1" si="151"/>
        <v>0</v>
      </c>
    </row>
    <row r="521" spans="1:24">
      <c r="A521">
        <v>3</v>
      </c>
      <c r="B521">
        <v>3</v>
      </c>
      <c r="C521">
        <f t="shared" ca="1" si="133"/>
        <v>8</v>
      </c>
      <c r="D521">
        <f t="shared" ca="1" si="134"/>
        <v>6</v>
      </c>
      <c r="E521">
        <f t="shared" ca="1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9.9000000000000638E-15</v>
      </c>
      <c r="K521" s="1">
        <f t="shared" ca="1" si="138"/>
        <v>0</v>
      </c>
      <c r="L521" s="13">
        <f t="shared" ca="1" si="139"/>
        <v>126</v>
      </c>
      <c r="M521" s="7">
        <f t="shared" ca="1" si="140"/>
        <v>874</v>
      </c>
      <c r="N521" s="43">
        <f t="shared" ca="1" si="141"/>
        <v>7</v>
      </c>
      <c r="O521" s="92">
        <f t="shared" ca="1" si="142"/>
        <v>2.264588428134358</v>
      </c>
      <c r="P521" s="92">
        <f t="shared" ca="1" si="143"/>
        <v>22.645884281343584</v>
      </c>
      <c r="Q521" s="92">
        <f t="shared" ca="1" si="144"/>
        <v>22.645884281343584</v>
      </c>
      <c r="R521" s="92">
        <f t="shared" ca="1" si="145"/>
        <v>2.2645884281343585</v>
      </c>
      <c r="S521" s="92">
        <f t="shared" ca="1" si="146"/>
        <v>2.264588428134358</v>
      </c>
      <c r="T521" s="4">
        <f t="shared" ca="1" si="147"/>
        <v>0</v>
      </c>
      <c r="U521" s="99">
        <f t="shared" ca="1" si="148"/>
        <v>1483.2486983548911</v>
      </c>
      <c r="V521" s="4">
        <f t="shared" ca="1" si="149"/>
        <v>0</v>
      </c>
      <c r="W521" s="13">
        <f t="shared" ca="1" si="150"/>
        <v>1387.5506249999999</v>
      </c>
      <c r="X521" s="4">
        <f t="shared" ca="1" si="151"/>
        <v>0</v>
      </c>
    </row>
    <row r="522" spans="1:24">
      <c r="A522">
        <v>3</v>
      </c>
      <c r="B522">
        <v>3</v>
      </c>
      <c r="C522">
        <f t="shared" ca="1" si="133"/>
        <v>8</v>
      </c>
      <c r="D522">
        <f t="shared" ca="1" si="134"/>
        <v>6</v>
      </c>
      <c r="E522">
        <f t="shared" ca="1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3">
        <f t="shared" ca="1" si="141"/>
        <v>7</v>
      </c>
      <c r="O522" s="92">
        <f t="shared" ca="1" si="142"/>
        <v>2.264588428134358</v>
      </c>
      <c r="P522" s="92">
        <f t="shared" ca="1" si="143"/>
        <v>22.645884281343584</v>
      </c>
      <c r="Q522" s="92">
        <f t="shared" ca="1" si="144"/>
        <v>22.645884281343584</v>
      </c>
      <c r="R522" s="92">
        <f t="shared" ca="1" si="145"/>
        <v>2.2645884281343585</v>
      </c>
      <c r="S522" s="92">
        <f t="shared" ca="1" si="146"/>
        <v>2.264588428134358</v>
      </c>
      <c r="T522" s="4">
        <f t="shared" ca="1" si="147"/>
        <v>0</v>
      </c>
      <c r="U522" s="99">
        <f t="shared" ca="1" si="148"/>
        <v>1504.2486983548911</v>
      </c>
      <c r="V522" s="4">
        <f t="shared" ca="1" si="149"/>
        <v>0</v>
      </c>
      <c r="W522" s="13">
        <f t="shared" ca="1" si="150"/>
        <v>9464.9624999999996</v>
      </c>
      <c r="X522" s="4">
        <f t="shared" ca="1" si="151"/>
        <v>0</v>
      </c>
    </row>
    <row r="523" spans="1:24">
      <c r="A523">
        <v>3</v>
      </c>
      <c r="B523">
        <v>3</v>
      </c>
      <c r="C523">
        <f t="shared" ca="1" si="133"/>
        <v>8</v>
      </c>
      <c r="D523">
        <f t="shared" ca="1" si="134"/>
        <v>6</v>
      </c>
      <c r="E523">
        <f t="shared" ca="1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9.4148014940100163E-5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3">
        <f t="shared" ca="1" si="141"/>
        <v>7</v>
      </c>
      <c r="O523" s="92">
        <f t="shared" ca="1" si="142"/>
        <v>2.264588428134358</v>
      </c>
      <c r="P523" s="92">
        <f t="shared" ca="1" si="143"/>
        <v>22.645884281343584</v>
      </c>
      <c r="Q523" s="92">
        <f t="shared" ca="1" si="144"/>
        <v>22.645884281343584</v>
      </c>
      <c r="R523" s="92">
        <f t="shared" ca="1" si="145"/>
        <v>2.2645884281343585</v>
      </c>
      <c r="S523" s="92">
        <f t="shared" ca="1" si="146"/>
        <v>2.264588428134358</v>
      </c>
      <c r="T523" s="4">
        <f t="shared" ca="1" si="147"/>
        <v>0</v>
      </c>
      <c r="U523" s="99">
        <f t="shared" ca="1" si="148"/>
        <v>1483.2486983548911</v>
      </c>
      <c r="V523" s="4">
        <f t="shared" ca="1" si="149"/>
        <v>0</v>
      </c>
      <c r="W523" s="13">
        <f t="shared" ca="1" si="150"/>
        <v>8112.8249999999998</v>
      </c>
      <c r="X523" s="4">
        <f t="shared" ca="1" si="151"/>
        <v>0</v>
      </c>
    </row>
    <row r="524" spans="1:24">
      <c r="A524">
        <v>3</v>
      </c>
      <c r="B524">
        <v>3</v>
      </c>
      <c r="C524">
        <f t="shared" ca="1" si="133"/>
        <v>8</v>
      </c>
      <c r="D524">
        <f t="shared" ca="1" si="134"/>
        <v>6</v>
      </c>
      <c r="E524">
        <f t="shared" ca="1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5.7059402994000143E-6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3">
        <f t="shared" ca="1" si="141"/>
        <v>7</v>
      </c>
      <c r="O524" s="92">
        <f t="shared" ca="1" si="142"/>
        <v>2.264588428134358</v>
      </c>
      <c r="P524" s="92">
        <f t="shared" ca="1" si="143"/>
        <v>22.645884281343584</v>
      </c>
      <c r="Q524" s="92">
        <f t="shared" ca="1" si="144"/>
        <v>22.645884281343584</v>
      </c>
      <c r="R524" s="92">
        <f t="shared" ca="1" si="145"/>
        <v>2.2645884281343585</v>
      </c>
      <c r="S524" s="92">
        <f t="shared" ca="1" si="146"/>
        <v>2.264588428134358</v>
      </c>
      <c r="T524" s="4">
        <f t="shared" ca="1" si="147"/>
        <v>0</v>
      </c>
      <c r="U524" s="99">
        <f t="shared" ca="1" si="148"/>
        <v>1462.2486983548911</v>
      </c>
      <c r="V524" s="4">
        <f t="shared" ca="1" si="149"/>
        <v>0</v>
      </c>
      <c r="W524" s="13">
        <f t="shared" ca="1" si="150"/>
        <v>6760.6875</v>
      </c>
      <c r="X524" s="4">
        <f t="shared" ca="1" si="151"/>
        <v>0</v>
      </c>
    </row>
    <row r="525" spans="1:24">
      <c r="A525">
        <v>3</v>
      </c>
      <c r="B525">
        <v>3</v>
      </c>
      <c r="C525">
        <f t="shared" ca="1" si="133"/>
        <v>8</v>
      </c>
      <c r="D525">
        <f t="shared" ca="1" si="134"/>
        <v>6</v>
      </c>
      <c r="E525">
        <f t="shared" ca="1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1.4408940150000052E-7</v>
      </c>
      <c r="K525" s="1">
        <f t="shared" ca="1" si="138"/>
        <v>0</v>
      </c>
      <c r="L525" s="13">
        <f t="shared" ca="1" si="139"/>
        <v>100</v>
      </c>
      <c r="M525" s="7">
        <f t="shared" ca="1" si="140"/>
        <v>900</v>
      </c>
      <c r="N525" s="43">
        <f t="shared" ca="1" si="141"/>
        <v>7</v>
      </c>
      <c r="O525" s="92">
        <f t="shared" ca="1" si="142"/>
        <v>2.264588428134358</v>
      </c>
      <c r="P525" s="92">
        <f t="shared" ca="1" si="143"/>
        <v>22.645884281343584</v>
      </c>
      <c r="Q525" s="92">
        <f t="shared" ca="1" si="144"/>
        <v>22.645884281343584</v>
      </c>
      <c r="R525" s="92">
        <f t="shared" ca="1" si="145"/>
        <v>2.2645884281343585</v>
      </c>
      <c r="S525" s="92">
        <f t="shared" ca="1" si="146"/>
        <v>2.264588428134358</v>
      </c>
      <c r="T525" s="4">
        <f t="shared" ca="1" si="147"/>
        <v>0</v>
      </c>
      <c r="U525" s="99">
        <f t="shared" ca="1" si="148"/>
        <v>1457.2486983548911</v>
      </c>
      <c r="V525" s="4">
        <f t="shared" ca="1" si="149"/>
        <v>0</v>
      </c>
      <c r="W525" s="13">
        <f t="shared" ca="1" si="150"/>
        <v>5408.55</v>
      </c>
      <c r="X525" s="4">
        <f t="shared" ca="1" si="151"/>
        <v>0</v>
      </c>
    </row>
    <row r="526" spans="1:24">
      <c r="A526">
        <v>3</v>
      </c>
      <c r="B526">
        <v>3</v>
      </c>
      <c r="C526">
        <f t="shared" ca="1" si="133"/>
        <v>8</v>
      </c>
      <c r="D526">
        <f t="shared" ca="1" si="134"/>
        <v>6</v>
      </c>
      <c r="E526">
        <f t="shared" ca="1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1.9405980000000086E-9</v>
      </c>
      <c r="K526" s="1">
        <f t="shared" ca="1" si="138"/>
        <v>0</v>
      </c>
      <c r="L526" s="13">
        <f t="shared" ca="1" si="139"/>
        <v>100</v>
      </c>
      <c r="M526" s="7">
        <f t="shared" ca="1" si="140"/>
        <v>900</v>
      </c>
      <c r="N526" s="43">
        <f t="shared" ca="1" si="141"/>
        <v>7</v>
      </c>
      <c r="O526" s="92">
        <f t="shared" ca="1" si="142"/>
        <v>2.264588428134358</v>
      </c>
      <c r="P526" s="92">
        <f t="shared" ca="1" si="143"/>
        <v>22.645884281343584</v>
      </c>
      <c r="Q526" s="92">
        <f t="shared" ca="1" si="144"/>
        <v>22.645884281343584</v>
      </c>
      <c r="R526" s="92">
        <f t="shared" ca="1" si="145"/>
        <v>2.2645884281343585</v>
      </c>
      <c r="S526" s="92">
        <f t="shared" ca="1" si="146"/>
        <v>2.264588428134358</v>
      </c>
      <c r="T526" s="4">
        <f t="shared" ca="1" si="147"/>
        <v>0</v>
      </c>
      <c r="U526" s="99">
        <f t="shared" ca="1" si="148"/>
        <v>1457.2486983548911</v>
      </c>
      <c r="V526" s="4">
        <f t="shared" ca="1" si="149"/>
        <v>0</v>
      </c>
      <c r="W526" s="13">
        <f t="shared" ca="1" si="150"/>
        <v>4056.4124999999999</v>
      </c>
      <c r="X526" s="4">
        <f t="shared" ca="1" si="151"/>
        <v>0</v>
      </c>
    </row>
    <row r="527" spans="1:24">
      <c r="A527">
        <v>3</v>
      </c>
      <c r="B527">
        <v>3</v>
      </c>
      <c r="C527">
        <f t="shared" ca="1" si="133"/>
        <v>8</v>
      </c>
      <c r="D527">
        <f t="shared" ca="1" si="134"/>
        <v>6</v>
      </c>
      <c r="E527">
        <f t="shared" ca="1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1.4701500000000082E-11</v>
      </c>
      <c r="K527" s="1">
        <f t="shared" ca="1" si="138"/>
        <v>0</v>
      </c>
      <c r="L527" s="13">
        <f t="shared" ca="1" si="139"/>
        <v>100</v>
      </c>
      <c r="M527" s="7">
        <f t="shared" ca="1" si="140"/>
        <v>900</v>
      </c>
      <c r="N527" s="43">
        <f t="shared" ca="1" si="141"/>
        <v>7</v>
      </c>
      <c r="O527" s="92">
        <f t="shared" ca="1" si="142"/>
        <v>2.264588428134358</v>
      </c>
      <c r="P527" s="92">
        <f t="shared" ca="1" si="143"/>
        <v>22.645884281343584</v>
      </c>
      <c r="Q527" s="92">
        <f t="shared" ca="1" si="144"/>
        <v>22.645884281343584</v>
      </c>
      <c r="R527" s="92">
        <f t="shared" ca="1" si="145"/>
        <v>2.2645884281343585</v>
      </c>
      <c r="S527" s="92">
        <f t="shared" ca="1" si="146"/>
        <v>2.264588428134358</v>
      </c>
      <c r="T527" s="4">
        <f t="shared" ca="1" si="147"/>
        <v>0</v>
      </c>
      <c r="U527" s="99">
        <f t="shared" ca="1" si="148"/>
        <v>1457.2486983548911</v>
      </c>
      <c r="V527" s="4">
        <f t="shared" ca="1" si="149"/>
        <v>0</v>
      </c>
      <c r="W527" s="13">
        <f t="shared" ca="1" si="150"/>
        <v>2704.2750000000001</v>
      </c>
      <c r="X527" s="4">
        <f t="shared" ca="1" si="151"/>
        <v>0</v>
      </c>
    </row>
    <row r="528" spans="1:24">
      <c r="A528">
        <v>3</v>
      </c>
      <c r="B528">
        <v>3</v>
      </c>
      <c r="C528">
        <f t="shared" ca="1" si="133"/>
        <v>8</v>
      </c>
      <c r="D528">
        <f t="shared" ca="1" si="134"/>
        <v>6</v>
      </c>
      <c r="E528">
        <f t="shared" ca="1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5.9400000000000383E-14</v>
      </c>
      <c r="K528" s="1">
        <f t="shared" ca="1" si="138"/>
        <v>0</v>
      </c>
      <c r="L528" s="13">
        <f t="shared" ca="1" si="139"/>
        <v>100</v>
      </c>
      <c r="M528" s="7">
        <f t="shared" ca="1" si="140"/>
        <v>900</v>
      </c>
      <c r="N528" s="43">
        <f t="shared" ca="1" si="141"/>
        <v>7</v>
      </c>
      <c r="O528" s="92">
        <f t="shared" ca="1" si="142"/>
        <v>2.264588428134358</v>
      </c>
      <c r="P528" s="92">
        <f t="shared" ca="1" si="143"/>
        <v>22.645884281343584</v>
      </c>
      <c r="Q528" s="92">
        <f t="shared" ca="1" si="144"/>
        <v>22.645884281343584</v>
      </c>
      <c r="R528" s="92">
        <f t="shared" ca="1" si="145"/>
        <v>2.2645884281343585</v>
      </c>
      <c r="S528" s="92">
        <f t="shared" ca="1" si="146"/>
        <v>2.264588428134358</v>
      </c>
      <c r="T528" s="4">
        <f t="shared" ca="1" si="147"/>
        <v>0</v>
      </c>
      <c r="U528" s="99">
        <f t="shared" ca="1" si="148"/>
        <v>1457.2486983548911</v>
      </c>
      <c r="V528" s="4">
        <f t="shared" ca="1" si="149"/>
        <v>0</v>
      </c>
      <c r="W528" s="13">
        <f t="shared" ca="1" si="150"/>
        <v>1352.1375</v>
      </c>
      <c r="X528" s="4">
        <f t="shared" ca="1" si="151"/>
        <v>0</v>
      </c>
    </row>
    <row r="529" spans="1:24">
      <c r="A529">
        <v>3</v>
      </c>
      <c r="B529">
        <v>3</v>
      </c>
      <c r="C529">
        <f t="shared" ca="1" si="133"/>
        <v>8</v>
      </c>
      <c r="D529">
        <f t="shared" ca="1" si="134"/>
        <v>6</v>
      </c>
      <c r="E529">
        <f t="shared" ca="1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1.0000000000000073E-16</v>
      </c>
      <c r="K529" s="1">
        <f t="shared" ca="1" si="138"/>
        <v>0</v>
      </c>
      <c r="L529" s="13">
        <f t="shared" ca="1" si="139"/>
        <v>100</v>
      </c>
      <c r="M529" s="7">
        <f t="shared" ca="1" si="140"/>
        <v>900</v>
      </c>
      <c r="N529" s="43">
        <f t="shared" ca="1" si="141"/>
        <v>7</v>
      </c>
      <c r="O529" s="92">
        <f t="shared" ca="1" si="142"/>
        <v>2.264588428134358</v>
      </c>
      <c r="P529" s="92">
        <f t="shared" ca="1" si="143"/>
        <v>22.645884281343584</v>
      </c>
      <c r="Q529" s="92">
        <f t="shared" ca="1" si="144"/>
        <v>22.645884281343584</v>
      </c>
      <c r="R529" s="92">
        <f t="shared" ca="1" si="145"/>
        <v>2.2645884281343585</v>
      </c>
      <c r="S529" s="92">
        <f t="shared" ca="1" si="146"/>
        <v>2.264588428134358</v>
      </c>
      <c r="T529" s="4">
        <f t="shared" ca="1" si="147"/>
        <v>0</v>
      </c>
      <c r="U529" s="99">
        <f t="shared" ca="1" si="148"/>
        <v>1457.2486983548911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</row>
    <row r="531" spans="1:24">
      <c r="J531" s="2" t="s">
        <v>309</v>
      </c>
      <c r="K531" s="39">
        <f ca="1">SUM(K18:K529)</f>
        <v>1</v>
      </c>
      <c r="O531" s="43"/>
      <c r="P531" s="43"/>
      <c r="Q531" s="43"/>
      <c r="R531" s="43"/>
      <c r="S531" s="43" t="s">
        <v>310</v>
      </c>
      <c r="T531" s="4">
        <f ca="1">SUM(T18:T529)</f>
        <v>2.0061208107128059</v>
      </c>
      <c r="U531" t="s">
        <v>178</v>
      </c>
      <c r="V531" s="4">
        <f ca="1">SUM(V18:V529)</f>
        <v>1523.1624347343457</v>
      </c>
      <c r="W531" t="s">
        <v>185</v>
      </c>
      <c r="X531" s="4">
        <f ca="1">SUM(X18:X529)</f>
        <v>16505.575951082625</v>
      </c>
    </row>
    <row r="534" spans="1:24">
      <c r="A534" t="s">
        <v>417</v>
      </c>
      <c r="Q534" s="43"/>
      <c r="R534" s="43"/>
    </row>
    <row r="535" spans="1:24">
      <c r="A535" s="9" t="str">
        <f>Setup!C22</f>
        <v>Chant du Cygne</v>
      </c>
      <c r="D535" s="31" t="s">
        <v>885</v>
      </c>
      <c r="E535">
        <f>IF(VLOOKUP($A$535, WeaponskillData, MATCH("Type", WeaponskillDataCols, 0), 0)="M", 1, 0)</f>
        <v>0</v>
      </c>
      <c r="F535" s="2"/>
      <c r="I535" t="str">
        <f>VLOOKUP($A$535, WeaponskillData, MATCH("WSC1 Name", WeaponskillDataCols, 0), 0)</f>
        <v>Dex</v>
      </c>
      <c r="J535" s="7">
        <f ca="1">INDIRECT($A$534 &amp; "WS" &amp; I535) + IF(A535="Expiacion", INDIRECT($A$534 &amp; "WS" &amp; "Int"), 0)</f>
        <v>407</v>
      </c>
      <c r="K535" s="97">
        <f>VLOOKUP($A$535, WeaponskillData, MATCH("WSC1 Value", WeaponskillDataCols, 0), 0)</f>
        <v>0.8</v>
      </c>
      <c r="L535" t="s">
        <v>269</v>
      </c>
      <c r="M535" s="7">
        <f ca="1">Data!E34</f>
        <v>158</v>
      </c>
      <c r="P535" s="43"/>
      <c r="Q535" s="98"/>
      <c r="R535" s="98"/>
    </row>
    <row r="536" spans="1:24">
      <c r="A536" t="s">
        <v>49</v>
      </c>
      <c r="B536" s="34">
        <f ca="1">Set2MeleeTP</f>
        <v>125</v>
      </c>
      <c r="D536" t="s">
        <v>43</v>
      </c>
      <c r="E536" s="2">
        <f ca="1">IF(VLOOKUP($A$535, WeaponskillData, MATCH("Type", WeaponskillDataCols, 0), 0)="M", 0%, Set2DA)</f>
        <v>0.17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7">
        <f>IF(I536&lt;&gt;"N/A", VLOOKUP($A$535, WeaponskillData, MATCH("WSC2 Value", WeaponskillDataCols, 0), 0), 0)</f>
        <v>0</v>
      </c>
      <c r="L536" t="s">
        <v>667</v>
      </c>
      <c r="M536" s="7">
        <f ca="1">(M535-Data!L20) * 2</f>
        <v>-200</v>
      </c>
      <c r="P536" s="43"/>
      <c r="Q536" s="99"/>
      <c r="R536" s="99"/>
    </row>
    <row r="537" spans="1:24">
      <c r="A537" t="s">
        <v>50</v>
      </c>
      <c r="B537">
        <f ca="1">Set2WSTP</f>
        <v>134</v>
      </c>
      <c r="D537" t="s">
        <v>164</v>
      </c>
      <c r="E537" s="2">
        <f ca="1">IF(VLOOKUP($A$535, WeaponskillData, MATCH("Type", WeaponskillDataCols, 0), 0)="M", 0%, Set2TA)</f>
        <v>0.14000000000000001</v>
      </c>
      <c r="F537" s="2"/>
      <c r="I537" t="s">
        <v>114</v>
      </c>
      <c r="J537">
        <f ca="1">TRUNC(J535*K535+J536*K536)</f>
        <v>325</v>
      </c>
      <c r="L537" t="s">
        <v>620</v>
      </c>
      <c r="M537" s="4">
        <f>IF(VLOOKUP($A$535, WeaponskillData, MATCH("Type", WeaponskillDataCols, 0), 0)="M", 1 + (Data!E$216/100), 1)</f>
        <v>1</v>
      </c>
    </row>
    <row r="538" spans="1:24">
      <c r="A538" t="s">
        <v>413</v>
      </c>
      <c r="B538">
        <f ca="1">Set2WSStoreTP</f>
        <v>128</v>
      </c>
      <c r="D538" t="s">
        <v>281</v>
      </c>
      <c r="E538" s="2">
        <f ca="1">IF(VLOOKUP($A$535, WeaponskillData, MATCH("Type", WeaponskillDataCols, 0), 0)="M", 0%, Set2QA)</f>
        <v>0.03</v>
      </c>
      <c r="I538" t="s">
        <v>115</v>
      </c>
      <c r="J538" s="3">
        <f>VLOOKUP($A$535, WeaponskillData, MATCH("FTP1", WeaponskillDataCols, 0), 0)</f>
        <v>2.25</v>
      </c>
      <c r="K538" s="3">
        <f>VLOOKUP($A$535, WeaponskillData, MATCH("FTP2", WeaponskillDataCols, 0), 0)</f>
        <v>2.25</v>
      </c>
      <c r="L538" s="3">
        <f>VLOOKUP($A$535, WeaponskillData, MATCH("FTP3", WeaponskillDataCols, 0), 0)</f>
        <v>2.25</v>
      </c>
      <c r="M538" t="s">
        <v>358</v>
      </c>
    </row>
    <row r="539" spans="1:24">
      <c r="A539" t="s">
        <v>282</v>
      </c>
      <c r="B539">
        <f ca="1">TRUNC(10*(1+B538/100))</f>
        <v>22</v>
      </c>
      <c r="D539" t="s">
        <v>943</v>
      </c>
      <c r="E539" s="2">
        <f>Melee!B65</f>
        <v>0</v>
      </c>
      <c r="I539" s="30" t="s">
        <v>283</v>
      </c>
      <c r="J539" s="3">
        <f ca="1">J538+Set2FTP</f>
        <v>2.4453125</v>
      </c>
      <c r="K539" s="3">
        <f ca="1">K538+Set2FTP</f>
        <v>2.4453125</v>
      </c>
      <c r="L539" s="3">
        <f ca="1">L538+Set2FTP</f>
        <v>2.4453125</v>
      </c>
      <c r="M539" s="6">
        <f ca="1">(MIN(MAX((J540-1000), 0), 1000)/1000)*VLOOKUP($A$535, WeaponskillData, MATCH("Att1", WeaponskillDataCols, 0), 0)*Data!$E$57/Data!$N$14 + (MIN(MAX((J540-2000), 0), 1000)/1000)*VLOOKUP($A$535, WeaponskillData, MATCH("Att2", WeaponskillDataCols, 0), 0)*Data!$E$57/Data!$M$14</f>
        <v>0</v>
      </c>
    </row>
    <row r="540" spans="1:24">
      <c r="A540" t="s">
        <v>52</v>
      </c>
      <c r="B540" s="5">
        <f ca="1">Set2WSHitRate</f>
        <v>0.99</v>
      </c>
      <c r="D540" t="s">
        <v>944</v>
      </c>
      <c r="E540" s="2">
        <f>Melee!B66</f>
        <v>0</v>
      </c>
      <c r="I540" t="s">
        <v>178</v>
      </c>
      <c r="J540" s="34">
        <f ca="1">MIN(TRUNC(V1064+Set2TPBonus), 3000)</f>
        <v>1576</v>
      </c>
      <c r="K540" t="s">
        <v>284</v>
      </c>
      <c r="L540" s="3">
        <f ca="1">IF(J540&lt;1000, 0, IF(J540&lt;2000, J539+(J540-1000)/1000*(K539-J539), K539+(J540-2000)/1000*(L539-K539)))</f>
        <v>2.4453125</v>
      </c>
    </row>
    <row r="541" spans="1:24">
      <c r="A541" t="s">
        <v>742</v>
      </c>
      <c r="B541" s="94">
        <f>IF(VLOOKUP($A$535, WeaponskillData, MATCH("Type", WeaponskillDataCols, 0), 0)="M", 100%, 99%)</f>
        <v>0.99</v>
      </c>
      <c r="D541" t="s">
        <v>945</v>
      </c>
      <c r="E541" s="2">
        <f>Melee!B67</f>
        <v>0</v>
      </c>
      <c r="I541" t="s">
        <v>286</v>
      </c>
      <c r="J541" s="97">
        <f>VLOOKUP($A$535, WeaponskillData, MATCH("Crit0", WeaponskillDataCols, 0), 0)</f>
        <v>0.15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0.14399999999999999</v>
      </c>
      <c r="P541" t="s">
        <v>287</v>
      </c>
      <c r="Q541" s="4">
        <f>Set2OverTP</f>
        <v>0.5</v>
      </c>
    </row>
    <row r="542" spans="1:24">
      <c r="A542" t="s">
        <v>285</v>
      </c>
      <c r="B542">
        <f>VLOOKUP($A$535, WeaponskillData, MATCH("Extra Hits", WeaponskillDataCols, 0), 0)</f>
        <v>2</v>
      </c>
      <c r="K542" t="s">
        <v>150</v>
      </c>
      <c r="L542" t="s">
        <v>116</v>
      </c>
      <c r="M542" t="s">
        <v>126</v>
      </c>
      <c r="P542" t="s">
        <v>289</v>
      </c>
      <c r="Q542" s="2">
        <f ca="1">Set2ConserveTP</f>
        <v>7.0000000000000007E-2</v>
      </c>
    </row>
    <row r="543" spans="1:24">
      <c r="A543" t="s">
        <v>288</v>
      </c>
      <c r="B543">
        <f ca="1">IF(AND(Data!I20&gt;0, VLOOKUP($A$535, WeaponskillData, MATCH("Type", WeaponskillDataCols, 0), 0)="P"), 1, 0)</f>
        <v>1</v>
      </c>
      <c r="I543" t="s">
        <v>290</v>
      </c>
      <c r="J543">
        <f ca="1">IF(VLOOKUP($A$535, WeaponskillData, MATCH("Type", WeaponskillDataCols, 0), 0)="P", Set2MainDmg, Data!$B$1+2)</f>
        <v>155</v>
      </c>
      <c r="K543">
        <f ca="1">FLOOR((J543+J537)*L540, 1)</f>
        <v>1173</v>
      </c>
      <c r="L543" s="1">
        <f ca="1">IF(J541=0, 0, MIN($J$541+$K$541+Set2CritMain, 100%))</f>
        <v>1</v>
      </c>
      <c r="M543" s="2">
        <f ca="1">Set2CritDmg</f>
        <v>1.21</v>
      </c>
      <c r="P543" t="s">
        <v>291</v>
      </c>
      <c r="Q543">
        <f ca="1">Set2SaveTP</f>
        <v>100</v>
      </c>
    </row>
    <row r="544" spans="1:24">
      <c r="I544" t="s">
        <v>149</v>
      </c>
      <c r="J544">
        <f ca="1">Set2MainDmg</f>
        <v>155</v>
      </c>
      <c r="K544">
        <f ca="1">IF(J544&gt;0, FLOOR((J544+$J$537) * IF(VLOOKUP($A$535, WeaponskillData, MATCH("FTPCarry", WeaponskillDataCols, 0), 0)=1, $L$540, 1), 1), 0)</f>
        <v>1173</v>
      </c>
      <c r="L544" s="1">
        <f ca="1">IF(J541=0, 0, MIN($J$541+$K$541+Set2CritMain, 100%))</f>
        <v>1</v>
      </c>
      <c r="M544" s="2">
        <f ca="1">Set2CritDmg</f>
        <v>1.21</v>
      </c>
      <c r="P544" t="s">
        <v>394</v>
      </c>
      <c r="Q544">
        <f>Set2MinTP</f>
        <v>1000</v>
      </c>
    </row>
    <row r="545" spans="1:24">
      <c r="I545" t="s">
        <v>292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 ca="1">IF(J541=0, 0, MIN($J$541+$K$541+Set2CritMain, 100%))</f>
        <v>1</v>
      </c>
      <c r="P545" t="s">
        <v>422</v>
      </c>
      <c r="Q545" s="94">
        <f ca="1">Set2WSDmg</f>
        <v>1</v>
      </c>
      <c r="V545" s="34"/>
    </row>
    <row r="546" spans="1:24">
      <c r="I546" t="s">
        <v>148</v>
      </c>
      <c r="J546">
        <f ca="1">Set2OffDmg</f>
        <v>165</v>
      </c>
      <c r="K546">
        <f ca="1">IF(J546&gt;0, FLOOR((J546+$J$537) * IF(VLOOKUP($A$535, WeaponskillData, MATCH("FTPCarry", WeaponskillDataCols, 0), 0)=1, $L$540, 1), 1), 0)</f>
        <v>1198</v>
      </c>
      <c r="L546" s="1">
        <f ca="1">IF(J541=0, 0, MIN($J$541+$K$541+Set2CritOff, 100%))</f>
        <v>1</v>
      </c>
    </row>
    <row r="547" spans="1:24">
      <c r="I547" t="s">
        <v>37</v>
      </c>
      <c r="J547" s="6">
        <f ca="1">IF(E535=1, 1, Set2CRatio)</f>
        <v>3.25</v>
      </c>
      <c r="K547" s="31" t="s">
        <v>883</v>
      </c>
      <c r="L547" s="6">
        <f ca="1">IF(E535=1, 1, Data!E87)</f>
        <v>3.2193749999999999</v>
      </c>
      <c r="M547" s="6">
        <f ca="1">IF(E535=1, 1, Data!E103)</f>
        <v>4.2393749999999999</v>
      </c>
    </row>
    <row r="548" spans="1:24">
      <c r="I548" t="s">
        <v>135</v>
      </c>
      <c r="J548" s="7">
        <f ca="1">Set2Regain</f>
        <v>0</v>
      </c>
      <c r="K548" s="31" t="s">
        <v>884</v>
      </c>
      <c r="L548" s="6">
        <f ca="1">IF(E535=1, 1, Data!E147)</f>
        <v>3.2193749999999999</v>
      </c>
      <c r="M548" s="6">
        <f ca="1">IF(E535=1, 1, Data!E163)</f>
        <v>4.2393749999999999</v>
      </c>
    </row>
    <row r="550" spans="1:24">
      <c r="A550" t="s">
        <v>414</v>
      </c>
      <c r="B550" t="s">
        <v>415</v>
      </c>
      <c r="C550" t="s">
        <v>44</v>
      </c>
      <c r="D550" s="30" t="s">
        <v>294</v>
      </c>
      <c r="E550" t="s">
        <v>293</v>
      </c>
      <c r="F550" t="s">
        <v>416</v>
      </c>
      <c r="G550" t="s">
        <v>295</v>
      </c>
      <c r="H550" t="s">
        <v>296</v>
      </c>
      <c r="I550" t="s">
        <v>297</v>
      </c>
      <c r="J550" t="s">
        <v>298</v>
      </c>
      <c r="K550" s="2" t="s">
        <v>299</v>
      </c>
      <c r="L550" t="s">
        <v>300</v>
      </c>
      <c r="M550" t="s">
        <v>395</v>
      </c>
      <c r="N550" s="43" t="s">
        <v>396</v>
      </c>
      <c r="O550" s="19" t="s">
        <v>301</v>
      </c>
      <c r="P550" s="19" t="s">
        <v>302</v>
      </c>
      <c r="Q550" s="19" t="s">
        <v>303</v>
      </c>
      <c r="R550" s="19" t="s">
        <v>304</v>
      </c>
      <c r="S550" s="19" t="s">
        <v>305</v>
      </c>
      <c r="T550" s="24" t="s">
        <v>306</v>
      </c>
      <c r="U550" s="24" t="s">
        <v>177</v>
      </c>
      <c r="V550" s="24" t="s">
        <v>307</v>
      </c>
      <c r="W550" s="24" t="s">
        <v>63</v>
      </c>
      <c r="X550" s="24" t="s">
        <v>308</v>
      </c>
    </row>
    <row r="551" spans="1:24">
      <c r="A551">
        <v>0</v>
      </c>
      <c r="B551">
        <v>0</v>
      </c>
      <c r="C551">
        <f t="shared" ref="C551:C614" ca="1" si="152">MIN(8, 1+$B$543+$B$542+A551+B551)</f>
        <v>4</v>
      </c>
      <c r="D551">
        <f t="shared" ref="D551:D614" ca="1" si="153">C551-(1+$B$543)</f>
        <v>2</v>
      </c>
      <c r="E551">
        <f t="shared" ref="E551:E614" ca="1" si="154">MIN(A551, C551-(1+$B$543+$B$542))</f>
        <v>0</v>
      </c>
      <c r="F551" s="100">
        <f t="shared" ref="F551:F614" ca="1" si="155">IF(A551=3, $E$538, IF(A551=2, (1-$E$538)*$E$537 + (1-$E$538)*(1-$E$537)*(1-$E$536)*Set2AM3*Set2AM33, IF(A551=1, (1-$E$538)*(1-$E$537)*$E$536 + (1-$E$538)*(1-$E$537)*(1-$E$536)*Set2AM3*Set2AM32, (1-$E$538)*(1-$E$537)*(1-$E$536)*(1-Set2AM3)))) * IF($B$542+$B$543&gt;0, IF(B551=3, $E$538, IF(B551=2, (1-$E$538)*$E$537, IF(B551=1, (1-$E$538)*(1-$E$537)*$E$536, (1-$E$538)*(1-$E$537)*(1-$E$536)))), IF(B551=0, 1, 0))</f>
        <v>0.47939837299599991</v>
      </c>
      <c r="G551">
        <v>1</v>
      </c>
      <c r="H551">
        <v>1</v>
      </c>
      <c r="I551">
        <v>7</v>
      </c>
      <c r="J551" s="1">
        <f t="shared" ref="J551:J614" ca="1" si="156">IF($B$541&lt;100%, POWER($B$541,G551)*POWER(1-$B$541, 1-G551), 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422</v>
      </c>
      <c r="M551" s="7">
        <f t="shared" ref="M551:M614" ca="1" si="159">MAX(Set2MinTP-(L551+Set2Regain), 0)</f>
        <v>578</v>
      </c>
      <c r="N551" s="43">
        <f t="shared" ref="N551:N614" ca="1" si="160">CEILING(M551/Set2MeleeTP, 1)</f>
        <v>5</v>
      </c>
      <c r="O551" s="92">
        <f t="shared" ref="O551:O614" ca="1" si="161">VLOOKUP(N551, AvgRoundsSet2, 2)</f>
        <v>2.4432565128993144</v>
      </c>
      <c r="P551" s="92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24.432565128993144</v>
      </c>
      <c r="Q551" s="92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24.432565128993144</v>
      </c>
      <c r="R551" s="92">
        <f t="shared" ref="R551:R614" ca="1" si="164">(P551+Q551)/20</f>
        <v>2.4432565128993144</v>
      </c>
      <c r="S551" s="92">
        <f t="shared" ref="S551:S614" ca="1" si="165">R551*Set2ConserveTP + O551*(1-Set2ConserveTP)</f>
        <v>2.4432565128993144</v>
      </c>
      <c r="T551" s="4">
        <f t="shared" ref="T551:T614" ca="1" si="166">K551*S551</f>
        <v>0</v>
      </c>
      <c r="U551" s="99">
        <f t="shared" ref="U551:U614" ca="1" si="167">MIN(L551+(S551+Set2OverTP)*AvgHitsPerRound2*Set2MeleeTP + Set2Regain + 10.5*Set2ConserveTP, 3000)</f>
        <v>1336.3931955743851</v>
      </c>
      <c r="V551" s="4">
        <f t="shared" ref="V551:V614" ca="1" si="168">U551*K551</f>
        <v>0</v>
      </c>
      <c r="W551" s="13">
        <f t="shared" ref="W551:W614" ca="1" si="169">G551*$K$543*((1-$L$543)*$L$547 + $L$543*$M$547*$M$543)*Set2WSDmg + H551*$K$546*((1-$L$546)*$L$548 + $L$546*$M$548*$M$544) + I551*$K$544*((1-$L$544)*$L$547 + $L$544*$M$547*$M$544) + E551*$K$545*$L$545*$M$543</f>
        <v>54281.8901625</v>
      </c>
      <c r="X551" s="4">
        <f t="shared" ref="X551:X614" ca="1" si="170">K551*W551</f>
        <v>0</v>
      </c>
    </row>
    <row r="552" spans="1:24">
      <c r="A552">
        <v>0</v>
      </c>
      <c r="B552">
        <v>0</v>
      </c>
      <c r="C552">
        <f t="shared" ca="1" si="152"/>
        <v>4</v>
      </c>
      <c r="D552">
        <f t="shared" ca="1" si="153"/>
        <v>2</v>
      </c>
      <c r="E552">
        <f t="shared" ca="1" si="154"/>
        <v>0</v>
      </c>
      <c r="F552" s="100">
        <f t="shared" ca="1" si="155"/>
        <v>0.47939837299599991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400</v>
      </c>
      <c r="M552" s="7">
        <f t="shared" ca="1" si="159"/>
        <v>600</v>
      </c>
      <c r="N552" s="43">
        <f t="shared" ca="1" si="160"/>
        <v>5</v>
      </c>
      <c r="O552" s="92">
        <f t="shared" ca="1" si="161"/>
        <v>2.4432565128993144</v>
      </c>
      <c r="P552" s="92">
        <f t="shared" ca="1" si="162"/>
        <v>24.432565128993144</v>
      </c>
      <c r="Q552" s="92">
        <f t="shared" ca="1" si="163"/>
        <v>24.432565128993144</v>
      </c>
      <c r="R552" s="92">
        <f t="shared" ca="1" si="164"/>
        <v>2.4432565128993144</v>
      </c>
      <c r="S552" s="92">
        <f t="shared" ca="1" si="165"/>
        <v>2.4432565128993144</v>
      </c>
      <c r="T552" s="4">
        <f t="shared" ca="1" si="166"/>
        <v>0</v>
      </c>
      <c r="U552" s="99">
        <f t="shared" ca="1" si="167"/>
        <v>1314.3931955743851</v>
      </c>
      <c r="V552" s="4">
        <f t="shared" ca="1" si="168"/>
        <v>0</v>
      </c>
      <c r="W552" s="13">
        <f t="shared" ca="1" si="169"/>
        <v>48264.818043749998</v>
      </c>
      <c r="X552" s="4">
        <f t="shared" ca="1" si="170"/>
        <v>0</v>
      </c>
    </row>
    <row r="553" spans="1:24">
      <c r="A553">
        <v>0</v>
      </c>
      <c r="B553">
        <v>0</v>
      </c>
      <c r="C553">
        <f t="shared" ca="1" si="152"/>
        <v>4</v>
      </c>
      <c r="D553">
        <f t="shared" ca="1" si="153"/>
        <v>2</v>
      </c>
      <c r="E553">
        <f t="shared" ca="1" si="154"/>
        <v>0</v>
      </c>
      <c r="F553" s="100">
        <f t="shared" ca="1" si="155"/>
        <v>0.47939837299599991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378</v>
      </c>
      <c r="M553" s="7">
        <f t="shared" ca="1" si="159"/>
        <v>622</v>
      </c>
      <c r="N553" s="43">
        <f t="shared" ca="1" si="160"/>
        <v>5</v>
      </c>
      <c r="O553" s="92">
        <f t="shared" ca="1" si="161"/>
        <v>2.4432565128993144</v>
      </c>
      <c r="P553" s="92">
        <f t="shared" ca="1" si="162"/>
        <v>24.432565128993144</v>
      </c>
      <c r="Q553" s="92">
        <f t="shared" ca="1" si="163"/>
        <v>24.432565128993144</v>
      </c>
      <c r="R553" s="92">
        <f t="shared" ca="1" si="164"/>
        <v>2.4432565128993144</v>
      </c>
      <c r="S553" s="92">
        <f t="shared" ca="1" si="165"/>
        <v>2.4432565128993144</v>
      </c>
      <c r="T553" s="4">
        <f t="shared" ca="1" si="166"/>
        <v>0</v>
      </c>
      <c r="U553" s="99">
        <f t="shared" ca="1" si="167"/>
        <v>1292.3931955743851</v>
      </c>
      <c r="V553" s="4">
        <f t="shared" ca="1" si="168"/>
        <v>0</v>
      </c>
      <c r="W553" s="13">
        <f t="shared" ca="1" si="169"/>
        <v>42247.745924999996</v>
      </c>
      <c r="X553" s="4">
        <f t="shared" ca="1" si="170"/>
        <v>0</v>
      </c>
    </row>
    <row r="554" spans="1:24">
      <c r="A554">
        <v>0</v>
      </c>
      <c r="B554">
        <v>0</v>
      </c>
      <c r="C554">
        <f t="shared" ca="1" si="152"/>
        <v>4</v>
      </c>
      <c r="D554">
        <f t="shared" ca="1" si="153"/>
        <v>2</v>
      </c>
      <c r="E554">
        <f t="shared" ca="1" si="154"/>
        <v>0</v>
      </c>
      <c r="F554" s="100">
        <f t="shared" ca="1" si="155"/>
        <v>0.47939837299599991</v>
      </c>
      <c r="G554">
        <v>1</v>
      </c>
      <c r="H554">
        <v>1</v>
      </c>
      <c r="I554">
        <v>4</v>
      </c>
      <c r="J554" s="1">
        <f t="shared" ca="1" si="156"/>
        <v>0</v>
      </c>
      <c r="K554" s="1">
        <f t="shared" ca="1" si="157"/>
        <v>0</v>
      </c>
      <c r="L554" s="13">
        <f t="shared" ca="1" si="158"/>
        <v>356</v>
      </c>
      <c r="M554" s="7">
        <f t="shared" ca="1" si="159"/>
        <v>644</v>
      </c>
      <c r="N554" s="43">
        <f t="shared" ca="1" si="160"/>
        <v>6</v>
      </c>
      <c r="O554" s="92">
        <f t="shared" ca="1" si="161"/>
        <v>2.7275117780454798</v>
      </c>
      <c r="P554" s="92">
        <f t="shared" ca="1" si="162"/>
        <v>27.275117780454792</v>
      </c>
      <c r="Q554" s="92">
        <f t="shared" ca="1" si="163"/>
        <v>26.706607250162463</v>
      </c>
      <c r="R554" s="92">
        <f t="shared" ca="1" si="164"/>
        <v>2.6990862515308627</v>
      </c>
      <c r="S554" s="92">
        <f t="shared" ca="1" si="165"/>
        <v>2.7255219911894564</v>
      </c>
      <c r="T554" s="4">
        <f t="shared" ca="1" si="166"/>
        <v>0</v>
      </c>
      <c r="U554" s="99">
        <f t="shared" ca="1" si="167"/>
        <v>1358.0152449734937</v>
      </c>
      <c r="V554" s="4">
        <f t="shared" ca="1" si="168"/>
        <v>0</v>
      </c>
      <c r="W554" s="13">
        <f t="shared" ca="1" si="169"/>
        <v>36230.673806249994</v>
      </c>
      <c r="X554" s="4">
        <f t="shared" ca="1" si="170"/>
        <v>0</v>
      </c>
    </row>
    <row r="555" spans="1:24">
      <c r="A555">
        <v>0</v>
      </c>
      <c r="B555">
        <v>0</v>
      </c>
      <c r="C555">
        <f t="shared" ca="1" si="152"/>
        <v>4</v>
      </c>
      <c r="D555">
        <f t="shared" ca="1" si="153"/>
        <v>2</v>
      </c>
      <c r="E555">
        <f t="shared" ca="1" si="154"/>
        <v>0</v>
      </c>
      <c r="F555" s="100">
        <f t="shared" ca="1" si="155"/>
        <v>0.47939837299599991</v>
      </c>
      <c r="G555">
        <v>1</v>
      </c>
      <c r="H555">
        <v>1</v>
      </c>
      <c r="I555">
        <v>3</v>
      </c>
      <c r="J555" s="1">
        <f t="shared" ca="1" si="156"/>
        <v>0</v>
      </c>
      <c r="K555" s="1">
        <f t="shared" ca="1" si="157"/>
        <v>0</v>
      </c>
      <c r="L555" s="13">
        <f t="shared" ca="1" si="158"/>
        <v>334</v>
      </c>
      <c r="M555" s="7">
        <f t="shared" ca="1" si="159"/>
        <v>666</v>
      </c>
      <c r="N555" s="43">
        <f t="shared" ca="1" si="160"/>
        <v>6</v>
      </c>
      <c r="O555" s="92">
        <f t="shared" ca="1" si="161"/>
        <v>2.7275117780454798</v>
      </c>
      <c r="P555" s="92">
        <f t="shared" ca="1" si="162"/>
        <v>27.275117780454792</v>
      </c>
      <c r="Q555" s="92">
        <f t="shared" ca="1" si="163"/>
        <v>27.275117780454792</v>
      </c>
      <c r="R555" s="92">
        <f t="shared" ca="1" si="164"/>
        <v>2.7275117780454794</v>
      </c>
      <c r="S555" s="92">
        <f t="shared" ca="1" si="165"/>
        <v>2.7275117780454794</v>
      </c>
      <c r="T555" s="4">
        <f t="shared" ca="1" si="166"/>
        <v>0</v>
      </c>
      <c r="U555" s="99">
        <f t="shared" ca="1" si="167"/>
        <v>1336.6329230659346</v>
      </c>
      <c r="V555" s="4">
        <f t="shared" ca="1" si="168"/>
        <v>0</v>
      </c>
      <c r="W555" s="13">
        <f t="shared" ca="1" si="169"/>
        <v>30213.601687499999</v>
      </c>
      <c r="X555" s="4">
        <f t="shared" ca="1" si="170"/>
        <v>0</v>
      </c>
    </row>
    <row r="556" spans="1:24">
      <c r="A556">
        <v>0</v>
      </c>
      <c r="B556">
        <v>0</v>
      </c>
      <c r="C556">
        <f t="shared" ca="1" si="152"/>
        <v>4</v>
      </c>
      <c r="D556">
        <f t="shared" ca="1" si="153"/>
        <v>2</v>
      </c>
      <c r="E556">
        <f t="shared" ca="1" si="154"/>
        <v>0</v>
      </c>
      <c r="F556" s="100">
        <f t="shared" ca="1" si="155"/>
        <v>0.47939837299599991</v>
      </c>
      <c r="G556">
        <v>1</v>
      </c>
      <c r="H556">
        <v>1</v>
      </c>
      <c r="I556">
        <v>2</v>
      </c>
      <c r="J556" s="1">
        <f t="shared" ca="1" si="156"/>
        <v>0.96059600999999994</v>
      </c>
      <c r="K556" s="1">
        <f t="shared" ca="1" si="157"/>
        <v>0.46050816430044922</v>
      </c>
      <c r="L556" s="13">
        <f t="shared" ca="1" si="158"/>
        <v>312</v>
      </c>
      <c r="M556" s="7">
        <f t="shared" ca="1" si="159"/>
        <v>688</v>
      </c>
      <c r="N556" s="43">
        <f t="shared" ca="1" si="160"/>
        <v>6</v>
      </c>
      <c r="O556" s="92">
        <f t="shared" ca="1" si="161"/>
        <v>2.7275117780454798</v>
      </c>
      <c r="P556" s="92">
        <f t="shared" ca="1" si="162"/>
        <v>27.275117780454792</v>
      </c>
      <c r="Q556" s="92">
        <f t="shared" ca="1" si="163"/>
        <v>27.275117780454792</v>
      </c>
      <c r="R556" s="92">
        <f t="shared" ca="1" si="164"/>
        <v>2.7275117780454794</v>
      </c>
      <c r="S556" s="92">
        <f t="shared" ca="1" si="165"/>
        <v>2.7275117780454794</v>
      </c>
      <c r="T556" s="4">
        <f t="shared" ca="1" si="166"/>
        <v>1.2560414420155781</v>
      </c>
      <c r="U556" s="99">
        <f t="shared" ca="1" si="167"/>
        <v>1314.6329230659346</v>
      </c>
      <c r="V556" s="4">
        <f t="shared" ca="1" si="168"/>
        <v>605.39919413002724</v>
      </c>
      <c r="W556" s="13">
        <f t="shared" ca="1" si="169"/>
        <v>24196.529568749997</v>
      </c>
      <c r="X556" s="4">
        <f t="shared" ca="1" si="170"/>
        <v>11142.6994141466</v>
      </c>
    </row>
    <row r="557" spans="1:24">
      <c r="A557">
        <v>0</v>
      </c>
      <c r="B557">
        <v>0</v>
      </c>
      <c r="C557">
        <f t="shared" ca="1" si="152"/>
        <v>4</v>
      </c>
      <c r="D557">
        <f t="shared" ca="1" si="153"/>
        <v>2</v>
      </c>
      <c r="E557">
        <f t="shared" ca="1" si="154"/>
        <v>0</v>
      </c>
      <c r="F557" s="100">
        <f t="shared" ca="1" si="155"/>
        <v>0.47939837299599991</v>
      </c>
      <c r="G557">
        <v>1</v>
      </c>
      <c r="H557">
        <v>1</v>
      </c>
      <c r="I557">
        <v>1</v>
      </c>
      <c r="J557" s="1">
        <f t="shared" ca="1" si="156"/>
        <v>1.9405980000000017E-2</v>
      </c>
      <c r="K557" s="1">
        <f t="shared" ca="1" si="157"/>
        <v>9.3031952383929219E-3</v>
      </c>
      <c r="L557" s="13">
        <f t="shared" ca="1" si="158"/>
        <v>290</v>
      </c>
      <c r="M557" s="7">
        <f t="shared" ca="1" si="159"/>
        <v>710</v>
      </c>
      <c r="N557" s="43">
        <f t="shared" ca="1" si="160"/>
        <v>6</v>
      </c>
      <c r="O557" s="92">
        <f t="shared" ca="1" si="161"/>
        <v>2.7275117780454798</v>
      </c>
      <c r="P557" s="92">
        <f t="shared" ca="1" si="162"/>
        <v>27.275117780454792</v>
      </c>
      <c r="Q557" s="92">
        <f t="shared" ca="1" si="163"/>
        <v>27.275117780454792</v>
      </c>
      <c r="R557" s="92">
        <f t="shared" ca="1" si="164"/>
        <v>2.7275117780454794</v>
      </c>
      <c r="S557" s="92">
        <f t="shared" ca="1" si="165"/>
        <v>2.7275117780454794</v>
      </c>
      <c r="T557" s="4">
        <f t="shared" ca="1" si="166"/>
        <v>2.5374574586173315E-2</v>
      </c>
      <c r="U557" s="99">
        <f t="shared" ca="1" si="167"/>
        <v>1292.6329230659346</v>
      </c>
      <c r="V557" s="4">
        <f t="shared" ca="1" si="168"/>
        <v>12.025616454856927</v>
      </c>
      <c r="W557" s="13">
        <f t="shared" ca="1" si="169"/>
        <v>18179.457449999998</v>
      </c>
      <c r="X557" s="4">
        <f t="shared" ca="1" si="170"/>
        <v>169.12704198540672</v>
      </c>
    </row>
    <row r="558" spans="1:24">
      <c r="A558">
        <v>0</v>
      </c>
      <c r="B558">
        <v>0</v>
      </c>
      <c r="C558">
        <f t="shared" ca="1" si="152"/>
        <v>4</v>
      </c>
      <c r="D558">
        <f t="shared" ca="1" si="153"/>
        <v>2</v>
      </c>
      <c r="E558">
        <f t="shared" ca="1" si="154"/>
        <v>0</v>
      </c>
      <c r="F558" s="100">
        <f t="shared" ca="1" si="155"/>
        <v>0.47939837299599991</v>
      </c>
      <c r="G558">
        <v>1</v>
      </c>
      <c r="H558">
        <v>1</v>
      </c>
      <c r="I558">
        <v>0</v>
      </c>
      <c r="J558" s="1">
        <f t="shared" ca="1" si="156"/>
        <v>9.8010000000000168E-5</v>
      </c>
      <c r="K558" s="1">
        <f t="shared" ca="1" si="157"/>
        <v>4.698583453733803E-5</v>
      </c>
      <c r="L558" s="13">
        <f t="shared" ca="1" si="158"/>
        <v>268</v>
      </c>
      <c r="M558" s="7">
        <f t="shared" ca="1" si="159"/>
        <v>732</v>
      </c>
      <c r="N558" s="43">
        <f t="shared" ca="1" si="160"/>
        <v>6</v>
      </c>
      <c r="O558" s="92">
        <f t="shared" ca="1" si="161"/>
        <v>2.7275117780454798</v>
      </c>
      <c r="P558" s="92">
        <f t="shared" ca="1" si="162"/>
        <v>27.275117780454792</v>
      </c>
      <c r="Q558" s="92">
        <f t="shared" ca="1" si="163"/>
        <v>27.275117780454792</v>
      </c>
      <c r="R558" s="92">
        <f t="shared" ca="1" si="164"/>
        <v>2.7275117780454794</v>
      </c>
      <c r="S558" s="92">
        <f t="shared" ca="1" si="165"/>
        <v>2.7275117780454794</v>
      </c>
      <c r="T558" s="4">
        <f t="shared" ca="1" si="166"/>
        <v>1.2815441710188553E-4</v>
      </c>
      <c r="U558" s="99">
        <f t="shared" ca="1" si="167"/>
        <v>1270.6329230659346</v>
      </c>
      <c r="V558" s="4">
        <f t="shared" ca="1" si="168"/>
        <v>5.9701748280870166E-2</v>
      </c>
      <c r="W558" s="13">
        <f t="shared" ca="1" si="169"/>
        <v>12162.38533125</v>
      </c>
      <c r="X558" s="4">
        <f t="shared" ca="1" si="170"/>
        <v>0.57145982475345969</v>
      </c>
    </row>
    <row r="559" spans="1:24">
      <c r="A559">
        <v>0</v>
      </c>
      <c r="B559">
        <v>0</v>
      </c>
      <c r="C559">
        <f t="shared" ca="1" si="152"/>
        <v>4</v>
      </c>
      <c r="D559">
        <f t="shared" ca="1" si="153"/>
        <v>2</v>
      </c>
      <c r="E559">
        <f t="shared" ca="1" si="154"/>
        <v>0</v>
      </c>
      <c r="F559" s="100">
        <f t="shared" ca="1" si="155"/>
        <v>0.47939837299599991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288</v>
      </c>
      <c r="M559" s="7">
        <f t="shared" ca="1" si="159"/>
        <v>712</v>
      </c>
      <c r="N559" s="43">
        <f t="shared" ca="1" si="160"/>
        <v>6</v>
      </c>
      <c r="O559" s="92">
        <f t="shared" ca="1" si="161"/>
        <v>2.7275117780454798</v>
      </c>
      <c r="P559" s="92">
        <f t="shared" ca="1" si="162"/>
        <v>27.275117780454792</v>
      </c>
      <c r="Q559" s="92">
        <f t="shared" ca="1" si="163"/>
        <v>27.275117780454792</v>
      </c>
      <c r="R559" s="92">
        <f t="shared" ca="1" si="164"/>
        <v>2.7275117780454794</v>
      </c>
      <c r="S559" s="92">
        <f t="shared" ca="1" si="165"/>
        <v>2.7275117780454794</v>
      </c>
      <c r="T559" s="4">
        <f t="shared" ca="1" si="166"/>
        <v>0</v>
      </c>
      <c r="U559" s="99">
        <f t="shared" ca="1" si="167"/>
        <v>1290.6329230659346</v>
      </c>
      <c r="V559" s="4">
        <f t="shared" ca="1" si="168"/>
        <v>0</v>
      </c>
      <c r="W559" s="13">
        <f t="shared" ca="1" si="169"/>
        <v>48136.576950000002</v>
      </c>
      <c r="X559" s="4">
        <f t="shared" ca="1" si="170"/>
        <v>0</v>
      </c>
    </row>
    <row r="560" spans="1:24">
      <c r="A560">
        <v>0</v>
      </c>
      <c r="B560">
        <v>0</v>
      </c>
      <c r="C560">
        <f t="shared" ca="1" si="152"/>
        <v>4</v>
      </c>
      <c r="D560">
        <f t="shared" ca="1" si="153"/>
        <v>2</v>
      </c>
      <c r="E560">
        <f t="shared" ca="1" si="154"/>
        <v>0</v>
      </c>
      <c r="F560" s="100">
        <f t="shared" ca="1" si="155"/>
        <v>0.47939837299599991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266</v>
      </c>
      <c r="M560" s="7">
        <f t="shared" ca="1" si="159"/>
        <v>734</v>
      </c>
      <c r="N560" s="43">
        <f t="shared" ca="1" si="160"/>
        <v>6</v>
      </c>
      <c r="O560" s="92">
        <f t="shared" ca="1" si="161"/>
        <v>2.7275117780454798</v>
      </c>
      <c r="P560" s="92">
        <f t="shared" ca="1" si="162"/>
        <v>27.275117780454792</v>
      </c>
      <c r="Q560" s="92">
        <f t="shared" ca="1" si="163"/>
        <v>27.275117780454792</v>
      </c>
      <c r="R560" s="92">
        <f t="shared" ca="1" si="164"/>
        <v>2.7275117780454794</v>
      </c>
      <c r="S560" s="92">
        <f t="shared" ca="1" si="165"/>
        <v>2.7275117780454794</v>
      </c>
      <c r="T560" s="4">
        <f t="shared" ca="1" si="166"/>
        <v>0</v>
      </c>
      <c r="U560" s="99">
        <f t="shared" ca="1" si="167"/>
        <v>1268.6329230659346</v>
      </c>
      <c r="V560" s="4">
        <f t="shared" ca="1" si="168"/>
        <v>0</v>
      </c>
      <c r="W560" s="13">
        <f t="shared" ca="1" si="169"/>
        <v>42119.50483125</v>
      </c>
      <c r="X560" s="4">
        <f t="shared" ca="1" si="170"/>
        <v>0</v>
      </c>
    </row>
    <row r="561" spans="1:24">
      <c r="A561">
        <v>0</v>
      </c>
      <c r="B561">
        <v>0</v>
      </c>
      <c r="C561">
        <f t="shared" ca="1" si="152"/>
        <v>4</v>
      </c>
      <c r="D561">
        <f t="shared" ca="1" si="153"/>
        <v>2</v>
      </c>
      <c r="E561">
        <f t="shared" ca="1" si="154"/>
        <v>0</v>
      </c>
      <c r="F561" s="100">
        <f t="shared" ca="1" si="155"/>
        <v>0.47939837299599991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244</v>
      </c>
      <c r="M561" s="7">
        <f t="shared" ca="1" si="159"/>
        <v>756</v>
      </c>
      <c r="N561" s="43">
        <f t="shared" ca="1" si="160"/>
        <v>7</v>
      </c>
      <c r="O561" s="92">
        <f t="shared" ca="1" si="161"/>
        <v>3.2214900588145507</v>
      </c>
      <c r="P561" s="92">
        <f t="shared" ca="1" si="162"/>
        <v>29.745009184300148</v>
      </c>
      <c r="Q561" s="92">
        <f t="shared" ca="1" si="163"/>
        <v>27.275117780454792</v>
      </c>
      <c r="R561" s="92">
        <f t="shared" ca="1" si="164"/>
        <v>2.851006348237747</v>
      </c>
      <c r="S561" s="92">
        <f t="shared" ca="1" si="165"/>
        <v>3.1955561990741743</v>
      </c>
      <c r="T561" s="4">
        <f t="shared" ca="1" si="166"/>
        <v>0</v>
      </c>
      <c r="U561" s="99">
        <f t="shared" ca="1" si="167"/>
        <v>1391.9252614304514</v>
      </c>
      <c r="V561" s="4">
        <f t="shared" ca="1" si="168"/>
        <v>0</v>
      </c>
      <c r="W561" s="13">
        <f t="shared" ca="1" si="169"/>
        <v>36102.432712499998</v>
      </c>
      <c r="X561" s="4">
        <f t="shared" ca="1" si="170"/>
        <v>0</v>
      </c>
    </row>
    <row r="562" spans="1:24">
      <c r="A562">
        <v>0</v>
      </c>
      <c r="B562">
        <v>0</v>
      </c>
      <c r="C562">
        <f t="shared" ca="1" si="152"/>
        <v>4</v>
      </c>
      <c r="D562">
        <f t="shared" ca="1" si="153"/>
        <v>2</v>
      </c>
      <c r="E562">
        <f t="shared" ca="1" si="154"/>
        <v>0</v>
      </c>
      <c r="F562" s="100">
        <f t="shared" ca="1" si="155"/>
        <v>0.47939837299599991</v>
      </c>
      <c r="G562">
        <v>1</v>
      </c>
      <c r="H562">
        <v>0</v>
      </c>
      <c r="I562">
        <v>4</v>
      </c>
      <c r="J562" s="1">
        <f t="shared" ca="1" si="156"/>
        <v>0</v>
      </c>
      <c r="K562" s="1">
        <f t="shared" ca="1" si="157"/>
        <v>0</v>
      </c>
      <c r="L562" s="13">
        <f t="shared" ca="1" si="158"/>
        <v>222</v>
      </c>
      <c r="M562" s="7">
        <f t="shared" ca="1" si="159"/>
        <v>778</v>
      </c>
      <c r="N562" s="43">
        <f t="shared" ca="1" si="160"/>
        <v>7</v>
      </c>
      <c r="O562" s="92">
        <f t="shared" ca="1" si="161"/>
        <v>3.2214900588145507</v>
      </c>
      <c r="P562" s="92">
        <f t="shared" ca="1" si="162"/>
        <v>32.214900588145518</v>
      </c>
      <c r="Q562" s="92">
        <f t="shared" ca="1" si="163"/>
        <v>32.214900588145518</v>
      </c>
      <c r="R562" s="92">
        <f t="shared" ca="1" si="164"/>
        <v>3.2214900588145516</v>
      </c>
      <c r="S562" s="92">
        <f t="shared" ca="1" si="165"/>
        <v>3.2214900588145507</v>
      </c>
      <c r="T562" s="4">
        <f t="shared" ca="1" si="166"/>
        <v>0</v>
      </c>
      <c r="U562" s="99">
        <f t="shared" ca="1" si="167"/>
        <v>1377.9757603899629</v>
      </c>
      <c r="V562" s="4">
        <f t="shared" ca="1" si="168"/>
        <v>0</v>
      </c>
      <c r="W562" s="13">
        <f t="shared" ca="1" si="169"/>
        <v>30085.360593749996</v>
      </c>
      <c r="X562" s="4">
        <f t="shared" ca="1" si="170"/>
        <v>0</v>
      </c>
    </row>
    <row r="563" spans="1:24">
      <c r="A563">
        <v>0</v>
      </c>
      <c r="B563">
        <v>0</v>
      </c>
      <c r="C563">
        <f t="shared" ca="1" si="152"/>
        <v>4</v>
      </c>
      <c r="D563">
        <f t="shared" ca="1" si="153"/>
        <v>2</v>
      </c>
      <c r="E563">
        <f t="shared" ca="1" si="154"/>
        <v>0</v>
      </c>
      <c r="F563" s="100">
        <f t="shared" ca="1" si="155"/>
        <v>0.47939837299599991</v>
      </c>
      <c r="G563">
        <v>1</v>
      </c>
      <c r="H563">
        <v>0</v>
      </c>
      <c r="I563">
        <v>3</v>
      </c>
      <c r="J563" s="1">
        <f t="shared" ca="1" si="156"/>
        <v>0</v>
      </c>
      <c r="K563" s="1">
        <f t="shared" ca="1" si="157"/>
        <v>0</v>
      </c>
      <c r="L563" s="13">
        <f t="shared" ca="1" si="158"/>
        <v>200</v>
      </c>
      <c r="M563" s="7">
        <f t="shared" ca="1" si="159"/>
        <v>800</v>
      </c>
      <c r="N563" s="43">
        <f t="shared" ca="1" si="160"/>
        <v>7</v>
      </c>
      <c r="O563" s="92">
        <f t="shared" ca="1" si="161"/>
        <v>3.2214900588145507</v>
      </c>
      <c r="P563" s="92">
        <f t="shared" ca="1" si="162"/>
        <v>32.214900588145518</v>
      </c>
      <c r="Q563" s="92">
        <f t="shared" ca="1" si="163"/>
        <v>32.214900588145518</v>
      </c>
      <c r="R563" s="92">
        <f t="shared" ca="1" si="164"/>
        <v>3.2214900588145516</v>
      </c>
      <c r="S563" s="92">
        <f t="shared" ca="1" si="165"/>
        <v>3.2214900588145507</v>
      </c>
      <c r="T563" s="4">
        <f t="shared" ca="1" si="166"/>
        <v>0</v>
      </c>
      <c r="U563" s="99">
        <f t="shared" ca="1" si="167"/>
        <v>1355.9757603899629</v>
      </c>
      <c r="V563" s="4">
        <f t="shared" ca="1" si="168"/>
        <v>0</v>
      </c>
      <c r="W563" s="13">
        <f t="shared" ca="1" si="169"/>
        <v>24068.288474999998</v>
      </c>
      <c r="X563" s="4">
        <f t="shared" ca="1" si="170"/>
        <v>0</v>
      </c>
    </row>
    <row r="564" spans="1:24">
      <c r="A564">
        <v>0</v>
      </c>
      <c r="B564">
        <v>0</v>
      </c>
      <c r="C564">
        <f t="shared" ca="1" si="152"/>
        <v>4</v>
      </c>
      <c r="D564">
        <f t="shared" ca="1" si="153"/>
        <v>2</v>
      </c>
      <c r="E564">
        <f t="shared" ca="1" si="154"/>
        <v>0</v>
      </c>
      <c r="F564" s="100">
        <f t="shared" ca="1" si="155"/>
        <v>0.47939837299599991</v>
      </c>
      <c r="G564">
        <v>1</v>
      </c>
      <c r="H564">
        <v>0</v>
      </c>
      <c r="I564">
        <v>2</v>
      </c>
      <c r="J564" s="1">
        <f t="shared" ca="1" si="156"/>
        <v>9.7029900000000086E-3</v>
      </c>
      <c r="K564" s="1">
        <f t="shared" ca="1" si="157"/>
        <v>4.651597619196461E-3</v>
      </c>
      <c r="L564" s="13">
        <f t="shared" ca="1" si="158"/>
        <v>178</v>
      </c>
      <c r="M564" s="7">
        <f t="shared" ca="1" si="159"/>
        <v>822</v>
      </c>
      <c r="N564" s="43">
        <f t="shared" ca="1" si="160"/>
        <v>7</v>
      </c>
      <c r="O564" s="92">
        <f t="shared" ca="1" si="161"/>
        <v>3.2214900588145507</v>
      </c>
      <c r="P564" s="92">
        <f t="shared" ca="1" si="162"/>
        <v>32.214900588145518</v>
      </c>
      <c r="Q564" s="92">
        <f t="shared" ca="1" si="163"/>
        <v>32.214900588145518</v>
      </c>
      <c r="R564" s="92">
        <f t="shared" ca="1" si="164"/>
        <v>3.2214900588145516</v>
      </c>
      <c r="S564" s="92">
        <f t="shared" ca="1" si="165"/>
        <v>3.2214900588145507</v>
      </c>
      <c r="T564" s="4">
        <f t="shared" ca="1" si="166"/>
        <v>1.4985075487846831E-2</v>
      </c>
      <c r="U564" s="99">
        <f t="shared" ca="1" si="167"/>
        <v>1333.9757603899629</v>
      </c>
      <c r="V564" s="4">
        <f t="shared" ca="1" si="168"/>
        <v>6.2051184710957399</v>
      </c>
      <c r="W564" s="13">
        <f t="shared" ca="1" si="169"/>
        <v>18051.216356249999</v>
      </c>
      <c r="X564" s="4">
        <f t="shared" ca="1" si="170"/>
        <v>83.966995026332711</v>
      </c>
    </row>
    <row r="565" spans="1:24">
      <c r="A565">
        <v>0</v>
      </c>
      <c r="B565">
        <v>0</v>
      </c>
      <c r="C565">
        <f t="shared" ca="1" si="152"/>
        <v>4</v>
      </c>
      <c r="D565">
        <f t="shared" ca="1" si="153"/>
        <v>2</v>
      </c>
      <c r="E565">
        <f t="shared" ca="1" si="154"/>
        <v>0</v>
      </c>
      <c r="F565" s="100">
        <f t="shared" ca="1" si="155"/>
        <v>0.47939837299599991</v>
      </c>
      <c r="G565">
        <v>1</v>
      </c>
      <c r="H565">
        <v>0</v>
      </c>
      <c r="I565">
        <v>1</v>
      </c>
      <c r="J565" s="1">
        <f t="shared" ca="1" si="156"/>
        <v>1.9602000000000036E-4</v>
      </c>
      <c r="K565" s="1">
        <f t="shared" ca="1" si="157"/>
        <v>9.3971669074676073E-5</v>
      </c>
      <c r="L565" s="13">
        <f t="shared" ca="1" si="158"/>
        <v>156</v>
      </c>
      <c r="M565" s="7">
        <f t="shared" ca="1" si="159"/>
        <v>844</v>
      </c>
      <c r="N565" s="43">
        <f t="shared" ca="1" si="160"/>
        <v>7</v>
      </c>
      <c r="O565" s="92">
        <f t="shared" ca="1" si="161"/>
        <v>3.2214900588145507</v>
      </c>
      <c r="P565" s="92">
        <f t="shared" ca="1" si="162"/>
        <v>32.214900588145518</v>
      </c>
      <c r="Q565" s="92">
        <f t="shared" ca="1" si="163"/>
        <v>32.214900588145518</v>
      </c>
      <c r="R565" s="92">
        <f t="shared" ca="1" si="164"/>
        <v>3.2214900588145516</v>
      </c>
      <c r="S565" s="92">
        <f t="shared" ca="1" si="165"/>
        <v>3.2214900588145507</v>
      </c>
      <c r="T565" s="4">
        <f t="shared" ca="1" si="166"/>
        <v>3.0272879773427972E-4</v>
      </c>
      <c r="U565" s="99">
        <f t="shared" ca="1" si="167"/>
        <v>1311.9757603899629</v>
      </c>
      <c r="V565" s="4">
        <f t="shared" ca="1" si="168"/>
        <v>0.1232885519893621</v>
      </c>
      <c r="W565" s="13">
        <f t="shared" ca="1" si="169"/>
        <v>12034.144237499999</v>
      </c>
      <c r="X565" s="4">
        <f t="shared" ca="1" si="170"/>
        <v>1.1308686198832698</v>
      </c>
    </row>
    <row r="566" spans="1:24">
      <c r="A566">
        <v>0</v>
      </c>
      <c r="B566">
        <v>0</v>
      </c>
      <c r="C566">
        <f t="shared" ca="1" si="152"/>
        <v>4</v>
      </c>
      <c r="D566">
        <f t="shared" ca="1" si="153"/>
        <v>2</v>
      </c>
      <c r="E566">
        <f t="shared" ca="1" si="154"/>
        <v>0</v>
      </c>
      <c r="F566" s="100">
        <f t="shared" ca="1" si="155"/>
        <v>0.47939837299599991</v>
      </c>
      <c r="G566">
        <v>1</v>
      </c>
      <c r="H566">
        <v>0</v>
      </c>
      <c r="I566">
        <v>0</v>
      </c>
      <c r="J566" s="1">
        <f t="shared" ca="1" si="156"/>
        <v>9.900000000000028E-7</v>
      </c>
      <c r="K566" s="1">
        <f t="shared" ca="1" si="157"/>
        <v>4.7460438926604126E-7</v>
      </c>
      <c r="L566" s="13">
        <f t="shared" ca="1" si="158"/>
        <v>134</v>
      </c>
      <c r="M566" s="7">
        <f t="shared" ca="1" si="159"/>
        <v>866</v>
      </c>
      <c r="N566" s="43">
        <f t="shared" ca="1" si="160"/>
        <v>7</v>
      </c>
      <c r="O566" s="92">
        <f t="shared" ca="1" si="161"/>
        <v>3.2214900588145507</v>
      </c>
      <c r="P566" s="92">
        <f t="shared" ca="1" si="162"/>
        <v>32.214900588145518</v>
      </c>
      <c r="Q566" s="92">
        <f t="shared" ca="1" si="163"/>
        <v>32.214900588145518</v>
      </c>
      <c r="R566" s="92">
        <f t="shared" ca="1" si="164"/>
        <v>3.2214900588145516</v>
      </c>
      <c r="S566" s="92">
        <f t="shared" ca="1" si="165"/>
        <v>3.2214900588145507</v>
      </c>
      <c r="T566" s="4">
        <f t="shared" ca="1" si="166"/>
        <v>1.5289333218903031E-6</v>
      </c>
      <c r="U566" s="99">
        <f t="shared" ca="1" si="167"/>
        <v>1289.9757603899629</v>
      </c>
      <c r="V566" s="4">
        <f t="shared" ca="1" si="168"/>
        <v>6.1222815792787556E-4</v>
      </c>
      <c r="W566" s="13">
        <f t="shared" ca="1" si="169"/>
        <v>6017.0721187499994</v>
      </c>
      <c r="X566" s="4">
        <f t="shared" ca="1" si="170"/>
        <v>2.8557288380890683E-3</v>
      </c>
    </row>
    <row r="567" spans="1:24">
      <c r="A567">
        <v>0</v>
      </c>
      <c r="B567">
        <v>0</v>
      </c>
      <c r="C567">
        <f t="shared" ca="1" si="152"/>
        <v>4</v>
      </c>
      <c r="D567">
        <f t="shared" ca="1" si="153"/>
        <v>2</v>
      </c>
      <c r="E567">
        <f t="shared" ca="1" si="154"/>
        <v>0</v>
      </c>
      <c r="F567" s="100">
        <f t="shared" ca="1" si="155"/>
        <v>0.47939837299599991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288</v>
      </c>
      <c r="M567" s="7">
        <f t="shared" ca="1" si="159"/>
        <v>712</v>
      </c>
      <c r="N567" s="43">
        <f t="shared" ca="1" si="160"/>
        <v>6</v>
      </c>
      <c r="O567" s="92">
        <f t="shared" ca="1" si="161"/>
        <v>2.7275117780454798</v>
      </c>
      <c r="P567" s="92">
        <f t="shared" ca="1" si="162"/>
        <v>27.275117780454792</v>
      </c>
      <c r="Q567" s="92">
        <f t="shared" ca="1" si="163"/>
        <v>27.275117780454792</v>
      </c>
      <c r="R567" s="92">
        <f t="shared" ca="1" si="164"/>
        <v>2.7275117780454794</v>
      </c>
      <c r="S567" s="92">
        <f t="shared" ca="1" si="165"/>
        <v>2.7275117780454794</v>
      </c>
      <c r="T567" s="4">
        <f t="shared" ca="1" si="166"/>
        <v>0</v>
      </c>
      <c r="U567" s="99">
        <f t="shared" ca="1" si="167"/>
        <v>1290.6329230659346</v>
      </c>
      <c r="V567" s="4">
        <f t="shared" ca="1" si="168"/>
        <v>0</v>
      </c>
      <c r="W567" s="13">
        <f t="shared" ca="1" si="169"/>
        <v>48264.818043749998</v>
      </c>
      <c r="X567" s="4">
        <f t="shared" ca="1" si="170"/>
        <v>0</v>
      </c>
    </row>
    <row r="568" spans="1:24">
      <c r="A568">
        <v>0</v>
      </c>
      <c r="B568">
        <v>0</v>
      </c>
      <c r="C568">
        <f t="shared" ca="1" si="152"/>
        <v>4</v>
      </c>
      <c r="D568">
        <f t="shared" ca="1" si="153"/>
        <v>2</v>
      </c>
      <c r="E568">
        <f t="shared" ca="1" si="154"/>
        <v>0</v>
      </c>
      <c r="F568" s="100">
        <f t="shared" ca="1" si="155"/>
        <v>0.47939837299599991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266</v>
      </c>
      <c r="M568" s="7">
        <f t="shared" ca="1" si="159"/>
        <v>734</v>
      </c>
      <c r="N568" s="43">
        <f t="shared" ca="1" si="160"/>
        <v>6</v>
      </c>
      <c r="O568" s="92">
        <f t="shared" ca="1" si="161"/>
        <v>2.7275117780454798</v>
      </c>
      <c r="P568" s="92">
        <f t="shared" ca="1" si="162"/>
        <v>27.275117780454792</v>
      </c>
      <c r="Q568" s="92">
        <f t="shared" ca="1" si="163"/>
        <v>27.275117780454792</v>
      </c>
      <c r="R568" s="92">
        <f t="shared" ca="1" si="164"/>
        <v>2.7275117780454794</v>
      </c>
      <c r="S568" s="92">
        <f t="shared" ca="1" si="165"/>
        <v>2.7275117780454794</v>
      </c>
      <c r="T568" s="4">
        <f t="shared" ca="1" si="166"/>
        <v>0</v>
      </c>
      <c r="U568" s="99">
        <f t="shared" ca="1" si="167"/>
        <v>1268.6329230659346</v>
      </c>
      <c r="V568" s="4">
        <f t="shared" ca="1" si="168"/>
        <v>0</v>
      </c>
      <c r="W568" s="13">
        <f t="shared" ca="1" si="169"/>
        <v>42247.745924999996</v>
      </c>
      <c r="X568" s="4">
        <f t="shared" ca="1" si="170"/>
        <v>0</v>
      </c>
    </row>
    <row r="569" spans="1:24">
      <c r="A569">
        <v>0</v>
      </c>
      <c r="B569">
        <v>0</v>
      </c>
      <c r="C569">
        <f t="shared" ca="1" si="152"/>
        <v>4</v>
      </c>
      <c r="D569">
        <f t="shared" ca="1" si="153"/>
        <v>2</v>
      </c>
      <c r="E569">
        <f t="shared" ca="1" si="154"/>
        <v>0</v>
      </c>
      <c r="F569" s="100">
        <f t="shared" ca="1" si="155"/>
        <v>0.47939837299599991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244</v>
      </c>
      <c r="M569" s="7">
        <f t="shared" ca="1" si="159"/>
        <v>756</v>
      </c>
      <c r="N569" s="43">
        <f t="shared" ca="1" si="160"/>
        <v>7</v>
      </c>
      <c r="O569" s="92">
        <f t="shared" ca="1" si="161"/>
        <v>3.2214900588145507</v>
      </c>
      <c r="P569" s="92">
        <f t="shared" ca="1" si="162"/>
        <v>29.745009184300148</v>
      </c>
      <c r="Q569" s="92">
        <f t="shared" ca="1" si="163"/>
        <v>27.275117780454792</v>
      </c>
      <c r="R569" s="92">
        <f t="shared" ca="1" si="164"/>
        <v>2.851006348237747</v>
      </c>
      <c r="S569" s="92">
        <f t="shared" ca="1" si="165"/>
        <v>3.1955561990741743</v>
      </c>
      <c r="T569" s="4">
        <f t="shared" ca="1" si="166"/>
        <v>0</v>
      </c>
      <c r="U569" s="99">
        <f t="shared" ca="1" si="167"/>
        <v>1391.9252614304514</v>
      </c>
      <c r="V569" s="4">
        <f t="shared" ca="1" si="168"/>
        <v>0</v>
      </c>
      <c r="W569" s="13">
        <f t="shared" ca="1" si="169"/>
        <v>36230.673806249994</v>
      </c>
      <c r="X569" s="4">
        <f t="shared" ca="1" si="170"/>
        <v>0</v>
      </c>
    </row>
    <row r="570" spans="1:24">
      <c r="A570">
        <v>0</v>
      </c>
      <c r="B570">
        <v>0</v>
      </c>
      <c r="C570">
        <f t="shared" ca="1" si="152"/>
        <v>4</v>
      </c>
      <c r="D570">
        <f t="shared" ca="1" si="153"/>
        <v>2</v>
      </c>
      <c r="E570">
        <f t="shared" ca="1" si="154"/>
        <v>0</v>
      </c>
      <c r="F570" s="100">
        <f t="shared" ca="1" si="155"/>
        <v>0.47939837299599991</v>
      </c>
      <c r="G570">
        <v>0</v>
      </c>
      <c r="H570">
        <v>1</v>
      </c>
      <c r="I570">
        <v>4</v>
      </c>
      <c r="J570" s="1">
        <f t="shared" ca="1" si="156"/>
        <v>0</v>
      </c>
      <c r="K570" s="1">
        <f t="shared" ca="1" si="157"/>
        <v>0</v>
      </c>
      <c r="L570" s="13">
        <f t="shared" ca="1" si="158"/>
        <v>222</v>
      </c>
      <c r="M570" s="7">
        <f t="shared" ca="1" si="159"/>
        <v>778</v>
      </c>
      <c r="N570" s="43">
        <f t="shared" ca="1" si="160"/>
        <v>7</v>
      </c>
      <c r="O570" s="92">
        <f t="shared" ca="1" si="161"/>
        <v>3.2214900588145507</v>
      </c>
      <c r="P570" s="92">
        <f t="shared" ca="1" si="162"/>
        <v>32.214900588145518</v>
      </c>
      <c r="Q570" s="92">
        <f t="shared" ca="1" si="163"/>
        <v>32.214900588145518</v>
      </c>
      <c r="R570" s="92">
        <f t="shared" ca="1" si="164"/>
        <v>3.2214900588145516</v>
      </c>
      <c r="S570" s="92">
        <f t="shared" ca="1" si="165"/>
        <v>3.2214900588145507</v>
      </c>
      <c r="T570" s="4">
        <f t="shared" ca="1" si="166"/>
        <v>0</v>
      </c>
      <c r="U570" s="99">
        <f t="shared" ca="1" si="167"/>
        <v>1377.9757603899629</v>
      </c>
      <c r="V570" s="4">
        <f t="shared" ca="1" si="168"/>
        <v>0</v>
      </c>
      <c r="W570" s="13">
        <f t="shared" ca="1" si="169"/>
        <v>30213.601687499999</v>
      </c>
      <c r="X570" s="4">
        <f t="shared" ca="1" si="170"/>
        <v>0</v>
      </c>
    </row>
    <row r="571" spans="1:24">
      <c r="A571">
        <v>0</v>
      </c>
      <c r="B571">
        <v>0</v>
      </c>
      <c r="C571">
        <f t="shared" ca="1" si="152"/>
        <v>4</v>
      </c>
      <c r="D571">
        <f t="shared" ca="1" si="153"/>
        <v>2</v>
      </c>
      <c r="E571">
        <f t="shared" ca="1" si="154"/>
        <v>0</v>
      </c>
      <c r="F571" s="100">
        <f t="shared" ca="1" si="155"/>
        <v>0.47939837299599991</v>
      </c>
      <c r="G571">
        <v>0</v>
      </c>
      <c r="H571">
        <v>1</v>
      </c>
      <c r="I571">
        <v>3</v>
      </c>
      <c r="J571" s="1">
        <f t="shared" ca="1" si="156"/>
        <v>0</v>
      </c>
      <c r="K571" s="1">
        <f t="shared" ca="1" si="157"/>
        <v>0</v>
      </c>
      <c r="L571" s="13">
        <f t="shared" ca="1" si="158"/>
        <v>200</v>
      </c>
      <c r="M571" s="7">
        <f t="shared" ca="1" si="159"/>
        <v>800</v>
      </c>
      <c r="N571" s="43">
        <f t="shared" ca="1" si="160"/>
        <v>7</v>
      </c>
      <c r="O571" s="92">
        <f t="shared" ca="1" si="161"/>
        <v>3.2214900588145507</v>
      </c>
      <c r="P571" s="92">
        <f t="shared" ca="1" si="162"/>
        <v>32.214900588145518</v>
      </c>
      <c r="Q571" s="92">
        <f t="shared" ca="1" si="163"/>
        <v>32.214900588145518</v>
      </c>
      <c r="R571" s="92">
        <f t="shared" ca="1" si="164"/>
        <v>3.2214900588145516</v>
      </c>
      <c r="S571" s="92">
        <f t="shared" ca="1" si="165"/>
        <v>3.2214900588145507</v>
      </c>
      <c r="T571" s="4">
        <f t="shared" ca="1" si="166"/>
        <v>0</v>
      </c>
      <c r="U571" s="99">
        <f t="shared" ca="1" si="167"/>
        <v>1355.9757603899629</v>
      </c>
      <c r="V571" s="4">
        <f t="shared" ca="1" si="168"/>
        <v>0</v>
      </c>
      <c r="W571" s="13">
        <f t="shared" ca="1" si="169"/>
        <v>24196.529568749997</v>
      </c>
      <c r="X571" s="4">
        <f t="shared" ca="1" si="170"/>
        <v>0</v>
      </c>
    </row>
    <row r="572" spans="1:24">
      <c r="A572">
        <v>0</v>
      </c>
      <c r="B572">
        <v>0</v>
      </c>
      <c r="C572">
        <f t="shared" ca="1" si="152"/>
        <v>4</v>
      </c>
      <c r="D572">
        <f t="shared" ca="1" si="153"/>
        <v>2</v>
      </c>
      <c r="E572">
        <f t="shared" ca="1" si="154"/>
        <v>0</v>
      </c>
      <c r="F572" s="100">
        <f t="shared" ca="1" si="155"/>
        <v>0.47939837299599991</v>
      </c>
      <c r="G572">
        <v>0</v>
      </c>
      <c r="H572">
        <v>1</v>
      </c>
      <c r="I572">
        <v>2</v>
      </c>
      <c r="J572" s="1">
        <f t="shared" ca="1" si="156"/>
        <v>9.7029900000000086E-3</v>
      </c>
      <c r="K572" s="1">
        <f t="shared" ca="1" si="157"/>
        <v>4.651597619196461E-3</v>
      </c>
      <c r="L572" s="13">
        <f t="shared" ca="1" si="158"/>
        <v>178</v>
      </c>
      <c r="M572" s="7">
        <f t="shared" ca="1" si="159"/>
        <v>822</v>
      </c>
      <c r="N572" s="43">
        <f t="shared" ca="1" si="160"/>
        <v>7</v>
      </c>
      <c r="O572" s="92">
        <f t="shared" ca="1" si="161"/>
        <v>3.2214900588145507</v>
      </c>
      <c r="P572" s="92">
        <f t="shared" ca="1" si="162"/>
        <v>32.214900588145518</v>
      </c>
      <c r="Q572" s="92">
        <f t="shared" ca="1" si="163"/>
        <v>32.214900588145518</v>
      </c>
      <c r="R572" s="92">
        <f t="shared" ca="1" si="164"/>
        <v>3.2214900588145516</v>
      </c>
      <c r="S572" s="92">
        <f t="shared" ca="1" si="165"/>
        <v>3.2214900588145507</v>
      </c>
      <c r="T572" s="4">
        <f t="shared" ca="1" si="166"/>
        <v>1.4985075487846831E-2</v>
      </c>
      <c r="U572" s="99">
        <f t="shared" ca="1" si="167"/>
        <v>1333.9757603899629</v>
      </c>
      <c r="V572" s="4">
        <f t="shared" ca="1" si="168"/>
        <v>6.2051184710957399</v>
      </c>
      <c r="W572" s="13">
        <f t="shared" ca="1" si="169"/>
        <v>18179.457449999998</v>
      </c>
      <c r="X572" s="4">
        <f t="shared" ca="1" si="170"/>
        <v>84.56352099270336</v>
      </c>
    </row>
    <row r="573" spans="1:24">
      <c r="A573">
        <v>0</v>
      </c>
      <c r="B573">
        <v>0</v>
      </c>
      <c r="C573">
        <f t="shared" ca="1" si="152"/>
        <v>4</v>
      </c>
      <c r="D573">
        <f t="shared" ca="1" si="153"/>
        <v>2</v>
      </c>
      <c r="E573">
        <f t="shared" ca="1" si="154"/>
        <v>0</v>
      </c>
      <c r="F573" s="100">
        <f t="shared" ca="1" si="155"/>
        <v>0.47939837299599991</v>
      </c>
      <c r="G573">
        <v>0</v>
      </c>
      <c r="H573">
        <v>1</v>
      </c>
      <c r="I573">
        <v>1</v>
      </c>
      <c r="J573" s="1">
        <f t="shared" ca="1" si="156"/>
        <v>1.9602000000000036E-4</v>
      </c>
      <c r="K573" s="1">
        <f t="shared" ca="1" si="157"/>
        <v>9.3971669074676073E-5</v>
      </c>
      <c r="L573" s="13">
        <f t="shared" ca="1" si="158"/>
        <v>156</v>
      </c>
      <c r="M573" s="7">
        <f t="shared" ca="1" si="159"/>
        <v>844</v>
      </c>
      <c r="N573" s="43">
        <f t="shared" ca="1" si="160"/>
        <v>7</v>
      </c>
      <c r="O573" s="92">
        <f t="shared" ca="1" si="161"/>
        <v>3.2214900588145507</v>
      </c>
      <c r="P573" s="92">
        <f t="shared" ca="1" si="162"/>
        <v>32.214900588145518</v>
      </c>
      <c r="Q573" s="92">
        <f t="shared" ca="1" si="163"/>
        <v>32.214900588145518</v>
      </c>
      <c r="R573" s="92">
        <f t="shared" ca="1" si="164"/>
        <v>3.2214900588145516</v>
      </c>
      <c r="S573" s="92">
        <f t="shared" ca="1" si="165"/>
        <v>3.2214900588145507</v>
      </c>
      <c r="T573" s="4">
        <f t="shared" ca="1" si="166"/>
        <v>3.0272879773427972E-4</v>
      </c>
      <c r="U573" s="99">
        <f t="shared" ca="1" si="167"/>
        <v>1311.9757603899629</v>
      </c>
      <c r="V573" s="4">
        <f t="shared" ca="1" si="168"/>
        <v>0.1232885519893621</v>
      </c>
      <c r="W573" s="13">
        <f t="shared" ca="1" si="169"/>
        <v>12162.38533125</v>
      </c>
      <c r="X573" s="4">
        <f t="shared" ca="1" si="170"/>
        <v>1.1429196495069196</v>
      </c>
    </row>
    <row r="574" spans="1:24">
      <c r="A574">
        <v>0</v>
      </c>
      <c r="B574">
        <v>0</v>
      </c>
      <c r="C574">
        <f t="shared" ca="1" si="152"/>
        <v>4</v>
      </c>
      <c r="D574">
        <f t="shared" ca="1" si="153"/>
        <v>2</v>
      </c>
      <c r="E574">
        <f t="shared" ca="1" si="154"/>
        <v>0</v>
      </c>
      <c r="F574" s="100">
        <f t="shared" ca="1" si="155"/>
        <v>0.47939837299599991</v>
      </c>
      <c r="G574">
        <v>0</v>
      </c>
      <c r="H574">
        <v>1</v>
      </c>
      <c r="I574">
        <v>0</v>
      </c>
      <c r="J574" s="1">
        <f t="shared" ca="1" si="156"/>
        <v>9.900000000000028E-7</v>
      </c>
      <c r="K574" s="1">
        <f t="shared" ca="1" si="157"/>
        <v>4.7460438926604126E-7</v>
      </c>
      <c r="L574" s="13">
        <f t="shared" ca="1" si="158"/>
        <v>134</v>
      </c>
      <c r="M574" s="7">
        <f t="shared" ca="1" si="159"/>
        <v>866</v>
      </c>
      <c r="N574" s="43">
        <f t="shared" ca="1" si="160"/>
        <v>7</v>
      </c>
      <c r="O574" s="92">
        <f t="shared" ca="1" si="161"/>
        <v>3.2214900588145507</v>
      </c>
      <c r="P574" s="92">
        <f t="shared" ca="1" si="162"/>
        <v>32.214900588145518</v>
      </c>
      <c r="Q574" s="92">
        <f t="shared" ca="1" si="163"/>
        <v>32.214900588145518</v>
      </c>
      <c r="R574" s="92">
        <f t="shared" ca="1" si="164"/>
        <v>3.2214900588145516</v>
      </c>
      <c r="S574" s="92">
        <f t="shared" ca="1" si="165"/>
        <v>3.2214900588145507</v>
      </c>
      <c r="T574" s="4">
        <f t="shared" ca="1" si="166"/>
        <v>1.5289333218903031E-6</v>
      </c>
      <c r="U574" s="99">
        <f t="shared" ca="1" si="167"/>
        <v>1289.9757603899629</v>
      </c>
      <c r="V574" s="4">
        <f t="shared" ca="1" si="168"/>
        <v>6.1222815792787556E-4</v>
      </c>
      <c r="W574" s="13">
        <f t="shared" ca="1" si="169"/>
        <v>6145.3132124999993</v>
      </c>
      <c r="X574" s="4">
        <f t="shared" ca="1" si="170"/>
        <v>2.9165926240670961E-3</v>
      </c>
    </row>
    <row r="575" spans="1:24">
      <c r="A575">
        <v>0</v>
      </c>
      <c r="B575">
        <v>0</v>
      </c>
      <c r="C575">
        <f t="shared" ca="1" si="152"/>
        <v>4</v>
      </c>
      <c r="D575">
        <f t="shared" ca="1" si="153"/>
        <v>2</v>
      </c>
      <c r="E575">
        <f t="shared" ca="1" si="154"/>
        <v>0</v>
      </c>
      <c r="F575" s="100">
        <f t="shared" ca="1" si="155"/>
        <v>0.47939837299599991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154</v>
      </c>
      <c r="M575" s="7">
        <f t="shared" ca="1" si="159"/>
        <v>846</v>
      </c>
      <c r="N575" s="43">
        <f t="shared" ca="1" si="160"/>
        <v>7</v>
      </c>
      <c r="O575" s="92">
        <f t="shared" ca="1" si="161"/>
        <v>3.2214900588145507</v>
      </c>
      <c r="P575" s="92">
        <f t="shared" ca="1" si="162"/>
        <v>32.214900588145518</v>
      </c>
      <c r="Q575" s="92">
        <f t="shared" ca="1" si="163"/>
        <v>32.214900588145518</v>
      </c>
      <c r="R575" s="92">
        <f t="shared" ca="1" si="164"/>
        <v>3.2214900588145516</v>
      </c>
      <c r="S575" s="92">
        <f t="shared" ca="1" si="165"/>
        <v>3.2214900588145507</v>
      </c>
      <c r="T575" s="4">
        <f t="shared" ca="1" si="166"/>
        <v>0</v>
      </c>
      <c r="U575" s="99">
        <f t="shared" ca="1" si="167"/>
        <v>1309.9757603899629</v>
      </c>
      <c r="V575" s="4">
        <f t="shared" ca="1" si="168"/>
        <v>0</v>
      </c>
      <c r="W575" s="13">
        <f t="shared" ca="1" si="169"/>
        <v>42119.50483125</v>
      </c>
      <c r="X575" s="4">
        <f t="shared" ca="1" si="170"/>
        <v>0</v>
      </c>
    </row>
    <row r="576" spans="1:24">
      <c r="A576">
        <v>0</v>
      </c>
      <c r="B576">
        <v>0</v>
      </c>
      <c r="C576">
        <f t="shared" ca="1" si="152"/>
        <v>4</v>
      </c>
      <c r="D576">
        <f t="shared" ca="1" si="153"/>
        <v>2</v>
      </c>
      <c r="E576">
        <f t="shared" ca="1" si="154"/>
        <v>0</v>
      </c>
      <c r="F576" s="100">
        <f t="shared" ca="1" si="155"/>
        <v>0.47939837299599991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132</v>
      </c>
      <c r="M576" s="7">
        <f t="shared" ca="1" si="159"/>
        <v>868</v>
      </c>
      <c r="N576" s="43">
        <f t="shared" ca="1" si="160"/>
        <v>7</v>
      </c>
      <c r="O576" s="92">
        <f t="shared" ca="1" si="161"/>
        <v>3.2214900588145507</v>
      </c>
      <c r="P576" s="92">
        <f t="shared" ca="1" si="162"/>
        <v>32.214900588145518</v>
      </c>
      <c r="Q576" s="92">
        <f t="shared" ca="1" si="163"/>
        <v>32.214900588145518</v>
      </c>
      <c r="R576" s="92">
        <f t="shared" ca="1" si="164"/>
        <v>3.2214900588145516</v>
      </c>
      <c r="S576" s="92">
        <f t="shared" ca="1" si="165"/>
        <v>3.2214900588145507</v>
      </c>
      <c r="T576" s="4">
        <f t="shared" ca="1" si="166"/>
        <v>0</v>
      </c>
      <c r="U576" s="99">
        <f t="shared" ca="1" si="167"/>
        <v>1287.9757603899629</v>
      </c>
      <c r="V576" s="4">
        <f t="shared" ca="1" si="168"/>
        <v>0</v>
      </c>
      <c r="W576" s="13">
        <f t="shared" ca="1" si="169"/>
        <v>36102.432712499998</v>
      </c>
      <c r="X576" s="4">
        <f t="shared" ca="1" si="170"/>
        <v>0</v>
      </c>
    </row>
    <row r="577" spans="1:24">
      <c r="A577">
        <v>0</v>
      </c>
      <c r="B577">
        <v>0</v>
      </c>
      <c r="C577">
        <f t="shared" ca="1" si="152"/>
        <v>4</v>
      </c>
      <c r="D577">
        <f t="shared" ca="1" si="153"/>
        <v>2</v>
      </c>
      <c r="E577">
        <f t="shared" ca="1" si="154"/>
        <v>0</v>
      </c>
      <c r="F577" s="100">
        <f t="shared" ca="1" si="155"/>
        <v>0.47939837299599991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110</v>
      </c>
      <c r="M577" s="7">
        <f t="shared" ca="1" si="159"/>
        <v>890</v>
      </c>
      <c r="N577" s="43">
        <f t="shared" ca="1" si="160"/>
        <v>8</v>
      </c>
      <c r="O577" s="92">
        <f t="shared" ca="1" si="161"/>
        <v>3.5531918581169131</v>
      </c>
      <c r="P577" s="92">
        <f t="shared" ca="1" si="162"/>
        <v>35.531918581169137</v>
      </c>
      <c r="Q577" s="92">
        <f t="shared" ca="1" si="163"/>
        <v>33.541707785354966</v>
      </c>
      <c r="R577" s="92">
        <f t="shared" ca="1" si="164"/>
        <v>3.4536813183262054</v>
      </c>
      <c r="S577" s="92">
        <f t="shared" ca="1" si="165"/>
        <v>3.5462261203315633</v>
      </c>
      <c r="T577" s="4">
        <f t="shared" ca="1" si="166"/>
        <v>0</v>
      </c>
      <c r="U577" s="99">
        <f t="shared" ca="1" si="167"/>
        <v>1366.7817087343356</v>
      </c>
      <c r="V577" s="4">
        <f t="shared" ca="1" si="168"/>
        <v>0</v>
      </c>
      <c r="W577" s="13">
        <f t="shared" ca="1" si="169"/>
        <v>30085.360593749996</v>
      </c>
      <c r="X577" s="4">
        <f t="shared" ca="1" si="170"/>
        <v>0</v>
      </c>
    </row>
    <row r="578" spans="1:24">
      <c r="A578">
        <v>0</v>
      </c>
      <c r="B578">
        <v>0</v>
      </c>
      <c r="C578">
        <f t="shared" ca="1" si="152"/>
        <v>4</v>
      </c>
      <c r="D578">
        <f t="shared" ca="1" si="153"/>
        <v>2</v>
      </c>
      <c r="E578">
        <f t="shared" ca="1" si="154"/>
        <v>0</v>
      </c>
      <c r="F578" s="100">
        <f t="shared" ca="1" si="155"/>
        <v>0.47939837299599991</v>
      </c>
      <c r="G578">
        <v>0</v>
      </c>
      <c r="H578">
        <v>0</v>
      </c>
      <c r="I578">
        <v>4</v>
      </c>
      <c r="J578" s="1">
        <f t="shared" ca="1" si="156"/>
        <v>0</v>
      </c>
      <c r="K578" s="1">
        <f t="shared" ca="1" si="157"/>
        <v>0</v>
      </c>
      <c r="L578" s="13">
        <f t="shared" ca="1" si="158"/>
        <v>100</v>
      </c>
      <c r="M578" s="7">
        <f t="shared" ca="1" si="159"/>
        <v>900</v>
      </c>
      <c r="N578" s="43">
        <f t="shared" ca="1" si="160"/>
        <v>8</v>
      </c>
      <c r="O578" s="92">
        <f t="shared" ca="1" si="161"/>
        <v>3.5531918581169131</v>
      </c>
      <c r="P578" s="92">
        <f t="shared" ca="1" si="162"/>
        <v>35.531918581169137</v>
      </c>
      <c r="Q578" s="92">
        <f t="shared" ca="1" si="163"/>
        <v>35.531918581169137</v>
      </c>
      <c r="R578" s="92">
        <f t="shared" ca="1" si="164"/>
        <v>3.5531918581169135</v>
      </c>
      <c r="S578" s="92">
        <f t="shared" ca="1" si="165"/>
        <v>3.5531918581169126</v>
      </c>
      <c r="T578" s="4">
        <f t="shared" ca="1" si="166"/>
        <v>0</v>
      </c>
      <c r="U578" s="99">
        <f t="shared" ca="1" si="167"/>
        <v>1358.9440426620492</v>
      </c>
      <c r="V578" s="4">
        <f t="shared" ca="1" si="168"/>
        <v>0</v>
      </c>
      <c r="W578" s="13">
        <f t="shared" ca="1" si="169"/>
        <v>24068.288474999998</v>
      </c>
      <c r="X578" s="4">
        <f t="shared" ca="1" si="170"/>
        <v>0</v>
      </c>
    </row>
    <row r="579" spans="1:24">
      <c r="A579">
        <v>0</v>
      </c>
      <c r="B579">
        <v>0</v>
      </c>
      <c r="C579">
        <f t="shared" ca="1" si="152"/>
        <v>4</v>
      </c>
      <c r="D579">
        <f t="shared" ca="1" si="153"/>
        <v>2</v>
      </c>
      <c r="E579">
        <f t="shared" ca="1" si="154"/>
        <v>0</v>
      </c>
      <c r="F579" s="100">
        <f t="shared" ca="1" si="155"/>
        <v>0.47939837299599991</v>
      </c>
      <c r="G579">
        <v>0</v>
      </c>
      <c r="H579">
        <v>0</v>
      </c>
      <c r="I579">
        <v>3</v>
      </c>
      <c r="J579" s="1">
        <f t="shared" ca="1" si="156"/>
        <v>0</v>
      </c>
      <c r="K579" s="1">
        <f t="shared" ca="1" si="157"/>
        <v>0</v>
      </c>
      <c r="L579" s="13">
        <f t="shared" ca="1" si="158"/>
        <v>100</v>
      </c>
      <c r="M579" s="7">
        <f t="shared" ca="1" si="159"/>
        <v>900</v>
      </c>
      <c r="N579" s="43">
        <f t="shared" ca="1" si="160"/>
        <v>8</v>
      </c>
      <c r="O579" s="92">
        <f t="shared" ca="1" si="161"/>
        <v>3.5531918581169131</v>
      </c>
      <c r="P579" s="92">
        <f t="shared" ca="1" si="162"/>
        <v>35.531918581169137</v>
      </c>
      <c r="Q579" s="92">
        <f t="shared" ca="1" si="163"/>
        <v>35.531918581169137</v>
      </c>
      <c r="R579" s="92">
        <f t="shared" ca="1" si="164"/>
        <v>3.5531918581169135</v>
      </c>
      <c r="S579" s="92">
        <f t="shared" ca="1" si="165"/>
        <v>3.5531918581169126</v>
      </c>
      <c r="T579" s="4">
        <f t="shared" ca="1" si="166"/>
        <v>0</v>
      </c>
      <c r="U579" s="99">
        <f t="shared" ca="1" si="167"/>
        <v>1358.9440426620492</v>
      </c>
      <c r="V579" s="4">
        <f t="shared" ca="1" si="168"/>
        <v>0</v>
      </c>
      <c r="W579" s="13">
        <f t="shared" ca="1" si="169"/>
        <v>18051.216356249999</v>
      </c>
      <c r="X579" s="4">
        <f t="shared" ca="1" si="170"/>
        <v>0</v>
      </c>
    </row>
    <row r="580" spans="1:24">
      <c r="A580">
        <v>0</v>
      </c>
      <c r="B580">
        <v>0</v>
      </c>
      <c r="C580">
        <f t="shared" ca="1" si="152"/>
        <v>4</v>
      </c>
      <c r="D580">
        <f t="shared" ca="1" si="153"/>
        <v>2</v>
      </c>
      <c r="E580">
        <f t="shared" ca="1" si="154"/>
        <v>0</v>
      </c>
      <c r="F580" s="100">
        <f t="shared" ca="1" si="155"/>
        <v>0.47939837299599991</v>
      </c>
      <c r="G580">
        <v>0</v>
      </c>
      <c r="H580">
        <v>0</v>
      </c>
      <c r="I580">
        <v>2</v>
      </c>
      <c r="J580" s="1">
        <f t="shared" ca="1" si="156"/>
        <v>9.8010000000000168E-5</v>
      </c>
      <c r="K580" s="1">
        <f t="shared" ca="1" si="157"/>
        <v>4.698583453733803E-5</v>
      </c>
      <c r="L580" s="13">
        <f t="shared" ca="1" si="158"/>
        <v>100</v>
      </c>
      <c r="M580" s="7">
        <f t="shared" ca="1" si="159"/>
        <v>900</v>
      </c>
      <c r="N580" s="43">
        <f t="shared" ca="1" si="160"/>
        <v>8</v>
      </c>
      <c r="O580" s="92">
        <f t="shared" ca="1" si="161"/>
        <v>3.5531918581169131</v>
      </c>
      <c r="P580" s="92">
        <f t="shared" ca="1" si="162"/>
        <v>35.531918581169137</v>
      </c>
      <c r="Q580" s="92">
        <f t="shared" ca="1" si="163"/>
        <v>35.531918581169137</v>
      </c>
      <c r="R580" s="92">
        <f t="shared" ca="1" si="164"/>
        <v>3.5531918581169135</v>
      </c>
      <c r="S580" s="92">
        <f t="shared" ca="1" si="165"/>
        <v>3.5531918581169126</v>
      </c>
      <c r="T580" s="4">
        <f t="shared" ca="1" si="166"/>
        <v>1.6694968472489793E-4</v>
      </c>
      <c r="U580" s="99">
        <f t="shared" ca="1" si="167"/>
        <v>1358.9440426620492</v>
      </c>
      <c r="V580" s="4">
        <f t="shared" ca="1" si="168"/>
        <v>6.3851119934020276E-2</v>
      </c>
      <c r="W580" s="13">
        <f t="shared" ca="1" si="169"/>
        <v>12034.144237499999</v>
      </c>
      <c r="X580" s="4">
        <f t="shared" ca="1" si="170"/>
        <v>0.5654343099416349</v>
      </c>
    </row>
    <row r="581" spans="1:24">
      <c r="A581">
        <v>0</v>
      </c>
      <c r="B581">
        <v>0</v>
      </c>
      <c r="C581">
        <f t="shared" ca="1" si="152"/>
        <v>4</v>
      </c>
      <c r="D581">
        <f t="shared" ca="1" si="153"/>
        <v>2</v>
      </c>
      <c r="E581">
        <f t="shared" ca="1" si="154"/>
        <v>0</v>
      </c>
      <c r="F581" s="100">
        <f t="shared" ca="1" si="155"/>
        <v>0.47939837299599991</v>
      </c>
      <c r="G581">
        <v>0</v>
      </c>
      <c r="H581">
        <v>0</v>
      </c>
      <c r="I581">
        <v>1</v>
      </c>
      <c r="J581" s="1">
        <f t="shared" ca="1" si="156"/>
        <v>1.9800000000000056E-6</v>
      </c>
      <c r="K581" s="1">
        <f t="shared" ca="1" si="157"/>
        <v>9.4920877853208251E-7</v>
      </c>
      <c r="L581" s="13">
        <f t="shared" ca="1" si="158"/>
        <v>100</v>
      </c>
      <c r="M581" s="7">
        <f t="shared" ca="1" si="159"/>
        <v>900</v>
      </c>
      <c r="N581" s="43">
        <f t="shared" ca="1" si="160"/>
        <v>8</v>
      </c>
      <c r="O581" s="92">
        <f t="shared" ca="1" si="161"/>
        <v>3.5531918581169131</v>
      </c>
      <c r="P581" s="92">
        <f t="shared" ca="1" si="162"/>
        <v>35.531918581169137</v>
      </c>
      <c r="Q581" s="92">
        <f t="shared" ca="1" si="163"/>
        <v>35.531918581169137</v>
      </c>
      <c r="R581" s="92">
        <f t="shared" ca="1" si="164"/>
        <v>3.5531918581169135</v>
      </c>
      <c r="S581" s="92">
        <f t="shared" ca="1" si="165"/>
        <v>3.5531918581169126</v>
      </c>
      <c r="T581" s="4">
        <f t="shared" ca="1" si="166"/>
        <v>3.3727209035332954E-6</v>
      </c>
      <c r="U581" s="99">
        <f t="shared" ca="1" si="167"/>
        <v>1358.9440426620492</v>
      </c>
      <c r="V581" s="4">
        <f t="shared" ca="1" si="168"/>
        <v>1.2899216148286939E-3</v>
      </c>
      <c r="W581" s="13">
        <f t="shared" ca="1" si="169"/>
        <v>6017.0721187499994</v>
      </c>
      <c r="X581" s="4">
        <f t="shared" ca="1" si="170"/>
        <v>5.7114576761781366E-3</v>
      </c>
    </row>
    <row r="582" spans="1:24">
      <c r="A582">
        <v>0</v>
      </c>
      <c r="B582">
        <v>0</v>
      </c>
      <c r="C582">
        <f t="shared" ca="1" si="152"/>
        <v>4</v>
      </c>
      <c r="D582">
        <f t="shared" ca="1" si="153"/>
        <v>2</v>
      </c>
      <c r="E582">
        <f t="shared" ca="1" si="154"/>
        <v>0</v>
      </c>
      <c r="F582" s="100">
        <f t="shared" ca="1" si="155"/>
        <v>0.47939837299599991</v>
      </c>
      <c r="G582">
        <v>0</v>
      </c>
      <c r="H582">
        <v>0</v>
      </c>
      <c r="I582">
        <v>0</v>
      </c>
      <c r="J582" s="1">
        <f t="shared" ca="1" si="156"/>
        <v>1.0000000000000037E-8</v>
      </c>
      <c r="K582" s="1">
        <f t="shared" ca="1" si="157"/>
        <v>4.7939837299600165E-9</v>
      </c>
      <c r="L582" s="13">
        <f t="shared" ca="1" si="158"/>
        <v>100</v>
      </c>
      <c r="M582" s="7">
        <f t="shared" ca="1" si="159"/>
        <v>900</v>
      </c>
      <c r="N582" s="43">
        <f t="shared" ca="1" si="160"/>
        <v>8</v>
      </c>
      <c r="O582" s="92">
        <f t="shared" ca="1" si="161"/>
        <v>3.5531918581169131</v>
      </c>
      <c r="P582" s="92">
        <f t="shared" ca="1" si="162"/>
        <v>35.531918581169137</v>
      </c>
      <c r="Q582" s="92">
        <f t="shared" ca="1" si="163"/>
        <v>35.531918581169137</v>
      </c>
      <c r="R582" s="92">
        <f t="shared" ca="1" si="164"/>
        <v>3.5531918581169135</v>
      </c>
      <c r="S582" s="92">
        <f t="shared" ca="1" si="165"/>
        <v>3.5531918581169126</v>
      </c>
      <c r="T582" s="4">
        <f t="shared" ca="1" si="166"/>
        <v>1.7033943957238879E-8</v>
      </c>
      <c r="U582" s="99">
        <f t="shared" ca="1" si="167"/>
        <v>1358.9440426620492</v>
      </c>
      <c r="V582" s="4">
        <f t="shared" ca="1" si="168"/>
        <v>6.5147556304479543E-6</v>
      </c>
      <c r="W582" s="13">
        <f t="shared" ca="1" si="169"/>
        <v>0</v>
      </c>
      <c r="X582" s="4">
        <f t="shared" ca="1" si="170"/>
        <v>0</v>
      </c>
    </row>
    <row r="583" spans="1:24">
      <c r="A583">
        <v>0</v>
      </c>
      <c r="B583">
        <v>1</v>
      </c>
      <c r="C583">
        <f t="shared" ca="1" si="152"/>
        <v>5</v>
      </c>
      <c r="D583">
        <f t="shared" ca="1" si="153"/>
        <v>3</v>
      </c>
      <c r="E583">
        <f t="shared" ca="1" si="154"/>
        <v>0</v>
      </c>
      <c r="F583" s="100">
        <f t="shared" ca="1" si="155"/>
        <v>9.8190028203999996E-2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422</v>
      </c>
      <c r="M583" s="7">
        <f t="shared" ca="1" si="159"/>
        <v>578</v>
      </c>
      <c r="N583" s="43">
        <f t="shared" ca="1" si="160"/>
        <v>5</v>
      </c>
      <c r="O583" s="92">
        <f t="shared" ca="1" si="161"/>
        <v>2.4432565128993144</v>
      </c>
      <c r="P583" s="92">
        <f t="shared" ca="1" si="162"/>
        <v>24.432565128993144</v>
      </c>
      <c r="Q583" s="92">
        <f t="shared" ca="1" si="163"/>
        <v>24.432565128993144</v>
      </c>
      <c r="R583" s="92">
        <f t="shared" ca="1" si="164"/>
        <v>2.4432565128993144</v>
      </c>
      <c r="S583" s="92">
        <f t="shared" ca="1" si="165"/>
        <v>2.4432565128993144</v>
      </c>
      <c r="T583" s="4">
        <f t="shared" ca="1" si="166"/>
        <v>0</v>
      </c>
      <c r="U583" s="99">
        <f t="shared" ca="1" si="167"/>
        <v>1336.3931955743851</v>
      </c>
      <c r="V583" s="4">
        <f t="shared" ca="1" si="168"/>
        <v>0</v>
      </c>
      <c r="W583" s="13">
        <f t="shared" ca="1" si="169"/>
        <v>54281.8901625</v>
      </c>
      <c r="X583" s="4">
        <f t="shared" ca="1" si="170"/>
        <v>0</v>
      </c>
    </row>
    <row r="584" spans="1:24">
      <c r="A584">
        <v>0</v>
      </c>
      <c r="B584">
        <v>1</v>
      </c>
      <c r="C584">
        <f t="shared" ca="1" si="152"/>
        <v>5</v>
      </c>
      <c r="D584">
        <f t="shared" ca="1" si="153"/>
        <v>3</v>
      </c>
      <c r="E584">
        <f t="shared" ca="1" si="154"/>
        <v>0</v>
      </c>
      <c r="F584" s="100">
        <f t="shared" ca="1" si="155"/>
        <v>9.8190028203999996E-2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400</v>
      </c>
      <c r="M584" s="7">
        <f t="shared" ca="1" si="159"/>
        <v>600</v>
      </c>
      <c r="N584" s="43">
        <f t="shared" ca="1" si="160"/>
        <v>5</v>
      </c>
      <c r="O584" s="92">
        <f t="shared" ca="1" si="161"/>
        <v>2.4432565128993144</v>
      </c>
      <c r="P584" s="92">
        <f t="shared" ca="1" si="162"/>
        <v>24.432565128993144</v>
      </c>
      <c r="Q584" s="92">
        <f t="shared" ca="1" si="163"/>
        <v>24.432565128993144</v>
      </c>
      <c r="R584" s="92">
        <f t="shared" ca="1" si="164"/>
        <v>2.4432565128993144</v>
      </c>
      <c r="S584" s="92">
        <f t="shared" ca="1" si="165"/>
        <v>2.4432565128993144</v>
      </c>
      <c r="T584" s="4">
        <f t="shared" ca="1" si="166"/>
        <v>0</v>
      </c>
      <c r="U584" s="99">
        <f t="shared" ca="1" si="167"/>
        <v>1314.3931955743851</v>
      </c>
      <c r="V584" s="4">
        <f t="shared" ca="1" si="168"/>
        <v>0</v>
      </c>
      <c r="W584" s="13">
        <f t="shared" ca="1" si="169"/>
        <v>48264.818043749998</v>
      </c>
      <c r="X584" s="4">
        <f t="shared" ca="1" si="170"/>
        <v>0</v>
      </c>
    </row>
    <row r="585" spans="1:24">
      <c r="A585">
        <v>0</v>
      </c>
      <c r="B585">
        <v>1</v>
      </c>
      <c r="C585">
        <f t="shared" ca="1" si="152"/>
        <v>5</v>
      </c>
      <c r="D585">
        <f t="shared" ca="1" si="153"/>
        <v>3</v>
      </c>
      <c r="E585">
        <f t="shared" ca="1" si="154"/>
        <v>0</v>
      </c>
      <c r="F585" s="100">
        <f t="shared" ca="1" si="155"/>
        <v>9.8190028203999996E-2</v>
      </c>
      <c r="G585">
        <v>1</v>
      </c>
      <c r="H585">
        <v>1</v>
      </c>
      <c r="I585">
        <v>5</v>
      </c>
      <c r="J585" s="1">
        <f t="shared" ca="1" si="156"/>
        <v>0</v>
      </c>
      <c r="K585" s="1">
        <f t="shared" ca="1" si="157"/>
        <v>0</v>
      </c>
      <c r="L585" s="13">
        <f t="shared" ca="1" si="158"/>
        <v>378</v>
      </c>
      <c r="M585" s="7">
        <f t="shared" ca="1" si="159"/>
        <v>622</v>
      </c>
      <c r="N585" s="43">
        <f t="shared" ca="1" si="160"/>
        <v>5</v>
      </c>
      <c r="O585" s="92">
        <f t="shared" ca="1" si="161"/>
        <v>2.4432565128993144</v>
      </c>
      <c r="P585" s="92">
        <f t="shared" ca="1" si="162"/>
        <v>24.432565128993144</v>
      </c>
      <c r="Q585" s="92">
        <f t="shared" ca="1" si="163"/>
        <v>24.432565128993144</v>
      </c>
      <c r="R585" s="92">
        <f t="shared" ca="1" si="164"/>
        <v>2.4432565128993144</v>
      </c>
      <c r="S585" s="92">
        <f t="shared" ca="1" si="165"/>
        <v>2.4432565128993144</v>
      </c>
      <c r="T585" s="4">
        <f t="shared" ca="1" si="166"/>
        <v>0</v>
      </c>
      <c r="U585" s="99">
        <f t="shared" ca="1" si="167"/>
        <v>1292.3931955743851</v>
      </c>
      <c r="V585" s="4">
        <f t="shared" ca="1" si="168"/>
        <v>0</v>
      </c>
      <c r="W585" s="13">
        <f t="shared" ca="1" si="169"/>
        <v>42247.745924999996</v>
      </c>
      <c r="X585" s="4">
        <f t="shared" ca="1" si="170"/>
        <v>0</v>
      </c>
    </row>
    <row r="586" spans="1:24">
      <c r="A586">
        <v>0</v>
      </c>
      <c r="B586">
        <v>1</v>
      </c>
      <c r="C586">
        <f t="shared" ca="1" si="152"/>
        <v>5</v>
      </c>
      <c r="D586">
        <f t="shared" ca="1" si="153"/>
        <v>3</v>
      </c>
      <c r="E586">
        <f t="shared" ca="1" si="154"/>
        <v>0</v>
      </c>
      <c r="F586" s="100">
        <f t="shared" ca="1" si="155"/>
        <v>9.8190028203999996E-2</v>
      </c>
      <c r="G586">
        <v>1</v>
      </c>
      <c r="H586">
        <v>1</v>
      </c>
      <c r="I586">
        <v>4</v>
      </c>
      <c r="J586" s="1">
        <f t="shared" ca="1" si="156"/>
        <v>0</v>
      </c>
      <c r="K586" s="1">
        <f t="shared" ca="1" si="157"/>
        <v>0</v>
      </c>
      <c r="L586" s="13">
        <f t="shared" ca="1" si="158"/>
        <v>356</v>
      </c>
      <c r="M586" s="7">
        <f t="shared" ca="1" si="159"/>
        <v>644</v>
      </c>
      <c r="N586" s="43">
        <f t="shared" ca="1" si="160"/>
        <v>6</v>
      </c>
      <c r="O586" s="92">
        <f t="shared" ca="1" si="161"/>
        <v>2.7275117780454798</v>
      </c>
      <c r="P586" s="92">
        <f t="shared" ca="1" si="162"/>
        <v>27.275117780454792</v>
      </c>
      <c r="Q586" s="92">
        <f t="shared" ca="1" si="163"/>
        <v>26.706607250162463</v>
      </c>
      <c r="R586" s="92">
        <f t="shared" ca="1" si="164"/>
        <v>2.6990862515308627</v>
      </c>
      <c r="S586" s="92">
        <f t="shared" ca="1" si="165"/>
        <v>2.7255219911894564</v>
      </c>
      <c r="T586" s="4">
        <f t="shared" ca="1" si="166"/>
        <v>0</v>
      </c>
      <c r="U586" s="99">
        <f t="shared" ca="1" si="167"/>
        <v>1358.0152449734937</v>
      </c>
      <c r="V586" s="4">
        <f t="shared" ca="1" si="168"/>
        <v>0</v>
      </c>
      <c r="W586" s="13">
        <f t="shared" ca="1" si="169"/>
        <v>36230.673806249994</v>
      </c>
      <c r="X586" s="4">
        <f t="shared" ca="1" si="170"/>
        <v>0</v>
      </c>
    </row>
    <row r="587" spans="1:24">
      <c r="A587">
        <v>0</v>
      </c>
      <c r="B587">
        <v>1</v>
      </c>
      <c r="C587">
        <f t="shared" ca="1" si="152"/>
        <v>5</v>
      </c>
      <c r="D587">
        <f t="shared" ca="1" si="153"/>
        <v>3</v>
      </c>
      <c r="E587">
        <f t="shared" ca="1" si="154"/>
        <v>0</v>
      </c>
      <c r="F587" s="100">
        <f t="shared" ca="1" si="155"/>
        <v>9.8190028203999996E-2</v>
      </c>
      <c r="G587">
        <v>1</v>
      </c>
      <c r="H587">
        <v>1</v>
      </c>
      <c r="I587">
        <v>3</v>
      </c>
      <c r="J587" s="1">
        <f t="shared" ca="1" si="156"/>
        <v>0.95099004989999991</v>
      </c>
      <c r="K587" s="1">
        <f t="shared" ca="1" si="157"/>
        <v>9.3377739821404349E-2</v>
      </c>
      <c r="L587" s="13">
        <f t="shared" ca="1" si="158"/>
        <v>334</v>
      </c>
      <c r="M587" s="7">
        <f t="shared" ca="1" si="159"/>
        <v>666</v>
      </c>
      <c r="N587" s="43">
        <f t="shared" ca="1" si="160"/>
        <v>6</v>
      </c>
      <c r="O587" s="92">
        <f t="shared" ca="1" si="161"/>
        <v>2.7275117780454798</v>
      </c>
      <c r="P587" s="92">
        <f t="shared" ca="1" si="162"/>
        <v>27.275117780454792</v>
      </c>
      <c r="Q587" s="92">
        <f t="shared" ca="1" si="163"/>
        <v>27.275117780454792</v>
      </c>
      <c r="R587" s="92">
        <f t="shared" ca="1" si="164"/>
        <v>2.7275117780454794</v>
      </c>
      <c r="S587" s="92">
        <f t="shared" ca="1" si="165"/>
        <v>2.7275117780454794</v>
      </c>
      <c r="T587" s="4">
        <f t="shared" ca="1" si="166"/>
        <v>0.25468888517014676</v>
      </c>
      <c r="U587" s="99">
        <f t="shared" ca="1" si="167"/>
        <v>1336.6329230659346</v>
      </c>
      <c r="V587" s="4">
        <f t="shared" ca="1" si="168"/>
        <v>124.81176132677402</v>
      </c>
      <c r="W587" s="13">
        <f t="shared" ca="1" si="169"/>
        <v>30213.601687499999</v>
      </c>
      <c r="X587" s="4">
        <f t="shared" ca="1" si="170"/>
        <v>2821.2778374429181</v>
      </c>
    </row>
    <row r="588" spans="1:24">
      <c r="A588">
        <v>0</v>
      </c>
      <c r="B588">
        <v>1</v>
      </c>
      <c r="C588">
        <f t="shared" ca="1" si="152"/>
        <v>5</v>
      </c>
      <c r="D588">
        <f t="shared" ca="1" si="153"/>
        <v>3</v>
      </c>
      <c r="E588">
        <f t="shared" ca="1" si="154"/>
        <v>0</v>
      </c>
      <c r="F588" s="100">
        <f t="shared" ca="1" si="155"/>
        <v>9.8190028203999996E-2</v>
      </c>
      <c r="G588">
        <v>1</v>
      </c>
      <c r="H588">
        <v>1</v>
      </c>
      <c r="I588">
        <v>2</v>
      </c>
      <c r="J588" s="1">
        <f t="shared" ca="1" si="156"/>
        <v>2.8817880300000022E-2</v>
      </c>
      <c r="K588" s="1">
        <f t="shared" ca="1" si="157"/>
        <v>2.8296284794364981E-3</v>
      </c>
      <c r="L588" s="13">
        <f t="shared" ca="1" si="158"/>
        <v>312</v>
      </c>
      <c r="M588" s="7">
        <f t="shared" ca="1" si="159"/>
        <v>688</v>
      </c>
      <c r="N588" s="43">
        <f t="shared" ca="1" si="160"/>
        <v>6</v>
      </c>
      <c r="O588" s="92">
        <f t="shared" ca="1" si="161"/>
        <v>2.7275117780454798</v>
      </c>
      <c r="P588" s="92">
        <f t="shared" ca="1" si="162"/>
        <v>27.275117780454792</v>
      </c>
      <c r="Q588" s="92">
        <f t="shared" ca="1" si="163"/>
        <v>27.275117780454792</v>
      </c>
      <c r="R588" s="92">
        <f t="shared" ca="1" si="164"/>
        <v>2.7275117780454794</v>
      </c>
      <c r="S588" s="92">
        <f t="shared" ca="1" si="165"/>
        <v>2.7275117780454794</v>
      </c>
      <c r="T588" s="4">
        <f t="shared" ca="1" si="166"/>
        <v>7.7178450051559695E-3</v>
      </c>
      <c r="U588" s="99">
        <f t="shared" ca="1" si="167"/>
        <v>1314.6329230659346</v>
      </c>
      <c r="V588" s="4">
        <f t="shared" ca="1" si="168"/>
        <v>3.7199227591122193</v>
      </c>
      <c r="W588" s="13">
        <f t="shared" ca="1" si="169"/>
        <v>24196.529568749997</v>
      </c>
      <c r="X588" s="4">
        <f t="shared" ca="1" si="170"/>
        <v>68.467189171262319</v>
      </c>
    </row>
    <row r="589" spans="1:24">
      <c r="A589">
        <v>0</v>
      </c>
      <c r="B589">
        <v>1</v>
      </c>
      <c r="C589">
        <f t="shared" ca="1" si="152"/>
        <v>5</v>
      </c>
      <c r="D589">
        <f t="shared" ca="1" si="153"/>
        <v>3</v>
      </c>
      <c r="E589">
        <f t="shared" ca="1" si="154"/>
        <v>0</v>
      </c>
      <c r="F589" s="100">
        <f t="shared" ca="1" si="155"/>
        <v>9.8190028203999996E-2</v>
      </c>
      <c r="G589">
        <v>1</v>
      </c>
      <c r="H589">
        <v>1</v>
      </c>
      <c r="I589">
        <v>1</v>
      </c>
      <c r="J589" s="1">
        <f t="shared" ca="1" si="156"/>
        <v>2.9108970000000053E-4</v>
      </c>
      <c r="K589" s="1">
        <f t="shared" ca="1" si="157"/>
        <v>2.858210585289395E-5</v>
      </c>
      <c r="L589" s="13">
        <f t="shared" ca="1" si="158"/>
        <v>290</v>
      </c>
      <c r="M589" s="7">
        <f t="shared" ca="1" si="159"/>
        <v>710</v>
      </c>
      <c r="N589" s="43">
        <f t="shared" ca="1" si="160"/>
        <v>6</v>
      </c>
      <c r="O589" s="92">
        <f t="shared" ca="1" si="161"/>
        <v>2.7275117780454798</v>
      </c>
      <c r="P589" s="92">
        <f t="shared" ca="1" si="162"/>
        <v>27.275117780454792</v>
      </c>
      <c r="Q589" s="92">
        <f t="shared" ca="1" si="163"/>
        <v>27.275117780454792</v>
      </c>
      <c r="R589" s="92">
        <f t="shared" ca="1" si="164"/>
        <v>2.7275117780454794</v>
      </c>
      <c r="S589" s="92">
        <f t="shared" ca="1" si="165"/>
        <v>2.7275117780454794</v>
      </c>
      <c r="T589" s="4">
        <f t="shared" ca="1" si="166"/>
        <v>7.7958030355110882E-5</v>
      </c>
      <c r="U589" s="99">
        <f t="shared" ca="1" si="167"/>
        <v>1292.6329230659346</v>
      </c>
      <c r="V589" s="4">
        <f t="shared" ca="1" si="168"/>
        <v>3.6946171036006267E-2</v>
      </c>
      <c r="W589" s="13">
        <f t="shared" ca="1" si="169"/>
        <v>18179.457449999998</v>
      </c>
      <c r="X589" s="4">
        <f t="shared" ca="1" si="170"/>
        <v>0.51960717718408145</v>
      </c>
    </row>
    <row r="590" spans="1:24">
      <c r="A590">
        <v>0</v>
      </c>
      <c r="B590">
        <v>1</v>
      </c>
      <c r="C590">
        <f t="shared" ca="1" si="152"/>
        <v>5</v>
      </c>
      <c r="D590">
        <f t="shared" ca="1" si="153"/>
        <v>3</v>
      </c>
      <c r="E590">
        <f t="shared" ca="1" si="154"/>
        <v>0</v>
      </c>
      <c r="F590" s="100">
        <f t="shared" ca="1" si="155"/>
        <v>9.8190028203999996E-2</v>
      </c>
      <c r="G590">
        <v>1</v>
      </c>
      <c r="H590">
        <v>1</v>
      </c>
      <c r="I590">
        <v>0</v>
      </c>
      <c r="J590" s="1">
        <f t="shared" ca="1" si="156"/>
        <v>9.8010000000000269E-7</v>
      </c>
      <c r="K590" s="1">
        <f t="shared" ca="1" si="157"/>
        <v>9.6236046642740654E-8</v>
      </c>
      <c r="L590" s="13">
        <f t="shared" ca="1" si="158"/>
        <v>268</v>
      </c>
      <c r="M590" s="7">
        <f t="shared" ca="1" si="159"/>
        <v>732</v>
      </c>
      <c r="N590" s="43">
        <f t="shared" ca="1" si="160"/>
        <v>6</v>
      </c>
      <c r="O590" s="92">
        <f t="shared" ca="1" si="161"/>
        <v>2.7275117780454798</v>
      </c>
      <c r="P590" s="92">
        <f t="shared" ca="1" si="162"/>
        <v>27.275117780454792</v>
      </c>
      <c r="Q590" s="92">
        <f t="shared" ca="1" si="163"/>
        <v>27.275117780454792</v>
      </c>
      <c r="R590" s="92">
        <f t="shared" ca="1" si="164"/>
        <v>2.7275117780454794</v>
      </c>
      <c r="S590" s="92">
        <f t="shared" ca="1" si="165"/>
        <v>2.7275117780454794</v>
      </c>
      <c r="T590" s="4">
        <f t="shared" ca="1" si="166"/>
        <v>2.6248495069060927E-7</v>
      </c>
      <c r="U590" s="99">
        <f t="shared" ca="1" si="167"/>
        <v>1270.6329230659346</v>
      </c>
      <c r="V590" s="4">
        <f t="shared" ca="1" si="168"/>
        <v>1.2228068924997518E-4</v>
      </c>
      <c r="W590" s="13">
        <f t="shared" ca="1" si="169"/>
        <v>12162.38533125</v>
      </c>
      <c r="X590" s="4">
        <f t="shared" ca="1" si="170"/>
        <v>1.1704598820251597E-3</v>
      </c>
    </row>
    <row r="591" spans="1:24">
      <c r="A591">
        <v>0</v>
      </c>
      <c r="B591">
        <v>1</v>
      </c>
      <c r="C591">
        <f t="shared" ca="1" si="152"/>
        <v>5</v>
      </c>
      <c r="D591">
        <f t="shared" ca="1" si="153"/>
        <v>3</v>
      </c>
      <c r="E591">
        <f t="shared" ca="1" si="154"/>
        <v>0</v>
      </c>
      <c r="F591" s="100">
        <f t="shared" ca="1" si="155"/>
        <v>9.8190028203999996E-2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288</v>
      </c>
      <c r="M591" s="7">
        <f t="shared" ca="1" si="159"/>
        <v>712</v>
      </c>
      <c r="N591" s="43">
        <f t="shared" ca="1" si="160"/>
        <v>6</v>
      </c>
      <c r="O591" s="92">
        <f t="shared" ca="1" si="161"/>
        <v>2.7275117780454798</v>
      </c>
      <c r="P591" s="92">
        <f t="shared" ca="1" si="162"/>
        <v>27.275117780454792</v>
      </c>
      <c r="Q591" s="92">
        <f t="shared" ca="1" si="163"/>
        <v>27.275117780454792</v>
      </c>
      <c r="R591" s="92">
        <f t="shared" ca="1" si="164"/>
        <v>2.7275117780454794</v>
      </c>
      <c r="S591" s="92">
        <f t="shared" ca="1" si="165"/>
        <v>2.7275117780454794</v>
      </c>
      <c r="T591" s="4">
        <f t="shared" ca="1" si="166"/>
        <v>0</v>
      </c>
      <c r="U591" s="99">
        <f t="shared" ca="1" si="167"/>
        <v>1290.6329230659346</v>
      </c>
      <c r="V591" s="4">
        <f t="shared" ca="1" si="168"/>
        <v>0</v>
      </c>
      <c r="W591" s="13">
        <f t="shared" ca="1" si="169"/>
        <v>48136.576950000002</v>
      </c>
      <c r="X591" s="4">
        <f t="shared" ca="1" si="170"/>
        <v>0</v>
      </c>
    </row>
    <row r="592" spans="1:24">
      <c r="A592">
        <v>0</v>
      </c>
      <c r="B592">
        <v>1</v>
      </c>
      <c r="C592">
        <f t="shared" ca="1" si="152"/>
        <v>5</v>
      </c>
      <c r="D592">
        <f t="shared" ca="1" si="153"/>
        <v>3</v>
      </c>
      <c r="E592">
        <f t="shared" ca="1" si="154"/>
        <v>0</v>
      </c>
      <c r="F592" s="100">
        <f t="shared" ca="1" si="155"/>
        <v>9.8190028203999996E-2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266</v>
      </c>
      <c r="M592" s="7">
        <f t="shared" ca="1" si="159"/>
        <v>734</v>
      </c>
      <c r="N592" s="43">
        <f t="shared" ca="1" si="160"/>
        <v>6</v>
      </c>
      <c r="O592" s="92">
        <f t="shared" ca="1" si="161"/>
        <v>2.7275117780454798</v>
      </c>
      <c r="P592" s="92">
        <f t="shared" ca="1" si="162"/>
        <v>27.275117780454792</v>
      </c>
      <c r="Q592" s="92">
        <f t="shared" ca="1" si="163"/>
        <v>27.275117780454792</v>
      </c>
      <c r="R592" s="92">
        <f t="shared" ca="1" si="164"/>
        <v>2.7275117780454794</v>
      </c>
      <c r="S592" s="92">
        <f t="shared" ca="1" si="165"/>
        <v>2.7275117780454794</v>
      </c>
      <c r="T592" s="4">
        <f t="shared" ca="1" si="166"/>
        <v>0</v>
      </c>
      <c r="U592" s="99">
        <f t="shared" ca="1" si="167"/>
        <v>1268.6329230659346</v>
      </c>
      <c r="V592" s="4">
        <f t="shared" ca="1" si="168"/>
        <v>0</v>
      </c>
      <c r="W592" s="13">
        <f t="shared" ca="1" si="169"/>
        <v>42119.50483125</v>
      </c>
      <c r="X592" s="4">
        <f t="shared" ca="1" si="170"/>
        <v>0</v>
      </c>
    </row>
    <row r="593" spans="1:24">
      <c r="A593">
        <v>0</v>
      </c>
      <c r="B593">
        <v>1</v>
      </c>
      <c r="C593">
        <f t="shared" ca="1" si="152"/>
        <v>5</v>
      </c>
      <c r="D593">
        <f t="shared" ca="1" si="153"/>
        <v>3</v>
      </c>
      <c r="E593">
        <f t="shared" ca="1" si="154"/>
        <v>0</v>
      </c>
      <c r="F593" s="100">
        <f t="shared" ca="1" si="155"/>
        <v>9.8190028203999996E-2</v>
      </c>
      <c r="G593">
        <v>1</v>
      </c>
      <c r="H593">
        <v>0</v>
      </c>
      <c r="I593">
        <v>5</v>
      </c>
      <c r="J593" s="1">
        <f t="shared" ca="1" si="156"/>
        <v>0</v>
      </c>
      <c r="K593" s="1">
        <f t="shared" ca="1" si="157"/>
        <v>0</v>
      </c>
      <c r="L593" s="13">
        <f t="shared" ca="1" si="158"/>
        <v>244</v>
      </c>
      <c r="M593" s="7">
        <f t="shared" ca="1" si="159"/>
        <v>756</v>
      </c>
      <c r="N593" s="43">
        <f t="shared" ca="1" si="160"/>
        <v>7</v>
      </c>
      <c r="O593" s="92">
        <f t="shared" ca="1" si="161"/>
        <v>3.2214900588145507</v>
      </c>
      <c r="P593" s="92">
        <f t="shared" ca="1" si="162"/>
        <v>29.745009184300148</v>
      </c>
      <c r="Q593" s="92">
        <f t="shared" ca="1" si="163"/>
        <v>27.275117780454792</v>
      </c>
      <c r="R593" s="92">
        <f t="shared" ca="1" si="164"/>
        <v>2.851006348237747</v>
      </c>
      <c r="S593" s="92">
        <f t="shared" ca="1" si="165"/>
        <v>3.1955561990741743</v>
      </c>
      <c r="T593" s="4">
        <f t="shared" ca="1" si="166"/>
        <v>0</v>
      </c>
      <c r="U593" s="99">
        <f t="shared" ca="1" si="167"/>
        <v>1391.9252614304514</v>
      </c>
      <c r="V593" s="4">
        <f t="shared" ca="1" si="168"/>
        <v>0</v>
      </c>
      <c r="W593" s="13">
        <f t="shared" ca="1" si="169"/>
        <v>36102.432712499998</v>
      </c>
      <c r="X593" s="4">
        <f t="shared" ca="1" si="170"/>
        <v>0</v>
      </c>
    </row>
    <row r="594" spans="1:24">
      <c r="A594">
        <v>0</v>
      </c>
      <c r="B594">
        <v>1</v>
      </c>
      <c r="C594">
        <f t="shared" ca="1" si="152"/>
        <v>5</v>
      </c>
      <c r="D594">
        <f t="shared" ca="1" si="153"/>
        <v>3</v>
      </c>
      <c r="E594">
        <f t="shared" ca="1" si="154"/>
        <v>0</v>
      </c>
      <c r="F594" s="100">
        <f t="shared" ca="1" si="155"/>
        <v>9.8190028203999996E-2</v>
      </c>
      <c r="G594">
        <v>1</v>
      </c>
      <c r="H594">
        <v>0</v>
      </c>
      <c r="I594">
        <v>4</v>
      </c>
      <c r="J594" s="1">
        <f t="shared" ca="1" si="156"/>
        <v>0</v>
      </c>
      <c r="K594" s="1">
        <f t="shared" ca="1" si="157"/>
        <v>0</v>
      </c>
      <c r="L594" s="13">
        <f t="shared" ca="1" si="158"/>
        <v>222</v>
      </c>
      <c r="M594" s="7">
        <f t="shared" ca="1" si="159"/>
        <v>778</v>
      </c>
      <c r="N594" s="43">
        <f t="shared" ca="1" si="160"/>
        <v>7</v>
      </c>
      <c r="O594" s="92">
        <f t="shared" ca="1" si="161"/>
        <v>3.2214900588145507</v>
      </c>
      <c r="P594" s="92">
        <f t="shared" ca="1" si="162"/>
        <v>32.214900588145518</v>
      </c>
      <c r="Q594" s="92">
        <f t="shared" ca="1" si="163"/>
        <v>32.214900588145518</v>
      </c>
      <c r="R594" s="92">
        <f t="shared" ca="1" si="164"/>
        <v>3.2214900588145516</v>
      </c>
      <c r="S594" s="92">
        <f t="shared" ca="1" si="165"/>
        <v>3.2214900588145507</v>
      </c>
      <c r="T594" s="4">
        <f t="shared" ca="1" si="166"/>
        <v>0</v>
      </c>
      <c r="U594" s="99">
        <f t="shared" ca="1" si="167"/>
        <v>1377.9757603899629</v>
      </c>
      <c r="V594" s="4">
        <f t="shared" ca="1" si="168"/>
        <v>0</v>
      </c>
      <c r="W594" s="13">
        <f t="shared" ca="1" si="169"/>
        <v>30085.360593749996</v>
      </c>
      <c r="X594" s="4">
        <f t="shared" ca="1" si="170"/>
        <v>0</v>
      </c>
    </row>
    <row r="595" spans="1:24">
      <c r="A595">
        <v>0</v>
      </c>
      <c r="B595">
        <v>1</v>
      </c>
      <c r="C595">
        <f t="shared" ca="1" si="152"/>
        <v>5</v>
      </c>
      <c r="D595">
        <f t="shared" ca="1" si="153"/>
        <v>3</v>
      </c>
      <c r="E595">
        <f t="shared" ca="1" si="154"/>
        <v>0</v>
      </c>
      <c r="F595" s="100">
        <f t="shared" ca="1" si="155"/>
        <v>9.8190028203999996E-2</v>
      </c>
      <c r="G595">
        <v>1</v>
      </c>
      <c r="H595">
        <v>0</v>
      </c>
      <c r="I595">
        <v>3</v>
      </c>
      <c r="J595" s="1">
        <f t="shared" ca="1" si="156"/>
        <v>9.6059601000000085E-3</v>
      </c>
      <c r="K595" s="1">
        <f t="shared" ca="1" si="157"/>
        <v>9.4320949314549945E-4</v>
      </c>
      <c r="L595" s="13">
        <f t="shared" ca="1" si="158"/>
        <v>200</v>
      </c>
      <c r="M595" s="7">
        <f t="shared" ca="1" si="159"/>
        <v>800</v>
      </c>
      <c r="N595" s="43">
        <f t="shared" ca="1" si="160"/>
        <v>7</v>
      </c>
      <c r="O595" s="92">
        <f t="shared" ca="1" si="161"/>
        <v>3.2214900588145507</v>
      </c>
      <c r="P595" s="92">
        <f t="shared" ca="1" si="162"/>
        <v>32.214900588145518</v>
      </c>
      <c r="Q595" s="92">
        <f t="shared" ca="1" si="163"/>
        <v>32.214900588145518</v>
      </c>
      <c r="R595" s="92">
        <f t="shared" ca="1" si="164"/>
        <v>3.2214900588145516</v>
      </c>
      <c r="S595" s="92">
        <f t="shared" ca="1" si="165"/>
        <v>3.2214900588145507</v>
      </c>
      <c r="T595" s="4">
        <f t="shared" ca="1" si="166"/>
        <v>3.0385400055477378E-3</v>
      </c>
      <c r="U595" s="99">
        <f t="shared" ca="1" si="167"/>
        <v>1355.9757603899629</v>
      </c>
      <c r="V595" s="4">
        <f t="shared" ca="1" si="168"/>
        <v>1.2789692096750001</v>
      </c>
      <c r="W595" s="13">
        <f t="shared" ca="1" si="169"/>
        <v>24068.288474999998</v>
      </c>
      <c r="X595" s="4">
        <f t="shared" ca="1" si="170"/>
        <v>22.701438173384414</v>
      </c>
    </row>
    <row r="596" spans="1:24">
      <c r="A596">
        <v>0</v>
      </c>
      <c r="B596">
        <v>1</v>
      </c>
      <c r="C596">
        <f t="shared" ca="1" si="152"/>
        <v>5</v>
      </c>
      <c r="D596">
        <f t="shared" ca="1" si="153"/>
        <v>3</v>
      </c>
      <c r="E596">
        <f t="shared" ca="1" si="154"/>
        <v>0</v>
      </c>
      <c r="F596" s="100">
        <f t="shared" ca="1" si="155"/>
        <v>9.8190028203999996E-2</v>
      </c>
      <c r="G596">
        <v>1</v>
      </c>
      <c r="H596">
        <v>0</v>
      </c>
      <c r="I596">
        <v>2</v>
      </c>
      <c r="J596" s="1">
        <f t="shared" ca="1" si="156"/>
        <v>2.9108970000000053E-4</v>
      </c>
      <c r="K596" s="1">
        <f t="shared" ca="1" si="157"/>
        <v>2.858210585289395E-5</v>
      </c>
      <c r="L596" s="13">
        <f t="shared" ca="1" si="158"/>
        <v>178</v>
      </c>
      <c r="M596" s="7">
        <f t="shared" ca="1" si="159"/>
        <v>822</v>
      </c>
      <c r="N596" s="43">
        <f t="shared" ca="1" si="160"/>
        <v>7</v>
      </c>
      <c r="O596" s="92">
        <f t="shared" ca="1" si="161"/>
        <v>3.2214900588145507</v>
      </c>
      <c r="P596" s="92">
        <f t="shared" ca="1" si="162"/>
        <v>32.214900588145518</v>
      </c>
      <c r="Q596" s="92">
        <f t="shared" ca="1" si="163"/>
        <v>32.214900588145518</v>
      </c>
      <c r="R596" s="92">
        <f t="shared" ca="1" si="164"/>
        <v>3.2214900588145516</v>
      </c>
      <c r="S596" s="92">
        <f t="shared" ca="1" si="165"/>
        <v>3.2214900588145507</v>
      </c>
      <c r="T596" s="4">
        <f t="shared" ca="1" si="166"/>
        <v>9.2076969865083051E-5</v>
      </c>
      <c r="U596" s="99">
        <f t="shared" ca="1" si="167"/>
        <v>1333.9757603899629</v>
      </c>
      <c r="V596" s="4">
        <f t="shared" ca="1" si="168"/>
        <v>3.8127836388660616E-2</v>
      </c>
      <c r="W596" s="13">
        <f t="shared" ca="1" si="169"/>
        <v>18051.216356249999</v>
      </c>
      <c r="X596" s="4">
        <f t="shared" ca="1" si="170"/>
        <v>0.51594177666782814</v>
      </c>
    </row>
    <row r="597" spans="1:24">
      <c r="A597">
        <v>0</v>
      </c>
      <c r="B597">
        <v>1</v>
      </c>
      <c r="C597">
        <f t="shared" ca="1" si="152"/>
        <v>5</v>
      </c>
      <c r="D597">
        <f t="shared" ca="1" si="153"/>
        <v>3</v>
      </c>
      <c r="E597">
        <f t="shared" ca="1" si="154"/>
        <v>0</v>
      </c>
      <c r="F597" s="100">
        <f t="shared" ca="1" si="155"/>
        <v>9.8190028203999996E-2</v>
      </c>
      <c r="G597">
        <v>1</v>
      </c>
      <c r="H597">
        <v>0</v>
      </c>
      <c r="I597">
        <v>1</v>
      </c>
      <c r="J597" s="1">
        <f t="shared" ca="1" si="156"/>
        <v>2.9403000000000081E-6</v>
      </c>
      <c r="K597" s="1">
        <f t="shared" ca="1" si="157"/>
        <v>2.8870813992822198E-7</v>
      </c>
      <c r="L597" s="13">
        <f t="shared" ca="1" si="158"/>
        <v>156</v>
      </c>
      <c r="M597" s="7">
        <f t="shared" ca="1" si="159"/>
        <v>844</v>
      </c>
      <c r="N597" s="43">
        <f t="shared" ca="1" si="160"/>
        <v>7</v>
      </c>
      <c r="O597" s="92">
        <f t="shared" ca="1" si="161"/>
        <v>3.2214900588145507</v>
      </c>
      <c r="P597" s="92">
        <f t="shared" ca="1" si="162"/>
        <v>32.214900588145518</v>
      </c>
      <c r="Q597" s="92">
        <f t="shared" ca="1" si="163"/>
        <v>32.214900588145518</v>
      </c>
      <c r="R597" s="92">
        <f t="shared" ca="1" si="164"/>
        <v>3.2214900588145516</v>
      </c>
      <c r="S597" s="92">
        <f t="shared" ca="1" si="165"/>
        <v>3.2214900588145507</v>
      </c>
      <c r="T597" s="4">
        <f t="shared" ca="1" si="166"/>
        <v>9.300704026776074E-7</v>
      </c>
      <c r="U597" s="99">
        <f t="shared" ca="1" si="167"/>
        <v>1311.9757603899629</v>
      </c>
      <c r="V597" s="4">
        <f t="shared" ca="1" si="168"/>
        <v>3.7877808141310084E-4</v>
      </c>
      <c r="W597" s="13">
        <f t="shared" ca="1" si="169"/>
        <v>12034.144237499999</v>
      </c>
      <c r="X597" s="4">
        <f t="shared" ca="1" si="170"/>
        <v>3.4743553984365556E-3</v>
      </c>
    </row>
    <row r="598" spans="1:24">
      <c r="A598">
        <v>0</v>
      </c>
      <c r="B598">
        <v>1</v>
      </c>
      <c r="C598">
        <f t="shared" ca="1" si="152"/>
        <v>5</v>
      </c>
      <c r="D598">
        <f t="shared" ca="1" si="153"/>
        <v>3</v>
      </c>
      <c r="E598">
        <f t="shared" ca="1" si="154"/>
        <v>0</v>
      </c>
      <c r="F598" s="100">
        <f t="shared" ca="1" si="155"/>
        <v>9.8190028203999996E-2</v>
      </c>
      <c r="G598">
        <v>1</v>
      </c>
      <c r="H598">
        <v>0</v>
      </c>
      <c r="I598">
        <v>0</v>
      </c>
      <c r="J598" s="1">
        <f t="shared" ca="1" si="156"/>
        <v>9.9000000000000357E-9</v>
      </c>
      <c r="K598" s="1">
        <f t="shared" ca="1" si="157"/>
        <v>9.7208127921960341E-10</v>
      </c>
      <c r="L598" s="13">
        <f t="shared" ca="1" si="158"/>
        <v>134</v>
      </c>
      <c r="M598" s="7">
        <f t="shared" ca="1" si="159"/>
        <v>866</v>
      </c>
      <c r="N598" s="43">
        <f t="shared" ca="1" si="160"/>
        <v>7</v>
      </c>
      <c r="O598" s="92">
        <f t="shared" ca="1" si="161"/>
        <v>3.2214900588145507</v>
      </c>
      <c r="P598" s="92">
        <f t="shared" ca="1" si="162"/>
        <v>32.214900588145518</v>
      </c>
      <c r="Q598" s="92">
        <f t="shared" ca="1" si="163"/>
        <v>32.214900588145518</v>
      </c>
      <c r="R598" s="92">
        <f t="shared" ca="1" si="164"/>
        <v>3.2214900588145516</v>
      </c>
      <c r="S598" s="92">
        <f t="shared" ca="1" si="165"/>
        <v>3.2214900588145507</v>
      </c>
      <c r="T598" s="4">
        <f t="shared" ca="1" si="166"/>
        <v>3.1315501773656841E-9</v>
      </c>
      <c r="U598" s="99">
        <f t="shared" ca="1" si="167"/>
        <v>1289.9757603899629</v>
      </c>
      <c r="V598" s="4">
        <f t="shared" ca="1" si="168"/>
        <v>1.2539612873221557E-6</v>
      </c>
      <c r="W598" s="13">
        <f t="shared" ca="1" si="169"/>
        <v>6017.0721187499994</v>
      </c>
      <c r="X598" s="4">
        <f t="shared" ca="1" si="170"/>
        <v>5.8490831623511089E-6</v>
      </c>
    </row>
    <row r="599" spans="1:24">
      <c r="A599">
        <v>0</v>
      </c>
      <c r="B599">
        <v>1</v>
      </c>
      <c r="C599">
        <f t="shared" ca="1" si="152"/>
        <v>5</v>
      </c>
      <c r="D599">
        <f t="shared" ca="1" si="153"/>
        <v>3</v>
      </c>
      <c r="E599">
        <f t="shared" ca="1" si="154"/>
        <v>0</v>
      </c>
      <c r="F599" s="100">
        <f t="shared" ca="1" si="155"/>
        <v>9.8190028203999996E-2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288</v>
      </c>
      <c r="M599" s="7">
        <f t="shared" ca="1" si="159"/>
        <v>712</v>
      </c>
      <c r="N599" s="43">
        <f t="shared" ca="1" si="160"/>
        <v>6</v>
      </c>
      <c r="O599" s="92">
        <f t="shared" ca="1" si="161"/>
        <v>2.7275117780454798</v>
      </c>
      <c r="P599" s="92">
        <f t="shared" ca="1" si="162"/>
        <v>27.275117780454792</v>
      </c>
      <c r="Q599" s="92">
        <f t="shared" ca="1" si="163"/>
        <v>27.275117780454792</v>
      </c>
      <c r="R599" s="92">
        <f t="shared" ca="1" si="164"/>
        <v>2.7275117780454794</v>
      </c>
      <c r="S599" s="92">
        <f t="shared" ca="1" si="165"/>
        <v>2.7275117780454794</v>
      </c>
      <c r="T599" s="4">
        <f t="shared" ca="1" si="166"/>
        <v>0</v>
      </c>
      <c r="U599" s="99">
        <f t="shared" ca="1" si="167"/>
        <v>1290.6329230659346</v>
      </c>
      <c r="V599" s="4">
        <f t="shared" ca="1" si="168"/>
        <v>0</v>
      </c>
      <c r="W599" s="13">
        <f t="shared" ca="1" si="169"/>
        <v>48264.818043749998</v>
      </c>
      <c r="X599" s="4">
        <f t="shared" ca="1" si="170"/>
        <v>0</v>
      </c>
    </row>
    <row r="600" spans="1:24">
      <c r="A600">
        <v>0</v>
      </c>
      <c r="B600">
        <v>1</v>
      </c>
      <c r="C600">
        <f t="shared" ca="1" si="152"/>
        <v>5</v>
      </c>
      <c r="D600">
        <f t="shared" ca="1" si="153"/>
        <v>3</v>
      </c>
      <c r="E600">
        <f t="shared" ca="1" si="154"/>
        <v>0</v>
      </c>
      <c r="F600" s="100">
        <f t="shared" ca="1" si="155"/>
        <v>9.8190028203999996E-2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266</v>
      </c>
      <c r="M600" s="7">
        <f t="shared" ca="1" si="159"/>
        <v>734</v>
      </c>
      <c r="N600" s="43">
        <f t="shared" ca="1" si="160"/>
        <v>6</v>
      </c>
      <c r="O600" s="92">
        <f t="shared" ca="1" si="161"/>
        <v>2.7275117780454798</v>
      </c>
      <c r="P600" s="92">
        <f t="shared" ca="1" si="162"/>
        <v>27.275117780454792</v>
      </c>
      <c r="Q600" s="92">
        <f t="shared" ca="1" si="163"/>
        <v>27.275117780454792</v>
      </c>
      <c r="R600" s="92">
        <f t="shared" ca="1" si="164"/>
        <v>2.7275117780454794</v>
      </c>
      <c r="S600" s="92">
        <f t="shared" ca="1" si="165"/>
        <v>2.7275117780454794</v>
      </c>
      <c r="T600" s="4">
        <f t="shared" ca="1" si="166"/>
        <v>0</v>
      </c>
      <c r="U600" s="99">
        <f t="shared" ca="1" si="167"/>
        <v>1268.6329230659346</v>
      </c>
      <c r="V600" s="4">
        <f t="shared" ca="1" si="168"/>
        <v>0</v>
      </c>
      <c r="W600" s="13">
        <f t="shared" ca="1" si="169"/>
        <v>42247.745924999996</v>
      </c>
      <c r="X600" s="4">
        <f t="shared" ca="1" si="170"/>
        <v>0</v>
      </c>
    </row>
    <row r="601" spans="1:24">
      <c r="A601">
        <v>0</v>
      </c>
      <c r="B601">
        <v>1</v>
      </c>
      <c r="C601">
        <f t="shared" ca="1" si="152"/>
        <v>5</v>
      </c>
      <c r="D601">
        <f t="shared" ca="1" si="153"/>
        <v>3</v>
      </c>
      <c r="E601">
        <f t="shared" ca="1" si="154"/>
        <v>0</v>
      </c>
      <c r="F601" s="100">
        <f t="shared" ca="1" si="155"/>
        <v>9.8190028203999996E-2</v>
      </c>
      <c r="G601">
        <v>0</v>
      </c>
      <c r="H601">
        <v>1</v>
      </c>
      <c r="I601">
        <v>5</v>
      </c>
      <c r="J601" s="1">
        <f t="shared" ca="1" si="156"/>
        <v>0</v>
      </c>
      <c r="K601" s="1">
        <f t="shared" ca="1" si="157"/>
        <v>0</v>
      </c>
      <c r="L601" s="13">
        <f t="shared" ca="1" si="158"/>
        <v>244</v>
      </c>
      <c r="M601" s="7">
        <f t="shared" ca="1" si="159"/>
        <v>756</v>
      </c>
      <c r="N601" s="43">
        <f t="shared" ca="1" si="160"/>
        <v>7</v>
      </c>
      <c r="O601" s="92">
        <f t="shared" ca="1" si="161"/>
        <v>3.2214900588145507</v>
      </c>
      <c r="P601" s="92">
        <f t="shared" ca="1" si="162"/>
        <v>29.745009184300148</v>
      </c>
      <c r="Q601" s="92">
        <f t="shared" ca="1" si="163"/>
        <v>27.275117780454792</v>
      </c>
      <c r="R601" s="92">
        <f t="shared" ca="1" si="164"/>
        <v>2.851006348237747</v>
      </c>
      <c r="S601" s="92">
        <f t="shared" ca="1" si="165"/>
        <v>3.1955561990741743</v>
      </c>
      <c r="T601" s="4">
        <f t="shared" ca="1" si="166"/>
        <v>0</v>
      </c>
      <c r="U601" s="99">
        <f t="shared" ca="1" si="167"/>
        <v>1391.9252614304514</v>
      </c>
      <c r="V601" s="4">
        <f t="shared" ca="1" si="168"/>
        <v>0</v>
      </c>
      <c r="W601" s="13">
        <f t="shared" ca="1" si="169"/>
        <v>36230.673806249994</v>
      </c>
      <c r="X601" s="4">
        <f t="shared" ca="1" si="170"/>
        <v>0</v>
      </c>
    </row>
    <row r="602" spans="1:24">
      <c r="A602">
        <v>0</v>
      </c>
      <c r="B602">
        <v>1</v>
      </c>
      <c r="C602">
        <f t="shared" ca="1" si="152"/>
        <v>5</v>
      </c>
      <c r="D602">
        <f t="shared" ca="1" si="153"/>
        <v>3</v>
      </c>
      <c r="E602">
        <f t="shared" ca="1" si="154"/>
        <v>0</v>
      </c>
      <c r="F602" s="100">
        <f t="shared" ca="1" si="155"/>
        <v>9.8190028203999996E-2</v>
      </c>
      <c r="G602">
        <v>0</v>
      </c>
      <c r="H602">
        <v>1</v>
      </c>
      <c r="I602">
        <v>4</v>
      </c>
      <c r="J602" s="1">
        <f t="shared" ca="1" si="156"/>
        <v>0</v>
      </c>
      <c r="K602" s="1">
        <f t="shared" ca="1" si="157"/>
        <v>0</v>
      </c>
      <c r="L602" s="13">
        <f t="shared" ca="1" si="158"/>
        <v>222</v>
      </c>
      <c r="M602" s="7">
        <f t="shared" ca="1" si="159"/>
        <v>778</v>
      </c>
      <c r="N602" s="43">
        <f t="shared" ca="1" si="160"/>
        <v>7</v>
      </c>
      <c r="O602" s="92">
        <f t="shared" ca="1" si="161"/>
        <v>3.2214900588145507</v>
      </c>
      <c r="P602" s="92">
        <f t="shared" ca="1" si="162"/>
        <v>32.214900588145518</v>
      </c>
      <c r="Q602" s="92">
        <f t="shared" ca="1" si="163"/>
        <v>32.214900588145518</v>
      </c>
      <c r="R602" s="92">
        <f t="shared" ca="1" si="164"/>
        <v>3.2214900588145516</v>
      </c>
      <c r="S602" s="92">
        <f t="shared" ca="1" si="165"/>
        <v>3.2214900588145507</v>
      </c>
      <c r="T602" s="4">
        <f t="shared" ca="1" si="166"/>
        <v>0</v>
      </c>
      <c r="U602" s="99">
        <f t="shared" ca="1" si="167"/>
        <v>1377.9757603899629</v>
      </c>
      <c r="V602" s="4">
        <f t="shared" ca="1" si="168"/>
        <v>0</v>
      </c>
      <c r="W602" s="13">
        <f t="shared" ca="1" si="169"/>
        <v>30213.601687499999</v>
      </c>
      <c r="X602" s="4">
        <f t="shared" ca="1" si="170"/>
        <v>0</v>
      </c>
    </row>
    <row r="603" spans="1:24">
      <c r="A603">
        <v>0</v>
      </c>
      <c r="B603">
        <v>1</v>
      </c>
      <c r="C603">
        <f t="shared" ca="1" si="152"/>
        <v>5</v>
      </c>
      <c r="D603">
        <f t="shared" ca="1" si="153"/>
        <v>3</v>
      </c>
      <c r="E603">
        <f t="shared" ca="1" si="154"/>
        <v>0</v>
      </c>
      <c r="F603" s="100">
        <f t="shared" ca="1" si="155"/>
        <v>9.8190028203999996E-2</v>
      </c>
      <c r="G603">
        <v>0</v>
      </c>
      <c r="H603">
        <v>1</v>
      </c>
      <c r="I603">
        <v>3</v>
      </c>
      <c r="J603" s="1">
        <f t="shared" ca="1" si="156"/>
        <v>9.6059601000000085E-3</v>
      </c>
      <c r="K603" s="1">
        <f t="shared" ca="1" si="157"/>
        <v>9.4320949314549945E-4</v>
      </c>
      <c r="L603" s="13">
        <f t="shared" ca="1" si="158"/>
        <v>200</v>
      </c>
      <c r="M603" s="7">
        <f t="shared" ca="1" si="159"/>
        <v>800</v>
      </c>
      <c r="N603" s="43">
        <f t="shared" ca="1" si="160"/>
        <v>7</v>
      </c>
      <c r="O603" s="92">
        <f t="shared" ca="1" si="161"/>
        <v>3.2214900588145507</v>
      </c>
      <c r="P603" s="92">
        <f t="shared" ca="1" si="162"/>
        <v>32.214900588145518</v>
      </c>
      <c r="Q603" s="92">
        <f t="shared" ca="1" si="163"/>
        <v>32.214900588145518</v>
      </c>
      <c r="R603" s="92">
        <f t="shared" ca="1" si="164"/>
        <v>3.2214900588145516</v>
      </c>
      <c r="S603" s="92">
        <f t="shared" ca="1" si="165"/>
        <v>3.2214900588145507</v>
      </c>
      <c r="T603" s="4">
        <f t="shared" ca="1" si="166"/>
        <v>3.0385400055477378E-3</v>
      </c>
      <c r="U603" s="99">
        <f t="shared" ca="1" si="167"/>
        <v>1355.9757603899629</v>
      </c>
      <c r="V603" s="4">
        <f t="shared" ca="1" si="168"/>
        <v>1.2789692096750001</v>
      </c>
      <c r="W603" s="13">
        <f t="shared" ca="1" si="169"/>
        <v>24196.529568749997</v>
      </c>
      <c r="X603" s="4">
        <f t="shared" ca="1" si="170"/>
        <v>22.822396390420774</v>
      </c>
    </row>
    <row r="604" spans="1:24">
      <c r="A604">
        <v>0</v>
      </c>
      <c r="B604">
        <v>1</v>
      </c>
      <c r="C604">
        <f t="shared" ca="1" si="152"/>
        <v>5</v>
      </c>
      <c r="D604">
        <f t="shared" ca="1" si="153"/>
        <v>3</v>
      </c>
      <c r="E604">
        <f t="shared" ca="1" si="154"/>
        <v>0</v>
      </c>
      <c r="F604" s="100">
        <f t="shared" ca="1" si="155"/>
        <v>9.8190028203999996E-2</v>
      </c>
      <c r="G604">
        <v>0</v>
      </c>
      <c r="H604">
        <v>1</v>
      </c>
      <c r="I604">
        <v>2</v>
      </c>
      <c r="J604" s="1">
        <f t="shared" ca="1" si="156"/>
        <v>2.9108970000000053E-4</v>
      </c>
      <c r="K604" s="1">
        <f t="shared" ca="1" si="157"/>
        <v>2.858210585289395E-5</v>
      </c>
      <c r="L604" s="13">
        <f t="shared" ca="1" si="158"/>
        <v>178</v>
      </c>
      <c r="M604" s="7">
        <f t="shared" ca="1" si="159"/>
        <v>822</v>
      </c>
      <c r="N604" s="43">
        <f t="shared" ca="1" si="160"/>
        <v>7</v>
      </c>
      <c r="O604" s="92">
        <f t="shared" ca="1" si="161"/>
        <v>3.2214900588145507</v>
      </c>
      <c r="P604" s="92">
        <f t="shared" ca="1" si="162"/>
        <v>32.214900588145518</v>
      </c>
      <c r="Q604" s="92">
        <f t="shared" ca="1" si="163"/>
        <v>32.214900588145518</v>
      </c>
      <c r="R604" s="92">
        <f t="shared" ca="1" si="164"/>
        <v>3.2214900588145516</v>
      </c>
      <c r="S604" s="92">
        <f t="shared" ca="1" si="165"/>
        <v>3.2214900588145507</v>
      </c>
      <c r="T604" s="4">
        <f t="shared" ca="1" si="166"/>
        <v>9.2076969865083051E-5</v>
      </c>
      <c r="U604" s="99">
        <f t="shared" ca="1" si="167"/>
        <v>1333.9757603899629</v>
      </c>
      <c r="V604" s="4">
        <f t="shared" ca="1" si="168"/>
        <v>3.8127836388660616E-2</v>
      </c>
      <c r="W604" s="13">
        <f t="shared" ca="1" si="169"/>
        <v>18179.457449999998</v>
      </c>
      <c r="X604" s="4">
        <f t="shared" ca="1" si="170"/>
        <v>0.51960717718408145</v>
      </c>
    </row>
    <row r="605" spans="1:24">
      <c r="A605">
        <v>0</v>
      </c>
      <c r="B605">
        <v>1</v>
      </c>
      <c r="C605">
        <f t="shared" ca="1" si="152"/>
        <v>5</v>
      </c>
      <c r="D605">
        <f t="shared" ca="1" si="153"/>
        <v>3</v>
      </c>
      <c r="E605">
        <f t="shared" ca="1" si="154"/>
        <v>0</v>
      </c>
      <c r="F605" s="100">
        <f t="shared" ca="1" si="155"/>
        <v>9.8190028203999996E-2</v>
      </c>
      <c r="G605">
        <v>0</v>
      </c>
      <c r="H605">
        <v>1</v>
      </c>
      <c r="I605">
        <v>1</v>
      </c>
      <c r="J605" s="1">
        <f t="shared" ca="1" si="156"/>
        <v>2.9403000000000081E-6</v>
      </c>
      <c r="K605" s="1">
        <f t="shared" ca="1" si="157"/>
        <v>2.8870813992822198E-7</v>
      </c>
      <c r="L605" s="13">
        <f t="shared" ca="1" si="158"/>
        <v>156</v>
      </c>
      <c r="M605" s="7">
        <f t="shared" ca="1" si="159"/>
        <v>844</v>
      </c>
      <c r="N605" s="43">
        <f t="shared" ca="1" si="160"/>
        <v>7</v>
      </c>
      <c r="O605" s="92">
        <f t="shared" ca="1" si="161"/>
        <v>3.2214900588145507</v>
      </c>
      <c r="P605" s="92">
        <f t="shared" ca="1" si="162"/>
        <v>32.214900588145518</v>
      </c>
      <c r="Q605" s="92">
        <f t="shared" ca="1" si="163"/>
        <v>32.214900588145518</v>
      </c>
      <c r="R605" s="92">
        <f t="shared" ca="1" si="164"/>
        <v>3.2214900588145516</v>
      </c>
      <c r="S605" s="92">
        <f t="shared" ca="1" si="165"/>
        <v>3.2214900588145507</v>
      </c>
      <c r="T605" s="4">
        <f t="shared" ca="1" si="166"/>
        <v>9.300704026776074E-7</v>
      </c>
      <c r="U605" s="99">
        <f t="shared" ca="1" si="167"/>
        <v>1311.9757603899629</v>
      </c>
      <c r="V605" s="4">
        <f t="shared" ca="1" si="168"/>
        <v>3.7877808141310084E-4</v>
      </c>
      <c r="W605" s="13">
        <f t="shared" ca="1" si="169"/>
        <v>12162.38533125</v>
      </c>
      <c r="X605" s="4">
        <f t="shared" ca="1" si="170"/>
        <v>3.5113796460754794E-3</v>
      </c>
    </row>
    <row r="606" spans="1:24">
      <c r="A606">
        <v>0</v>
      </c>
      <c r="B606">
        <v>1</v>
      </c>
      <c r="C606">
        <f t="shared" ca="1" si="152"/>
        <v>5</v>
      </c>
      <c r="D606">
        <f t="shared" ca="1" si="153"/>
        <v>3</v>
      </c>
      <c r="E606">
        <f t="shared" ca="1" si="154"/>
        <v>0</v>
      </c>
      <c r="F606" s="100">
        <f t="shared" ca="1" si="155"/>
        <v>9.8190028203999996E-2</v>
      </c>
      <c r="G606">
        <v>0</v>
      </c>
      <c r="H606">
        <v>1</v>
      </c>
      <c r="I606">
        <v>0</v>
      </c>
      <c r="J606" s="1">
        <f t="shared" ca="1" si="156"/>
        <v>9.9000000000000357E-9</v>
      </c>
      <c r="K606" s="1">
        <f t="shared" ca="1" si="157"/>
        <v>9.7208127921960341E-10</v>
      </c>
      <c r="L606" s="13">
        <f t="shared" ca="1" si="158"/>
        <v>134</v>
      </c>
      <c r="M606" s="7">
        <f t="shared" ca="1" si="159"/>
        <v>866</v>
      </c>
      <c r="N606" s="43">
        <f t="shared" ca="1" si="160"/>
        <v>7</v>
      </c>
      <c r="O606" s="92">
        <f t="shared" ca="1" si="161"/>
        <v>3.2214900588145507</v>
      </c>
      <c r="P606" s="92">
        <f t="shared" ca="1" si="162"/>
        <v>32.214900588145518</v>
      </c>
      <c r="Q606" s="92">
        <f t="shared" ca="1" si="163"/>
        <v>32.214900588145518</v>
      </c>
      <c r="R606" s="92">
        <f t="shared" ca="1" si="164"/>
        <v>3.2214900588145516</v>
      </c>
      <c r="S606" s="92">
        <f t="shared" ca="1" si="165"/>
        <v>3.2214900588145507</v>
      </c>
      <c r="T606" s="4">
        <f t="shared" ca="1" si="166"/>
        <v>3.1315501773656841E-9</v>
      </c>
      <c r="U606" s="99">
        <f t="shared" ca="1" si="167"/>
        <v>1289.9757603899629</v>
      </c>
      <c r="V606" s="4">
        <f t="shared" ca="1" si="168"/>
        <v>1.2539612873221557E-6</v>
      </c>
      <c r="W606" s="13">
        <f t="shared" ca="1" si="169"/>
        <v>6145.3132124999993</v>
      </c>
      <c r="X606" s="4">
        <f t="shared" ca="1" si="170"/>
        <v>5.9737439288121294E-6</v>
      </c>
    </row>
    <row r="607" spans="1:24">
      <c r="A607">
        <v>0</v>
      </c>
      <c r="B607">
        <v>1</v>
      </c>
      <c r="C607">
        <f t="shared" ca="1" si="152"/>
        <v>5</v>
      </c>
      <c r="D607">
        <f t="shared" ca="1" si="153"/>
        <v>3</v>
      </c>
      <c r="E607">
        <f t="shared" ca="1" si="154"/>
        <v>0</v>
      </c>
      <c r="F607" s="100">
        <f t="shared" ca="1" si="155"/>
        <v>9.8190028203999996E-2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154</v>
      </c>
      <c r="M607" s="7">
        <f t="shared" ca="1" si="159"/>
        <v>846</v>
      </c>
      <c r="N607" s="43">
        <f t="shared" ca="1" si="160"/>
        <v>7</v>
      </c>
      <c r="O607" s="92">
        <f t="shared" ca="1" si="161"/>
        <v>3.2214900588145507</v>
      </c>
      <c r="P607" s="92">
        <f t="shared" ca="1" si="162"/>
        <v>32.214900588145518</v>
      </c>
      <c r="Q607" s="92">
        <f t="shared" ca="1" si="163"/>
        <v>32.214900588145518</v>
      </c>
      <c r="R607" s="92">
        <f t="shared" ca="1" si="164"/>
        <v>3.2214900588145516</v>
      </c>
      <c r="S607" s="92">
        <f t="shared" ca="1" si="165"/>
        <v>3.2214900588145507</v>
      </c>
      <c r="T607" s="4">
        <f t="shared" ca="1" si="166"/>
        <v>0</v>
      </c>
      <c r="U607" s="99">
        <f t="shared" ca="1" si="167"/>
        <v>1309.9757603899629</v>
      </c>
      <c r="V607" s="4">
        <f t="shared" ca="1" si="168"/>
        <v>0</v>
      </c>
      <c r="W607" s="13">
        <f t="shared" ca="1" si="169"/>
        <v>42119.50483125</v>
      </c>
      <c r="X607" s="4">
        <f t="shared" ca="1" si="170"/>
        <v>0</v>
      </c>
    </row>
    <row r="608" spans="1:24">
      <c r="A608">
        <v>0</v>
      </c>
      <c r="B608">
        <v>1</v>
      </c>
      <c r="C608">
        <f t="shared" ca="1" si="152"/>
        <v>5</v>
      </c>
      <c r="D608">
        <f t="shared" ca="1" si="153"/>
        <v>3</v>
      </c>
      <c r="E608">
        <f t="shared" ca="1" si="154"/>
        <v>0</v>
      </c>
      <c r="F608" s="100">
        <f t="shared" ca="1" si="155"/>
        <v>9.8190028203999996E-2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132</v>
      </c>
      <c r="M608" s="7">
        <f t="shared" ca="1" si="159"/>
        <v>868</v>
      </c>
      <c r="N608" s="43">
        <f t="shared" ca="1" si="160"/>
        <v>7</v>
      </c>
      <c r="O608" s="92">
        <f t="shared" ca="1" si="161"/>
        <v>3.2214900588145507</v>
      </c>
      <c r="P608" s="92">
        <f t="shared" ca="1" si="162"/>
        <v>32.214900588145518</v>
      </c>
      <c r="Q608" s="92">
        <f t="shared" ca="1" si="163"/>
        <v>32.214900588145518</v>
      </c>
      <c r="R608" s="92">
        <f t="shared" ca="1" si="164"/>
        <v>3.2214900588145516</v>
      </c>
      <c r="S608" s="92">
        <f t="shared" ca="1" si="165"/>
        <v>3.2214900588145507</v>
      </c>
      <c r="T608" s="4">
        <f t="shared" ca="1" si="166"/>
        <v>0</v>
      </c>
      <c r="U608" s="99">
        <f t="shared" ca="1" si="167"/>
        <v>1287.9757603899629</v>
      </c>
      <c r="V608" s="4">
        <f t="shared" ca="1" si="168"/>
        <v>0</v>
      </c>
      <c r="W608" s="13">
        <f t="shared" ca="1" si="169"/>
        <v>36102.432712499998</v>
      </c>
      <c r="X608" s="4">
        <f t="shared" ca="1" si="170"/>
        <v>0</v>
      </c>
    </row>
    <row r="609" spans="1:24">
      <c r="A609">
        <v>0</v>
      </c>
      <c r="B609">
        <v>1</v>
      </c>
      <c r="C609">
        <f t="shared" ca="1" si="152"/>
        <v>5</v>
      </c>
      <c r="D609">
        <f t="shared" ca="1" si="153"/>
        <v>3</v>
      </c>
      <c r="E609">
        <f t="shared" ca="1" si="154"/>
        <v>0</v>
      </c>
      <c r="F609" s="100">
        <f t="shared" ca="1" si="155"/>
        <v>9.8190028203999996E-2</v>
      </c>
      <c r="G609">
        <v>0</v>
      </c>
      <c r="H609">
        <v>0</v>
      </c>
      <c r="I609">
        <v>5</v>
      </c>
      <c r="J609" s="1">
        <f t="shared" ca="1" si="156"/>
        <v>0</v>
      </c>
      <c r="K609" s="1">
        <f t="shared" ca="1" si="157"/>
        <v>0</v>
      </c>
      <c r="L609" s="13">
        <f t="shared" ca="1" si="158"/>
        <v>110</v>
      </c>
      <c r="M609" s="7">
        <f t="shared" ca="1" si="159"/>
        <v>890</v>
      </c>
      <c r="N609" s="43">
        <f t="shared" ca="1" si="160"/>
        <v>8</v>
      </c>
      <c r="O609" s="92">
        <f t="shared" ca="1" si="161"/>
        <v>3.5531918581169131</v>
      </c>
      <c r="P609" s="92">
        <f t="shared" ca="1" si="162"/>
        <v>35.531918581169137</v>
      </c>
      <c r="Q609" s="92">
        <f t="shared" ca="1" si="163"/>
        <v>33.541707785354966</v>
      </c>
      <c r="R609" s="92">
        <f t="shared" ca="1" si="164"/>
        <v>3.4536813183262054</v>
      </c>
      <c r="S609" s="92">
        <f t="shared" ca="1" si="165"/>
        <v>3.5462261203315633</v>
      </c>
      <c r="T609" s="4">
        <f t="shared" ca="1" si="166"/>
        <v>0</v>
      </c>
      <c r="U609" s="99">
        <f t="shared" ca="1" si="167"/>
        <v>1366.7817087343356</v>
      </c>
      <c r="V609" s="4">
        <f t="shared" ca="1" si="168"/>
        <v>0</v>
      </c>
      <c r="W609" s="13">
        <f t="shared" ca="1" si="169"/>
        <v>30085.360593749996</v>
      </c>
      <c r="X609" s="4">
        <f t="shared" ca="1" si="170"/>
        <v>0</v>
      </c>
    </row>
    <row r="610" spans="1:24">
      <c r="A610">
        <v>0</v>
      </c>
      <c r="B610">
        <v>1</v>
      </c>
      <c r="C610">
        <f t="shared" ca="1" si="152"/>
        <v>5</v>
      </c>
      <c r="D610">
        <f t="shared" ca="1" si="153"/>
        <v>3</v>
      </c>
      <c r="E610">
        <f t="shared" ca="1" si="154"/>
        <v>0</v>
      </c>
      <c r="F610" s="100">
        <f t="shared" ca="1" si="155"/>
        <v>9.8190028203999996E-2</v>
      </c>
      <c r="G610">
        <v>0</v>
      </c>
      <c r="H610">
        <v>0</v>
      </c>
      <c r="I610">
        <v>4</v>
      </c>
      <c r="J610" s="1">
        <f t="shared" ca="1" si="156"/>
        <v>0</v>
      </c>
      <c r="K610" s="1">
        <f t="shared" ca="1" si="157"/>
        <v>0</v>
      </c>
      <c r="L610" s="13">
        <f t="shared" ca="1" si="158"/>
        <v>100</v>
      </c>
      <c r="M610" s="7">
        <f t="shared" ca="1" si="159"/>
        <v>900</v>
      </c>
      <c r="N610" s="43">
        <f t="shared" ca="1" si="160"/>
        <v>8</v>
      </c>
      <c r="O610" s="92">
        <f t="shared" ca="1" si="161"/>
        <v>3.5531918581169131</v>
      </c>
      <c r="P610" s="92">
        <f t="shared" ca="1" si="162"/>
        <v>35.531918581169137</v>
      </c>
      <c r="Q610" s="92">
        <f t="shared" ca="1" si="163"/>
        <v>35.531918581169137</v>
      </c>
      <c r="R610" s="92">
        <f t="shared" ca="1" si="164"/>
        <v>3.5531918581169135</v>
      </c>
      <c r="S610" s="92">
        <f t="shared" ca="1" si="165"/>
        <v>3.5531918581169126</v>
      </c>
      <c r="T610" s="4">
        <f t="shared" ca="1" si="166"/>
        <v>0</v>
      </c>
      <c r="U610" s="99">
        <f t="shared" ca="1" si="167"/>
        <v>1358.9440426620492</v>
      </c>
      <c r="V610" s="4">
        <f t="shared" ca="1" si="168"/>
        <v>0</v>
      </c>
      <c r="W610" s="13">
        <f t="shared" ca="1" si="169"/>
        <v>24068.288474999998</v>
      </c>
      <c r="X610" s="4">
        <f t="shared" ca="1" si="170"/>
        <v>0</v>
      </c>
    </row>
    <row r="611" spans="1:24">
      <c r="A611">
        <v>0</v>
      </c>
      <c r="B611">
        <v>1</v>
      </c>
      <c r="C611">
        <f t="shared" ca="1" si="152"/>
        <v>5</v>
      </c>
      <c r="D611">
        <f t="shared" ca="1" si="153"/>
        <v>3</v>
      </c>
      <c r="E611">
        <f t="shared" ca="1" si="154"/>
        <v>0</v>
      </c>
      <c r="F611" s="100">
        <f t="shared" ca="1" si="155"/>
        <v>9.8190028203999996E-2</v>
      </c>
      <c r="G611">
        <v>0</v>
      </c>
      <c r="H611">
        <v>0</v>
      </c>
      <c r="I611">
        <v>3</v>
      </c>
      <c r="J611" s="1">
        <f t="shared" ca="1" si="156"/>
        <v>9.7029900000000167E-5</v>
      </c>
      <c r="K611" s="1">
        <f t="shared" ca="1" si="157"/>
        <v>9.5273686176313161E-6</v>
      </c>
      <c r="L611" s="13">
        <f t="shared" ca="1" si="158"/>
        <v>100</v>
      </c>
      <c r="M611" s="7">
        <f t="shared" ca="1" si="159"/>
        <v>900</v>
      </c>
      <c r="N611" s="43">
        <f t="shared" ca="1" si="160"/>
        <v>8</v>
      </c>
      <c r="O611" s="92">
        <f t="shared" ca="1" si="161"/>
        <v>3.5531918581169131</v>
      </c>
      <c r="P611" s="92">
        <f t="shared" ca="1" si="162"/>
        <v>35.531918581169137</v>
      </c>
      <c r="Q611" s="92">
        <f t="shared" ca="1" si="163"/>
        <v>35.531918581169137</v>
      </c>
      <c r="R611" s="92">
        <f t="shared" ca="1" si="164"/>
        <v>3.5531918581169135</v>
      </c>
      <c r="S611" s="92">
        <f t="shared" ca="1" si="165"/>
        <v>3.5531918581169126</v>
      </c>
      <c r="T611" s="4">
        <f t="shared" ca="1" si="166"/>
        <v>3.3852568601446181E-5</v>
      </c>
      <c r="U611" s="99">
        <f t="shared" ca="1" si="167"/>
        <v>1358.9440426620492</v>
      </c>
      <c r="V611" s="4">
        <f t="shared" ca="1" si="168"/>
        <v>1.2947160825175441E-2</v>
      </c>
      <c r="W611" s="13">
        <f t="shared" ca="1" si="169"/>
        <v>18051.216356249999</v>
      </c>
      <c r="X611" s="4">
        <f t="shared" ca="1" si="170"/>
        <v>0.17198059222260936</v>
      </c>
    </row>
    <row r="612" spans="1:24">
      <c r="A612">
        <v>0</v>
      </c>
      <c r="B612">
        <v>1</v>
      </c>
      <c r="C612">
        <f t="shared" ca="1" si="152"/>
        <v>5</v>
      </c>
      <c r="D612">
        <f t="shared" ca="1" si="153"/>
        <v>3</v>
      </c>
      <c r="E612">
        <f t="shared" ca="1" si="154"/>
        <v>0</v>
      </c>
      <c r="F612" s="100">
        <f t="shared" ca="1" si="155"/>
        <v>9.8190028203999996E-2</v>
      </c>
      <c r="G612">
        <v>0</v>
      </c>
      <c r="H612">
        <v>0</v>
      </c>
      <c r="I612">
        <v>2</v>
      </c>
      <c r="J612" s="1">
        <f t="shared" ca="1" si="156"/>
        <v>2.9403000000000077E-6</v>
      </c>
      <c r="K612" s="1">
        <f t="shared" ca="1" si="157"/>
        <v>2.8870813992822192E-7</v>
      </c>
      <c r="L612" s="13">
        <f t="shared" ca="1" si="158"/>
        <v>100</v>
      </c>
      <c r="M612" s="7">
        <f t="shared" ca="1" si="159"/>
        <v>900</v>
      </c>
      <c r="N612" s="43">
        <f t="shared" ca="1" si="160"/>
        <v>8</v>
      </c>
      <c r="O612" s="92">
        <f t="shared" ca="1" si="161"/>
        <v>3.5531918581169131</v>
      </c>
      <c r="P612" s="92">
        <f t="shared" ca="1" si="162"/>
        <v>35.531918581169137</v>
      </c>
      <c r="Q612" s="92">
        <f t="shared" ca="1" si="163"/>
        <v>35.531918581169137</v>
      </c>
      <c r="R612" s="92">
        <f t="shared" ca="1" si="164"/>
        <v>3.5531918581169135</v>
      </c>
      <c r="S612" s="92">
        <f t="shared" ca="1" si="165"/>
        <v>3.5531918581169126</v>
      </c>
      <c r="T612" s="4">
        <f t="shared" ca="1" si="166"/>
        <v>1.0258354121650364E-6</v>
      </c>
      <c r="U612" s="99">
        <f t="shared" ca="1" si="167"/>
        <v>1358.9440426620492</v>
      </c>
      <c r="V612" s="4">
        <f t="shared" ca="1" si="168"/>
        <v>3.9233820682349848E-4</v>
      </c>
      <c r="W612" s="13">
        <f t="shared" ca="1" si="169"/>
        <v>12034.144237499999</v>
      </c>
      <c r="X612" s="4">
        <f t="shared" ca="1" si="170"/>
        <v>3.4743553984365552E-3</v>
      </c>
    </row>
    <row r="613" spans="1:24">
      <c r="A613">
        <v>0</v>
      </c>
      <c r="B613">
        <v>1</v>
      </c>
      <c r="C613">
        <f t="shared" ca="1" si="152"/>
        <v>5</v>
      </c>
      <c r="D613">
        <f t="shared" ca="1" si="153"/>
        <v>3</v>
      </c>
      <c r="E613">
        <f t="shared" ca="1" si="154"/>
        <v>0</v>
      </c>
      <c r="F613" s="100">
        <f t="shared" ca="1" si="155"/>
        <v>9.8190028203999996E-2</v>
      </c>
      <c r="G613">
        <v>0</v>
      </c>
      <c r="H613">
        <v>0</v>
      </c>
      <c r="I613">
        <v>1</v>
      </c>
      <c r="J613" s="1">
        <f t="shared" ca="1" si="156"/>
        <v>2.970000000000011E-8</v>
      </c>
      <c r="K613" s="1">
        <f t="shared" ca="1" si="157"/>
        <v>2.9162438376588109E-9</v>
      </c>
      <c r="L613" s="13">
        <f t="shared" ca="1" si="158"/>
        <v>100</v>
      </c>
      <c r="M613" s="7">
        <f t="shared" ca="1" si="159"/>
        <v>900</v>
      </c>
      <c r="N613" s="43">
        <f t="shared" ca="1" si="160"/>
        <v>8</v>
      </c>
      <c r="O613" s="92">
        <f t="shared" ca="1" si="161"/>
        <v>3.5531918581169131</v>
      </c>
      <c r="P613" s="92">
        <f t="shared" ca="1" si="162"/>
        <v>35.531918581169137</v>
      </c>
      <c r="Q613" s="92">
        <f t="shared" ca="1" si="163"/>
        <v>35.531918581169137</v>
      </c>
      <c r="R613" s="92">
        <f t="shared" ca="1" si="164"/>
        <v>3.5531918581169135</v>
      </c>
      <c r="S613" s="92">
        <f t="shared" ca="1" si="165"/>
        <v>3.5531918581169126</v>
      </c>
      <c r="T613" s="4">
        <f t="shared" ca="1" si="166"/>
        <v>1.0361973860252907E-8</v>
      </c>
      <c r="U613" s="99">
        <f t="shared" ca="1" si="167"/>
        <v>1358.9440426620492</v>
      </c>
      <c r="V613" s="4">
        <f t="shared" ca="1" si="168"/>
        <v>3.9630121901363532E-6</v>
      </c>
      <c r="W613" s="13">
        <f t="shared" ca="1" si="169"/>
        <v>6017.0721187499994</v>
      </c>
      <c r="X613" s="4">
        <f t="shared" ca="1" si="170"/>
        <v>1.7547249487053331E-5</v>
      </c>
    </row>
    <row r="614" spans="1:24">
      <c r="A614">
        <v>0</v>
      </c>
      <c r="B614">
        <v>1</v>
      </c>
      <c r="C614">
        <f t="shared" ca="1" si="152"/>
        <v>5</v>
      </c>
      <c r="D614">
        <f t="shared" ca="1" si="153"/>
        <v>3</v>
      </c>
      <c r="E614">
        <f t="shared" ca="1" si="154"/>
        <v>0</v>
      </c>
      <c r="F614" s="100">
        <f t="shared" ca="1" si="155"/>
        <v>9.8190028203999996E-2</v>
      </c>
      <c r="G614">
        <v>0</v>
      </c>
      <c r="H614">
        <v>0</v>
      </c>
      <c r="I614">
        <v>0</v>
      </c>
      <c r="J614" s="1">
        <f t="shared" ca="1" si="156"/>
        <v>1.0000000000000046E-10</v>
      </c>
      <c r="K614" s="1">
        <f t="shared" ca="1" si="157"/>
        <v>9.8190028204000438E-12</v>
      </c>
      <c r="L614" s="13">
        <f t="shared" ca="1" si="158"/>
        <v>100</v>
      </c>
      <c r="M614" s="7">
        <f t="shared" ca="1" si="159"/>
        <v>900</v>
      </c>
      <c r="N614" s="43">
        <f t="shared" ca="1" si="160"/>
        <v>8</v>
      </c>
      <c r="O614" s="92">
        <f t="shared" ca="1" si="161"/>
        <v>3.5531918581169131</v>
      </c>
      <c r="P614" s="92">
        <f t="shared" ca="1" si="162"/>
        <v>35.531918581169137</v>
      </c>
      <c r="Q614" s="92">
        <f t="shared" ca="1" si="163"/>
        <v>35.531918581169137</v>
      </c>
      <c r="R614" s="92">
        <f t="shared" ca="1" si="164"/>
        <v>3.5531918581169135</v>
      </c>
      <c r="S614" s="92">
        <f t="shared" ca="1" si="165"/>
        <v>3.5531918581169126</v>
      </c>
      <c r="T614" s="4">
        <f t="shared" ca="1" si="166"/>
        <v>3.4888800876272438E-11</v>
      </c>
      <c r="U614" s="99">
        <f t="shared" ca="1" si="167"/>
        <v>1358.9440426620492</v>
      </c>
      <c r="V614" s="4">
        <f t="shared" ca="1" si="168"/>
        <v>1.3343475387664499E-8</v>
      </c>
      <c r="W614" s="13">
        <f t="shared" ca="1" si="169"/>
        <v>0</v>
      </c>
      <c r="X614" s="4">
        <f t="shared" ca="1" si="170"/>
        <v>0</v>
      </c>
    </row>
    <row r="615" spans="1:24">
      <c r="A615">
        <v>0</v>
      </c>
      <c r="B615">
        <v>2</v>
      </c>
      <c r="C615">
        <f t="shared" ref="C615:C678" ca="1" si="171">MIN(8, 1+$B$543+$B$542+A615+B615)</f>
        <v>6</v>
      </c>
      <c r="D615">
        <f t="shared" ref="D615:D678" ca="1" si="172">C615-(1+$B$543)</f>
        <v>4</v>
      </c>
      <c r="E615">
        <f t="shared" ref="E615:E678" ca="1" si="173">MIN(A615, C615-(1+$B$543+$B$542))</f>
        <v>0</v>
      </c>
      <c r="F615" s="100">
        <f t="shared" ref="F615:F678" ca="1" si="174">IF(A615=3, $E$538, IF(A615=2, (1-$E$538)*$E$537 + (1-$E$538)*(1-$E$537)*(1-$E$536)*Set2AM3*Set2AM33, IF(A615=1, (1-$E$538)*(1-$E$537)*$E$536 + (1-$E$538)*(1-$E$537)*(1-$E$536)*Set2AM3*Set2AM32, (1-$E$538)*(1-$E$537)*(1-$E$536)*(1-Set2AM3)))) * IF($B$542+$B$543&gt;0, IF(B615=3, $E$538, IF(B615=2, (1-$E$538)*$E$537, IF(B615=1, (1-$E$538)*(1-$E$537)*$E$536, (1-$E$538)*(1-$E$537)*(1-$E$536)))), IF(B615=0, 1, 0))</f>
        <v>9.40260188E-2</v>
      </c>
      <c r="G615">
        <v>1</v>
      </c>
      <c r="H615">
        <v>1</v>
      </c>
      <c r="I615">
        <v>7</v>
      </c>
      <c r="J615" s="1">
        <f t="shared" ref="J615:J678" ca="1" si="175">IF($B$541&lt;100%, POWER($B$541,G615)*POWER(1-$B$541, 1-G615), 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422</v>
      </c>
      <c r="M615" s="7">
        <f t="shared" ref="M615:M678" ca="1" si="178">MAX(Set2MinTP-(L615+Set2Regain), 0)</f>
        <v>578</v>
      </c>
      <c r="N615" s="43">
        <f t="shared" ref="N615:N678" ca="1" si="179">CEILING(M615/Set2MeleeTP, 1)</f>
        <v>5</v>
      </c>
      <c r="O615" s="92">
        <f t="shared" ref="O615:O678" ca="1" si="180">VLOOKUP(N615, AvgRoundsSet2, 2)</f>
        <v>2.4432565128993144</v>
      </c>
      <c r="P615" s="92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24.432565128993144</v>
      </c>
      <c r="Q615" s="92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24.432565128993144</v>
      </c>
      <c r="R615" s="92">
        <f t="shared" ref="R615:R678" ca="1" si="183">(P615+Q615)/20</f>
        <v>2.4432565128993144</v>
      </c>
      <c r="S615" s="92">
        <f t="shared" ref="S615:S678" ca="1" si="184">R615*Set2ConserveTP + O615*(1-Set2ConserveTP)</f>
        <v>2.4432565128993144</v>
      </c>
      <c r="T615" s="4">
        <f t="shared" ref="T615:T678" ca="1" si="185">K615*S615</f>
        <v>0</v>
      </c>
      <c r="U615" s="99">
        <f t="shared" ref="U615:U678" ca="1" si="186">MIN(L615+(S615+Set2OverTP)*AvgHitsPerRound2*Set2MeleeTP + Set2Regain + 10.5*Set2ConserveTP, 3000)</f>
        <v>1336.3931955743851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54281.8901625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ca="1" si="171"/>
        <v>6</v>
      </c>
      <c r="D616">
        <f t="shared" ca="1" si="172"/>
        <v>4</v>
      </c>
      <c r="E616">
        <f t="shared" ca="1" si="173"/>
        <v>0</v>
      </c>
      <c r="F616" s="100">
        <f t="shared" ca="1" si="174"/>
        <v>9.40260188E-2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400</v>
      </c>
      <c r="M616" s="7">
        <f t="shared" ca="1" si="178"/>
        <v>600</v>
      </c>
      <c r="N616" s="43">
        <f t="shared" ca="1" si="179"/>
        <v>5</v>
      </c>
      <c r="O616" s="92">
        <f t="shared" ca="1" si="180"/>
        <v>2.4432565128993144</v>
      </c>
      <c r="P616" s="92">
        <f t="shared" ca="1" si="181"/>
        <v>24.432565128993144</v>
      </c>
      <c r="Q616" s="92">
        <f t="shared" ca="1" si="182"/>
        <v>24.432565128993144</v>
      </c>
      <c r="R616" s="92">
        <f t="shared" ca="1" si="183"/>
        <v>2.4432565128993144</v>
      </c>
      <c r="S616" s="92">
        <f t="shared" ca="1" si="184"/>
        <v>2.4432565128993144</v>
      </c>
      <c r="T616" s="4">
        <f t="shared" ca="1" si="185"/>
        <v>0</v>
      </c>
      <c r="U616" s="99">
        <f t="shared" ca="1" si="186"/>
        <v>1314.3931955743851</v>
      </c>
      <c r="V616" s="4">
        <f t="shared" ca="1" si="187"/>
        <v>0</v>
      </c>
      <c r="W616" s="13">
        <f t="shared" ca="1" si="188"/>
        <v>48264.818043749998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ca="1" si="171"/>
        <v>6</v>
      </c>
      <c r="D617">
        <f t="shared" ca="1" si="172"/>
        <v>4</v>
      </c>
      <c r="E617">
        <f t="shared" ca="1" si="173"/>
        <v>0</v>
      </c>
      <c r="F617" s="100">
        <f t="shared" ca="1" si="174"/>
        <v>9.40260188E-2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378</v>
      </c>
      <c r="M617" s="7">
        <f t="shared" ca="1" si="178"/>
        <v>622</v>
      </c>
      <c r="N617" s="43">
        <f t="shared" ca="1" si="179"/>
        <v>5</v>
      </c>
      <c r="O617" s="92">
        <f t="shared" ca="1" si="180"/>
        <v>2.4432565128993144</v>
      </c>
      <c r="P617" s="92">
        <f t="shared" ca="1" si="181"/>
        <v>24.432565128993144</v>
      </c>
      <c r="Q617" s="92">
        <f t="shared" ca="1" si="182"/>
        <v>24.432565128993144</v>
      </c>
      <c r="R617" s="92">
        <f t="shared" ca="1" si="183"/>
        <v>2.4432565128993144</v>
      </c>
      <c r="S617" s="92">
        <f t="shared" ca="1" si="184"/>
        <v>2.4432565128993144</v>
      </c>
      <c r="T617" s="4">
        <f t="shared" ca="1" si="185"/>
        <v>0</v>
      </c>
      <c r="U617" s="99">
        <f t="shared" ca="1" si="186"/>
        <v>1292.3931955743851</v>
      </c>
      <c r="V617" s="4">
        <f t="shared" ca="1" si="187"/>
        <v>0</v>
      </c>
      <c r="W617" s="13">
        <f t="shared" ca="1" si="188"/>
        <v>42247.745924999996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ca="1" si="171"/>
        <v>6</v>
      </c>
      <c r="D618">
        <f t="shared" ca="1" si="172"/>
        <v>4</v>
      </c>
      <c r="E618">
        <f t="shared" ca="1" si="173"/>
        <v>0</v>
      </c>
      <c r="F618" s="100">
        <f t="shared" ca="1" si="174"/>
        <v>9.40260188E-2</v>
      </c>
      <c r="G618">
        <v>1</v>
      </c>
      <c r="H618">
        <v>1</v>
      </c>
      <c r="I618">
        <v>4</v>
      </c>
      <c r="J618" s="1">
        <f t="shared" ca="1" si="175"/>
        <v>0.94148014940099989</v>
      </c>
      <c r="K618" s="1">
        <f t="shared" ca="1" si="176"/>
        <v>8.8523630227405226E-2</v>
      </c>
      <c r="L618" s="13">
        <f t="shared" ca="1" si="177"/>
        <v>356</v>
      </c>
      <c r="M618" s="7">
        <f t="shared" ca="1" si="178"/>
        <v>644</v>
      </c>
      <c r="N618" s="43">
        <f t="shared" ca="1" si="179"/>
        <v>6</v>
      </c>
      <c r="O618" s="92">
        <f t="shared" ca="1" si="180"/>
        <v>2.7275117780454798</v>
      </c>
      <c r="P618" s="92">
        <f t="shared" ca="1" si="181"/>
        <v>27.275117780454792</v>
      </c>
      <c r="Q618" s="92">
        <f t="shared" ca="1" si="182"/>
        <v>26.706607250162463</v>
      </c>
      <c r="R618" s="92">
        <f t="shared" ca="1" si="183"/>
        <v>2.6990862515308627</v>
      </c>
      <c r="S618" s="92">
        <f t="shared" ca="1" si="184"/>
        <v>2.7255219911894564</v>
      </c>
      <c r="T618" s="4">
        <f t="shared" ca="1" si="185"/>
        <v>0.24127310092471663</v>
      </c>
      <c r="U618" s="99">
        <f t="shared" ca="1" si="186"/>
        <v>1358.0152449734937</v>
      </c>
      <c r="V618" s="4">
        <f t="shared" ca="1" si="187"/>
        <v>120.21643938921268</v>
      </c>
      <c r="W618" s="13">
        <f t="shared" ca="1" si="188"/>
        <v>36230.673806249994</v>
      </c>
      <c r="X618" s="4">
        <f t="shared" ca="1" si="189"/>
        <v>3207.2707709142105</v>
      </c>
    </row>
    <row r="619" spans="1:24">
      <c r="A619">
        <v>0</v>
      </c>
      <c r="B619">
        <v>2</v>
      </c>
      <c r="C619">
        <f t="shared" ca="1" si="171"/>
        <v>6</v>
      </c>
      <c r="D619">
        <f t="shared" ca="1" si="172"/>
        <v>4</v>
      </c>
      <c r="E619">
        <f t="shared" ca="1" si="173"/>
        <v>0</v>
      </c>
      <c r="F619" s="100">
        <f t="shared" ca="1" si="174"/>
        <v>9.40260188E-2</v>
      </c>
      <c r="G619">
        <v>1</v>
      </c>
      <c r="H619">
        <v>1</v>
      </c>
      <c r="I619">
        <v>3</v>
      </c>
      <c r="J619" s="1">
        <f t="shared" ca="1" si="175"/>
        <v>3.8039601996000032E-2</v>
      </c>
      <c r="K619" s="1">
        <f t="shared" ca="1" si="176"/>
        <v>3.5767123324204164E-3</v>
      </c>
      <c r="L619" s="13">
        <f t="shared" ca="1" si="177"/>
        <v>334</v>
      </c>
      <c r="M619" s="7">
        <f t="shared" ca="1" si="178"/>
        <v>666</v>
      </c>
      <c r="N619" s="43">
        <f t="shared" ca="1" si="179"/>
        <v>6</v>
      </c>
      <c r="O619" s="92">
        <f t="shared" ca="1" si="180"/>
        <v>2.7275117780454798</v>
      </c>
      <c r="P619" s="92">
        <f t="shared" ca="1" si="181"/>
        <v>27.275117780454792</v>
      </c>
      <c r="Q619" s="92">
        <f t="shared" ca="1" si="182"/>
        <v>27.275117780454792</v>
      </c>
      <c r="R619" s="92">
        <f t="shared" ca="1" si="183"/>
        <v>2.7275117780454794</v>
      </c>
      <c r="S619" s="92">
        <f t="shared" ca="1" si="184"/>
        <v>2.7275117780454794</v>
      </c>
      <c r="T619" s="4">
        <f t="shared" ca="1" si="185"/>
        <v>9.7555250133572035E-3</v>
      </c>
      <c r="U619" s="99">
        <f t="shared" ca="1" si="186"/>
        <v>1336.6329230659346</v>
      </c>
      <c r="V619" s="4">
        <f t="shared" ca="1" si="187"/>
        <v>4.7807514598490783</v>
      </c>
      <c r="W619" s="13">
        <f t="shared" ca="1" si="188"/>
        <v>30213.601687499999</v>
      </c>
      <c r="X619" s="4">
        <f t="shared" ca="1" si="189"/>
        <v>108.06536176251954</v>
      </c>
    </row>
    <row r="620" spans="1:24">
      <c r="A620">
        <v>0</v>
      </c>
      <c r="B620">
        <v>2</v>
      </c>
      <c r="C620">
        <f t="shared" ca="1" si="171"/>
        <v>6</v>
      </c>
      <c r="D620">
        <f t="shared" ca="1" si="172"/>
        <v>4</v>
      </c>
      <c r="E620">
        <f t="shared" ca="1" si="173"/>
        <v>0</v>
      </c>
      <c r="F620" s="100">
        <f t="shared" ca="1" si="174"/>
        <v>9.40260188E-2</v>
      </c>
      <c r="G620">
        <v>1</v>
      </c>
      <c r="H620">
        <v>1</v>
      </c>
      <c r="I620">
        <v>2</v>
      </c>
      <c r="J620" s="1">
        <f t="shared" ca="1" si="175"/>
        <v>5.7635760600000105E-4</v>
      </c>
      <c r="K620" s="1">
        <f t="shared" ca="1" si="176"/>
        <v>5.4192611097279088E-5</v>
      </c>
      <c r="L620" s="13">
        <f t="shared" ca="1" si="177"/>
        <v>312</v>
      </c>
      <c r="M620" s="7">
        <f t="shared" ca="1" si="178"/>
        <v>688</v>
      </c>
      <c r="N620" s="43">
        <f t="shared" ca="1" si="179"/>
        <v>6</v>
      </c>
      <c r="O620" s="92">
        <f t="shared" ca="1" si="180"/>
        <v>2.7275117780454798</v>
      </c>
      <c r="P620" s="92">
        <f t="shared" ca="1" si="181"/>
        <v>27.275117780454792</v>
      </c>
      <c r="Q620" s="92">
        <f t="shared" ca="1" si="182"/>
        <v>27.275117780454792</v>
      </c>
      <c r="R620" s="92">
        <f t="shared" ca="1" si="183"/>
        <v>2.7275117780454794</v>
      </c>
      <c r="S620" s="92">
        <f t="shared" ca="1" si="184"/>
        <v>2.7275117780454794</v>
      </c>
      <c r="T620" s="4">
        <f t="shared" ca="1" si="185"/>
        <v>1.4781098505086687E-4</v>
      </c>
      <c r="U620" s="99">
        <f t="shared" ca="1" si="186"/>
        <v>1314.6329230659346</v>
      </c>
      <c r="V620" s="4">
        <f t="shared" ca="1" si="187"/>
        <v>7.1243390735391418E-2</v>
      </c>
      <c r="W620" s="13">
        <f t="shared" ca="1" si="188"/>
        <v>24196.529568749997</v>
      </c>
      <c r="X620" s="4">
        <f t="shared" ca="1" si="189"/>
        <v>1.3112731168230827</v>
      </c>
    </row>
    <row r="621" spans="1:24">
      <c r="A621">
        <v>0</v>
      </c>
      <c r="B621">
        <v>2</v>
      </c>
      <c r="C621">
        <f t="shared" ca="1" si="171"/>
        <v>6</v>
      </c>
      <c r="D621">
        <f t="shared" ca="1" si="172"/>
        <v>4</v>
      </c>
      <c r="E621">
        <f t="shared" ca="1" si="173"/>
        <v>0</v>
      </c>
      <c r="F621" s="100">
        <f t="shared" ca="1" si="174"/>
        <v>9.40260188E-2</v>
      </c>
      <c r="G621">
        <v>1</v>
      </c>
      <c r="H621">
        <v>1</v>
      </c>
      <c r="I621">
        <v>1</v>
      </c>
      <c r="J621" s="1">
        <f t="shared" ca="1" si="175"/>
        <v>3.8811960000000103E-6</v>
      </c>
      <c r="K621" s="1">
        <f t="shared" ca="1" si="176"/>
        <v>3.6493340806248578E-7</v>
      </c>
      <c r="L621" s="13">
        <f t="shared" ca="1" si="177"/>
        <v>290</v>
      </c>
      <c r="M621" s="7">
        <f t="shared" ca="1" si="178"/>
        <v>710</v>
      </c>
      <c r="N621" s="43">
        <f t="shared" ca="1" si="179"/>
        <v>6</v>
      </c>
      <c r="O621" s="92">
        <f t="shared" ca="1" si="180"/>
        <v>2.7275117780454798</v>
      </c>
      <c r="P621" s="92">
        <f t="shared" ca="1" si="181"/>
        <v>27.275117780454792</v>
      </c>
      <c r="Q621" s="92">
        <f t="shared" ca="1" si="182"/>
        <v>27.275117780454792</v>
      </c>
      <c r="R621" s="92">
        <f t="shared" ca="1" si="183"/>
        <v>2.7275117780454794</v>
      </c>
      <c r="S621" s="92">
        <f t="shared" ca="1" si="184"/>
        <v>2.7275117780454794</v>
      </c>
      <c r="T621" s="4">
        <f t="shared" ca="1" si="185"/>
        <v>9.9536016869270711E-7</v>
      </c>
      <c r="U621" s="99">
        <f t="shared" ca="1" si="186"/>
        <v>1292.6329230659346</v>
      </c>
      <c r="V621" s="4">
        <f t="shared" ca="1" si="187"/>
        <v>4.717249379882245E-4</v>
      </c>
      <c r="W621" s="13">
        <f t="shared" ca="1" si="188"/>
        <v>18179.457449999998</v>
      </c>
      <c r="X621" s="4">
        <f t="shared" ca="1" si="189"/>
        <v>6.6342913639554461E-3</v>
      </c>
    </row>
    <row r="622" spans="1:24">
      <c r="A622">
        <v>0</v>
      </c>
      <c r="B622">
        <v>2</v>
      </c>
      <c r="C622">
        <f t="shared" ca="1" si="171"/>
        <v>6</v>
      </c>
      <c r="D622">
        <f t="shared" ca="1" si="172"/>
        <v>4</v>
      </c>
      <c r="E622">
        <f t="shared" ca="1" si="173"/>
        <v>0</v>
      </c>
      <c r="F622" s="100">
        <f t="shared" ca="1" si="174"/>
        <v>9.40260188E-2</v>
      </c>
      <c r="G622">
        <v>1</v>
      </c>
      <c r="H622">
        <v>1</v>
      </c>
      <c r="I622">
        <v>0</v>
      </c>
      <c r="J622" s="1">
        <f t="shared" ca="1" si="175"/>
        <v>9.8010000000000359E-9</v>
      </c>
      <c r="K622" s="1">
        <f t="shared" ca="1" si="176"/>
        <v>9.2154901025880333E-10</v>
      </c>
      <c r="L622" s="13">
        <f t="shared" ca="1" si="177"/>
        <v>268</v>
      </c>
      <c r="M622" s="7">
        <f t="shared" ca="1" si="178"/>
        <v>732</v>
      </c>
      <c r="N622" s="43">
        <f t="shared" ca="1" si="179"/>
        <v>6</v>
      </c>
      <c r="O622" s="92">
        <f t="shared" ca="1" si="180"/>
        <v>2.7275117780454798</v>
      </c>
      <c r="P622" s="92">
        <f t="shared" ca="1" si="181"/>
        <v>27.275117780454792</v>
      </c>
      <c r="Q622" s="92">
        <f t="shared" ca="1" si="182"/>
        <v>27.275117780454792</v>
      </c>
      <c r="R622" s="92">
        <f t="shared" ca="1" si="183"/>
        <v>2.7275117780454794</v>
      </c>
      <c r="S622" s="92">
        <f t="shared" ca="1" si="184"/>
        <v>2.7275117780454794</v>
      </c>
      <c r="T622" s="4">
        <f t="shared" ca="1" si="185"/>
        <v>2.5135357795270403E-9</v>
      </c>
      <c r="U622" s="99">
        <f t="shared" ca="1" si="186"/>
        <v>1270.6329230659346</v>
      </c>
      <c r="V622" s="4">
        <f t="shared" ca="1" si="187"/>
        <v>1.1709505126536623E-6</v>
      </c>
      <c r="W622" s="13">
        <f t="shared" ca="1" si="188"/>
        <v>12162.38533125</v>
      </c>
      <c r="X622" s="4">
        <f t="shared" ca="1" si="189"/>
        <v>1.1208234164399625E-5</v>
      </c>
    </row>
    <row r="623" spans="1:24">
      <c r="A623">
        <v>0</v>
      </c>
      <c r="B623">
        <v>2</v>
      </c>
      <c r="C623">
        <f t="shared" ca="1" si="171"/>
        <v>6</v>
      </c>
      <c r="D623">
        <f t="shared" ca="1" si="172"/>
        <v>4</v>
      </c>
      <c r="E623">
        <f t="shared" ca="1" si="173"/>
        <v>0</v>
      </c>
      <c r="F623" s="100">
        <f t="shared" ca="1" si="174"/>
        <v>9.40260188E-2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288</v>
      </c>
      <c r="M623" s="7">
        <f t="shared" ca="1" si="178"/>
        <v>712</v>
      </c>
      <c r="N623" s="43">
        <f t="shared" ca="1" si="179"/>
        <v>6</v>
      </c>
      <c r="O623" s="92">
        <f t="shared" ca="1" si="180"/>
        <v>2.7275117780454798</v>
      </c>
      <c r="P623" s="92">
        <f t="shared" ca="1" si="181"/>
        <v>27.275117780454792</v>
      </c>
      <c r="Q623" s="92">
        <f t="shared" ca="1" si="182"/>
        <v>27.275117780454792</v>
      </c>
      <c r="R623" s="92">
        <f t="shared" ca="1" si="183"/>
        <v>2.7275117780454794</v>
      </c>
      <c r="S623" s="92">
        <f t="shared" ca="1" si="184"/>
        <v>2.7275117780454794</v>
      </c>
      <c r="T623" s="4">
        <f t="shared" ca="1" si="185"/>
        <v>0</v>
      </c>
      <c r="U623" s="99">
        <f t="shared" ca="1" si="186"/>
        <v>1290.6329230659346</v>
      </c>
      <c r="V623" s="4">
        <f t="shared" ca="1" si="187"/>
        <v>0</v>
      </c>
      <c r="W623" s="13">
        <f t="shared" ca="1" si="188"/>
        <v>48136.576950000002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ca="1" si="171"/>
        <v>6</v>
      </c>
      <c r="D624">
        <f t="shared" ca="1" si="172"/>
        <v>4</v>
      </c>
      <c r="E624">
        <f t="shared" ca="1" si="173"/>
        <v>0</v>
      </c>
      <c r="F624" s="100">
        <f t="shared" ca="1" si="174"/>
        <v>9.40260188E-2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266</v>
      </c>
      <c r="M624" s="7">
        <f t="shared" ca="1" si="178"/>
        <v>734</v>
      </c>
      <c r="N624" s="43">
        <f t="shared" ca="1" si="179"/>
        <v>6</v>
      </c>
      <c r="O624" s="92">
        <f t="shared" ca="1" si="180"/>
        <v>2.7275117780454798</v>
      </c>
      <c r="P624" s="92">
        <f t="shared" ca="1" si="181"/>
        <v>27.275117780454792</v>
      </c>
      <c r="Q624" s="92">
        <f t="shared" ca="1" si="182"/>
        <v>27.275117780454792</v>
      </c>
      <c r="R624" s="92">
        <f t="shared" ca="1" si="183"/>
        <v>2.7275117780454794</v>
      </c>
      <c r="S624" s="92">
        <f t="shared" ca="1" si="184"/>
        <v>2.7275117780454794</v>
      </c>
      <c r="T624" s="4">
        <f t="shared" ca="1" si="185"/>
        <v>0</v>
      </c>
      <c r="U624" s="99">
        <f t="shared" ca="1" si="186"/>
        <v>1268.6329230659346</v>
      </c>
      <c r="V624" s="4">
        <f t="shared" ca="1" si="187"/>
        <v>0</v>
      </c>
      <c r="W624" s="13">
        <f t="shared" ca="1" si="188"/>
        <v>42119.50483125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ca="1" si="171"/>
        <v>6</v>
      </c>
      <c r="D625">
        <f t="shared" ca="1" si="172"/>
        <v>4</v>
      </c>
      <c r="E625">
        <f t="shared" ca="1" si="173"/>
        <v>0</v>
      </c>
      <c r="F625" s="100">
        <f t="shared" ca="1" si="174"/>
        <v>9.40260188E-2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244</v>
      </c>
      <c r="M625" s="7">
        <f t="shared" ca="1" si="178"/>
        <v>756</v>
      </c>
      <c r="N625" s="43">
        <f t="shared" ca="1" si="179"/>
        <v>7</v>
      </c>
      <c r="O625" s="92">
        <f t="shared" ca="1" si="180"/>
        <v>3.2214900588145507</v>
      </c>
      <c r="P625" s="92">
        <f t="shared" ca="1" si="181"/>
        <v>29.745009184300148</v>
      </c>
      <c r="Q625" s="92">
        <f t="shared" ca="1" si="182"/>
        <v>27.275117780454792</v>
      </c>
      <c r="R625" s="92">
        <f t="shared" ca="1" si="183"/>
        <v>2.851006348237747</v>
      </c>
      <c r="S625" s="92">
        <f t="shared" ca="1" si="184"/>
        <v>3.1955561990741743</v>
      </c>
      <c r="T625" s="4">
        <f t="shared" ca="1" si="185"/>
        <v>0</v>
      </c>
      <c r="U625" s="99">
        <f t="shared" ca="1" si="186"/>
        <v>1391.9252614304514</v>
      </c>
      <c r="V625" s="4">
        <f t="shared" ca="1" si="187"/>
        <v>0</v>
      </c>
      <c r="W625" s="13">
        <f t="shared" ca="1" si="188"/>
        <v>36102.432712499998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ca="1" si="171"/>
        <v>6</v>
      </c>
      <c r="D626">
        <f t="shared" ca="1" si="172"/>
        <v>4</v>
      </c>
      <c r="E626">
        <f t="shared" ca="1" si="173"/>
        <v>0</v>
      </c>
      <c r="F626" s="100">
        <f t="shared" ca="1" si="174"/>
        <v>9.40260188E-2</v>
      </c>
      <c r="G626">
        <v>1</v>
      </c>
      <c r="H626">
        <v>0</v>
      </c>
      <c r="I626">
        <v>4</v>
      </c>
      <c r="J626" s="1">
        <f t="shared" ca="1" si="175"/>
        <v>9.5099004990000079E-3</v>
      </c>
      <c r="K626" s="1">
        <f t="shared" ca="1" si="176"/>
        <v>8.941780831051041E-4</v>
      </c>
      <c r="L626" s="13">
        <f t="shared" ca="1" si="177"/>
        <v>222</v>
      </c>
      <c r="M626" s="7">
        <f t="shared" ca="1" si="178"/>
        <v>778</v>
      </c>
      <c r="N626" s="43">
        <f t="shared" ca="1" si="179"/>
        <v>7</v>
      </c>
      <c r="O626" s="92">
        <f t="shared" ca="1" si="180"/>
        <v>3.2214900588145507</v>
      </c>
      <c r="P626" s="92">
        <f t="shared" ca="1" si="181"/>
        <v>32.214900588145518</v>
      </c>
      <c r="Q626" s="92">
        <f t="shared" ca="1" si="182"/>
        <v>32.214900588145518</v>
      </c>
      <c r="R626" s="92">
        <f t="shared" ca="1" si="183"/>
        <v>3.2214900588145516</v>
      </c>
      <c r="S626" s="92">
        <f t="shared" ca="1" si="184"/>
        <v>3.2214900588145507</v>
      </c>
      <c r="T626" s="4">
        <f t="shared" ca="1" si="185"/>
        <v>2.8805858055329439E-3</v>
      </c>
      <c r="U626" s="99">
        <f t="shared" ca="1" si="186"/>
        <v>1377.9757603899629</v>
      </c>
      <c r="V626" s="4">
        <f t="shared" ca="1" si="187"/>
        <v>1.2321557239907952</v>
      </c>
      <c r="W626" s="13">
        <f t="shared" ca="1" si="188"/>
        <v>30085.360593749996</v>
      </c>
      <c r="X626" s="4">
        <f t="shared" ca="1" si="189"/>
        <v>26.901670065245209</v>
      </c>
    </row>
    <row r="627" spans="1:24">
      <c r="A627">
        <v>0</v>
      </c>
      <c r="B627">
        <v>2</v>
      </c>
      <c r="C627">
        <f t="shared" ca="1" si="171"/>
        <v>6</v>
      </c>
      <c r="D627">
        <f t="shared" ca="1" si="172"/>
        <v>4</v>
      </c>
      <c r="E627">
        <f t="shared" ca="1" si="173"/>
        <v>0</v>
      </c>
      <c r="F627" s="100">
        <f t="shared" ca="1" si="174"/>
        <v>9.40260188E-2</v>
      </c>
      <c r="G627">
        <v>1</v>
      </c>
      <c r="H627">
        <v>0</v>
      </c>
      <c r="I627">
        <v>3</v>
      </c>
      <c r="J627" s="1">
        <f t="shared" ca="1" si="175"/>
        <v>3.8423840400000073E-4</v>
      </c>
      <c r="K627" s="1">
        <f t="shared" ca="1" si="176"/>
        <v>3.6128407398186066E-5</v>
      </c>
      <c r="L627" s="13">
        <f t="shared" ca="1" si="177"/>
        <v>200</v>
      </c>
      <c r="M627" s="7">
        <f t="shared" ca="1" si="178"/>
        <v>800</v>
      </c>
      <c r="N627" s="43">
        <f t="shared" ca="1" si="179"/>
        <v>7</v>
      </c>
      <c r="O627" s="92">
        <f t="shared" ca="1" si="180"/>
        <v>3.2214900588145507</v>
      </c>
      <c r="P627" s="92">
        <f t="shared" ca="1" si="181"/>
        <v>32.214900588145518</v>
      </c>
      <c r="Q627" s="92">
        <f t="shared" ca="1" si="182"/>
        <v>32.214900588145518</v>
      </c>
      <c r="R627" s="92">
        <f t="shared" ca="1" si="183"/>
        <v>3.2214900588145516</v>
      </c>
      <c r="S627" s="92">
        <f t="shared" ca="1" si="184"/>
        <v>3.2214900588145507</v>
      </c>
      <c r="T627" s="4">
        <f t="shared" ca="1" si="185"/>
        <v>1.1638730527405848E-4</v>
      </c>
      <c r="U627" s="99">
        <f t="shared" ca="1" si="186"/>
        <v>1355.9757603899629</v>
      </c>
      <c r="V627" s="4">
        <f t="shared" ca="1" si="187"/>
        <v>4.8989244693433714E-2</v>
      </c>
      <c r="W627" s="13">
        <f t="shared" ca="1" si="188"/>
        <v>24068.288474999998</v>
      </c>
      <c r="X627" s="4">
        <f t="shared" ca="1" si="189"/>
        <v>0.86954893140186629</v>
      </c>
    </row>
    <row r="628" spans="1:24">
      <c r="A628">
        <v>0</v>
      </c>
      <c r="B628">
        <v>2</v>
      </c>
      <c r="C628">
        <f t="shared" ca="1" si="171"/>
        <v>6</v>
      </c>
      <c r="D628">
        <f t="shared" ca="1" si="172"/>
        <v>4</v>
      </c>
      <c r="E628">
        <f t="shared" ca="1" si="173"/>
        <v>0</v>
      </c>
      <c r="F628" s="100">
        <f t="shared" ca="1" si="174"/>
        <v>9.40260188E-2</v>
      </c>
      <c r="G628">
        <v>1</v>
      </c>
      <c r="H628">
        <v>0</v>
      </c>
      <c r="I628">
        <v>2</v>
      </c>
      <c r="J628" s="1">
        <f t="shared" ca="1" si="175"/>
        <v>5.8217940000000154E-6</v>
      </c>
      <c r="K628" s="1">
        <f t="shared" ca="1" si="176"/>
        <v>5.4740011209372867E-7</v>
      </c>
      <c r="L628" s="13">
        <f t="shared" ca="1" si="177"/>
        <v>178</v>
      </c>
      <c r="M628" s="7">
        <f t="shared" ca="1" si="178"/>
        <v>822</v>
      </c>
      <c r="N628" s="43">
        <f t="shared" ca="1" si="179"/>
        <v>7</v>
      </c>
      <c r="O628" s="92">
        <f t="shared" ca="1" si="180"/>
        <v>3.2214900588145507</v>
      </c>
      <c r="P628" s="92">
        <f t="shared" ca="1" si="181"/>
        <v>32.214900588145518</v>
      </c>
      <c r="Q628" s="92">
        <f t="shared" ca="1" si="182"/>
        <v>32.214900588145518</v>
      </c>
      <c r="R628" s="92">
        <f t="shared" ca="1" si="183"/>
        <v>3.2214900588145516</v>
      </c>
      <c r="S628" s="92">
        <f t="shared" ca="1" si="184"/>
        <v>3.2214900588145507</v>
      </c>
      <c r="T628" s="4">
        <f t="shared" ca="1" si="185"/>
        <v>1.7634440193039176E-6</v>
      </c>
      <c r="U628" s="99">
        <f t="shared" ca="1" si="186"/>
        <v>1333.9757603899629</v>
      </c>
      <c r="V628" s="4">
        <f t="shared" ca="1" si="187"/>
        <v>7.3021848076778261E-4</v>
      </c>
      <c r="W628" s="13">
        <f t="shared" ca="1" si="188"/>
        <v>18051.216356249999</v>
      </c>
      <c r="X628" s="4">
        <f t="shared" ca="1" si="189"/>
        <v>9.8812378568393974E-3</v>
      </c>
    </row>
    <row r="629" spans="1:24">
      <c r="A629">
        <v>0</v>
      </c>
      <c r="B629">
        <v>2</v>
      </c>
      <c r="C629">
        <f t="shared" ca="1" si="171"/>
        <v>6</v>
      </c>
      <c r="D629">
        <f t="shared" ca="1" si="172"/>
        <v>4</v>
      </c>
      <c r="E629">
        <f t="shared" ca="1" si="173"/>
        <v>0</v>
      </c>
      <c r="F629" s="100">
        <f t="shared" ca="1" si="174"/>
        <v>9.40260188E-2</v>
      </c>
      <c r="G629">
        <v>1</v>
      </c>
      <c r="H629">
        <v>0</v>
      </c>
      <c r="I629">
        <v>1</v>
      </c>
      <c r="J629" s="1">
        <f t="shared" ca="1" si="175"/>
        <v>3.9204000000000137E-8</v>
      </c>
      <c r="K629" s="1">
        <f t="shared" ca="1" si="176"/>
        <v>3.6861960410352129E-9</v>
      </c>
      <c r="L629" s="13">
        <f t="shared" ca="1" si="177"/>
        <v>156</v>
      </c>
      <c r="M629" s="7">
        <f t="shared" ca="1" si="178"/>
        <v>844</v>
      </c>
      <c r="N629" s="43">
        <f t="shared" ca="1" si="179"/>
        <v>7</v>
      </c>
      <c r="O629" s="92">
        <f t="shared" ca="1" si="180"/>
        <v>3.2214900588145507</v>
      </c>
      <c r="P629" s="92">
        <f t="shared" ca="1" si="181"/>
        <v>32.214900588145518</v>
      </c>
      <c r="Q629" s="92">
        <f t="shared" ca="1" si="182"/>
        <v>32.214900588145518</v>
      </c>
      <c r="R629" s="92">
        <f t="shared" ca="1" si="183"/>
        <v>3.2214900588145516</v>
      </c>
      <c r="S629" s="92">
        <f t="shared" ca="1" si="184"/>
        <v>3.2214900588145507</v>
      </c>
      <c r="T629" s="4">
        <f t="shared" ca="1" si="185"/>
        <v>1.1875043901036492E-8</v>
      </c>
      <c r="U629" s="99">
        <f t="shared" ca="1" si="186"/>
        <v>1311.9757603899629</v>
      </c>
      <c r="V629" s="4">
        <f t="shared" ca="1" si="187"/>
        <v>4.8361998538836448E-6</v>
      </c>
      <c r="W629" s="13">
        <f t="shared" ca="1" si="188"/>
        <v>12034.144237499999</v>
      </c>
      <c r="X629" s="4">
        <f t="shared" ca="1" si="189"/>
        <v>4.4360214845519219E-5</v>
      </c>
    </row>
    <row r="630" spans="1:24">
      <c r="A630">
        <v>0</v>
      </c>
      <c r="B630">
        <v>2</v>
      </c>
      <c r="C630">
        <f t="shared" ca="1" si="171"/>
        <v>6</v>
      </c>
      <c r="D630">
        <f t="shared" ca="1" si="172"/>
        <v>4</v>
      </c>
      <c r="E630">
        <f t="shared" ca="1" si="173"/>
        <v>0</v>
      </c>
      <c r="F630" s="100">
        <f t="shared" ca="1" si="174"/>
        <v>9.40260188E-2</v>
      </c>
      <c r="G630">
        <v>1</v>
      </c>
      <c r="H630">
        <v>0</v>
      </c>
      <c r="I630">
        <v>0</v>
      </c>
      <c r="J630" s="1">
        <f t="shared" ca="1" si="175"/>
        <v>9.9000000000000459E-11</v>
      </c>
      <c r="K630" s="1">
        <f t="shared" ca="1" si="176"/>
        <v>9.3085758612000432E-12</v>
      </c>
      <c r="L630" s="13">
        <f t="shared" ca="1" si="177"/>
        <v>134</v>
      </c>
      <c r="M630" s="7">
        <f t="shared" ca="1" si="178"/>
        <v>866</v>
      </c>
      <c r="N630" s="43">
        <f t="shared" ca="1" si="179"/>
        <v>7</v>
      </c>
      <c r="O630" s="92">
        <f t="shared" ca="1" si="180"/>
        <v>3.2214900588145507</v>
      </c>
      <c r="P630" s="92">
        <f t="shared" ca="1" si="181"/>
        <v>32.214900588145518</v>
      </c>
      <c r="Q630" s="92">
        <f t="shared" ca="1" si="182"/>
        <v>32.214900588145518</v>
      </c>
      <c r="R630" s="92">
        <f t="shared" ca="1" si="183"/>
        <v>3.2214900588145516</v>
      </c>
      <c r="S630" s="92">
        <f t="shared" ca="1" si="184"/>
        <v>3.2214900588145507</v>
      </c>
      <c r="T630" s="4">
        <f t="shared" ca="1" si="185"/>
        <v>2.9987484598577036E-11</v>
      </c>
      <c r="U630" s="99">
        <f t="shared" ca="1" si="186"/>
        <v>1289.9757603899629</v>
      </c>
      <c r="V630" s="4">
        <f t="shared" ca="1" si="187"/>
        <v>1.200783722469918E-8</v>
      </c>
      <c r="W630" s="13">
        <f t="shared" ca="1" si="188"/>
        <v>6017.0721187499994</v>
      </c>
      <c r="X630" s="4">
        <f t="shared" ca="1" si="189"/>
        <v>5.6010372279696046E-8</v>
      </c>
    </row>
    <row r="631" spans="1:24">
      <c r="A631">
        <v>0</v>
      </c>
      <c r="B631">
        <v>2</v>
      </c>
      <c r="C631">
        <f t="shared" ca="1" si="171"/>
        <v>6</v>
      </c>
      <c r="D631">
        <f t="shared" ca="1" si="172"/>
        <v>4</v>
      </c>
      <c r="E631">
        <f t="shared" ca="1" si="173"/>
        <v>0</v>
      </c>
      <c r="F631" s="100">
        <f t="shared" ca="1" si="174"/>
        <v>9.40260188E-2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288</v>
      </c>
      <c r="M631" s="7">
        <f t="shared" ca="1" si="178"/>
        <v>712</v>
      </c>
      <c r="N631" s="43">
        <f t="shared" ca="1" si="179"/>
        <v>6</v>
      </c>
      <c r="O631" s="92">
        <f t="shared" ca="1" si="180"/>
        <v>2.7275117780454798</v>
      </c>
      <c r="P631" s="92">
        <f t="shared" ca="1" si="181"/>
        <v>27.275117780454792</v>
      </c>
      <c r="Q631" s="92">
        <f t="shared" ca="1" si="182"/>
        <v>27.275117780454792</v>
      </c>
      <c r="R631" s="92">
        <f t="shared" ca="1" si="183"/>
        <v>2.7275117780454794</v>
      </c>
      <c r="S631" s="92">
        <f t="shared" ca="1" si="184"/>
        <v>2.7275117780454794</v>
      </c>
      <c r="T631" s="4">
        <f t="shared" ca="1" si="185"/>
        <v>0</v>
      </c>
      <c r="U631" s="99">
        <f t="shared" ca="1" si="186"/>
        <v>1290.6329230659346</v>
      </c>
      <c r="V631" s="4">
        <f t="shared" ca="1" si="187"/>
        <v>0</v>
      </c>
      <c r="W631" s="13">
        <f t="shared" ca="1" si="188"/>
        <v>48264.818043749998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ca="1" si="171"/>
        <v>6</v>
      </c>
      <c r="D632">
        <f t="shared" ca="1" si="172"/>
        <v>4</v>
      </c>
      <c r="E632">
        <f t="shared" ca="1" si="173"/>
        <v>0</v>
      </c>
      <c r="F632" s="100">
        <f t="shared" ca="1" si="174"/>
        <v>9.40260188E-2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266</v>
      </c>
      <c r="M632" s="7">
        <f t="shared" ca="1" si="178"/>
        <v>734</v>
      </c>
      <c r="N632" s="43">
        <f t="shared" ca="1" si="179"/>
        <v>6</v>
      </c>
      <c r="O632" s="92">
        <f t="shared" ca="1" si="180"/>
        <v>2.7275117780454798</v>
      </c>
      <c r="P632" s="92">
        <f t="shared" ca="1" si="181"/>
        <v>27.275117780454792</v>
      </c>
      <c r="Q632" s="92">
        <f t="shared" ca="1" si="182"/>
        <v>27.275117780454792</v>
      </c>
      <c r="R632" s="92">
        <f t="shared" ca="1" si="183"/>
        <v>2.7275117780454794</v>
      </c>
      <c r="S632" s="92">
        <f t="shared" ca="1" si="184"/>
        <v>2.7275117780454794</v>
      </c>
      <c r="T632" s="4">
        <f t="shared" ca="1" si="185"/>
        <v>0</v>
      </c>
      <c r="U632" s="99">
        <f t="shared" ca="1" si="186"/>
        <v>1268.6329230659346</v>
      </c>
      <c r="V632" s="4">
        <f t="shared" ca="1" si="187"/>
        <v>0</v>
      </c>
      <c r="W632" s="13">
        <f t="shared" ca="1" si="188"/>
        <v>42247.745924999996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ca="1" si="171"/>
        <v>6</v>
      </c>
      <c r="D633">
        <f t="shared" ca="1" si="172"/>
        <v>4</v>
      </c>
      <c r="E633">
        <f t="shared" ca="1" si="173"/>
        <v>0</v>
      </c>
      <c r="F633" s="100">
        <f t="shared" ca="1" si="174"/>
        <v>9.40260188E-2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244</v>
      </c>
      <c r="M633" s="7">
        <f t="shared" ca="1" si="178"/>
        <v>756</v>
      </c>
      <c r="N633" s="43">
        <f t="shared" ca="1" si="179"/>
        <v>7</v>
      </c>
      <c r="O633" s="92">
        <f t="shared" ca="1" si="180"/>
        <v>3.2214900588145507</v>
      </c>
      <c r="P633" s="92">
        <f t="shared" ca="1" si="181"/>
        <v>29.745009184300148</v>
      </c>
      <c r="Q633" s="92">
        <f t="shared" ca="1" si="182"/>
        <v>27.275117780454792</v>
      </c>
      <c r="R633" s="92">
        <f t="shared" ca="1" si="183"/>
        <v>2.851006348237747</v>
      </c>
      <c r="S633" s="92">
        <f t="shared" ca="1" si="184"/>
        <v>3.1955561990741743</v>
      </c>
      <c r="T633" s="4">
        <f t="shared" ca="1" si="185"/>
        <v>0</v>
      </c>
      <c r="U633" s="99">
        <f t="shared" ca="1" si="186"/>
        <v>1391.9252614304514</v>
      </c>
      <c r="V633" s="4">
        <f t="shared" ca="1" si="187"/>
        <v>0</v>
      </c>
      <c r="W633" s="13">
        <f t="shared" ca="1" si="188"/>
        <v>36230.673806249994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ca="1" si="171"/>
        <v>6</v>
      </c>
      <c r="D634">
        <f t="shared" ca="1" si="172"/>
        <v>4</v>
      </c>
      <c r="E634">
        <f t="shared" ca="1" si="173"/>
        <v>0</v>
      </c>
      <c r="F634" s="100">
        <f t="shared" ca="1" si="174"/>
        <v>9.40260188E-2</v>
      </c>
      <c r="G634">
        <v>0</v>
      </c>
      <c r="H634">
        <v>1</v>
      </c>
      <c r="I634">
        <v>4</v>
      </c>
      <c r="J634" s="1">
        <f t="shared" ca="1" si="175"/>
        <v>9.5099004990000079E-3</v>
      </c>
      <c r="K634" s="1">
        <f t="shared" ca="1" si="176"/>
        <v>8.941780831051041E-4</v>
      </c>
      <c r="L634" s="13">
        <f t="shared" ca="1" si="177"/>
        <v>222</v>
      </c>
      <c r="M634" s="7">
        <f t="shared" ca="1" si="178"/>
        <v>778</v>
      </c>
      <c r="N634" s="43">
        <f t="shared" ca="1" si="179"/>
        <v>7</v>
      </c>
      <c r="O634" s="92">
        <f t="shared" ca="1" si="180"/>
        <v>3.2214900588145507</v>
      </c>
      <c r="P634" s="92">
        <f t="shared" ca="1" si="181"/>
        <v>32.214900588145518</v>
      </c>
      <c r="Q634" s="92">
        <f t="shared" ca="1" si="182"/>
        <v>32.214900588145518</v>
      </c>
      <c r="R634" s="92">
        <f t="shared" ca="1" si="183"/>
        <v>3.2214900588145516</v>
      </c>
      <c r="S634" s="92">
        <f t="shared" ca="1" si="184"/>
        <v>3.2214900588145507</v>
      </c>
      <c r="T634" s="4">
        <f t="shared" ca="1" si="185"/>
        <v>2.8805858055329439E-3</v>
      </c>
      <c r="U634" s="99">
        <f t="shared" ca="1" si="186"/>
        <v>1377.9757603899629</v>
      </c>
      <c r="V634" s="4">
        <f t="shared" ca="1" si="187"/>
        <v>1.2321557239907952</v>
      </c>
      <c r="W634" s="13">
        <f t="shared" ca="1" si="188"/>
        <v>30213.601687499999</v>
      </c>
      <c r="X634" s="4">
        <f t="shared" ca="1" si="189"/>
        <v>27.016340440629886</v>
      </c>
    </row>
    <row r="635" spans="1:24">
      <c r="A635">
        <v>0</v>
      </c>
      <c r="B635">
        <v>2</v>
      </c>
      <c r="C635">
        <f t="shared" ca="1" si="171"/>
        <v>6</v>
      </c>
      <c r="D635">
        <f t="shared" ca="1" si="172"/>
        <v>4</v>
      </c>
      <c r="E635">
        <f t="shared" ca="1" si="173"/>
        <v>0</v>
      </c>
      <c r="F635" s="100">
        <f t="shared" ca="1" si="174"/>
        <v>9.40260188E-2</v>
      </c>
      <c r="G635">
        <v>0</v>
      </c>
      <c r="H635">
        <v>1</v>
      </c>
      <c r="I635">
        <v>3</v>
      </c>
      <c r="J635" s="1">
        <f t="shared" ca="1" si="175"/>
        <v>3.8423840400000073E-4</v>
      </c>
      <c r="K635" s="1">
        <f t="shared" ca="1" si="176"/>
        <v>3.6128407398186066E-5</v>
      </c>
      <c r="L635" s="13">
        <f t="shared" ca="1" si="177"/>
        <v>200</v>
      </c>
      <c r="M635" s="7">
        <f t="shared" ca="1" si="178"/>
        <v>800</v>
      </c>
      <c r="N635" s="43">
        <f t="shared" ca="1" si="179"/>
        <v>7</v>
      </c>
      <c r="O635" s="92">
        <f t="shared" ca="1" si="180"/>
        <v>3.2214900588145507</v>
      </c>
      <c r="P635" s="92">
        <f t="shared" ca="1" si="181"/>
        <v>32.214900588145518</v>
      </c>
      <c r="Q635" s="92">
        <f t="shared" ca="1" si="182"/>
        <v>32.214900588145518</v>
      </c>
      <c r="R635" s="92">
        <f t="shared" ca="1" si="183"/>
        <v>3.2214900588145516</v>
      </c>
      <c r="S635" s="92">
        <f t="shared" ca="1" si="184"/>
        <v>3.2214900588145507</v>
      </c>
      <c r="T635" s="4">
        <f t="shared" ca="1" si="185"/>
        <v>1.1638730527405848E-4</v>
      </c>
      <c r="U635" s="99">
        <f t="shared" ca="1" si="186"/>
        <v>1355.9757603899629</v>
      </c>
      <c r="V635" s="4">
        <f t="shared" ca="1" si="187"/>
        <v>4.8989244693433714E-2</v>
      </c>
      <c r="W635" s="13">
        <f t="shared" ca="1" si="188"/>
        <v>24196.529568749997</v>
      </c>
      <c r="X635" s="4">
        <f t="shared" ca="1" si="189"/>
        <v>0.87418207788205526</v>
      </c>
    </row>
    <row r="636" spans="1:24">
      <c r="A636">
        <v>0</v>
      </c>
      <c r="B636">
        <v>2</v>
      </c>
      <c r="C636">
        <f t="shared" ca="1" si="171"/>
        <v>6</v>
      </c>
      <c r="D636">
        <f t="shared" ca="1" si="172"/>
        <v>4</v>
      </c>
      <c r="E636">
        <f t="shared" ca="1" si="173"/>
        <v>0</v>
      </c>
      <c r="F636" s="100">
        <f t="shared" ca="1" si="174"/>
        <v>9.40260188E-2</v>
      </c>
      <c r="G636">
        <v>0</v>
      </c>
      <c r="H636">
        <v>1</v>
      </c>
      <c r="I636">
        <v>2</v>
      </c>
      <c r="J636" s="1">
        <f t="shared" ca="1" si="175"/>
        <v>5.8217940000000154E-6</v>
      </c>
      <c r="K636" s="1">
        <f t="shared" ca="1" si="176"/>
        <v>5.4740011209372867E-7</v>
      </c>
      <c r="L636" s="13">
        <f t="shared" ca="1" si="177"/>
        <v>178</v>
      </c>
      <c r="M636" s="7">
        <f t="shared" ca="1" si="178"/>
        <v>822</v>
      </c>
      <c r="N636" s="43">
        <f t="shared" ca="1" si="179"/>
        <v>7</v>
      </c>
      <c r="O636" s="92">
        <f t="shared" ca="1" si="180"/>
        <v>3.2214900588145507</v>
      </c>
      <c r="P636" s="92">
        <f t="shared" ca="1" si="181"/>
        <v>32.214900588145518</v>
      </c>
      <c r="Q636" s="92">
        <f t="shared" ca="1" si="182"/>
        <v>32.214900588145518</v>
      </c>
      <c r="R636" s="92">
        <f t="shared" ca="1" si="183"/>
        <v>3.2214900588145516</v>
      </c>
      <c r="S636" s="92">
        <f t="shared" ca="1" si="184"/>
        <v>3.2214900588145507</v>
      </c>
      <c r="T636" s="4">
        <f t="shared" ca="1" si="185"/>
        <v>1.7634440193039176E-6</v>
      </c>
      <c r="U636" s="99">
        <f t="shared" ca="1" si="186"/>
        <v>1333.9757603899629</v>
      </c>
      <c r="V636" s="4">
        <f t="shared" ca="1" si="187"/>
        <v>7.3021848076778261E-4</v>
      </c>
      <c r="W636" s="13">
        <f t="shared" ca="1" si="188"/>
        <v>18179.457449999998</v>
      </c>
      <c r="X636" s="4">
        <f t="shared" ca="1" si="189"/>
        <v>9.9514370459331692E-3</v>
      </c>
    </row>
    <row r="637" spans="1:24">
      <c r="A637">
        <v>0</v>
      </c>
      <c r="B637">
        <v>2</v>
      </c>
      <c r="C637">
        <f t="shared" ca="1" si="171"/>
        <v>6</v>
      </c>
      <c r="D637">
        <f t="shared" ca="1" si="172"/>
        <v>4</v>
      </c>
      <c r="E637">
        <f t="shared" ca="1" si="173"/>
        <v>0</v>
      </c>
      <c r="F637" s="100">
        <f t="shared" ca="1" si="174"/>
        <v>9.40260188E-2</v>
      </c>
      <c r="G637">
        <v>0</v>
      </c>
      <c r="H637">
        <v>1</v>
      </c>
      <c r="I637">
        <v>1</v>
      </c>
      <c r="J637" s="1">
        <f t="shared" ca="1" si="175"/>
        <v>3.9204000000000137E-8</v>
      </c>
      <c r="K637" s="1">
        <f t="shared" ca="1" si="176"/>
        <v>3.6861960410352129E-9</v>
      </c>
      <c r="L637" s="13">
        <f t="shared" ca="1" si="177"/>
        <v>156</v>
      </c>
      <c r="M637" s="7">
        <f t="shared" ca="1" si="178"/>
        <v>844</v>
      </c>
      <c r="N637" s="43">
        <f t="shared" ca="1" si="179"/>
        <v>7</v>
      </c>
      <c r="O637" s="92">
        <f t="shared" ca="1" si="180"/>
        <v>3.2214900588145507</v>
      </c>
      <c r="P637" s="92">
        <f t="shared" ca="1" si="181"/>
        <v>32.214900588145518</v>
      </c>
      <c r="Q637" s="92">
        <f t="shared" ca="1" si="182"/>
        <v>32.214900588145518</v>
      </c>
      <c r="R637" s="92">
        <f t="shared" ca="1" si="183"/>
        <v>3.2214900588145516</v>
      </c>
      <c r="S637" s="92">
        <f t="shared" ca="1" si="184"/>
        <v>3.2214900588145507</v>
      </c>
      <c r="T637" s="4">
        <f t="shared" ca="1" si="185"/>
        <v>1.1875043901036492E-8</v>
      </c>
      <c r="U637" s="99">
        <f t="shared" ca="1" si="186"/>
        <v>1311.9757603899629</v>
      </c>
      <c r="V637" s="4">
        <f t="shared" ca="1" si="187"/>
        <v>4.8361998538836448E-6</v>
      </c>
      <c r="W637" s="13">
        <f t="shared" ca="1" si="188"/>
        <v>12162.38533125</v>
      </c>
      <c r="X637" s="4">
        <f t="shared" ca="1" si="189"/>
        <v>4.4832936657598495E-5</v>
      </c>
    </row>
    <row r="638" spans="1:24">
      <c r="A638">
        <v>0</v>
      </c>
      <c r="B638">
        <v>2</v>
      </c>
      <c r="C638">
        <f t="shared" ca="1" si="171"/>
        <v>6</v>
      </c>
      <c r="D638">
        <f t="shared" ca="1" si="172"/>
        <v>4</v>
      </c>
      <c r="E638">
        <f t="shared" ca="1" si="173"/>
        <v>0</v>
      </c>
      <c r="F638" s="100">
        <f t="shared" ca="1" si="174"/>
        <v>9.40260188E-2</v>
      </c>
      <c r="G638">
        <v>0</v>
      </c>
      <c r="H638">
        <v>1</v>
      </c>
      <c r="I638">
        <v>0</v>
      </c>
      <c r="J638" s="1">
        <f t="shared" ca="1" si="175"/>
        <v>9.9000000000000459E-11</v>
      </c>
      <c r="K638" s="1">
        <f t="shared" ca="1" si="176"/>
        <v>9.3085758612000432E-12</v>
      </c>
      <c r="L638" s="13">
        <f t="shared" ca="1" si="177"/>
        <v>134</v>
      </c>
      <c r="M638" s="7">
        <f t="shared" ca="1" si="178"/>
        <v>866</v>
      </c>
      <c r="N638" s="43">
        <f t="shared" ca="1" si="179"/>
        <v>7</v>
      </c>
      <c r="O638" s="92">
        <f t="shared" ca="1" si="180"/>
        <v>3.2214900588145507</v>
      </c>
      <c r="P638" s="92">
        <f t="shared" ca="1" si="181"/>
        <v>32.214900588145518</v>
      </c>
      <c r="Q638" s="92">
        <f t="shared" ca="1" si="182"/>
        <v>32.214900588145518</v>
      </c>
      <c r="R638" s="92">
        <f t="shared" ca="1" si="183"/>
        <v>3.2214900588145516</v>
      </c>
      <c r="S638" s="92">
        <f t="shared" ca="1" si="184"/>
        <v>3.2214900588145507</v>
      </c>
      <c r="T638" s="4">
        <f t="shared" ca="1" si="185"/>
        <v>2.9987484598577036E-11</v>
      </c>
      <c r="U638" s="99">
        <f t="shared" ca="1" si="186"/>
        <v>1289.9757603899629</v>
      </c>
      <c r="V638" s="4">
        <f t="shared" ca="1" si="187"/>
        <v>1.200783722469918E-8</v>
      </c>
      <c r="W638" s="13">
        <f t="shared" ca="1" si="188"/>
        <v>6145.3132124999993</v>
      </c>
      <c r="X638" s="4">
        <f t="shared" ca="1" si="189"/>
        <v>5.7204114229391184E-8</v>
      </c>
    </row>
    <row r="639" spans="1:24">
      <c r="A639">
        <v>0</v>
      </c>
      <c r="B639">
        <v>2</v>
      </c>
      <c r="C639">
        <f t="shared" ca="1" si="171"/>
        <v>6</v>
      </c>
      <c r="D639">
        <f t="shared" ca="1" si="172"/>
        <v>4</v>
      </c>
      <c r="E639">
        <f t="shared" ca="1" si="173"/>
        <v>0</v>
      </c>
      <c r="F639" s="100">
        <f t="shared" ca="1" si="174"/>
        <v>9.40260188E-2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3">
        <f t="shared" ca="1" si="179"/>
        <v>7</v>
      </c>
      <c r="O639" s="92">
        <f t="shared" ca="1" si="180"/>
        <v>3.2214900588145507</v>
      </c>
      <c r="P639" s="92">
        <f t="shared" ca="1" si="181"/>
        <v>32.214900588145518</v>
      </c>
      <c r="Q639" s="92">
        <f t="shared" ca="1" si="182"/>
        <v>32.214900588145518</v>
      </c>
      <c r="R639" s="92">
        <f t="shared" ca="1" si="183"/>
        <v>3.2214900588145516</v>
      </c>
      <c r="S639" s="92">
        <f t="shared" ca="1" si="184"/>
        <v>3.2214900588145507</v>
      </c>
      <c r="T639" s="4">
        <f t="shared" ca="1" si="185"/>
        <v>0</v>
      </c>
      <c r="U639" s="99">
        <f t="shared" ca="1" si="186"/>
        <v>1309.9757603899629</v>
      </c>
      <c r="V639" s="4">
        <f t="shared" ca="1" si="187"/>
        <v>0</v>
      </c>
      <c r="W639" s="13">
        <f t="shared" ca="1" si="188"/>
        <v>42119.50483125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ca="1" si="171"/>
        <v>6</v>
      </c>
      <c r="D640">
        <f t="shared" ca="1" si="172"/>
        <v>4</v>
      </c>
      <c r="E640">
        <f t="shared" ca="1" si="173"/>
        <v>0</v>
      </c>
      <c r="F640" s="100">
        <f t="shared" ca="1" si="174"/>
        <v>9.40260188E-2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132</v>
      </c>
      <c r="M640" s="7">
        <f t="shared" ca="1" si="178"/>
        <v>868</v>
      </c>
      <c r="N640" s="43">
        <f t="shared" ca="1" si="179"/>
        <v>7</v>
      </c>
      <c r="O640" s="92">
        <f t="shared" ca="1" si="180"/>
        <v>3.2214900588145507</v>
      </c>
      <c r="P640" s="92">
        <f t="shared" ca="1" si="181"/>
        <v>32.214900588145518</v>
      </c>
      <c r="Q640" s="92">
        <f t="shared" ca="1" si="182"/>
        <v>32.214900588145518</v>
      </c>
      <c r="R640" s="92">
        <f t="shared" ca="1" si="183"/>
        <v>3.2214900588145516</v>
      </c>
      <c r="S640" s="92">
        <f t="shared" ca="1" si="184"/>
        <v>3.2214900588145507</v>
      </c>
      <c r="T640" s="4">
        <f t="shared" ca="1" si="185"/>
        <v>0</v>
      </c>
      <c r="U640" s="99">
        <f t="shared" ca="1" si="186"/>
        <v>1287.9757603899629</v>
      </c>
      <c r="V640" s="4">
        <f t="shared" ca="1" si="187"/>
        <v>0</v>
      </c>
      <c r="W640" s="13">
        <f t="shared" ca="1" si="188"/>
        <v>36102.432712499998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ca="1" si="171"/>
        <v>6</v>
      </c>
      <c r="D641">
        <f t="shared" ca="1" si="172"/>
        <v>4</v>
      </c>
      <c r="E641">
        <f t="shared" ca="1" si="173"/>
        <v>0</v>
      </c>
      <c r="F641" s="100">
        <f t="shared" ca="1" si="174"/>
        <v>9.40260188E-2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110</v>
      </c>
      <c r="M641" s="7">
        <f t="shared" ca="1" si="178"/>
        <v>890</v>
      </c>
      <c r="N641" s="43">
        <f t="shared" ca="1" si="179"/>
        <v>8</v>
      </c>
      <c r="O641" s="92">
        <f t="shared" ca="1" si="180"/>
        <v>3.5531918581169131</v>
      </c>
      <c r="P641" s="92">
        <f t="shared" ca="1" si="181"/>
        <v>35.531918581169137</v>
      </c>
      <c r="Q641" s="92">
        <f t="shared" ca="1" si="182"/>
        <v>33.541707785354966</v>
      </c>
      <c r="R641" s="92">
        <f t="shared" ca="1" si="183"/>
        <v>3.4536813183262054</v>
      </c>
      <c r="S641" s="92">
        <f t="shared" ca="1" si="184"/>
        <v>3.5462261203315633</v>
      </c>
      <c r="T641" s="4">
        <f t="shared" ca="1" si="185"/>
        <v>0</v>
      </c>
      <c r="U641" s="99">
        <f t="shared" ca="1" si="186"/>
        <v>1366.7817087343356</v>
      </c>
      <c r="V641" s="4">
        <f t="shared" ca="1" si="187"/>
        <v>0</v>
      </c>
      <c r="W641" s="13">
        <f t="shared" ca="1" si="188"/>
        <v>30085.360593749996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ca="1" si="171"/>
        <v>6</v>
      </c>
      <c r="D642">
        <f t="shared" ca="1" si="172"/>
        <v>4</v>
      </c>
      <c r="E642">
        <f t="shared" ca="1" si="173"/>
        <v>0</v>
      </c>
      <c r="F642" s="100">
        <f t="shared" ca="1" si="174"/>
        <v>9.40260188E-2</v>
      </c>
      <c r="G642">
        <v>0</v>
      </c>
      <c r="H642">
        <v>0</v>
      </c>
      <c r="I642">
        <v>4</v>
      </c>
      <c r="J642" s="1">
        <f t="shared" ca="1" si="175"/>
        <v>9.605960100000017E-5</v>
      </c>
      <c r="K642" s="1">
        <f t="shared" ca="1" si="176"/>
        <v>9.0321018495465147E-6</v>
      </c>
      <c r="L642" s="13">
        <f t="shared" ca="1" si="177"/>
        <v>100</v>
      </c>
      <c r="M642" s="7">
        <f t="shared" ca="1" si="178"/>
        <v>900</v>
      </c>
      <c r="N642" s="43">
        <f t="shared" ca="1" si="179"/>
        <v>8</v>
      </c>
      <c r="O642" s="92">
        <f t="shared" ca="1" si="180"/>
        <v>3.5531918581169131</v>
      </c>
      <c r="P642" s="92">
        <f t="shared" ca="1" si="181"/>
        <v>35.531918581169137</v>
      </c>
      <c r="Q642" s="92">
        <f t="shared" ca="1" si="182"/>
        <v>35.531918581169137</v>
      </c>
      <c r="R642" s="92">
        <f t="shared" ca="1" si="183"/>
        <v>3.5531918581169135</v>
      </c>
      <c r="S642" s="92">
        <f t="shared" ca="1" si="184"/>
        <v>3.5531918581169126</v>
      </c>
      <c r="T642" s="4">
        <f t="shared" ca="1" si="185"/>
        <v>3.2092790753491384E-5</v>
      </c>
      <c r="U642" s="99">
        <f t="shared" ca="1" si="186"/>
        <v>1358.9440426620492</v>
      </c>
      <c r="V642" s="4">
        <f t="shared" ca="1" si="187"/>
        <v>1.2274121001158112E-2</v>
      </c>
      <c r="W642" s="13">
        <f t="shared" ca="1" si="188"/>
        <v>24068.288474999998</v>
      </c>
      <c r="X642" s="4">
        <f t="shared" ca="1" si="189"/>
        <v>0.21738723285046654</v>
      </c>
    </row>
    <row r="643" spans="1:24">
      <c r="A643">
        <v>0</v>
      </c>
      <c r="B643">
        <v>2</v>
      </c>
      <c r="C643">
        <f t="shared" ca="1" si="171"/>
        <v>6</v>
      </c>
      <c r="D643">
        <f t="shared" ca="1" si="172"/>
        <v>4</v>
      </c>
      <c r="E643">
        <f t="shared" ca="1" si="173"/>
        <v>0</v>
      </c>
      <c r="F643" s="100">
        <f t="shared" ca="1" si="174"/>
        <v>9.40260188E-2</v>
      </c>
      <c r="G643">
        <v>0</v>
      </c>
      <c r="H643">
        <v>0</v>
      </c>
      <c r="I643">
        <v>3</v>
      </c>
      <c r="J643" s="1">
        <f t="shared" ca="1" si="175"/>
        <v>3.8811960000000103E-6</v>
      </c>
      <c r="K643" s="1">
        <f t="shared" ca="1" si="176"/>
        <v>3.6493340806248578E-7</v>
      </c>
      <c r="L643" s="13">
        <f t="shared" ca="1" si="177"/>
        <v>100</v>
      </c>
      <c r="M643" s="7">
        <f t="shared" ca="1" si="178"/>
        <v>900</v>
      </c>
      <c r="N643" s="43">
        <f t="shared" ca="1" si="179"/>
        <v>8</v>
      </c>
      <c r="O643" s="92">
        <f t="shared" ca="1" si="180"/>
        <v>3.5531918581169131</v>
      </c>
      <c r="P643" s="92">
        <f t="shared" ca="1" si="181"/>
        <v>35.531918581169137</v>
      </c>
      <c r="Q643" s="92">
        <f t="shared" ca="1" si="182"/>
        <v>35.531918581169137</v>
      </c>
      <c r="R643" s="92">
        <f t="shared" ca="1" si="183"/>
        <v>3.5531918581169135</v>
      </c>
      <c r="S643" s="92">
        <f t="shared" ca="1" si="184"/>
        <v>3.5531918581169126</v>
      </c>
      <c r="T643" s="4">
        <f t="shared" ca="1" si="185"/>
        <v>1.2966784142824813E-6</v>
      </c>
      <c r="U643" s="99">
        <f t="shared" ca="1" si="186"/>
        <v>1358.9440426620492</v>
      </c>
      <c r="V643" s="4">
        <f t="shared" ca="1" si="187"/>
        <v>4.959240808548737E-4</v>
      </c>
      <c r="W643" s="13">
        <f t="shared" ca="1" si="188"/>
        <v>18051.216356249999</v>
      </c>
      <c r="X643" s="4">
        <f t="shared" ca="1" si="189"/>
        <v>6.5874919045595982E-3</v>
      </c>
    </row>
    <row r="644" spans="1:24">
      <c r="A644">
        <v>0</v>
      </c>
      <c r="B644">
        <v>2</v>
      </c>
      <c r="C644">
        <f t="shared" ca="1" si="171"/>
        <v>6</v>
      </c>
      <c r="D644">
        <f t="shared" ca="1" si="172"/>
        <v>4</v>
      </c>
      <c r="E644">
        <f t="shared" ca="1" si="173"/>
        <v>0</v>
      </c>
      <c r="F644" s="100">
        <f t="shared" ca="1" si="174"/>
        <v>9.40260188E-2</v>
      </c>
      <c r="G644">
        <v>0</v>
      </c>
      <c r="H644">
        <v>0</v>
      </c>
      <c r="I644">
        <v>2</v>
      </c>
      <c r="J644" s="1">
        <f t="shared" ca="1" si="175"/>
        <v>5.8806000000000209E-8</v>
      </c>
      <c r="K644" s="1">
        <f t="shared" ca="1" si="176"/>
        <v>5.5292940615528194E-9</v>
      </c>
      <c r="L644" s="13">
        <f t="shared" ca="1" si="177"/>
        <v>100</v>
      </c>
      <c r="M644" s="7">
        <f t="shared" ca="1" si="178"/>
        <v>900</v>
      </c>
      <c r="N644" s="43">
        <f t="shared" ca="1" si="179"/>
        <v>8</v>
      </c>
      <c r="O644" s="92">
        <f t="shared" ca="1" si="180"/>
        <v>3.5531918581169131</v>
      </c>
      <c r="P644" s="92">
        <f t="shared" ca="1" si="181"/>
        <v>35.531918581169137</v>
      </c>
      <c r="Q644" s="92">
        <f t="shared" ca="1" si="182"/>
        <v>35.531918581169137</v>
      </c>
      <c r="R644" s="92">
        <f t="shared" ca="1" si="183"/>
        <v>3.5531918581169135</v>
      </c>
      <c r="S644" s="92">
        <f t="shared" ca="1" si="184"/>
        <v>3.5531918581169126</v>
      </c>
      <c r="T644" s="4">
        <f t="shared" ca="1" si="185"/>
        <v>1.9646642640643674E-8</v>
      </c>
      <c r="U644" s="99">
        <f t="shared" ca="1" si="186"/>
        <v>1358.9440426620492</v>
      </c>
      <c r="V644" s="4">
        <f t="shared" ca="1" si="187"/>
        <v>7.5140012250738503E-6</v>
      </c>
      <c r="W644" s="13">
        <f t="shared" ca="1" si="188"/>
        <v>12034.144237499999</v>
      </c>
      <c r="X644" s="4">
        <f t="shared" ca="1" si="189"/>
        <v>6.6540322268278818E-5</v>
      </c>
    </row>
    <row r="645" spans="1:24">
      <c r="A645">
        <v>0</v>
      </c>
      <c r="B645">
        <v>2</v>
      </c>
      <c r="C645">
        <f t="shared" ca="1" si="171"/>
        <v>6</v>
      </c>
      <c r="D645">
        <f t="shared" ca="1" si="172"/>
        <v>4</v>
      </c>
      <c r="E645">
        <f t="shared" ca="1" si="173"/>
        <v>0</v>
      </c>
      <c r="F645" s="100">
        <f t="shared" ca="1" si="174"/>
        <v>9.40260188E-2</v>
      </c>
      <c r="G645">
        <v>0</v>
      </c>
      <c r="H645">
        <v>0</v>
      </c>
      <c r="I645">
        <v>1</v>
      </c>
      <c r="J645" s="1">
        <f t="shared" ca="1" si="175"/>
        <v>3.9600000000000173E-10</v>
      </c>
      <c r="K645" s="1">
        <f t="shared" ca="1" si="176"/>
        <v>3.723430344480016E-11</v>
      </c>
      <c r="L645" s="13">
        <f t="shared" ca="1" si="177"/>
        <v>100</v>
      </c>
      <c r="M645" s="7">
        <f t="shared" ca="1" si="178"/>
        <v>900</v>
      </c>
      <c r="N645" s="43">
        <f t="shared" ca="1" si="179"/>
        <v>8</v>
      </c>
      <c r="O645" s="92">
        <f t="shared" ca="1" si="180"/>
        <v>3.5531918581169131</v>
      </c>
      <c r="P645" s="92">
        <f t="shared" ca="1" si="181"/>
        <v>35.531918581169137</v>
      </c>
      <c r="Q645" s="92">
        <f t="shared" ca="1" si="182"/>
        <v>35.531918581169137</v>
      </c>
      <c r="R645" s="92">
        <f t="shared" ca="1" si="183"/>
        <v>3.5531918581169135</v>
      </c>
      <c r="S645" s="92">
        <f t="shared" ca="1" si="184"/>
        <v>3.5531918581169126</v>
      </c>
      <c r="T645" s="4">
        <f t="shared" ca="1" si="185"/>
        <v>1.3230062384271845E-10</v>
      </c>
      <c r="U645" s="99">
        <f t="shared" ca="1" si="186"/>
        <v>1358.9440426620492</v>
      </c>
      <c r="V645" s="4">
        <f t="shared" ca="1" si="187"/>
        <v>5.0599334848982198E-8</v>
      </c>
      <c r="W645" s="13">
        <f t="shared" ca="1" si="188"/>
        <v>6017.0721187499994</v>
      </c>
      <c r="X645" s="4">
        <f t="shared" ca="1" si="189"/>
        <v>2.240414891187841E-7</v>
      </c>
    </row>
    <row r="646" spans="1:24">
      <c r="A646">
        <v>0</v>
      </c>
      <c r="B646">
        <v>2</v>
      </c>
      <c r="C646">
        <f t="shared" ca="1" si="171"/>
        <v>6</v>
      </c>
      <c r="D646">
        <f t="shared" ca="1" si="172"/>
        <v>4</v>
      </c>
      <c r="E646">
        <f t="shared" ca="1" si="173"/>
        <v>0</v>
      </c>
      <c r="F646" s="100">
        <f t="shared" ca="1" si="174"/>
        <v>9.40260188E-2</v>
      </c>
      <c r="G646">
        <v>0</v>
      </c>
      <c r="H646">
        <v>0</v>
      </c>
      <c r="I646">
        <v>0</v>
      </c>
      <c r="J646" s="1">
        <f t="shared" ca="1" si="175"/>
        <v>1.0000000000000054E-12</v>
      </c>
      <c r="K646" s="1">
        <f t="shared" ca="1" si="176"/>
        <v>9.4026018800000506E-14</v>
      </c>
      <c r="L646" s="13">
        <f t="shared" ca="1" si="177"/>
        <v>100</v>
      </c>
      <c r="M646" s="7">
        <f t="shared" ca="1" si="178"/>
        <v>900</v>
      </c>
      <c r="N646" s="43">
        <f t="shared" ca="1" si="179"/>
        <v>8</v>
      </c>
      <c r="O646" s="92">
        <f t="shared" ca="1" si="180"/>
        <v>3.5531918581169131</v>
      </c>
      <c r="P646" s="92">
        <f t="shared" ca="1" si="181"/>
        <v>35.531918581169137</v>
      </c>
      <c r="Q646" s="92">
        <f t="shared" ca="1" si="182"/>
        <v>35.531918581169137</v>
      </c>
      <c r="R646" s="92">
        <f t="shared" ca="1" si="183"/>
        <v>3.5531918581169135</v>
      </c>
      <c r="S646" s="92">
        <f t="shared" ca="1" si="184"/>
        <v>3.5531918581169126</v>
      </c>
      <c r="T646" s="4">
        <f t="shared" ca="1" si="185"/>
        <v>3.3409248445130955E-13</v>
      </c>
      <c r="U646" s="99">
        <f t="shared" ca="1" si="186"/>
        <v>1358.9440426620492</v>
      </c>
      <c r="V646" s="4">
        <f t="shared" ca="1" si="187"/>
        <v>1.2777609810349054E-10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ca="1" si="171"/>
        <v>7</v>
      </c>
      <c r="D647">
        <f t="shared" ca="1" si="172"/>
        <v>5</v>
      </c>
      <c r="E647">
        <f t="shared" ca="1" si="173"/>
        <v>0</v>
      </c>
      <c r="F647" s="100">
        <f t="shared" ca="1" si="174"/>
        <v>2.0771579999999998E-2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422</v>
      </c>
      <c r="M647" s="7">
        <f t="shared" ca="1" si="178"/>
        <v>578</v>
      </c>
      <c r="N647" s="43">
        <f t="shared" ca="1" si="179"/>
        <v>5</v>
      </c>
      <c r="O647" s="92">
        <f t="shared" ca="1" si="180"/>
        <v>2.4432565128993144</v>
      </c>
      <c r="P647" s="92">
        <f t="shared" ca="1" si="181"/>
        <v>24.432565128993144</v>
      </c>
      <c r="Q647" s="92">
        <f t="shared" ca="1" si="182"/>
        <v>24.432565128993144</v>
      </c>
      <c r="R647" s="92">
        <f t="shared" ca="1" si="183"/>
        <v>2.4432565128993144</v>
      </c>
      <c r="S647" s="92">
        <f t="shared" ca="1" si="184"/>
        <v>2.4432565128993144</v>
      </c>
      <c r="T647" s="4">
        <f t="shared" ca="1" si="185"/>
        <v>0</v>
      </c>
      <c r="U647" s="99">
        <f t="shared" ca="1" si="186"/>
        <v>1336.3931955743851</v>
      </c>
      <c r="V647" s="4">
        <f t="shared" ca="1" si="187"/>
        <v>0</v>
      </c>
      <c r="W647" s="13">
        <f t="shared" ca="1" si="188"/>
        <v>54281.8901625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ca="1" si="171"/>
        <v>7</v>
      </c>
      <c r="D648">
        <f t="shared" ca="1" si="172"/>
        <v>5</v>
      </c>
      <c r="E648">
        <f t="shared" ca="1" si="173"/>
        <v>0</v>
      </c>
      <c r="F648" s="100">
        <f t="shared" ca="1" si="174"/>
        <v>2.0771579999999998E-2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400</v>
      </c>
      <c r="M648" s="7">
        <f t="shared" ca="1" si="178"/>
        <v>600</v>
      </c>
      <c r="N648" s="43">
        <f t="shared" ca="1" si="179"/>
        <v>5</v>
      </c>
      <c r="O648" s="92">
        <f t="shared" ca="1" si="180"/>
        <v>2.4432565128993144</v>
      </c>
      <c r="P648" s="92">
        <f t="shared" ca="1" si="181"/>
        <v>24.432565128993144</v>
      </c>
      <c r="Q648" s="92">
        <f t="shared" ca="1" si="182"/>
        <v>24.432565128993144</v>
      </c>
      <c r="R648" s="92">
        <f t="shared" ca="1" si="183"/>
        <v>2.4432565128993144</v>
      </c>
      <c r="S648" s="92">
        <f t="shared" ca="1" si="184"/>
        <v>2.4432565128993144</v>
      </c>
      <c r="T648" s="4">
        <f t="shared" ca="1" si="185"/>
        <v>0</v>
      </c>
      <c r="U648" s="99">
        <f t="shared" ca="1" si="186"/>
        <v>1314.3931955743851</v>
      </c>
      <c r="V648" s="4">
        <f t="shared" ca="1" si="187"/>
        <v>0</v>
      </c>
      <c r="W648" s="13">
        <f t="shared" ca="1" si="188"/>
        <v>48264.818043749998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ca="1" si="171"/>
        <v>7</v>
      </c>
      <c r="D649">
        <f t="shared" ca="1" si="172"/>
        <v>5</v>
      </c>
      <c r="E649">
        <f t="shared" ca="1" si="173"/>
        <v>0</v>
      </c>
      <c r="F649" s="100">
        <f t="shared" ca="1" si="174"/>
        <v>2.0771579999999998E-2</v>
      </c>
      <c r="G649">
        <v>1</v>
      </c>
      <c r="H649">
        <v>1</v>
      </c>
      <c r="I649">
        <v>5</v>
      </c>
      <c r="J649" s="1">
        <f t="shared" ca="1" si="175"/>
        <v>0.93206534790698992</v>
      </c>
      <c r="K649" s="1">
        <f t="shared" ca="1" si="176"/>
        <v>1.9360469939277872E-2</v>
      </c>
      <c r="L649" s="13">
        <f t="shared" ca="1" si="177"/>
        <v>378</v>
      </c>
      <c r="M649" s="7">
        <f t="shared" ca="1" si="178"/>
        <v>622</v>
      </c>
      <c r="N649" s="43">
        <f t="shared" ca="1" si="179"/>
        <v>5</v>
      </c>
      <c r="O649" s="92">
        <f t="shared" ca="1" si="180"/>
        <v>2.4432565128993144</v>
      </c>
      <c r="P649" s="92">
        <f t="shared" ca="1" si="181"/>
        <v>24.432565128993144</v>
      </c>
      <c r="Q649" s="92">
        <f t="shared" ca="1" si="182"/>
        <v>24.432565128993144</v>
      </c>
      <c r="R649" s="92">
        <f t="shared" ca="1" si="183"/>
        <v>2.4432565128993144</v>
      </c>
      <c r="S649" s="92">
        <f t="shared" ca="1" si="184"/>
        <v>2.4432565128993144</v>
      </c>
      <c r="T649" s="4">
        <f t="shared" ca="1" si="185"/>
        <v>4.7302594271932057E-2</v>
      </c>
      <c r="U649" s="99">
        <f t="shared" ca="1" si="186"/>
        <v>1292.3931955743851</v>
      </c>
      <c r="V649" s="4">
        <f t="shared" ca="1" si="187"/>
        <v>25.02133961264515</v>
      </c>
      <c r="W649" s="13">
        <f t="shared" ca="1" si="188"/>
        <v>42247.745924999996</v>
      </c>
      <c r="X649" s="4">
        <f t="shared" ca="1" si="189"/>
        <v>817.9362149832117</v>
      </c>
    </row>
    <row r="650" spans="1:24">
      <c r="A650">
        <v>0</v>
      </c>
      <c r="B650">
        <v>3</v>
      </c>
      <c r="C650">
        <f t="shared" ca="1" si="171"/>
        <v>7</v>
      </c>
      <c r="D650">
        <f t="shared" ca="1" si="172"/>
        <v>5</v>
      </c>
      <c r="E650">
        <f t="shared" ca="1" si="173"/>
        <v>0</v>
      </c>
      <c r="F650" s="100">
        <f t="shared" ca="1" si="174"/>
        <v>2.0771579999999998E-2</v>
      </c>
      <c r="G650">
        <v>1</v>
      </c>
      <c r="H650">
        <v>1</v>
      </c>
      <c r="I650">
        <v>4</v>
      </c>
      <c r="J650" s="1">
        <f t="shared" ca="1" si="175"/>
        <v>4.7074007470050035E-2</v>
      </c>
      <c r="K650" s="1">
        <f t="shared" ca="1" si="176"/>
        <v>9.7780151208474173E-4</v>
      </c>
      <c r="L650" s="13">
        <f t="shared" ca="1" si="177"/>
        <v>356</v>
      </c>
      <c r="M650" s="7">
        <f t="shared" ca="1" si="178"/>
        <v>644</v>
      </c>
      <c r="N650" s="43">
        <f t="shared" ca="1" si="179"/>
        <v>6</v>
      </c>
      <c r="O650" s="92">
        <f t="shared" ca="1" si="180"/>
        <v>2.7275117780454798</v>
      </c>
      <c r="P650" s="92">
        <f t="shared" ca="1" si="181"/>
        <v>27.275117780454792</v>
      </c>
      <c r="Q650" s="92">
        <f t="shared" ca="1" si="182"/>
        <v>26.706607250162463</v>
      </c>
      <c r="R650" s="92">
        <f t="shared" ca="1" si="183"/>
        <v>2.6990862515308627</v>
      </c>
      <c r="S650" s="92">
        <f t="shared" ca="1" si="184"/>
        <v>2.7255219911894564</v>
      </c>
      <c r="T650" s="4">
        <f t="shared" ca="1" si="185"/>
        <v>2.6650195242052667E-3</v>
      </c>
      <c r="U650" s="99">
        <f t="shared" ca="1" si="186"/>
        <v>1358.0152449734937</v>
      </c>
      <c r="V650" s="4">
        <f t="shared" ca="1" si="187"/>
        <v>1.3278693599692131</v>
      </c>
      <c r="W650" s="13">
        <f t="shared" ca="1" si="188"/>
        <v>36230.673806249994</v>
      </c>
      <c r="X650" s="4">
        <f t="shared" ca="1" si="189"/>
        <v>35.426407631600291</v>
      </c>
    </row>
    <row r="651" spans="1:24">
      <c r="A651">
        <v>0</v>
      </c>
      <c r="B651">
        <v>3</v>
      </c>
      <c r="C651">
        <f t="shared" ca="1" si="171"/>
        <v>7</v>
      </c>
      <c r="D651">
        <f t="shared" ca="1" si="172"/>
        <v>5</v>
      </c>
      <c r="E651">
        <f t="shared" ca="1" si="173"/>
        <v>0</v>
      </c>
      <c r="F651" s="100">
        <f t="shared" ca="1" si="174"/>
        <v>2.0771579999999998E-2</v>
      </c>
      <c r="G651">
        <v>1</v>
      </c>
      <c r="H651">
        <v>1</v>
      </c>
      <c r="I651">
        <v>3</v>
      </c>
      <c r="J651" s="1">
        <f t="shared" ca="1" si="175"/>
        <v>9.5099004990000164E-4</v>
      </c>
      <c r="K651" s="1">
        <f t="shared" ca="1" si="176"/>
        <v>1.9753565900701874E-5</v>
      </c>
      <c r="L651" s="13">
        <f t="shared" ca="1" si="177"/>
        <v>334</v>
      </c>
      <c r="M651" s="7">
        <f t="shared" ca="1" si="178"/>
        <v>666</v>
      </c>
      <c r="N651" s="43">
        <f t="shared" ca="1" si="179"/>
        <v>6</v>
      </c>
      <c r="O651" s="92">
        <f t="shared" ca="1" si="180"/>
        <v>2.7275117780454798</v>
      </c>
      <c r="P651" s="92">
        <f t="shared" ca="1" si="181"/>
        <v>27.275117780454792</v>
      </c>
      <c r="Q651" s="92">
        <f t="shared" ca="1" si="182"/>
        <v>27.275117780454792</v>
      </c>
      <c r="R651" s="92">
        <f t="shared" ca="1" si="183"/>
        <v>2.7275117780454794</v>
      </c>
      <c r="S651" s="92">
        <f t="shared" ca="1" si="184"/>
        <v>2.7275117780454794</v>
      </c>
      <c r="T651" s="4">
        <f t="shared" ca="1" si="185"/>
        <v>5.3878083652561923E-5</v>
      </c>
      <c r="U651" s="99">
        <f t="shared" ca="1" si="186"/>
        <v>1336.6329230659346</v>
      </c>
      <c r="V651" s="4">
        <f t="shared" ca="1" si="187"/>
        <v>2.6403266530830718E-2</v>
      </c>
      <c r="W651" s="13">
        <f t="shared" ca="1" si="188"/>
        <v>30213.601687499999</v>
      </c>
      <c r="X651" s="4">
        <f t="shared" ca="1" si="189"/>
        <v>0.59682637203158861</v>
      </c>
    </row>
    <row r="652" spans="1:24">
      <c r="A652">
        <v>0</v>
      </c>
      <c r="B652">
        <v>3</v>
      </c>
      <c r="C652">
        <f t="shared" ca="1" si="171"/>
        <v>7</v>
      </c>
      <c r="D652">
        <f t="shared" ca="1" si="172"/>
        <v>5</v>
      </c>
      <c r="E652">
        <f t="shared" ca="1" si="173"/>
        <v>0</v>
      </c>
      <c r="F652" s="100">
        <f t="shared" ca="1" si="174"/>
        <v>2.0771579999999998E-2</v>
      </c>
      <c r="G652">
        <v>1</v>
      </c>
      <c r="H652">
        <v>1</v>
      </c>
      <c r="I652">
        <v>2</v>
      </c>
      <c r="J652" s="1">
        <f t="shared" ca="1" si="175"/>
        <v>9.6059601000000268E-6</v>
      </c>
      <c r="K652" s="1">
        <f t="shared" ca="1" si="176"/>
        <v>1.9953096869395853E-7</v>
      </c>
      <c r="L652" s="13">
        <f t="shared" ca="1" si="177"/>
        <v>312</v>
      </c>
      <c r="M652" s="7">
        <f t="shared" ca="1" si="178"/>
        <v>688</v>
      </c>
      <c r="N652" s="43">
        <f t="shared" ca="1" si="179"/>
        <v>6</v>
      </c>
      <c r="O652" s="92">
        <f t="shared" ca="1" si="180"/>
        <v>2.7275117780454798</v>
      </c>
      <c r="P652" s="92">
        <f t="shared" ca="1" si="181"/>
        <v>27.275117780454792</v>
      </c>
      <c r="Q652" s="92">
        <f t="shared" ca="1" si="182"/>
        <v>27.275117780454792</v>
      </c>
      <c r="R652" s="92">
        <f t="shared" ca="1" si="183"/>
        <v>2.7275117780454794</v>
      </c>
      <c r="S652" s="92">
        <f t="shared" ca="1" si="184"/>
        <v>2.7275117780454794</v>
      </c>
      <c r="T652" s="4">
        <f t="shared" ca="1" si="185"/>
        <v>5.4422306719759568E-7</v>
      </c>
      <c r="U652" s="99">
        <f t="shared" ca="1" si="186"/>
        <v>1314.6329230659346</v>
      </c>
      <c r="V652" s="4">
        <f t="shared" ca="1" si="187"/>
        <v>2.6230998061631619E-4</v>
      </c>
      <c r="W652" s="13">
        <f t="shared" ca="1" si="188"/>
        <v>24196.529568749997</v>
      </c>
      <c r="X652" s="4">
        <f t="shared" ca="1" si="189"/>
        <v>4.8279569838846972E-3</v>
      </c>
    </row>
    <row r="653" spans="1:24">
      <c r="A653">
        <v>0</v>
      </c>
      <c r="B653">
        <v>3</v>
      </c>
      <c r="C653">
        <f t="shared" ca="1" si="171"/>
        <v>7</v>
      </c>
      <c r="D653">
        <f t="shared" ca="1" si="172"/>
        <v>5</v>
      </c>
      <c r="E653">
        <f t="shared" ca="1" si="173"/>
        <v>0</v>
      </c>
      <c r="F653" s="100">
        <f t="shared" ca="1" si="174"/>
        <v>2.0771579999999998E-2</v>
      </c>
      <c r="G653">
        <v>1</v>
      </c>
      <c r="H653">
        <v>1</v>
      </c>
      <c r="I653">
        <v>1</v>
      </c>
      <c r="J653" s="1">
        <f t="shared" ca="1" si="175"/>
        <v>4.8514950000000171E-8</v>
      </c>
      <c r="K653" s="1">
        <f t="shared" ca="1" si="176"/>
        <v>1.0077321651210035E-9</v>
      </c>
      <c r="L653" s="13">
        <f t="shared" ca="1" si="177"/>
        <v>290</v>
      </c>
      <c r="M653" s="7">
        <f t="shared" ca="1" si="178"/>
        <v>710</v>
      </c>
      <c r="N653" s="43">
        <f t="shared" ca="1" si="179"/>
        <v>6</v>
      </c>
      <c r="O653" s="92">
        <f t="shared" ca="1" si="180"/>
        <v>2.7275117780454798</v>
      </c>
      <c r="P653" s="92">
        <f t="shared" ca="1" si="181"/>
        <v>27.275117780454792</v>
      </c>
      <c r="Q653" s="92">
        <f t="shared" ca="1" si="182"/>
        <v>27.275117780454792</v>
      </c>
      <c r="R653" s="92">
        <f t="shared" ca="1" si="183"/>
        <v>2.7275117780454794</v>
      </c>
      <c r="S653" s="92">
        <f t="shared" ca="1" si="184"/>
        <v>2.7275117780454794</v>
      </c>
      <c r="T653" s="4">
        <f t="shared" ca="1" si="185"/>
        <v>2.7486013494828089E-9</v>
      </c>
      <c r="U653" s="99">
        <f t="shared" ca="1" si="186"/>
        <v>1292.6329230659346</v>
      </c>
      <c r="V653" s="4">
        <f t="shared" ca="1" si="187"/>
        <v>1.3026277742679258E-6</v>
      </c>
      <c r="W653" s="13">
        <f t="shared" ca="1" si="188"/>
        <v>18179.457449999998</v>
      </c>
      <c r="X653" s="4">
        <f t="shared" ca="1" si="189"/>
        <v>1.8320024016813655E-5</v>
      </c>
    </row>
    <row r="654" spans="1:24">
      <c r="A654">
        <v>0</v>
      </c>
      <c r="B654">
        <v>3</v>
      </c>
      <c r="C654">
        <f t="shared" ca="1" si="171"/>
        <v>7</v>
      </c>
      <c r="D654">
        <f t="shared" ca="1" si="172"/>
        <v>5</v>
      </c>
      <c r="E654">
        <f t="shared" ca="1" si="173"/>
        <v>0</v>
      </c>
      <c r="F654" s="100">
        <f t="shared" ca="1" si="174"/>
        <v>2.0771579999999998E-2</v>
      </c>
      <c r="G654">
        <v>1</v>
      </c>
      <c r="H654">
        <v>1</v>
      </c>
      <c r="I654">
        <v>0</v>
      </c>
      <c r="J654" s="1">
        <f t="shared" ca="1" si="175"/>
        <v>9.8010000000000445E-11</v>
      </c>
      <c r="K654" s="1">
        <f t="shared" ca="1" si="176"/>
        <v>2.0358225558000091E-12</v>
      </c>
      <c r="L654" s="13">
        <f t="shared" ca="1" si="177"/>
        <v>268</v>
      </c>
      <c r="M654" s="7">
        <f t="shared" ca="1" si="178"/>
        <v>732</v>
      </c>
      <c r="N654" s="43">
        <f t="shared" ca="1" si="179"/>
        <v>6</v>
      </c>
      <c r="O654" s="92">
        <f t="shared" ca="1" si="180"/>
        <v>2.7275117780454798</v>
      </c>
      <c r="P654" s="92">
        <f t="shared" ca="1" si="181"/>
        <v>27.275117780454792</v>
      </c>
      <c r="Q654" s="92">
        <f t="shared" ca="1" si="182"/>
        <v>27.275117780454792</v>
      </c>
      <c r="R654" s="92">
        <f t="shared" ca="1" si="183"/>
        <v>2.7275117780454794</v>
      </c>
      <c r="S654" s="92">
        <f t="shared" ca="1" si="184"/>
        <v>2.7275117780454794</v>
      </c>
      <c r="T654" s="4">
        <f t="shared" ca="1" si="185"/>
        <v>5.5527299989551751E-12</v>
      </c>
      <c r="U654" s="99">
        <f t="shared" ca="1" si="186"/>
        <v>1270.6329230659346</v>
      </c>
      <c r="V654" s="4">
        <f t="shared" ca="1" si="187"/>
        <v>2.5867831649197275E-9</v>
      </c>
      <c r="W654" s="13">
        <f t="shared" ca="1" si="188"/>
        <v>12162.38533125</v>
      </c>
      <c r="X654" s="4">
        <f t="shared" ca="1" si="189"/>
        <v>2.4760458389689914E-8</v>
      </c>
    </row>
    <row r="655" spans="1:24">
      <c r="A655">
        <v>0</v>
      </c>
      <c r="B655">
        <v>3</v>
      </c>
      <c r="C655">
        <f t="shared" ca="1" si="171"/>
        <v>7</v>
      </c>
      <c r="D655">
        <f t="shared" ca="1" si="172"/>
        <v>5</v>
      </c>
      <c r="E655">
        <f t="shared" ca="1" si="173"/>
        <v>0</v>
      </c>
      <c r="F655" s="100">
        <f t="shared" ca="1" si="174"/>
        <v>2.0771579999999998E-2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288</v>
      </c>
      <c r="M655" s="7">
        <f t="shared" ca="1" si="178"/>
        <v>712</v>
      </c>
      <c r="N655" s="43">
        <f t="shared" ca="1" si="179"/>
        <v>6</v>
      </c>
      <c r="O655" s="92">
        <f t="shared" ca="1" si="180"/>
        <v>2.7275117780454798</v>
      </c>
      <c r="P655" s="92">
        <f t="shared" ca="1" si="181"/>
        <v>27.275117780454792</v>
      </c>
      <c r="Q655" s="92">
        <f t="shared" ca="1" si="182"/>
        <v>27.275117780454792</v>
      </c>
      <c r="R655" s="92">
        <f t="shared" ca="1" si="183"/>
        <v>2.7275117780454794</v>
      </c>
      <c r="S655" s="92">
        <f t="shared" ca="1" si="184"/>
        <v>2.7275117780454794</v>
      </c>
      <c r="T655" s="4">
        <f t="shared" ca="1" si="185"/>
        <v>0</v>
      </c>
      <c r="U655" s="99">
        <f t="shared" ca="1" si="186"/>
        <v>1290.6329230659346</v>
      </c>
      <c r="V655" s="4">
        <f t="shared" ca="1" si="187"/>
        <v>0</v>
      </c>
      <c r="W655" s="13">
        <f t="shared" ca="1" si="188"/>
        <v>48136.576950000002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ca="1" si="171"/>
        <v>7</v>
      </c>
      <c r="D656">
        <f t="shared" ca="1" si="172"/>
        <v>5</v>
      </c>
      <c r="E656">
        <f t="shared" ca="1" si="173"/>
        <v>0</v>
      </c>
      <c r="F656" s="100">
        <f t="shared" ca="1" si="174"/>
        <v>2.0771579999999998E-2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266</v>
      </c>
      <c r="M656" s="7">
        <f t="shared" ca="1" si="178"/>
        <v>734</v>
      </c>
      <c r="N656" s="43">
        <f t="shared" ca="1" si="179"/>
        <v>6</v>
      </c>
      <c r="O656" s="92">
        <f t="shared" ca="1" si="180"/>
        <v>2.7275117780454798</v>
      </c>
      <c r="P656" s="92">
        <f t="shared" ca="1" si="181"/>
        <v>27.275117780454792</v>
      </c>
      <c r="Q656" s="92">
        <f t="shared" ca="1" si="182"/>
        <v>27.275117780454792</v>
      </c>
      <c r="R656" s="92">
        <f t="shared" ca="1" si="183"/>
        <v>2.7275117780454794</v>
      </c>
      <c r="S656" s="92">
        <f t="shared" ca="1" si="184"/>
        <v>2.7275117780454794</v>
      </c>
      <c r="T656" s="4">
        <f t="shared" ca="1" si="185"/>
        <v>0</v>
      </c>
      <c r="U656" s="99">
        <f t="shared" ca="1" si="186"/>
        <v>1268.6329230659346</v>
      </c>
      <c r="V656" s="4">
        <f t="shared" ca="1" si="187"/>
        <v>0</v>
      </c>
      <c r="W656" s="13">
        <f t="shared" ca="1" si="188"/>
        <v>42119.50483125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ca="1" si="171"/>
        <v>7</v>
      </c>
      <c r="D657">
        <f t="shared" ca="1" si="172"/>
        <v>5</v>
      </c>
      <c r="E657">
        <f t="shared" ca="1" si="173"/>
        <v>0</v>
      </c>
      <c r="F657" s="100">
        <f t="shared" ca="1" si="174"/>
        <v>2.0771579999999998E-2</v>
      </c>
      <c r="G657">
        <v>1</v>
      </c>
      <c r="H657">
        <v>0</v>
      </c>
      <c r="I657">
        <v>5</v>
      </c>
      <c r="J657" s="1">
        <f t="shared" ca="1" si="175"/>
        <v>9.4148014940100087E-3</v>
      </c>
      <c r="K657" s="1">
        <f t="shared" ca="1" si="176"/>
        <v>1.9556030241694839E-4</v>
      </c>
      <c r="L657" s="13">
        <f t="shared" ca="1" si="177"/>
        <v>244</v>
      </c>
      <c r="M657" s="7">
        <f t="shared" ca="1" si="178"/>
        <v>756</v>
      </c>
      <c r="N657" s="43">
        <f t="shared" ca="1" si="179"/>
        <v>7</v>
      </c>
      <c r="O657" s="92">
        <f t="shared" ca="1" si="180"/>
        <v>3.2214900588145507</v>
      </c>
      <c r="P657" s="92">
        <f t="shared" ca="1" si="181"/>
        <v>29.745009184300148</v>
      </c>
      <c r="Q657" s="92">
        <f t="shared" ca="1" si="182"/>
        <v>27.275117780454792</v>
      </c>
      <c r="R657" s="92">
        <f t="shared" ca="1" si="183"/>
        <v>2.851006348237747</v>
      </c>
      <c r="S657" s="92">
        <f t="shared" ca="1" si="184"/>
        <v>3.1955561990741743</v>
      </c>
      <c r="T657" s="4">
        <f t="shared" ca="1" si="185"/>
        <v>6.2492393668129968E-4</v>
      </c>
      <c r="U657" s="99">
        <f t="shared" ca="1" si="186"/>
        <v>1391.9252614304514</v>
      </c>
      <c r="V657" s="4">
        <f t="shared" ca="1" si="187"/>
        <v>0.27220532506712902</v>
      </c>
      <c r="W657" s="13">
        <f t="shared" ca="1" si="188"/>
        <v>36102.432712499998</v>
      </c>
      <c r="X657" s="4">
        <f t="shared" ca="1" si="189"/>
        <v>7.0602026592440303</v>
      </c>
    </row>
    <row r="658" spans="1:24">
      <c r="A658">
        <v>0</v>
      </c>
      <c r="B658">
        <v>3</v>
      </c>
      <c r="C658">
        <f t="shared" ca="1" si="171"/>
        <v>7</v>
      </c>
      <c r="D658">
        <f t="shared" ca="1" si="172"/>
        <v>5</v>
      </c>
      <c r="E658">
        <f t="shared" ca="1" si="173"/>
        <v>0</v>
      </c>
      <c r="F658" s="100">
        <f t="shared" ca="1" si="174"/>
        <v>2.0771579999999998E-2</v>
      </c>
      <c r="G658">
        <v>1</v>
      </c>
      <c r="H658">
        <v>0</v>
      </c>
      <c r="I658">
        <v>4</v>
      </c>
      <c r="J658" s="1">
        <f t="shared" ca="1" si="175"/>
        <v>4.7549502495000082E-4</v>
      </c>
      <c r="K658" s="1">
        <f t="shared" ca="1" si="176"/>
        <v>9.876782950350937E-6</v>
      </c>
      <c r="L658" s="13">
        <f t="shared" ca="1" si="177"/>
        <v>222</v>
      </c>
      <c r="M658" s="7">
        <f t="shared" ca="1" si="178"/>
        <v>778</v>
      </c>
      <c r="N658" s="43">
        <f t="shared" ca="1" si="179"/>
        <v>7</v>
      </c>
      <c r="O658" s="92">
        <f t="shared" ca="1" si="180"/>
        <v>3.2214900588145507</v>
      </c>
      <c r="P658" s="92">
        <f t="shared" ca="1" si="181"/>
        <v>32.214900588145518</v>
      </c>
      <c r="Q658" s="92">
        <f t="shared" ca="1" si="182"/>
        <v>32.214900588145518</v>
      </c>
      <c r="R658" s="92">
        <f t="shared" ca="1" si="183"/>
        <v>3.2214900588145516</v>
      </c>
      <c r="S658" s="92">
        <f t="shared" ca="1" si="184"/>
        <v>3.2214900588145507</v>
      </c>
      <c r="T658" s="4">
        <f t="shared" ca="1" si="185"/>
        <v>3.1817958087624594E-5</v>
      </c>
      <c r="U658" s="99">
        <f t="shared" ca="1" si="186"/>
        <v>1377.9757603899629</v>
      </c>
      <c r="V658" s="4">
        <f t="shared" ca="1" si="187"/>
        <v>1.3609967496216454E-2</v>
      </c>
      <c r="W658" s="13">
        <f t="shared" ca="1" si="188"/>
        <v>30085.360593749996</v>
      </c>
      <c r="X658" s="4">
        <f t="shared" ca="1" si="189"/>
        <v>0.29714657656750992</v>
      </c>
    </row>
    <row r="659" spans="1:24">
      <c r="A659">
        <v>0</v>
      </c>
      <c r="B659">
        <v>3</v>
      </c>
      <c r="C659">
        <f t="shared" ca="1" si="171"/>
        <v>7</v>
      </c>
      <c r="D659">
        <f t="shared" ca="1" si="172"/>
        <v>5</v>
      </c>
      <c r="E659">
        <f t="shared" ca="1" si="173"/>
        <v>0</v>
      </c>
      <c r="F659" s="100">
        <f t="shared" ca="1" si="174"/>
        <v>2.0771579999999998E-2</v>
      </c>
      <c r="G659">
        <v>1</v>
      </c>
      <c r="H659">
        <v>0</v>
      </c>
      <c r="I659">
        <v>3</v>
      </c>
      <c r="J659" s="1">
        <f t="shared" ca="1" si="175"/>
        <v>9.6059601000000268E-6</v>
      </c>
      <c r="K659" s="1">
        <f t="shared" ca="1" si="176"/>
        <v>1.9953096869395853E-7</v>
      </c>
      <c r="L659" s="13">
        <f t="shared" ca="1" si="177"/>
        <v>200</v>
      </c>
      <c r="M659" s="7">
        <f t="shared" ca="1" si="178"/>
        <v>800</v>
      </c>
      <c r="N659" s="43">
        <f t="shared" ca="1" si="179"/>
        <v>7</v>
      </c>
      <c r="O659" s="92">
        <f t="shared" ca="1" si="180"/>
        <v>3.2214900588145507</v>
      </c>
      <c r="P659" s="92">
        <f t="shared" ca="1" si="181"/>
        <v>32.214900588145518</v>
      </c>
      <c r="Q659" s="92">
        <f t="shared" ca="1" si="182"/>
        <v>32.214900588145518</v>
      </c>
      <c r="R659" s="92">
        <f t="shared" ca="1" si="183"/>
        <v>3.2214900588145516</v>
      </c>
      <c r="S659" s="92">
        <f t="shared" ca="1" si="184"/>
        <v>3.2214900588145507</v>
      </c>
      <c r="T659" s="4">
        <f t="shared" ca="1" si="185"/>
        <v>6.4278703207322481E-7</v>
      </c>
      <c r="U659" s="99">
        <f t="shared" ca="1" si="186"/>
        <v>1355.9757603899629</v>
      </c>
      <c r="V659" s="4">
        <f t="shared" ca="1" si="187"/>
        <v>2.7055915699613633E-4</v>
      </c>
      <c r="W659" s="13">
        <f t="shared" ca="1" si="188"/>
        <v>24068.288474999998</v>
      </c>
      <c r="X659" s="4">
        <f t="shared" ca="1" si="189"/>
        <v>4.8023689142223875E-3</v>
      </c>
    </row>
    <row r="660" spans="1:24">
      <c r="A660">
        <v>0</v>
      </c>
      <c r="B660">
        <v>3</v>
      </c>
      <c r="C660">
        <f t="shared" ca="1" si="171"/>
        <v>7</v>
      </c>
      <c r="D660">
        <f t="shared" ca="1" si="172"/>
        <v>5</v>
      </c>
      <c r="E660">
        <f t="shared" ca="1" si="173"/>
        <v>0</v>
      </c>
      <c r="F660" s="100">
        <f t="shared" ca="1" si="174"/>
        <v>2.0771579999999998E-2</v>
      </c>
      <c r="G660">
        <v>1</v>
      </c>
      <c r="H660">
        <v>0</v>
      </c>
      <c r="I660">
        <v>2</v>
      </c>
      <c r="J660" s="1">
        <f t="shared" ca="1" si="175"/>
        <v>9.7029900000000355E-8</v>
      </c>
      <c r="K660" s="1">
        <f t="shared" ca="1" si="176"/>
        <v>2.015464330242007E-9</v>
      </c>
      <c r="L660" s="13">
        <f t="shared" ca="1" si="177"/>
        <v>178</v>
      </c>
      <c r="M660" s="7">
        <f t="shared" ca="1" si="178"/>
        <v>822</v>
      </c>
      <c r="N660" s="43">
        <f t="shared" ca="1" si="179"/>
        <v>7</v>
      </c>
      <c r="O660" s="92">
        <f t="shared" ca="1" si="180"/>
        <v>3.2214900588145507</v>
      </c>
      <c r="P660" s="92">
        <f t="shared" ca="1" si="181"/>
        <v>32.214900588145518</v>
      </c>
      <c r="Q660" s="92">
        <f t="shared" ca="1" si="182"/>
        <v>32.214900588145518</v>
      </c>
      <c r="R660" s="92">
        <f t="shared" ca="1" si="183"/>
        <v>3.2214900588145516</v>
      </c>
      <c r="S660" s="92">
        <f t="shared" ca="1" si="184"/>
        <v>3.2214900588145507</v>
      </c>
      <c r="T660" s="4">
        <f t="shared" ca="1" si="185"/>
        <v>6.4927983037699526E-9</v>
      </c>
      <c r="U660" s="99">
        <f t="shared" ca="1" si="186"/>
        <v>1333.9757603899629</v>
      </c>
      <c r="V660" s="4">
        <f t="shared" ca="1" si="187"/>
        <v>2.6885805624734287E-6</v>
      </c>
      <c r="W660" s="13">
        <f t="shared" ca="1" si="188"/>
        <v>18051.216356249999</v>
      </c>
      <c r="X660" s="4">
        <f t="shared" ca="1" si="189"/>
        <v>3.6381582683502966E-5</v>
      </c>
    </row>
    <row r="661" spans="1:24">
      <c r="A661">
        <v>0</v>
      </c>
      <c r="B661">
        <v>3</v>
      </c>
      <c r="C661">
        <f t="shared" ca="1" si="171"/>
        <v>7</v>
      </c>
      <c r="D661">
        <f t="shared" ca="1" si="172"/>
        <v>5</v>
      </c>
      <c r="E661">
        <f t="shared" ca="1" si="173"/>
        <v>0</v>
      </c>
      <c r="F661" s="100">
        <f t="shared" ca="1" si="174"/>
        <v>2.0771579999999998E-2</v>
      </c>
      <c r="G661">
        <v>1</v>
      </c>
      <c r="H661">
        <v>0</v>
      </c>
      <c r="I661">
        <v>1</v>
      </c>
      <c r="J661" s="1">
        <f t="shared" ca="1" si="175"/>
        <v>4.9005000000000225E-10</v>
      </c>
      <c r="K661" s="1">
        <f t="shared" ca="1" si="176"/>
        <v>1.0179112779000045E-11</v>
      </c>
      <c r="L661" s="13">
        <f t="shared" ca="1" si="177"/>
        <v>156</v>
      </c>
      <c r="M661" s="7">
        <f t="shared" ca="1" si="178"/>
        <v>844</v>
      </c>
      <c r="N661" s="43">
        <f t="shared" ca="1" si="179"/>
        <v>7</v>
      </c>
      <c r="O661" s="92">
        <f t="shared" ca="1" si="180"/>
        <v>3.2214900588145507</v>
      </c>
      <c r="P661" s="92">
        <f t="shared" ca="1" si="181"/>
        <v>32.214900588145518</v>
      </c>
      <c r="Q661" s="92">
        <f t="shared" ca="1" si="182"/>
        <v>32.214900588145518</v>
      </c>
      <c r="R661" s="92">
        <f t="shared" ca="1" si="183"/>
        <v>3.2214900588145516</v>
      </c>
      <c r="S661" s="92">
        <f t="shared" ca="1" si="184"/>
        <v>3.2214900588145507</v>
      </c>
      <c r="T661" s="4">
        <f t="shared" ca="1" si="185"/>
        <v>3.2791910625100797E-11</v>
      </c>
      <c r="U661" s="99">
        <f t="shared" ca="1" si="186"/>
        <v>1311.9757603899629</v>
      </c>
      <c r="V661" s="4">
        <f t="shared" ca="1" si="187"/>
        <v>1.3354749228323773E-8</v>
      </c>
      <c r="W661" s="13">
        <f t="shared" ca="1" si="188"/>
        <v>12034.144237499999</v>
      </c>
      <c r="X661" s="4">
        <f t="shared" ca="1" si="189"/>
        <v>1.22496911392266E-7</v>
      </c>
    </row>
    <row r="662" spans="1:24">
      <c r="A662">
        <v>0</v>
      </c>
      <c r="B662">
        <v>3</v>
      </c>
      <c r="C662">
        <f t="shared" ca="1" si="171"/>
        <v>7</v>
      </c>
      <c r="D662">
        <f t="shared" ca="1" si="172"/>
        <v>5</v>
      </c>
      <c r="E662">
        <f t="shared" ca="1" si="173"/>
        <v>0</v>
      </c>
      <c r="F662" s="100">
        <f t="shared" ca="1" si="174"/>
        <v>2.0771579999999998E-2</v>
      </c>
      <c r="G662">
        <v>1</v>
      </c>
      <c r="H662">
        <v>0</v>
      </c>
      <c r="I662">
        <v>0</v>
      </c>
      <c r="J662" s="1">
        <f t="shared" ca="1" si="175"/>
        <v>9.9000000000000548E-13</v>
      </c>
      <c r="K662" s="1">
        <f t="shared" ca="1" si="176"/>
        <v>2.0563864200000112E-14</v>
      </c>
      <c r="L662" s="13">
        <f t="shared" ca="1" si="177"/>
        <v>134</v>
      </c>
      <c r="M662" s="7">
        <f t="shared" ca="1" si="178"/>
        <v>866</v>
      </c>
      <c r="N662" s="43">
        <f t="shared" ca="1" si="179"/>
        <v>7</v>
      </c>
      <c r="O662" s="92">
        <f t="shared" ca="1" si="180"/>
        <v>3.2214900588145507</v>
      </c>
      <c r="P662" s="92">
        <f t="shared" ca="1" si="181"/>
        <v>32.214900588145518</v>
      </c>
      <c r="Q662" s="92">
        <f t="shared" ca="1" si="182"/>
        <v>32.214900588145518</v>
      </c>
      <c r="R662" s="92">
        <f t="shared" ca="1" si="183"/>
        <v>3.2214900588145516</v>
      </c>
      <c r="S662" s="92">
        <f t="shared" ca="1" si="184"/>
        <v>3.2214900588145507</v>
      </c>
      <c r="T662" s="4">
        <f t="shared" ca="1" si="185"/>
        <v>6.6246284091112799E-14</v>
      </c>
      <c r="U662" s="99">
        <f t="shared" ca="1" si="186"/>
        <v>1289.9757603899629</v>
      </c>
      <c r="V662" s="4">
        <f t="shared" ca="1" si="187"/>
        <v>2.6526886357951082E-11</v>
      </c>
      <c r="W662" s="13">
        <f t="shared" ca="1" si="188"/>
        <v>6017.0721187499994</v>
      </c>
      <c r="X662" s="4">
        <f t="shared" ca="1" si="189"/>
        <v>1.2373425393158194E-10</v>
      </c>
    </row>
    <row r="663" spans="1:24">
      <c r="A663">
        <v>0</v>
      </c>
      <c r="B663">
        <v>3</v>
      </c>
      <c r="C663">
        <f t="shared" ca="1" si="171"/>
        <v>7</v>
      </c>
      <c r="D663">
        <f t="shared" ca="1" si="172"/>
        <v>5</v>
      </c>
      <c r="E663">
        <f t="shared" ca="1" si="173"/>
        <v>0</v>
      </c>
      <c r="F663" s="100">
        <f t="shared" ca="1" si="174"/>
        <v>2.0771579999999998E-2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288</v>
      </c>
      <c r="M663" s="7">
        <f t="shared" ca="1" si="178"/>
        <v>712</v>
      </c>
      <c r="N663" s="43">
        <f t="shared" ca="1" si="179"/>
        <v>6</v>
      </c>
      <c r="O663" s="92">
        <f t="shared" ca="1" si="180"/>
        <v>2.7275117780454798</v>
      </c>
      <c r="P663" s="92">
        <f t="shared" ca="1" si="181"/>
        <v>27.275117780454792</v>
      </c>
      <c r="Q663" s="92">
        <f t="shared" ca="1" si="182"/>
        <v>27.275117780454792</v>
      </c>
      <c r="R663" s="92">
        <f t="shared" ca="1" si="183"/>
        <v>2.7275117780454794</v>
      </c>
      <c r="S663" s="92">
        <f t="shared" ca="1" si="184"/>
        <v>2.7275117780454794</v>
      </c>
      <c r="T663" s="4">
        <f t="shared" ca="1" si="185"/>
        <v>0</v>
      </c>
      <c r="U663" s="99">
        <f t="shared" ca="1" si="186"/>
        <v>1290.6329230659346</v>
      </c>
      <c r="V663" s="4">
        <f t="shared" ca="1" si="187"/>
        <v>0</v>
      </c>
      <c r="W663" s="13">
        <f t="shared" ca="1" si="188"/>
        <v>48264.818043749998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ca="1" si="171"/>
        <v>7</v>
      </c>
      <c r="D664">
        <f t="shared" ca="1" si="172"/>
        <v>5</v>
      </c>
      <c r="E664">
        <f t="shared" ca="1" si="173"/>
        <v>0</v>
      </c>
      <c r="F664" s="100">
        <f t="shared" ca="1" si="174"/>
        <v>2.0771579999999998E-2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266</v>
      </c>
      <c r="M664" s="7">
        <f t="shared" ca="1" si="178"/>
        <v>734</v>
      </c>
      <c r="N664" s="43">
        <f t="shared" ca="1" si="179"/>
        <v>6</v>
      </c>
      <c r="O664" s="92">
        <f t="shared" ca="1" si="180"/>
        <v>2.7275117780454798</v>
      </c>
      <c r="P664" s="92">
        <f t="shared" ca="1" si="181"/>
        <v>27.275117780454792</v>
      </c>
      <c r="Q664" s="92">
        <f t="shared" ca="1" si="182"/>
        <v>27.275117780454792</v>
      </c>
      <c r="R664" s="92">
        <f t="shared" ca="1" si="183"/>
        <v>2.7275117780454794</v>
      </c>
      <c r="S664" s="92">
        <f t="shared" ca="1" si="184"/>
        <v>2.7275117780454794</v>
      </c>
      <c r="T664" s="4">
        <f t="shared" ca="1" si="185"/>
        <v>0</v>
      </c>
      <c r="U664" s="99">
        <f t="shared" ca="1" si="186"/>
        <v>1268.6329230659346</v>
      </c>
      <c r="V664" s="4">
        <f t="shared" ca="1" si="187"/>
        <v>0</v>
      </c>
      <c r="W664" s="13">
        <f t="shared" ca="1" si="188"/>
        <v>42247.745924999996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ca="1" si="171"/>
        <v>7</v>
      </c>
      <c r="D665">
        <f t="shared" ca="1" si="172"/>
        <v>5</v>
      </c>
      <c r="E665">
        <f t="shared" ca="1" si="173"/>
        <v>0</v>
      </c>
      <c r="F665" s="100">
        <f t="shared" ca="1" si="174"/>
        <v>2.0771579999999998E-2</v>
      </c>
      <c r="G665">
        <v>0</v>
      </c>
      <c r="H665">
        <v>1</v>
      </c>
      <c r="I665">
        <v>5</v>
      </c>
      <c r="J665" s="1">
        <f t="shared" ca="1" si="175"/>
        <v>9.4148014940100087E-3</v>
      </c>
      <c r="K665" s="1">
        <f t="shared" ca="1" si="176"/>
        <v>1.9556030241694839E-4</v>
      </c>
      <c r="L665" s="13">
        <f t="shared" ca="1" si="177"/>
        <v>244</v>
      </c>
      <c r="M665" s="7">
        <f t="shared" ca="1" si="178"/>
        <v>756</v>
      </c>
      <c r="N665" s="43">
        <f t="shared" ca="1" si="179"/>
        <v>7</v>
      </c>
      <c r="O665" s="92">
        <f t="shared" ca="1" si="180"/>
        <v>3.2214900588145507</v>
      </c>
      <c r="P665" s="92">
        <f t="shared" ca="1" si="181"/>
        <v>29.745009184300148</v>
      </c>
      <c r="Q665" s="92">
        <f t="shared" ca="1" si="182"/>
        <v>27.275117780454792</v>
      </c>
      <c r="R665" s="92">
        <f t="shared" ca="1" si="183"/>
        <v>2.851006348237747</v>
      </c>
      <c r="S665" s="92">
        <f t="shared" ca="1" si="184"/>
        <v>3.1955561990741743</v>
      </c>
      <c r="T665" s="4">
        <f t="shared" ca="1" si="185"/>
        <v>6.2492393668129968E-4</v>
      </c>
      <c r="U665" s="99">
        <f t="shared" ca="1" si="186"/>
        <v>1391.9252614304514</v>
      </c>
      <c r="V665" s="4">
        <f t="shared" ca="1" si="187"/>
        <v>0.27220532506712902</v>
      </c>
      <c r="W665" s="13">
        <f t="shared" ca="1" si="188"/>
        <v>36230.673806249994</v>
      </c>
      <c r="X665" s="4">
        <f t="shared" ca="1" si="189"/>
        <v>7.0852815263200597</v>
      </c>
    </row>
    <row r="666" spans="1:24">
      <c r="A666">
        <v>0</v>
      </c>
      <c r="B666">
        <v>3</v>
      </c>
      <c r="C666">
        <f t="shared" ca="1" si="171"/>
        <v>7</v>
      </c>
      <c r="D666">
        <f t="shared" ca="1" si="172"/>
        <v>5</v>
      </c>
      <c r="E666">
        <f t="shared" ca="1" si="173"/>
        <v>0</v>
      </c>
      <c r="F666" s="100">
        <f t="shared" ca="1" si="174"/>
        <v>2.0771579999999998E-2</v>
      </c>
      <c r="G666">
        <v>0</v>
      </c>
      <c r="H666">
        <v>1</v>
      </c>
      <c r="I666">
        <v>4</v>
      </c>
      <c r="J666" s="1">
        <f t="shared" ca="1" si="175"/>
        <v>4.7549502495000082E-4</v>
      </c>
      <c r="K666" s="1">
        <f t="shared" ca="1" si="176"/>
        <v>9.876782950350937E-6</v>
      </c>
      <c r="L666" s="13">
        <f t="shared" ca="1" si="177"/>
        <v>222</v>
      </c>
      <c r="M666" s="7">
        <f t="shared" ca="1" si="178"/>
        <v>778</v>
      </c>
      <c r="N666" s="43">
        <f t="shared" ca="1" si="179"/>
        <v>7</v>
      </c>
      <c r="O666" s="92">
        <f t="shared" ca="1" si="180"/>
        <v>3.2214900588145507</v>
      </c>
      <c r="P666" s="92">
        <f t="shared" ca="1" si="181"/>
        <v>32.214900588145518</v>
      </c>
      <c r="Q666" s="92">
        <f t="shared" ca="1" si="182"/>
        <v>32.214900588145518</v>
      </c>
      <c r="R666" s="92">
        <f t="shared" ca="1" si="183"/>
        <v>3.2214900588145516</v>
      </c>
      <c r="S666" s="92">
        <f t="shared" ca="1" si="184"/>
        <v>3.2214900588145507</v>
      </c>
      <c r="T666" s="4">
        <f t="shared" ca="1" si="185"/>
        <v>3.1817958087624594E-5</v>
      </c>
      <c r="U666" s="99">
        <f t="shared" ca="1" si="186"/>
        <v>1377.9757603899629</v>
      </c>
      <c r="V666" s="4">
        <f t="shared" ca="1" si="187"/>
        <v>1.3609967496216454E-2</v>
      </c>
      <c r="W666" s="13">
        <f t="shared" ca="1" si="188"/>
        <v>30213.601687499999</v>
      </c>
      <c r="X666" s="4">
        <f t="shared" ca="1" si="189"/>
        <v>0.29841318601579431</v>
      </c>
    </row>
    <row r="667" spans="1:24">
      <c r="A667">
        <v>0</v>
      </c>
      <c r="B667">
        <v>3</v>
      </c>
      <c r="C667">
        <f t="shared" ca="1" si="171"/>
        <v>7</v>
      </c>
      <c r="D667">
        <f t="shared" ca="1" si="172"/>
        <v>5</v>
      </c>
      <c r="E667">
        <f t="shared" ca="1" si="173"/>
        <v>0</v>
      </c>
      <c r="F667" s="100">
        <f t="shared" ca="1" si="174"/>
        <v>2.0771579999999998E-2</v>
      </c>
      <c r="G667">
        <v>0</v>
      </c>
      <c r="H667">
        <v>1</v>
      </c>
      <c r="I667">
        <v>3</v>
      </c>
      <c r="J667" s="1">
        <f t="shared" ca="1" si="175"/>
        <v>9.6059601000000268E-6</v>
      </c>
      <c r="K667" s="1">
        <f t="shared" ca="1" si="176"/>
        <v>1.9953096869395853E-7</v>
      </c>
      <c r="L667" s="13">
        <f t="shared" ca="1" si="177"/>
        <v>200</v>
      </c>
      <c r="M667" s="7">
        <f t="shared" ca="1" si="178"/>
        <v>800</v>
      </c>
      <c r="N667" s="43">
        <f t="shared" ca="1" si="179"/>
        <v>7</v>
      </c>
      <c r="O667" s="92">
        <f t="shared" ca="1" si="180"/>
        <v>3.2214900588145507</v>
      </c>
      <c r="P667" s="92">
        <f t="shared" ca="1" si="181"/>
        <v>32.214900588145518</v>
      </c>
      <c r="Q667" s="92">
        <f t="shared" ca="1" si="182"/>
        <v>32.214900588145518</v>
      </c>
      <c r="R667" s="92">
        <f t="shared" ca="1" si="183"/>
        <v>3.2214900588145516</v>
      </c>
      <c r="S667" s="92">
        <f t="shared" ca="1" si="184"/>
        <v>3.2214900588145507</v>
      </c>
      <c r="T667" s="4">
        <f t="shared" ca="1" si="185"/>
        <v>6.4278703207322481E-7</v>
      </c>
      <c r="U667" s="99">
        <f t="shared" ca="1" si="186"/>
        <v>1355.9757603899629</v>
      </c>
      <c r="V667" s="4">
        <f t="shared" ca="1" si="187"/>
        <v>2.7055915699613633E-4</v>
      </c>
      <c r="W667" s="13">
        <f t="shared" ca="1" si="188"/>
        <v>24196.529568749997</v>
      </c>
      <c r="X667" s="4">
        <f t="shared" ca="1" si="189"/>
        <v>4.8279569838846972E-3</v>
      </c>
    </row>
    <row r="668" spans="1:24">
      <c r="A668">
        <v>0</v>
      </c>
      <c r="B668">
        <v>3</v>
      </c>
      <c r="C668">
        <f t="shared" ca="1" si="171"/>
        <v>7</v>
      </c>
      <c r="D668">
        <f t="shared" ca="1" si="172"/>
        <v>5</v>
      </c>
      <c r="E668">
        <f t="shared" ca="1" si="173"/>
        <v>0</v>
      </c>
      <c r="F668" s="100">
        <f t="shared" ca="1" si="174"/>
        <v>2.0771579999999998E-2</v>
      </c>
      <c r="G668">
        <v>0</v>
      </c>
      <c r="H668">
        <v>1</v>
      </c>
      <c r="I668">
        <v>2</v>
      </c>
      <c r="J668" s="1">
        <f t="shared" ca="1" si="175"/>
        <v>9.7029900000000355E-8</v>
      </c>
      <c r="K668" s="1">
        <f t="shared" ca="1" si="176"/>
        <v>2.015464330242007E-9</v>
      </c>
      <c r="L668" s="13">
        <f t="shared" ca="1" si="177"/>
        <v>178</v>
      </c>
      <c r="M668" s="7">
        <f t="shared" ca="1" si="178"/>
        <v>822</v>
      </c>
      <c r="N668" s="43">
        <f t="shared" ca="1" si="179"/>
        <v>7</v>
      </c>
      <c r="O668" s="92">
        <f t="shared" ca="1" si="180"/>
        <v>3.2214900588145507</v>
      </c>
      <c r="P668" s="92">
        <f t="shared" ca="1" si="181"/>
        <v>32.214900588145518</v>
      </c>
      <c r="Q668" s="92">
        <f t="shared" ca="1" si="182"/>
        <v>32.214900588145518</v>
      </c>
      <c r="R668" s="92">
        <f t="shared" ca="1" si="183"/>
        <v>3.2214900588145516</v>
      </c>
      <c r="S668" s="92">
        <f t="shared" ca="1" si="184"/>
        <v>3.2214900588145507</v>
      </c>
      <c r="T668" s="4">
        <f t="shared" ca="1" si="185"/>
        <v>6.4927983037699526E-9</v>
      </c>
      <c r="U668" s="99">
        <f t="shared" ca="1" si="186"/>
        <v>1333.9757603899629</v>
      </c>
      <c r="V668" s="4">
        <f t="shared" ca="1" si="187"/>
        <v>2.6885805624734287E-6</v>
      </c>
      <c r="W668" s="13">
        <f t="shared" ca="1" si="188"/>
        <v>18179.457449999998</v>
      </c>
      <c r="X668" s="4">
        <f t="shared" ca="1" si="189"/>
        <v>3.6640048033627309E-5</v>
      </c>
    </row>
    <row r="669" spans="1:24">
      <c r="A669">
        <v>0</v>
      </c>
      <c r="B669">
        <v>3</v>
      </c>
      <c r="C669">
        <f t="shared" ca="1" si="171"/>
        <v>7</v>
      </c>
      <c r="D669">
        <f t="shared" ca="1" si="172"/>
        <v>5</v>
      </c>
      <c r="E669">
        <f t="shared" ca="1" si="173"/>
        <v>0</v>
      </c>
      <c r="F669" s="100">
        <f t="shared" ca="1" si="174"/>
        <v>2.0771579999999998E-2</v>
      </c>
      <c r="G669">
        <v>0</v>
      </c>
      <c r="H669">
        <v>1</v>
      </c>
      <c r="I669">
        <v>1</v>
      </c>
      <c r="J669" s="1">
        <f t="shared" ca="1" si="175"/>
        <v>4.9005000000000225E-10</v>
      </c>
      <c r="K669" s="1">
        <f t="shared" ca="1" si="176"/>
        <v>1.0179112779000045E-11</v>
      </c>
      <c r="L669" s="13">
        <f t="shared" ca="1" si="177"/>
        <v>156</v>
      </c>
      <c r="M669" s="7">
        <f t="shared" ca="1" si="178"/>
        <v>844</v>
      </c>
      <c r="N669" s="43">
        <f t="shared" ca="1" si="179"/>
        <v>7</v>
      </c>
      <c r="O669" s="92">
        <f t="shared" ca="1" si="180"/>
        <v>3.2214900588145507</v>
      </c>
      <c r="P669" s="92">
        <f t="shared" ca="1" si="181"/>
        <v>32.214900588145518</v>
      </c>
      <c r="Q669" s="92">
        <f t="shared" ca="1" si="182"/>
        <v>32.214900588145518</v>
      </c>
      <c r="R669" s="92">
        <f t="shared" ca="1" si="183"/>
        <v>3.2214900588145516</v>
      </c>
      <c r="S669" s="92">
        <f t="shared" ca="1" si="184"/>
        <v>3.2214900588145507</v>
      </c>
      <c r="T669" s="4">
        <f t="shared" ca="1" si="185"/>
        <v>3.2791910625100797E-11</v>
      </c>
      <c r="U669" s="99">
        <f t="shared" ca="1" si="186"/>
        <v>1311.9757603899629</v>
      </c>
      <c r="V669" s="4">
        <f t="shared" ca="1" si="187"/>
        <v>1.3354749228323773E-8</v>
      </c>
      <c r="W669" s="13">
        <f t="shared" ca="1" si="188"/>
        <v>12162.38533125</v>
      </c>
      <c r="X669" s="4">
        <f t="shared" ca="1" si="189"/>
        <v>1.2380229194844956E-7</v>
      </c>
    </row>
    <row r="670" spans="1:24">
      <c r="A670">
        <v>0</v>
      </c>
      <c r="B670">
        <v>3</v>
      </c>
      <c r="C670">
        <f t="shared" ca="1" si="171"/>
        <v>7</v>
      </c>
      <c r="D670">
        <f t="shared" ca="1" si="172"/>
        <v>5</v>
      </c>
      <c r="E670">
        <f t="shared" ca="1" si="173"/>
        <v>0</v>
      </c>
      <c r="F670" s="100">
        <f t="shared" ca="1" si="174"/>
        <v>2.0771579999999998E-2</v>
      </c>
      <c r="G670">
        <v>0</v>
      </c>
      <c r="H670">
        <v>1</v>
      </c>
      <c r="I670">
        <v>0</v>
      </c>
      <c r="J670" s="1">
        <f t="shared" ca="1" si="175"/>
        <v>9.9000000000000548E-13</v>
      </c>
      <c r="K670" s="1">
        <f t="shared" ca="1" si="176"/>
        <v>2.0563864200000112E-14</v>
      </c>
      <c r="L670" s="13">
        <f t="shared" ca="1" si="177"/>
        <v>134</v>
      </c>
      <c r="M670" s="7">
        <f t="shared" ca="1" si="178"/>
        <v>866</v>
      </c>
      <c r="N670" s="43">
        <f t="shared" ca="1" si="179"/>
        <v>7</v>
      </c>
      <c r="O670" s="92">
        <f t="shared" ca="1" si="180"/>
        <v>3.2214900588145507</v>
      </c>
      <c r="P670" s="92">
        <f t="shared" ca="1" si="181"/>
        <v>32.214900588145518</v>
      </c>
      <c r="Q670" s="92">
        <f t="shared" ca="1" si="182"/>
        <v>32.214900588145518</v>
      </c>
      <c r="R670" s="92">
        <f t="shared" ca="1" si="183"/>
        <v>3.2214900588145516</v>
      </c>
      <c r="S670" s="92">
        <f t="shared" ca="1" si="184"/>
        <v>3.2214900588145507</v>
      </c>
      <c r="T670" s="4">
        <f t="shared" ca="1" si="185"/>
        <v>6.6246284091112799E-14</v>
      </c>
      <c r="U670" s="99">
        <f t="shared" ca="1" si="186"/>
        <v>1289.9757603899629</v>
      </c>
      <c r="V670" s="4">
        <f t="shared" ca="1" si="187"/>
        <v>2.6526886357951082E-11</v>
      </c>
      <c r="W670" s="13">
        <f t="shared" ca="1" si="188"/>
        <v>6145.3132124999993</v>
      </c>
      <c r="X670" s="4">
        <f t="shared" ca="1" si="189"/>
        <v>1.2637138636831642E-10</v>
      </c>
    </row>
    <row r="671" spans="1:24">
      <c r="A671">
        <v>0</v>
      </c>
      <c r="B671">
        <v>3</v>
      </c>
      <c r="C671">
        <f t="shared" ca="1" si="171"/>
        <v>7</v>
      </c>
      <c r="D671">
        <f t="shared" ca="1" si="172"/>
        <v>5</v>
      </c>
      <c r="E671">
        <f t="shared" ca="1" si="173"/>
        <v>0</v>
      </c>
      <c r="F671" s="100">
        <f t="shared" ca="1" si="174"/>
        <v>2.0771579999999998E-2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3">
        <f t="shared" ca="1" si="179"/>
        <v>7</v>
      </c>
      <c r="O671" s="92">
        <f t="shared" ca="1" si="180"/>
        <v>3.2214900588145507</v>
      </c>
      <c r="P671" s="92">
        <f t="shared" ca="1" si="181"/>
        <v>32.214900588145518</v>
      </c>
      <c r="Q671" s="92">
        <f t="shared" ca="1" si="182"/>
        <v>32.214900588145518</v>
      </c>
      <c r="R671" s="92">
        <f t="shared" ca="1" si="183"/>
        <v>3.2214900588145516</v>
      </c>
      <c r="S671" s="92">
        <f t="shared" ca="1" si="184"/>
        <v>3.2214900588145507</v>
      </c>
      <c r="T671" s="4">
        <f t="shared" ca="1" si="185"/>
        <v>0</v>
      </c>
      <c r="U671" s="99">
        <f t="shared" ca="1" si="186"/>
        <v>1309.9757603899629</v>
      </c>
      <c r="V671" s="4">
        <f t="shared" ca="1" si="187"/>
        <v>0</v>
      </c>
      <c r="W671" s="13">
        <f t="shared" ca="1" si="188"/>
        <v>42119.50483125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ca="1" si="171"/>
        <v>7</v>
      </c>
      <c r="D672">
        <f t="shared" ca="1" si="172"/>
        <v>5</v>
      </c>
      <c r="E672">
        <f t="shared" ca="1" si="173"/>
        <v>0</v>
      </c>
      <c r="F672" s="100">
        <f t="shared" ca="1" si="174"/>
        <v>2.0771579999999998E-2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3">
        <f t="shared" ca="1" si="179"/>
        <v>7</v>
      </c>
      <c r="O672" s="92">
        <f t="shared" ca="1" si="180"/>
        <v>3.2214900588145507</v>
      </c>
      <c r="P672" s="92">
        <f t="shared" ca="1" si="181"/>
        <v>32.214900588145518</v>
      </c>
      <c r="Q672" s="92">
        <f t="shared" ca="1" si="182"/>
        <v>32.214900588145518</v>
      </c>
      <c r="R672" s="92">
        <f t="shared" ca="1" si="183"/>
        <v>3.2214900588145516</v>
      </c>
      <c r="S672" s="92">
        <f t="shared" ca="1" si="184"/>
        <v>3.2214900588145507</v>
      </c>
      <c r="T672" s="4">
        <f t="shared" ca="1" si="185"/>
        <v>0</v>
      </c>
      <c r="U672" s="99">
        <f t="shared" ca="1" si="186"/>
        <v>1287.9757603899629</v>
      </c>
      <c r="V672" s="4">
        <f t="shared" ca="1" si="187"/>
        <v>0</v>
      </c>
      <c r="W672" s="13">
        <f t="shared" ca="1" si="188"/>
        <v>36102.432712499998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ca="1" si="171"/>
        <v>7</v>
      </c>
      <c r="D673">
        <f t="shared" ca="1" si="172"/>
        <v>5</v>
      </c>
      <c r="E673">
        <f t="shared" ca="1" si="173"/>
        <v>0</v>
      </c>
      <c r="F673" s="100">
        <f t="shared" ca="1" si="174"/>
        <v>2.0771579999999998E-2</v>
      </c>
      <c r="G673">
        <v>0</v>
      </c>
      <c r="H673">
        <v>0</v>
      </c>
      <c r="I673">
        <v>5</v>
      </c>
      <c r="J673" s="1">
        <f t="shared" ca="1" si="175"/>
        <v>9.5099004990000158E-5</v>
      </c>
      <c r="K673" s="1">
        <f t="shared" ca="1" si="176"/>
        <v>1.9753565900701873E-6</v>
      </c>
      <c r="L673" s="13">
        <f t="shared" ca="1" si="177"/>
        <v>110</v>
      </c>
      <c r="M673" s="7">
        <f t="shared" ca="1" si="178"/>
        <v>890</v>
      </c>
      <c r="N673" s="43">
        <f t="shared" ca="1" si="179"/>
        <v>8</v>
      </c>
      <c r="O673" s="92">
        <f t="shared" ca="1" si="180"/>
        <v>3.5531918581169131</v>
      </c>
      <c r="P673" s="92">
        <f t="shared" ca="1" si="181"/>
        <v>35.531918581169137</v>
      </c>
      <c r="Q673" s="92">
        <f t="shared" ca="1" si="182"/>
        <v>33.541707785354966</v>
      </c>
      <c r="R673" s="92">
        <f t="shared" ca="1" si="183"/>
        <v>3.4536813183262054</v>
      </c>
      <c r="S673" s="92">
        <f t="shared" ca="1" si="184"/>
        <v>3.5462261203315633</v>
      </c>
      <c r="T673" s="4">
        <f t="shared" ca="1" si="185"/>
        <v>7.0050611366759862E-6</v>
      </c>
      <c r="U673" s="99">
        <f t="shared" ca="1" si="186"/>
        <v>1366.7817087343356</v>
      </c>
      <c r="V673" s="4">
        <f t="shared" ca="1" si="187"/>
        <v>2.6998812555357608E-3</v>
      </c>
      <c r="W673" s="13">
        <f t="shared" ca="1" si="188"/>
        <v>30085.360593749996</v>
      </c>
      <c r="X673" s="4">
        <f t="shared" ca="1" si="189"/>
        <v>5.9429315313501978E-2</v>
      </c>
    </row>
    <row r="674" spans="1:24">
      <c r="A674">
        <v>0</v>
      </c>
      <c r="B674">
        <v>3</v>
      </c>
      <c r="C674">
        <f t="shared" ca="1" si="171"/>
        <v>7</v>
      </c>
      <c r="D674">
        <f t="shared" ca="1" si="172"/>
        <v>5</v>
      </c>
      <c r="E674">
        <f t="shared" ca="1" si="173"/>
        <v>0</v>
      </c>
      <c r="F674" s="100">
        <f t="shared" ca="1" si="174"/>
        <v>2.0771579999999998E-2</v>
      </c>
      <c r="G674">
        <v>0</v>
      </c>
      <c r="H674">
        <v>0</v>
      </c>
      <c r="I674">
        <v>4</v>
      </c>
      <c r="J674" s="1">
        <f t="shared" ca="1" si="175"/>
        <v>4.8029800500000126E-6</v>
      </c>
      <c r="K674" s="1">
        <f t="shared" ca="1" si="176"/>
        <v>9.9765484346979254E-8</v>
      </c>
      <c r="L674" s="13">
        <f t="shared" ca="1" si="177"/>
        <v>100</v>
      </c>
      <c r="M674" s="7">
        <f t="shared" ca="1" si="178"/>
        <v>900</v>
      </c>
      <c r="N674" s="43">
        <f t="shared" ca="1" si="179"/>
        <v>8</v>
      </c>
      <c r="O674" s="92">
        <f t="shared" ca="1" si="180"/>
        <v>3.5531918581169131</v>
      </c>
      <c r="P674" s="92">
        <f t="shared" ca="1" si="181"/>
        <v>35.531918581169137</v>
      </c>
      <c r="Q674" s="92">
        <f t="shared" ca="1" si="182"/>
        <v>35.531918581169137</v>
      </c>
      <c r="R674" s="92">
        <f t="shared" ca="1" si="183"/>
        <v>3.5531918581169135</v>
      </c>
      <c r="S674" s="92">
        <f t="shared" ca="1" si="184"/>
        <v>3.5531918581169126</v>
      </c>
      <c r="T674" s="4">
        <f t="shared" ca="1" si="185"/>
        <v>3.5448590670277695E-7</v>
      </c>
      <c r="U674" s="99">
        <f t="shared" ca="1" si="186"/>
        <v>1358.9440426620492</v>
      </c>
      <c r="V674" s="4">
        <f t="shared" ca="1" si="187"/>
        <v>1.3557571061662138E-4</v>
      </c>
      <c r="W674" s="13">
        <f t="shared" ca="1" si="188"/>
        <v>24068.288474999998</v>
      </c>
      <c r="X674" s="4">
        <f t="shared" ca="1" si="189"/>
        <v>2.4011844571111933E-3</v>
      </c>
    </row>
    <row r="675" spans="1:24">
      <c r="A675">
        <v>0</v>
      </c>
      <c r="B675">
        <v>3</v>
      </c>
      <c r="C675">
        <f t="shared" ca="1" si="171"/>
        <v>7</v>
      </c>
      <c r="D675">
        <f t="shared" ca="1" si="172"/>
        <v>5</v>
      </c>
      <c r="E675">
        <f t="shared" ca="1" si="173"/>
        <v>0</v>
      </c>
      <c r="F675" s="100">
        <f t="shared" ca="1" si="174"/>
        <v>2.0771579999999998E-2</v>
      </c>
      <c r="G675">
        <v>0</v>
      </c>
      <c r="H675">
        <v>0</v>
      </c>
      <c r="I675">
        <v>3</v>
      </c>
      <c r="J675" s="1">
        <f t="shared" ca="1" si="175"/>
        <v>9.7029900000000341E-8</v>
      </c>
      <c r="K675" s="1">
        <f t="shared" ca="1" si="176"/>
        <v>2.015464330242007E-9</v>
      </c>
      <c r="L675" s="13">
        <f t="shared" ca="1" si="177"/>
        <v>100</v>
      </c>
      <c r="M675" s="7">
        <f t="shared" ca="1" si="178"/>
        <v>900</v>
      </c>
      <c r="N675" s="43">
        <f t="shared" ca="1" si="179"/>
        <v>8</v>
      </c>
      <c r="O675" s="92">
        <f t="shared" ca="1" si="180"/>
        <v>3.5531918581169131</v>
      </c>
      <c r="P675" s="92">
        <f t="shared" ca="1" si="181"/>
        <v>35.531918581169137</v>
      </c>
      <c r="Q675" s="92">
        <f t="shared" ca="1" si="182"/>
        <v>35.531918581169137</v>
      </c>
      <c r="R675" s="92">
        <f t="shared" ca="1" si="183"/>
        <v>3.5531918581169135</v>
      </c>
      <c r="S675" s="92">
        <f t="shared" ca="1" si="184"/>
        <v>3.5531918581169126</v>
      </c>
      <c r="T675" s="4">
        <f t="shared" ca="1" si="185"/>
        <v>7.1613314485409561E-9</v>
      </c>
      <c r="U675" s="99">
        <f t="shared" ca="1" si="186"/>
        <v>1358.9440426620492</v>
      </c>
      <c r="V675" s="4">
        <f t="shared" ca="1" si="187"/>
        <v>2.7389032447802326E-6</v>
      </c>
      <c r="W675" s="13">
        <f t="shared" ca="1" si="188"/>
        <v>18051.216356249999</v>
      </c>
      <c r="X675" s="4">
        <f t="shared" ca="1" si="189"/>
        <v>3.6381582683502966E-5</v>
      </c>
    </row>
    <row r="676" spans="1:24">
      <c r="A676">
        <v>0</v>
      </c>
      <c r="B676">
        <v>3</v>
      </c>
      <c r="C676">
        <f t="shared" ca="1" si="171"/>
        <v>7</v>
      </c>
      <c r="D676">
        <f t="shared" ca="1" si="172"/>
        <v>5</v>
      </c>
      <c r="E676">
        <f t="shared" ca="1" si="173"/>
        <v>0</v>
      </c>
      <c r="F676" s="100">
        <f t="shared" ca="1" si="174"/>
        <v>2.0771579999999998E-2</v>
      </c>
      <c r="G676">
        <v>0</v>
      </c>
      <c r="H676">
        <v>0</v>
      </c>
      <c r="I676">
        <v>2</v>
      </c>
      <c r="J676" s="1">
        <f t="shared" ca="1" si="175"/>
        <v>9.801000000000045E-10</v>
      </c>
      <c r="K676" s="1">
        <f t="shared" ca="1" si="176"/>
        <v>2.035822555800009E-11</v>
      </c>
      <c r="L676" s="13">
        <f t="shared" ca="1" si="177"/>
        <v>100</v>
      </c>
      <c r="M676" s="7">
        <f t="shared" ca="1" si="178"/>
        <v>900</v>
      </c>
      <c r="N676" s="43">
        <f t="shared" ca="1" si="179"/>
        <v>8</v>
      </c>
      <c r="O676" s="92">
        <f t="shared" ca="1" si="180"/>
        <v>3.5531918581169131</v>
      </c>
      <c r="P676" s="92">
        <f t="shared" ca="1" si="181"/>
        <v>35.531918581169137</v>
      </c>
      <c r="Q676" s="92">
        <f t="shared" ca="1" si="182"/>
        <v>35.531918581169137</v>
      </c>
      <c r="R676" s="92">
        <f t="shared" ca="1" si="183"/>
        <v>3.5531918581169135</v>
      </c>
      <c r="S676" s="92">
        <f t="shared" ca="1" si="184"/>
        <v>3.5531918581169126</v>
      </c>
      <c r="T676" s="4">
        <f t="shared" ca="1" si="185"/>
        <v>7.2336681298393563E-11</v>
      </c>
      <c r="U676" s="99">
        <f t="shared" ca="1" si="186"/>
        <v>1358.9440426620492</v>
      </c>
      <c r="V676" s="4">
        <f t="shared" ca="1" si="187"/>
        <v>2.7665689341214495E-8</v>
      </c>
      <c r="W676" s="13">
        <f t="shared" ca="1" si="188"/>
        <v>12034.144237499999</v>
      </c>
      <c r="X676" s="4">
        <f t="shared" ca="1" si="189"/>
        <v>2.4499382278453199E-7</v>
      </c>
    </row>
    <row r="677" spans="1:24">
      <c r="A677">
        <v>0</v>
      </c>
      <c r="B677">
        <v>3</v>
      </c>
      <c r="C677">
        <f t="shared" ca="1" si="171"/>
        <v>7</v>
      </c>
      <c r="D677">
        <f t="shared" ca="1" si="172"/>
        <v>5</v>
      </c>
      <c r="E677">
        <f t="shared" ca="1" si="173"/>
        <v>0</v>
      </c>
      <c r="F677" s="100">
        <f t="shared" ca="1" si="174"/>
        <v>2.0771579999999998E-2</v>
      </c>
      <c r="G677">
        <v>0</v>
      </c>
      <c r="H677">
        <v>0</v>
      </c>
      <c r="I677">
        <v>1</v>
      </c>
      <c r="J677" s="1">
        <f t="shared" ca="1" si="175"/>
        <v>4.9500000000000272E-12</v>
      </c>
      <c r="K677" s="1">
        <f t="shared" ca="1" si="176"/>
        <v>1.0281932100000056E-13</v>
      </c>
      <c r="L677" s="13">
        <f t="shared" ca="1" si="177"/>
        <v>100</v>
      </c>
      <c r="M677" s="7">
        <f t="shared" ca="1" si="178"/>
        <v>900</v>
      </c>
      <c r="N677" s="43">
        <f t="shared" ca="1" si="179"/>
        <v>8</v>
      </c>
      <c r="O677" s="92">
        <f t="shared" ca="1" si="180"/>
        <v>3.5531918581169131</v>
      </c>
      <c r="P677" s="92">
        <f t="shared" ca="1" si="181"/>
        <v>35.531918581169137</v>
      </c>
      <c r="Q677" s="92">
        <f t="shared" ca="1" si="182"/>
        <v>35.531918581169137</v>
      </c>
      <c r="R677" s="92">
        <f t="shared" ca="1" si="183"/>
        <v>3.5531918581169135</v>
      </c>
      <c r="S677" s="92">
        <f t="shared" ca="1" si="184"/>
        <v>3.5531918581169126</v>
      </c>
      <c r="T677" s="4">
        <f t="shared" ca="1" si="185"/>
        <v>3.6533677423431125E-13</v>
      </c>
      <c r="U677" s="99">
        <f t="shared" ca="1" si="186"/>
        <v>1358.9440426620492</v>
      </c>
      <c r="V677" s="4">
        <f t="shared" ca="1" si="187"/>
        <v>1.397257037435077E-10</v>
      </c>
      <c r="W677" s="13">
        <f t="shared" ca="1" si="188"/>
        <v>6017.0721187499994</v>
      </c>
      <c r="X677" s="4">
        <f t="shared" ca="1" si="189"/>
        <v>6.186712696579096E-10</v>
      </c>
    </row>
    <row r="678" spans="1:24">
      <c r="A678">
        <v>0</v>
      </c>
      <c r="B678">
        <v>3</v>
      </c>
      <c r="C678">
        <f t="shared" ca="1" si="171"/>
        <v>7</v>
      </c>
      <c r="D678">
        <f t="shared" ca="1" si="172"/>
        <v>5</v>
      </c>
      <c r="E678">
        <f t="shared" ca="1" si="173"/>
        <v>0</v>
      </c>
      <c r="F678" s="100">
        <f t="shared" ca="1" si="174"/>
        <v>2.0771579999999998E-2</v>
      </c>
      <c r="G678">
        <v>0</v>
      </c>
      <c r="H678">
        <v>0</v>
      </c>
      <c r="I678">
        <v>0</v>
      </c>
      <c r="J678" s="1">
        <f t="shared" ca="1" si="175"/>
        <v>1.0000000000000063E-14</v>
      </c>
      <c r="K678" s="1">
        <f t="shared" ca="1" si="176"/>
        <v>2.077158000000013E-16</v>
      </c>
      <c r="L678" s="13">
        <f t="shared" ca="1" si="177"/>
        <v>100</v>
      </c>
      <c r="M678" s="7">
        <f t="shared" ca="1" si="178"/>
        <v>900</v>
      </c>
      <c r="N678" s="43">
        <f t="shared" ca="1" si="179"/>
        <v>8</v>
      </c>
      <c r="O678" s="92">
        <f t="shared" ca="1" si="180"/>
        <v>3.5531918581169131</v>
      </c>
      <c r="P678" s="92">
        <f t="shared" ca="1" si="181"/>
        <v>35.531918581169137</v>
      </c>
      <c r="Q678" s="92">
        <f t="shared" ca="1" si="182"/>
        <v>35.531918581169137</v>
      </c>
      <c r="R678" s="92">
        <f t="shared" ca="1" si="183"/>
        <v>3.5531918581169135</v>
      </c>
      <c r="S678" s="92">
        <f t="shared" ca="1" si="184"/>
        <v>3.5531918581169126</v>
      </c>
      <c r="T678" s="4">
        <f t="shared" ca="1" si="185"/>
        <v>7.3805408936224558E-16</v>
      </c>
      <c r="U678" s="99">
        <f t="shared" ca="1" si="186"/>
        <v>1358.9440426620492</v>
      </c>
      <c r="V678" s="4">
        <f t="shared" ca="1" si="187"/>
        <v>2.8227414897678343E-13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ca="1" si="190">MIN(8, 1+$B$543+$B$542+A679+B679)</f>
        <v>5</v>
      </c>
      <c r="D679">
        <f t="shared" ref="D679:D742" ca="1" si="191">C679-(1+$B$543)</f>
        <v>3</v>
      </c>
      <c r="E679">
        <f t="shared" ref="E679:E742" ca="1" si="192">MIN(A679, C679-(1+$B$543+$B$542))</f>
        <v>1</v>
      </c>
      <c r="F679" s="100">
        <f t="shared" ref="F679:F742" ca="1" si="193">IF(A679=3, $E$538, IF(A679=2, (1-$E$538)*$E$537 + (1-$E$538)*(1-$E$537)*(1-$E$536)*Set2AM3*Set2AM33, IF(A679=1, (1-$E$538)*(1-$E$537)*$E$536 + (1-$E$538)*(1-$E$537)*(1-$E$536)*Set2AM3*Set2AM32, (1-$E$538)*(1-$E$537)*(1-$E$536)*(1-Set2AM3)))) * IF($B$542+$B$543&gt;0, IF(B679=3, $E$538, IF(B679=2, (1-$E$538)*$E$537, IF(B679=1, (1-$E$538)*(1-$E$537)*$E$536, (1-$E$538)*(1-$E$537)*(1-$E$536)))), IF(B679=0, 1, 0))</f>
        <v>9.8190028203999996E-2</v>
      </c>
      <c r="G679">
        <v>1</v>
      </c>
      <c r="H679">
        <v>1</v>
      </c>
      <c r="I679">
        <v>7</v>
      </c>
      <c r="J679" s="1">
        <f t="shared" ref="J679:J742" ca="1" si="194">IF($B$541&lt;100%, POWER($B$541,G679)*POWER(1-$B$541, 1-G679), 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422</v>
      </c>
      <c r="M679" s="7">
        <f t="shared" ref="M679:M742" ca="1" si="197">MAX(Set2MinTP-(L679+Set2Regain), 0)</f>
        <v>578</v>
      </c>
      <c r="N679" s="43">
        <f t="shared" ref="N679:N742" ca="1" si="198">CEILING(M679/Set2MeleeTP, 1)</f>
        <v>5</v>
      </c>
      <c r="O679" s="92">
        <f t="shared" ref="O679:O742" ca="1" si="199">VLOOKUP(N679, AvgRoundsSet2, 2)</f>
        <v>2.4432565128993144</v>
      </c>
      <c r="P679" s="92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24.432565128993144</v>
      </c>
      <c r="Q679" s="92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24.432565128993144</v>
      </c>
      <c r="R679" s="92">
        <f t="shared" ref="R679:R742" ca="1" si="202">(P679+Q679)/20</f>
        <v>2.4432565128993144</v>
      </c>
      <c r="S679" s="92">
        <f t="shared" ref="S679:S742" ca="1" si="203">R679*Set2ConserveTP + O679*(1-Set2ConserveTP)</f>
        <v>2.4432565128993144</v>
      </c>
      <c r="T679" s="4">
        <f t="shared" ref="T679:T742" ca="1" si="204">K679*S679</f>
        <v>0</v>
      </c>
      <c r="U679" s="99">
        <f t="shared" ref="U679:U742" ca="1" si="205">MIN(L679+(S679+Set2OverTP)*AvgHitsPerRound2*Set2MeleeTP + Set2Regain + 10.5*Set2ConserveTP, 3000)</f>
        <v>1336.3931955743851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54281.8901625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ca="1" si="190"/>
        <v>5</v>
      </c>
      <c r="D680">
        <f t="shared" ca="1" si="191"/>
        <v>3</v>
      </c>
      <c r="E680">
        <f t="shared" ca="1" si="192"/>
        <v>1</v>
      </c>
      <c r="F680" s="100">
        <f t="shared" ca="1" si="193"/>
        <v>9.8190028203999996E-2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400</v>
      </c>
      <c r="M680" s="7">
        <f t="shared" ca="1" si="197"/>
        <v>600</v>
      </c>
      <c r="N680" s="43">
        <f t="shared" ca="1" si="198"/>
        <v>5</v>
      </c>
      <c r="O680" s="92">
        <f t="shared" ca="1" si="199"/>
        <v>2.4432565128993144</v>
      </c>
      <c r="P680" s="92">
        <f t="shared" ca="1" si="200"/>
        <v>24.432565128993144</v>
      </c>
      <c r="Q680" s="92">
        <f t="shared" ca="1" si="201"/>
        <v>24.432565128993144</v>
      </c>
      <c r="R680" s="92">
        <f t="shared" ca="1" si="202"/>
        <v>2.4432565128993144</v>
      </c>
      <c r="S680" s="92">
        <f t="shared" ca="1" si="203"/>
        <v>2.4432565128993144</v>
      </c>
      <c r="T680" s="4">
        <f t="shared" ca="1" si="204"/>
        <v>0</v>
      </c>
      <c r="U680" s="99">
        <f t="shared" ca="1" si="205"/>
        <v>1314.3931955743851</v>
      </c>
      <c r="V680" s="4">
        <f t="shared" ca="1" si="206"/>
        <v>0</v>
      </c>
      <c r="W680" s="13">
        <f t="shared" ca="1" si="207"/>
        <v>48264.818043749998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ca="1" si="190"/>
        <v>5</v>
      </c>
      <c r="D681">
        <f t="shared" ca="1" si="191"/>
        <v>3</v>
      </c>
      <c r="E681">
        <f t="shared" ca="1" si="192"/>
        <v>1</v>
      </c>
      <c r="F681" s="100">
        <f t="shared" ca="1" si="193"/>
        <v>9.8190028203999996E-2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378</v>
      </c>
      <c r="M681" s="7">
        <f t="shared" ca="1" si="197"/>
        <v>622</v>
      </c>
      <c r="N681" s="43">
        <f t="shared" ca="1" si="198"/>
        <v>5</v>
      </c>
      <c r="O681" s="92">
        <f t="shared" ca="1" si="199"/>
        <v>2.4432565128993144</v>
      </c>
      <c r="P681" s="92">
        <f t="shared" ca="1" si="200"/>
        <v>24.432565128993144</v>
      </c>
      <c r="Q681" s="92">
        <f t="shared" ca="1" si="201"/>
        <v>24.432565128993144</v>
      </c>
      <c r="R681" s="92">
        <f t="shared" ca="1" si="202"/>
        <v>2.4432565128993144</v>
      </c>
      <c r="S681" s="92">
        <f t="shared" ca="1" si="203"/>
        <v>2.4432565128993144</v>
      </c>
      <c r="T681" s="4">
        <f t="shared" ca="1" si="204"/>
        <v>0</v>
      </c>
      <c r="U681" s="99">
        <f t="shared" ca="1" si="205"/>
        <v>1292.3931955743851</v>
      </c>
      <c r="V681" s="4">
        <f t="shared" ca="1" si="206"/>
        <v>0</v>
      </c>
      <c r="W681" s="13">
        <f t="shared" ca="1" si="207"/>
        <v>42247.745924999996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ca="1" si="190"/>
        <v>5</v>
      </c>
      <c r="D682">
        <f t="shared" ca="1" si="191"/>
        <v>3</v>
      </c>
      <c r="E682">
        <f t="shared" ca="1" si="192"/>
        <v>1</v>
      </c>
      <c r="F682" s="100">
        <f t="shared" ca="1" si="193"/>
        <v>9.8190028203999996E-2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356</v>
      </c>
      <c r="M682" s="7">
        <f t="shared" ca="1" si="197"/>
        <v>644</v>
      </c>
      <c r="N682" s="43">
        <f t="shared" ca="1" si="198"/>
        <v>6</v>
      </c>
      <c r="O682" s="92">
        <f t="shared" ca="1" si="199"/>
        <v>2.7275117780454798</v>
      </c>
      <c r="P682" s="92">
        <f t="shared" ca="1" si="200"/>
        <v>27.275117780454792</v>
      </c>
      <c r="Q682" s="92">
        <f t="shared" ca="1" si="201"/>
        <v>26.706607250162463</v>
      </c>
      <c r="R682" s="92">
        <f t="shared" ca="1" si="202"/>
        <v>2.6990862515308627</v>
      </c>
      <c r="S682" s="92">
        <f t="shared" ca="1" si="203"/>
        <v>2.7255219911894564</v>
      </c>
      <c r="T682" s="4">
        <f t="shared" ca="1" si="204"/>
        <v>0</v>
      </c>
      <c r="U682" s="99">
        <f t="shared" ca="1" si="205"/>
        <v>1358.0152449734937</v>
      </c>
      <c r="V682" s="4">
        <f t="shared" ca="1" si="206"/>
        <v>0</v>
      </c>
      <c r="W682" s="13">
        <f t="shared" ca="1" si="207"/>
        <v>36230.673806249994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ca="1" si="190"/>
        <v>5</v>
      </c>
      <c r="D683">
        <f t="shared" ca="1" si="191"/>
        <v>3</v>
      </c>
      <c r="E683">
        <f t="shared" ca="1" si="192"/>
        <v>1</v>
      </c>
      <c r="F683" s="100">
        <f t="shared" ca="1" si="193"/>
        <v>9.8190028203999996E-2</v>
      </c>
      <c r="G683">
        <v>1</v>
      </c>
      <c r="H683">
        <v>1</v>
      </c>
      <c r="I683">
        <v>3</v>
      </c>
      <c r="J683" s="1">
        <f t="shared" ca="1" si="194"/>
        <v>0.95099004989999991</v>
      </c>
      <c r="K683" s="1">
        <f t="shared" ca="1" si="195"/>
        <v>9.3377739821404349E-2</v>
      </c>
      <c r="L683" s="13">
        <f t="shared" ca="1" si="196"/>
        <v>334</v>
      </c>
      <c r="M683" s="7">
        <f t="shared" ca="1" si="197"/>
        <v>666</v>
      </c>
      <c r="N683" s="43">
        <f t="shared" ca="1" si="198"/>
        <v>6</v>
      </c>
      <c r="O683" s="92">
        <f t="shared" ca="1" si="199"/>
        <v>2.7275117780454798</v>
      </c>
      <c r="P683" s="92">
        <f t="shared" ca="1" si="200"/>
        <v>27.275117780454792</v>
      </c>
      <c r="Q683" s="92">
        <f t="shared" ca="1" si="201"/>
        <v>27.275117780454792</v>
      </c>
      <c r="R683" s="92">
        <f t="shared" ca="1" si="202"/>
        <v>2.7275117780454794</v>
      </c>
      <c r="S683" s="92">
        <f t="shared" ca="1" si="203"/>
        <v>2.7275117780454794</v>
      </c>
      <c r="T683" s="4">
        <f t="shared" ca="1" si="204"/>
        <v>0.25468888517014676</v>
      </c>
      <c r="U683" s="99">
        <f t="shared" ca="1" si="205"/>
        <v>1336.6329230659346</v>
      </c>
      <c r="V683" s="4">
        <f t="shared" ca="1" si="206"/>
        <v>124.81176132677402</v>
      </c>
      <c r="W683" s="13">
        <f t="shared" ca="1" si="207"/>
        <v>30213.601687499999</v>
      </c>
      <c r="X683" s="4">
        <f t="shared" ca="1" si="208"/>
        <v>2821.2778374429181</v>
      </c>
    </row>
    <row r="684" spans="1:24">
      <c r="A684">
        <v>1</v>
      </c>
      <c r="B684">
        <v>0</v>
      </c>
      <c r="C684">
        <f t="shared" ca="1" si="190"/>
        <v>5</v>
      </c>
      <c r="D684">
        <f t="shared" ca="1" si="191"/>
        <v>3</v>
      </c>
      <c r="E684">
        <f t="shared" ca="1" si="192"/>
        <v>1</v>
      </c>
      <c r="F684" s="100">
        <f t="shared" ca="1" si="193"/>
        <v>9.8190028203999996E-2</v>
      </c>
      <c r="G684">
        <v>1</v>
      </c>
      <c r="H684">
        <v>1</v>
      </c>
      <c r="I684">
        <v>2</v>
      </c>
      <c r="J684" s="1">
        <f t="shared" ca="1" si="194"/>
        <v>2.8817880300000022E-2</v>
      </c>
      <c r="K684" s="1">
        <f t="shared" ca="1" si="195"/>
        <v>2.8296284794364981E-3</v>
      </c>
      <c r="L684" s="13">
        <f t="shared" ca="1" si="196"/>
        <v>312</v>
      </c>
      <c r="M684" s="7">
        <f t="shared" ca="1" si="197"/>
        <v>688</v>
      </c>
      <c r="N684" s="43">
        <f t="shared" ca="1" si="198"/>
        <v>6</v>
      </c>
      <c r="O684" s="92">
        <f t="shared" ca="1" si="199"/>
        <v>2.7275117780454798</v>
      </c>
      <c r="P684" s="92">
        <f t="shared" ca="1" si="200"/>
        <v>27.275117780454792</v>
      </c>
      <c r="Q684" s="92">
        <f t="shared" ca="1" si="201"/>
        <v>27.275117780454792</v>
      </c>
      <c r="R684" s="92">
        <f t="shared" ca="1" si="202"/>
        <v>2.7275117780454794</v>
      </c>
      <c r="S684" s="92">
        <f t="shared" ca="1" si="203"/>
        <v>2.7275117780454794</v>
      </c>
      <c r="T684" s="4">
        <f t="shared" ca="1" si="204"/>
        <v>7.7178450051559695E-3</v>
      </c>
      <c r="U684" s="99">
        <f t="shared" ca="1" si="205"/>
        <v>1314.6329230659346</v>
      </c>
      <c r="V684" s="4">
        <f t="shared" ca="1" si="206"/>
        <v>3.7199227591122193</v>
      </c>
      <c r="W684" s="13">
        <f t="shared" ca="1" si="207"/>
        <v>24196.529568749997</v>
      </c>
      <c r="X684" s="4">
        <f t="shared" ca="1" si="208"/>
        <v>68.467189171262319</v>
      </c>
    </row>
    <row r="685" spans="1:24">
      <c r="A685">
        <v>1</v>
      </c>
      <c r="B685">
        <v>0</v>
      </c>
      <c r="C685">
        <f t="shared" ca="1" si="190"/>
        <v>5</v>
      </c>
      <c r="D685">
        <f t="shared" ca="1" si="191"/>
        <v>3</v>
      </c>
      <c r="E685">
        <f t="shared" ca="1" si="192"/>
        <v>1</v>
      </c>
      <c r="F685" s="100">
        <f t="shared" ca="1" si="193"/>
        <v>9.8190028203999996E-2</v>
      </c>
      <c r="G685">
        <v>1</v>
      </c>
      <c r="H685">
        <v>1</v>
      </c>
      <c r="I685">
        <v>1</v>
      </c>
      <c r="J685" s="1">
        <f t="shared" ca="1" si="194"/>
        <v>2.9108970000000053E-4</v>
      </c>
      <c r="K685" s="1">
        <f t="shared" ca="1" si="195"/>
        <v>2.858210585289395E-5</v>
      </c>
      <c r="L685" s="13">
        <f t="shared" ca="1" si="196"/>
        <v>290</v>
      </c>
      <c r="M685" s="7">
        <f t="shared" ca="1" si="197"/>
        <v>710</v>
      </c>
      <c r="N685" s="43">
        <f t="shared" ca="1" si="198"/>
        <v>6</v>
      </c>
      <c r="O685" s="92">
        <f t="shared" ca="1" si="199"/>
        <v>2.7275117780454798</v>
      </c>
      <c r="P685" s="92">
        <f t="shared" ca="1" si="200"/>
        <v>27.275117780454792</v>
      </c>
      <c r="Q685" s="92">
        <f t="shared" ca="1" si="201"/>
        <v>27.275117780454792</v>
      </c>
      <c r="R685" s="92">
        <f t="shared" ca="1" si="202"/>
        <v>2.7275117780454794</v>
      </c>
      <c r="S685" s="92">
        <f t="shared" ca="1" si="203"/>
        <v>2.7275117780454794</v>
      </c>
      <c r="T685" s="4">
        <f t="shared" ca="1" si="204"/>
        <v>7.7958030355110882E-5</v>
      </c>
      <c r="U685" s="99">
        <f t="shared" ca="1" si="205"/>
        <v>1292.6329230659346</v>
      </c>
      <c r="V685" s="4">
        <f t="shared" ca="1" si="206"/>
        <v>3.6946171036006267E-2</v>
      </c>
      <c r="W685" s="13">
        <f t="shared" ca="1" si="207"/>
        <v>18179.457449999998</v>
      </c>
      <c r="X685" s="4">
        <f t="shared" ca="1" si="208"/>
        <v>0.51960717718408145</v>
      </c>
    </row>
    <row r="686" spans="1:24">
      <c r="A686">
        <v>1</v>
      </c>
      <c r="B686">
        <v>0</v>
      </c>
      <c r="C686">
        <f t="shared" ca="1" si="190"/>
        <v>5</v>
      </c>
      <c r="D686">
        <f t="shared" ca="1" si="191"/>
        <v>3</v>
      </c>
      <c r="E686">
        <f t="shared" ca="1" si="192"/>
        <v>1</v>
      </c>
      <c r="F686" s="100">
        <f t="shared" ca="1" si="193"/>
        <v>9.8190028203999996E-2</v>
      </c>
      <c r="G686">
        <v>1</v>
      </c>
      <c r="H686">
        <v>1</v>
      </c>
      <c r="I686">
        <v>0</v>
      </c>
      <c r="J686" s="1">
        <f t="shared" ca="1" si="194"/>
        <v>9.8010000000000269E-7</v>
      </c>
      <c r="K686" s="1">
        <f t="shared" ca="1" si="195"/>
        <v>9.6236046642740654E-8</v>
      </c>
      <c r="L686" s="13">
        <f t="shared" ca="1" si="196"/>
        <v>268</v>
      </c>
      <c r="M686" s="7">
        <f t="shared" ca="1" si="197"/>
        <v>732</v>
      </c>
      <c r="N686" s="43">
        <f t="shared" ca="1" si="198"/>
        <v>6</v>
      </c>
      <c r="O686" s="92">
        <f t="shared" ca="1" si="199"/>
        <v>2.7275117780454798</v>
      </c>
      <c r="P686" s="92">
        <f t="shared" ca="1" si="200"/>
        <v>27.275117780454792</v>
      </c>
      <c r="Q686" s="92">
        <f t="shared" ca="1" si="201"/>
        <v>27.275117780454792</v>
      </c>
      <c r="R686" s="92">
        <f t="shared" ca="1" si="202"/>
        <v>2.7275117780454794</v>
      </c>
      <c r="S686" s="92">
        <f t="shared" ca="1" si="203"/>
        <v>2.7275117780454794</v>
      </c>
      <c r="T686" s="4">
        <f t="shared" ca="1" si="204"/>
        <v>2.6248495069060927E-7</v>
      </c>
      <c r="U686" s="99">
        <f t="shared" ca="1" si="205"/>
        <v>1270.6329230659346</v>
      </c>
      <c r="V686" s="4">
        <f t="shared" ca="1" si="206"/>
        <v>1.2228068924997518E-4</v>
      </c>
      <c r="W686" s="13">
        <f t="shared" ca="1" si="207"/>
        <v>12162.38533125</v>
      </c>
      <c r="X686" s="4">
        <f t="shared" ca="1" si="208"/>
        <v>1.1704598820251597E-3</v>
      </c>
    </row>
    <row r="687" spans="1:24">
      <c r="A687">
        <v>1</v>
      </c>
      <c r="B687">
        <v>0</v>
      </c>
      <c r="C687">
        <f t="shared" ca="1" si="190"/>
        <v>5</v>
      </c>
      <c r="D687">
        <f t="shared" ca="1" si="191"/>
        <v>3</v>
      </c>
      <c r="E687">
        <f t="shared" ca="1" si="192"/>
        <v>1</v>
      </c>
      <c r="F687" s="100">
        <f t="shared" ca="1" si="193"/>
        <v>9.8190028203999996E-2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288</v>
      </c>
      <c r="M687" s="7">
        <f t="shared" ca="1" si="197"/>
        <v>712</v>
      </c>
      <c r="N687" s="43">
        <f t="shared" ca="1" si="198"/>
        <v>6</v>
      </c>
      <c r="O687" s="92">
        <f t="shared" ca="1" si="199"/>
        <v>2.7275117780454798</v>
      </c>
      <c r="P687" s="92">
        <f t="shared" ca="1" si="200"/>
        <v>27.275117780454792</v>
      </c>
      <c r="Q687" s="92">
        <f t="shared" ca="1" si="201"/>
        <v>27.275117780454792</v>
      </c>
      <c r="R687" s="92">
        <f t="shared" ca="1" si="202"/>
        <v>2.7275117780454794</v>
      </c>
      <c r="S687" s="92">
        <f t="shared" ca="1" si="203"/>
        <v>2.7275117780454794</v>
      </c>
      <c r="T687" s="4">
        <f t="shared" ca="1" si="204"/>
        <v>0</v>
      </c>
      <c r="U687" s="99">
        <f t="shared" ca="1" si="205"/>
        <v>1290.6329230659346</v>
      </c>
      <c r="V687" s="4">
        <f t="shared" ca="1" si="206"/>
        <v>0</v>
      </c>
      <c r="W687" s="13">
        <f t="shared" ca="1" si="207"/>
        <v>48136.576950000002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ca="1" si="190"/>
        <v>5</v>
      </c>
      <c r="D688">
        <f t="shared" ca="1" si="191"/>
        <v>3</v>
      </c>
      <c r="E688">
        <f t="shared" ca="1" si="192"/>
        <v>1</v>
      </c>
      <c r="F688" s="100">
        <f t="shared" ca="1" si="193"/>
        <v>9.8190028203999996E-2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266</v>
      </c>
      <c r="M688" s="7">
        <f t="shared" ca="1" si="197"/>
        <v>734</v>
      </c>
      <c r="N688" s="43">
        <f t="shared" ca="1" si="198"/>
        <v>6</v>
      </c>
      <c r="O688" s="92">
        <f t="shared" ca="1" si="199"/>
        <v>2.7275117780454798</v>
      </c>
      <c r="P688" s="92">
        <f t="shared" ca="1" si="200"/>
        <v>27.275117780454792</v>
      </c>
      <c r="Q688" s="92">
        <f t="shared" ca="1" si="201"/>
        <v>27.275117780454792</v>
      </c>
      <c r="R688" s="92">
        <f t="shared" ca="1" si="202"/>
        <v>2.7275117780454794</v>
      </c>
      <c r="S688" s="92">
        <f t="shared" ca="1" si="203"/>
        <v>2.7275117780454794</v>
      </c>
      <c r="T688" s="4">
        <f t="shared" ca="1" si="204"/>
        <v>0</v>
      </c>
      <c r="U688" s="99">
        <f t="shared" ca="1" si="205"/>
        <v>1268.6329230659346</v>
      </c>
      <c r="V688" s="4">
        <f t="shared" ca="1" si="206"/>
        <v>0</v>
      </c>
      <c r="W688" s="13">
        <f t="shared" ca="1" si="207"/>
        <v>42119.50483125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ca="1" si="190"/>
        <v>5</v>
      </c>
      <c r="D689">
        <f t="shared" ca="1" si="191"/>
        <v>3</v>
      </c>
      <c r="E689">
        <f t="shared" ca="1" si="192"/>
        <v>1</v>
      </c>
      <c r="F689" s="100">
        <f t="shared" ca="1" si="193"/>
        <v>9.8190028203999996E-2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244</v>
      </c>
      <c r="M689" s="7">
        <f t="shared" ca="1" si="197"/>
        <v>756</v>
      </c>
      <c r="N689" s="43">
        <f t="shared" ca="1" si="198"/>
        <v>7</v>
      </c>
      <c r="O689" s="92">
        <f t="shared" ca="1" si="199"/>
        <v>3.2214900588145507</v>
      </c>
      <c r="P689" s="92">
        <f t="shared" ca="1" si="200"/>
        <v>29.745009184300148</v>
      </c>
      <c r="Q689" s="92">
        <f t="shared" ca="1" si="201"/>
        <v>27.275117780454792</v>
      </c>
      <c r="R689" s="92">
        <f t="shared" ca="1" si="202"/>
        <v>2.851006348237747</v>
      </c>
      <c r="S689" s="92">
        <f t="shared" ca="1" si="203"/>
        <v>3.1955561990741743</v>
      </c>
      <c r="T689" s="4">
        <f t="shared" ca="1" si="204"/>
        <v>0</v>
      </c>
      <c r="U689" s="99">
        <f t="shared" ca="1" si="205"/>
        <v>1391.9252614304514</v>
      </c>
      <c r="V689" s="4">
        <f t="shared" ca="1" si="206"/>
        <v>0</v>
      </c>
      <c r="W689" s="13">
        <f t="shared" ca="1" si="207"/>
        <v>36102.432712499998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ca="1" si="190"/>
        <v>5</v>
      </c>
      <c r="D690">
        <f t="shared" ca="1" si="191"/>
        <v>3</v>
      </c>
      <c r="E690">
        <f t="shared" ca="1" si="192"/>
        <v>1</v>
      </c>
      <c r="F690" s="100">
        <f t="shared" ca="1" si="193"/>
        <v>9.8190028203999996E-2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222</v>
      </c>
      <c r="M690" s="7">
        <f t="shared" ca="1" si="197"/>
        <v>778</v>
      </c>
      <c r="N690" s="43">
        <f t="shared" ca="1" si="198"/>
        <v>7</v>
      </c>
      <c r="O690" s="92">
        <f t="shared" ca="1" si="199"/>
        <v>3.2214900588145507</v>
      </c>
      <c r="P690" s="92">
        <f t="shared" ca="1" si="200"/>
        <v>32.214900588145518</v>
      </c>
      <c r="Q690" s="92">
        <f t="shared" ca="1" si="201"/>
        <v>32.214900588145518</v>
      </c>
      <c r="R690" s="92">
        <f t="shared" ca="1" si="202"/>
        <v>3.2214900588145516</v>
      </c>
      <c r="S690" s="92">
        <f t="shared" ca="1" si="203"/>
        <v>3.2214900588145507</v>
      </c>
      <c r="T690" s="4">
        <f t="shared" ca="1" si="204"/>
        <v>0</v>
      </c>
      <c r="U690" s="99">
        <f t="shared" ca="1" si="205"/>
        <v>1377.9757603899629</v>
      </c>
      <c r="V690" s="4">
        <f t="shared" ca="1" si="206"/>
        <v>0</v>
      </c>
      <c r="W690" s="13">
        <f t="shared" ca="1" si="207"/>
        <v>30085.360593749996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ca="1" si="190"/>
        <v>5</v>
      </c>
      <c r="D691">
        <f t="shared" ca="1" si="191"/>
        <v>3</v>
      </c>
      <c r="E691">
        <f t="shared" ca="1" si="192"/>
        <v>1</v>
      </c>
      <c r="F691" s="100">
        <f t="shared" ca="1" si="193"/>
        <v>9.8190028203999996E-2</v>
      </c>
      <c r="G691">
        <v>1</v>
      </c>
      <c r="H691">
        <v>0</v>
      </c>
      <c r="I691">
        <v>3</v>
      </c>
      <c r="J691" s="1">
        <f t="shared" ca="1" si="194"/>
        <v>9.6059601000000085E-3</v>
      </c>
      <c r="K691" s="1">
        <f t="shared" ca="1" si="195"/>
        <v>9.4320949314549945E-4</v>
      </c>
      <c r="L691" s="13">
        <f t="shared" ca="1" si="196"/>
        <v>200</v>
      </c>
      <c r="M691" s="7">
        <f t="shared" ca="1" si="197"/>
        <v>800</v>
      </c>
      <c r="N691" s="43">
        <f t="shared" ca="1" si="198"/>
        <v>7</v>
      </c>
      <c r="O691" s="92">
        <f t="shared" ca="1" si="199"/>
        <v>3.2214900588145507</v>
      </c>
      <c r="P691" s="92">
        <f t="shared" ca="1" si="200"/>
        <v>32.214900588145518</v>
      </c>
      <c r="Q691" s="92">
        <f t="shared" ca="1" si="201"/>
        <v>32.214900588145518</v>
      </c>
      <c r="R691" s="92">
        <f t="shared" ca="1" si="202"/>
        <v>3.2214900588145516</v>
      </c>
      <c r="S691" s="92">
        <f t="shared" ca="1" si="203"/>
        <v>3.2214900588145507</v>
      </c>
      <c r="T691" s="4">
        <f t="shared" ca="1" si="204"/>
        <v>3.0385400055477378E-3</v>
      </c>
      <c r="U691" s="99">
        <f t="shared" ca="1" si="205"/>
        <v>1355.9757603899629</v>
      </c>
      <c r="V691" s="4">
        <f t="shared" ca="1" si="206"/>
        <v>1.2789692096750001</v>
      </c>
      <c r="W691" s="13">
        <f t="shared" ca="1" si="207"/>
        <v>24068.288474999998</v>
      </c>
      <c r="X691" s="4">
        <f t="shared" ca="1" si="208"/>
        <v>22.701438173384414</v>
      </c>
    </row>
    <row r="692" spans="1:24">
      <c r="A692">
        <v>1</v>
      </c>
      <c r="B692">
        <v>0</v>
      </c>
      <c r="C692">
        <f t="shared" ca="1" si="190"/>
        <v>5</v>
      </c>
      <c r="D692">
        <f t="shared" ca="1" si="191"/>
        <v>3</v>
      </c>
      <c r="E692">
        <f t="shared" ca="1" si="192"/>
        <v>1</v>
      </c>
      <c r="F692" s="100">
        <f t="shared" ca="1" si="193"/>
        <v>9.8190028203999996E-2</v>
      </c>
      <c r="G692">
        <v>1</v>
      </c>
      <c r="H692">
        <v>0</v>
      </c>
      <c r="I692">
        <v>2</v>
      </c>
      <c r="J692" s="1">
        <f t="shared" ca="1" si="194"/>
        <v>2.9108970000000053E-4</v>
      </c>
      <c r="K692" s="1">
        <f t="shared" ca="1" si="195"/>
        <v>2.858210585289395E-5</v>
      </c>
      <c r="L692" s="13">
        <f t="shared" ca="1" si="196"/>
        <v>178</v>
      </c>
      <c r="M692" s="7">
        <f t="shared" ca="1" si="197"/>
        <v>822</v>
      </c>
      <c r="N692" s="43">
        <f t="shared" ca="1" si="198"/>
        <v>7</v>
      </c>
      <c r="O692" s="92">
        <f t="shared" ca="1" si="199"/>
        <v>3.2214900588145507</v>
      </c>
      <c r="P692" s="92">
        <f t="shared" ca="1" si="200"/>
        <v>32.214900588145518</v>
      </c>
      <c r="Q692" s="92">
        <f t="shared" ca="1" si="201"/>
        <v>32.214900588145518</v>
      </c>
      <c r="R692" s="92">
        <f t="shared" ca="1" si="202"/>
        <v>3.2214900588145516</v>
      </c>
      <c r="S692" s="92">
        <f t="shared" ca="1" si="203"/>
        <v>3.2214900588145507</v>
      </c>
      <c r="T692" s="4">
        <f t="shared" ca="1" si="204"/>
        <v>9.2076969865083051E-5</v>
      </c>
      <c r="U692" s="99">
        <f t="shared" ca="1" si="205"/>
        <v>1333.9757603899629</v>
      </c>
      <c r="V692" s="4">
        <f t="shared" ca="1" si="206"/>
        <v>3.8127836388660616E-2</v>
      </c>
      <c r="W692" s="13">
        <f t="shared" ca="1" si="207"/>
        <v>18051.216356249999</v>
      </c>
      <c r="X692" s="4">
        <f t="shared" ca="1" si="208"/>
        <v>0.51594177666782814</v>
      </c>
    </row>
    <row r="693" spans="1:24">
      <c r="A693">
        <v>1</v>
      </c>
      <c r="B693">
        <v>0</v>
      </c>
      <c r="C693">
        <f t="shared" ca="1" si="190"/>
        <v>5</v>
      </c>
      <c r="D693">
        <f t="shared" ca="1" si="191"/>
        <v>3</v>
      </c>
      <c r="E693">
        <f t="shared" ca="1" si="192"/>
        <v>1</v>
      </c>
      <c r="F693" s="100">
        <f t="shared" ca="1" si="193"/>
        <v>9.8190028203999996E-2</v>
      </c>
      <c r="G693">
        <v>1</v>
      </c>
      <c r="H693">
        <v>0</v>
      </c>
      <c r="I693">
        <v>1</v>
      </c>
      <c r="J693" s="1">
        <f t="shared" ca="1" si="194"/>
        <v>2.9403000000000081E-6</v>
      </c>
      <c r="K693" s="1">
        <f t="shared" ca="1" si="195"/>
        <v>2.8870813992822198E-7</v>
      </c>
      <c r="L693" s="13">
        <f t="shared" ca="1" si="196"/>
        <v>156</v>
      </c>
      <c r="M693" s="7">
        <f t="shared" ca="1" si="197"/>
        <v>844</v>
      </c>
      <c r="N693" s="43">
        <f t="shared" ca="1" si="198"/>
        <v>7</v>
      </c>
      <c r="O693" s="92">
        <f t="shared" ca="1" si="199"/>
        <v>3.2214900588145507</v>
      </c>
      <c r="P693" s="92">
        <f t="shared" ca="1" si="200"/>
        <v>32.214900588145518</v>
      </c>
      <c r="Q693" s="92">
        <f t="shared" ca="1" si="201"/>
        <v>32.214900588145518</v>
      </c>
      <c r="R693" s="92">
        <f t="shared" ca="1" si="202"/>
        <v>3.2214900588145516</v>
      </c>
      <c r="S693" s="92">
        <f t="shared" ca="1" si="203"/>
        <v>3.2214900588145507</v>
      </c>
      <c r="T693" s="4">
        <f t="shared" ca="1" si="204"/>
        <v>9.300704026776074E-7</v>
      </c>
      <c r="U693" s="99">
        <f t="shared" ca="1" si="205"/>
        <v>1311.9757603899629</v>
      </c>
      <c r="V693" s="4">
        <f t="shared" ca="1" si="206"/>
        <v>3.7877808141310084E-4</v>
      </c>
      <c r="W693" s="13">
        <f t="shared" ca="1" si="207"/>
        <v>12034.144237499999</v>
      </c>
      <c r="X693" s="4">
        <f t="shared" ca="1" si="208"/>
        <v>3.4743553984365556E-3</v>
      </c>
    </row>
    <row r="694" spans="1:24">
      <c r="A694">
        <v>1</v>
      </c>
      <c r="B694">
        <v>0</v>
      </c>
      <c r="C694">
        <f t="shared" ca="1" si="190"/>
        <v>5</v>
      </c>
      <c r="D694">
        <f t="shared" ca="1" si="191"/>
        <v>3</v>
      </c>
      <c r="E694">
        <f t="shared" ca="1" si="192"/>
        <v>1</v>
      </c>
      <c r="F694" s="100">
        <f t="shared" ca="1" si="193"/>
        <v>9.8190028203999996E-2</v>
      </c>
      <c r="G694">
        <v>1</v>
      </c>
      <c r="H694">
        <v>0</v>
      </c>
      <c r="I694">
        <v>0</v>
      </c>
      <c r="J694" s="1">
        <f t="shared" ca="1" si="194"/>
        <v>9.9000000000000357E-9</v>
      </c>
      <c r="K694" s="1">
        <f t="shared" ca="1" si="195"/>
        <v>9.7208127921960341E-10</v>
      </c>
      <c r="L694" s="13">
        <f t="shared" ca="1" si="196"/>
        <v>134</v>
      </c>
      <c r="M694" s="7">
        <f t="shared" ca="1" si="197"/>
        <v>866</v>
      </c>
      <c r="N694" s="43">
        <f t="shared" ca="1" si="198"/>
        <v>7</v>
      </c>
      <c r="O694" s="92">
        <f t="shared" ca="1" si="199"/>
        <v>3.2214900588145507</v>
      </c>
      <c r="P694" s="92">
        <f t="shared" ca="1" si="200"/>
        <v>32.214900588145518</v>
      </c>
      <c r="Q694" s="92">
        <f t="shared" ca="1" si="201"/>
        <v>32.214900588145518</v>
      </c>
      <c r="R694" s="92">
        <f t="shared" ca="1" si="202"/>
        <v>3.2214900588145516</v>
      </c>
      <c r="S694" s="92">
        <f t="shared" ca="1" si="203"/>
        <v>3.2214900588145507</v>
      </c>
      <c r="T694" s="4">
        <f t="shared" ca="1" si="204"/>
        <v>3.1315501773656841E-9</v>
      </c>
      <c r="U694" s="99">
        <f t="shared" ca="1" si="205"/>
        <v>1289.9757603899629</v>
      </c>
      <c r="V694" s="4">
        <f t="shared" ca="1" si="206"/>
        <v>1.2539612873221557E-6</v>
      </c>
      <c r="W694" s="13">
        <f t="shared" ca="1" si="207"/>
        <v>6017.0721187499994</v>
      </c>
      <c r="X694" s="4">
        <f t="shared" ca="1" si="208"/>
        <v>5.8490831623511089E-6</v>
      </c>
    </row>
    <row r="695" spans="1:24">
      <c r="A695">
        <v>1</v>
      </c>
      <c r="B695">
        <v>0</v>
      </c>
      <c r="C695">
        <f t="shared" ca="1" si="190"/>
        <v>5</v>
      </c>
      <c r="D695">
        <f t="shared" ca="1" si="191"/>
        <v>3</v>
      </c>
      <c r="E695">
        <f t="shared" ca="1" si="192"/>
        <v>1</v>
      </c>
      <c r="F695" s="100">
        <f t="shared" ca="1" si="193"/>
        <v>9.8190028203999996E-2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288</v>
      </c>
      <c r="M695" s="7">
        <f t="shared" ca="1" si="197"/>
        <v>712</v>
      </c>
      <c r="N695" s="43">
        <f t="shared" ca="1" si="198"/>
        <v>6</v>
      </c>
      <c r="O695" s="92">
        <f t="shared" ca="1" si="199"/>
        <v>2.7275117780454798</v>
      </c>
      <c r="P695" s="92">
        <f t="shared" ca="1" si="200"/>
        <v>27.275117780454792</v>
      </c>
      <c r="Q695" s="92">
        <f t="shared" ca="1" si="201"/>
        <v>27.275117780454792</v>
      </c>
      <c r="R695" s="92">
        <f t="shared" ca="1" si="202"/>
        <v>2.7275117780454794</v>
      </c>
      <c r="S695" s="92">
        <f t="shared" ca="1" si="203"/>
        <v>2.7275117780454794</v>
      </c>
      <c r="T695" s="4">
        <f t="shared" ca="1" si="204"/>
        <v>0</v>
      </c>
      <c r="U695" s="99">
        <f t="shared" ca="1" si="205"/>
        <v>1290.6329230659346</v>
      </c>
      <c r="V695" s="4">
        <f t="shared" ca="1" si="206"/>
        <v>0</v>
      </c>
      <c r="W695" s="13">
        <f t="shared" ca="1" si="207"/>
        <v>48264.818043749998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ca="1" si="190"/>
        <v>5</v>
      </c>
      <c r="D696">
        <f t="shared" ca="1" si="191"/>
        <v>3</v>
      </c>
      <c r="E696">
        <f t="shared" ca="1" si="192"/>
        <v>1</v>
      </c>
      <c r="F696" s="100">
        <f t="shared" ca="1" si="193"/>
        <v>9.8190028203999996E-2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266</v>
      </c>
      <c r="M696" s="7">
        <f t="shared" ca="1" si="197"/>
        <v>734</v>
      </c>
      <c r="N696" s="43">
        <f t="shared" ca="1" si="198"/>
        <v>6</v>
      </c>
      <c r="O696" s="92">
        <f t="shared" ca="1" si="199"/>
        <v>2.7275117780454798</v>
      </c>
      <c r="P696" s="92">
        <f t="shared" ca="1" si="200"/>
        <v>27.275117780454792</v>
      </c>
      <c r="Q696" s="92">
        <f t="shared" ca="1" si="201"/>
        <v>27.275117780454792</v>
      </c>
      <c r="R696" s="92">
        <f t="shared" ca="1" si="202"/>
        <v>2.7275117780454794</v>
      </c>
      <c r="S696" s="92">
        <f t="shared" ca="1" si="203"/>
        <v>2.7275117780454794</v>
      </c>
      <c r="T696" s="4">
        <f t="shared" ca="1" si="204"/>
        <v>0</v>
      </c>
      <c r="U696" s="99">
        <f t="shared" ca="1" si="205"/>
        <v>1268.6329230659346</v>
      </c>
      <c r="V696" s="4">
        <f t="shared" ca="1" si="206"/>
        <v>0</v>
      </c>
      <c r="W696" s="13">
        <f t="shared" ca="1" si="207"/>
        <v>42247.745924999996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ca="1" si="190"/>
        <v>5</v>
      </c>
      <c r="D697">
        <f t="shared" ca="1" si="191"/>
        <v>3</v>
      </c>
      <c r="E697">
        <f t="shared" ca="1" si="192"/>
        <v>1</v>
      </c>
      <c r="F697" s="100">
        <f t="shared" ca="1" si="193"/>
        <v>9.8190028203999996E-2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244</v>
      </c>
      <c r="M697" s="7">
        <f t="shared" ca="1" si="197"/>
        <v>756</v>
      </c>
      <c r="N697" s="43">
        <f t="shared" ca="1" si="198"/>
        <v>7</v>
      </c>
      <c r="O697" s="92">
        <f t="shared" ca="1" si="199"/>
        <v>3.2214900588145507</v>
      </c>
      <c r="P697" s="92">
        <f t="shared" ca="1" si="200"/>
        <v>29.745009184300148</v>
      </c>
      <c r="Q697" s="92">
        <f t="shared" ca="1" si="201"/>
        <v>27.275117780454792</v>
      </c>
      <c r="R697" s="92">
        <f t="shared" ca="1" si="202"/>
        <v>2.851006348237747</v>
      </c>
      <c r="S697" s="92">
        <f t="shared" ca="1" si="203"/>
        <v>3.1955561990741743</v>
      </c>
      <c r="T697" s="4">
        <f t="shared" ca="1" si="204"/>
        <v>0</v>
      </c>
      <c r="U697" s="99">
        <f t="shared" ca="1" si="205"/>
        <v>1391.9252614304514</v>
      </c>
      <c r="V697" s="4">
        <f t="shared" ca="1" si="206"/>
        <v>0</v>
      </c>
      <c r="W697" s="13">
        <f t="shared" ca="1" si="207"/>
        <v>36230.673806249994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ca="1" si="190"/>
        <v>5</v>
      </c>
      <c r="D698">
        <f t="shared" ca="1" si="191"/>
        <v>3</v>
      </c>
      <c r="E698">
        <f t="shared" ca="1" si="192"/>
        <v>1</v>
      </c>
      <c r="F698" s="100">
        <f t="shared" ca="1" si="193"/>
        <v>9.8190028203999996E-2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222</v>
      </c>
      <c r="M698" s="7">
        <f t="shared" ca="1" si="197"/>
        <v>778</v>
      </c>
      <c r="N698" s="43">
        <f t="shared" ca="1" si="198"/>
        <v>7</v>
      </c>
      <c r="O698" s="92">
        <f t="shared" ca="1" si="199"/>
        <v>3.2214900588145507</v>
      </c>
      <c r="P698" s="92">
        <f t="shared" ca="1" si="200"/>
        <v>32.214900588145518</v>
      </c>
      <c r="Q698" s="92">
        <f t="shared" ca="1" si="201"/>
        <v>32.214900588145518</v>
      </c>
      <c r="R698" s="92">
        <f t="shared" ca="1" si="202"/>
        <v>3.2214900588145516</v>
      </c>
      <c r="S698" s="92">
        <f t="shared" ca="1" si="203"/>
        <v>3.2214900588145507</v>
      </c>
      <c r="T698" s="4">
        <f t="shared" ca="1" si="204"/>
        <v>0</v>
      </c>
      <c r="U698" s="99">
        <f t="shared" ca="1" si="205"/>
        <v>1377.9757603899629</v>
      </c>
      <c r="V698" s="4">
        <f t="shared" ca="1" si="206"/>
        <v>0</v>
      </c>
      <c r="W698" s="13">
        <f t="shared" ca="1" si="207"/>
        <v>30213.601687499999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ca="1" si="190"/>
        <v>5</v>
      </c>
      <c r="D699">
        <f t="shared" ca="1" si="191"/>
        <v>3</v>
      </c>
      <c r="E699">
        <f t="shared" ca="1" si="192"/>
        <v>1</v>
      </c>
      <c r="F699" s="100">
        <f t="shared" ca="1" si="193"/>
        <v>9.8190028203999996E-2</v>
      </c>
      <c r="G699">
        <v>0</v>
      </c>
      <c r="H699">
        <v>1</v>
      </c>
      <c r="I699">
        <v>3</v>
      </c>
      <c r="J699" s="1">
        <f t="shared" ca="1" si="194"/>
        <v>9.6059601000000085E-3</v>
      </c>
      <c r="K699" s="1">
        <f t="shared" ca="1" si="195"/>
        <v>9.4320949314549945E-4</v>
      </c>
      <c r="L699" s="13">
        <f t="shared" ca="1" si="196"/>
        <v>200</v>
      </c>
      <c r="M699" s="7">
        <f t="shared" ca="1" si="197"/>
        <v>800</v>
      </c>
      <c r="N699" s="43">
        <f t="shared" ca="1" si="198"/>
        <v>7</v>
      </c>
      <c r="O699" s="92">
        <f t="shared" ca="1" si="199"/>
        <v>3.2214900588145507</v>
      </c>
      <c r="P699" s="92">
        <f t="shared" ca="1" si="200"/>
        <v>32.214900588145518</v>
      </c>
      <c r="Q699" s="92">
        <f t="shared" ca="1" si="201"/>
        <v>32.214900588145518</v>
      </c>
      <c r="R699" s="92">
        <f t="shared" ca="1" si="202"/>
        <v>3.2214900588145516</v>
      </c>
      <c r="S699" s="92">
        <f t="shared" ca="1" si="203"/>
        <v>3.2214900588145507</v>
      </c>
      <c r="T699" s="4">
        <f t="shared" ca="1" si="204"/>
        <v>3.0385400055477378E-3</v>
      </c>
      <c r="U699" s="99">
        <f t="shared" ca="1" si="205"/>
        <v>1355.9757603899629</v>
      </c>
      <c r="V699" s="4">
        <f t="shared" ca="1" si="206"/>
        <v>1.2789692096750001</v>
      </c>
      <c r="W699" s="13">
        <f t="shared" ca="1" si="207"/>
        <v>24196.529568749997</v>
      </c>
      <c r="X699" s="4">
        <f t="shared" ca="1" si="208"/>
        <v>22.822396390420774</v>
      </c>
    </row>
    <row r="700" spans="1:24">
      <c r="A700">
        <v>1</v>
      </c>
      <c r="B700">
        <v>0</v>
      </c>
      <c r="C700">
        <f t="shared" ca="1" si="190"/>
        <v>5</v>
      </c>
      <c r="D700">
        <f t="shared" ca="1" si="191"/>
        <v>3</v>
      </c>
      <c r="E700">
        <f t="shared" ca="1" si="192"/>
        <v>1</v>
      </c>
      <c r="F700" s="100">
        <f t="shared" ca="1" si="193"/>
        <v>9.8190028203999996E-2</v>
      </c>
      <c r="G700">
        <v>0</v>
      </c>
      <c r="H700">
        <v>1</v>
      </c>
      <c r="I700">
        <v>2</v>
      </c>
      <c r="J700" s="1">
        <f t="shared" ca="1" si="194"/>
        <v>2.9108970000000053E-4</v>
      </c>
      <c r="K700" s="1">
        <f t="shared" ca="1" si="195"/>
        <v>2.858210585289395E-5</v>
      </c>
      <c r="L700" s="13">
        <f t="shared" ca="1" si="196"/>
        <v>178</v>
      </c>
      <c r="M700" s="7">
        <f t="shared" ca="1" si="197"/>
        <v>822</v>
      </c>
      <c r="N700" s="43">
        <f t="shared" ca="1" si="198"/>
        <v>7</v>
      </c>
      <c r="O700" s="92">
        <f t="shared" ca="1" si="199"/>
        <v>3.2214900588145507</v>
      </c>
      <c r="P700" s="92">
        <f t="shared" ca="1" si="200"/>
        <v>32.214900588145518</v>
      </c>
      <c r="Q700" s="92">
        <f t="shared" ca="1" si="201"/>
        <v>32.214900588145518</v>
      </c>
      <c r="R700" s="92">
        <f t="shared" ca="1" si="202"/>
        <v>3.2214900588145516</v>
      </c>
      <c r="S700" s="92">
        <f t="shared" ca="1" si="203"/>
        <v>3.2214900588145507</v>
      </c>
      <c r="T700" s="4">
        <f t="shared" ca="1" si="204"/>
        <v>9.2076969865083051E-5</v>
      </c>
      <c r="U700" s="99">
        <f t="shared" ca="1" si="205"/>
        <v>1333.9757603899629</v>
      </c>
      <c r="V700" s="4">
        <f t="shared" ca="1" si="206"/>
        <v>3.8127836388660616E-2</v>
      </c>
      <c r="W700" s="13">
        <f t="shared" ca="1" si="207"/>
        <v>18179.457449999998</v>
      </c>
      <c r="X700" s="4">
        <f t="shared" ca="1" si="208"/>
        <v>0.51960717718408145</v>
      </c>
    </row>
    <row r="701" spans="1:24">
      <c r="A701">
        <v>1</v>
      </c>
      <c r="B701">
        <v>0</v>
      </c>
      <c r="C701">
        <f t="shared" ca="1" si="190"/>
        <v>5</v>
      </c>
      <c r="D701">
        <f t="shared" ca="1" si="191"/>
        <v>3</v>
      </c>
      <c r="E701">
        <f t="shared" ca="1" si="192"/>
        <v>1</v>
      </c>
      <c r="F701" s="100">
        <f t="shared" ca="1" si="193"/>
        <v>9.8190028203999996E-2</v>
      </c>
      <c r="G701">
        <v>0</v>
      </c>
      <c r="H701">
        <v>1</v>
      </c>
      <c r="I701">
        <v>1</v>
      </c>
      <c r="J701" s="1">
        <f t="shared" ca="1" si="194"/>
        <v>2.9403000000000081E-6</v>
      </c>
      <c r="K701" s="1">
        <f t="shared" ca="1" si="195"/>
        <v>2.8870813992822198E-7</v>
      </c>
      <c r="L701" s="13">
        <f t="shared" ca="1" si="196"/>
        <v>156</v>
      </c>
      <c r="M701" s="7">
        <f t="shared" ca="1" si="197"/>
        <v>844</v>
      </c>
      <c r="N701" s="43">
        <f t="shared" ca="1" si="198"/>
        <v>7</v>
      </c>
      <c r="O701" s="92">
        <f t="shared" ca="1" si="199"/>
        <v>3.2214900588145507</v>
      </c>
      <c r="P701" s="92">
        <f t="shared" ca="1" si="200"/>
        <v>32.214900588145518</v>
      </c>
      <c r="Q701" s="92">
        <f t="shared" ca="1" si="201"/>
        <v>32.214900588145518</v>
      </c>
      <c r="R701" s="92">
        <f t="shared" ca="1" si="202"/>
        <v>3.2214900588145516</v>
      </c>
      <c r="S701" s="92">
        <f t="shared" ca="1" si="203"/>
        <v>3.2214900588145507</v>
      </c>
      <c r="T701" s="4">
        <f t="shared" ca="1" si="204"/>
        <v>9.300704026776074E-7</v>
      </c>
      <c r="U701" s="99">
        <f t="shared" ca="1" si="205"/>
        <v>1311.9757603899629</v>
      </c>
      <c r="V701" s="4">
        <f t="shared" ca="1" si="206"/>
        <v>3.7877808141310084E-4</v>
      </c>
      <c r="W701" s="13">
        <f t="shared" ca="1" si="207"/>
        <v>12162.38533125</v>
      </c>
      <c r="X701" s="4">
        <f t="shared" ca="1" si="208"/>
        <v>3.5113796460754794E-3</v>
      </c>
    </row>
    <row r="702" spans="1:24">
      <c r="A702">
        <v>1</v>
      </c>
      <c r="B702">
        <v>0</v>
      </c>
      <c r="C702">
        <f t="shared" ca="1" si="190"/>
        <v>5</v>
      </c>
      <c r="D702">
        <f t="shared" ca="1" si="191"/>
        <v>3</v>
      </c>
      <c r="E702">
        <f t="shared" ca="1" si="192"/>
        <v>1</v>
      </c>
      <c r="F702" s="100">
        <f t="shared" ca="1" si="193"/>
        <v>9.8190028203999996E-2</v>
      </c>
      <c r="G702">
        <v>0</v>
      </c>
      <c r="H702">
        <v>1</v>
      </c>
      <c r="I702">
        <v>0</v>
      </c>
      <c r="J702" s="1">
        <f t="shared" ca="1" si="194"/>
        <v>9.9000000000000357E-9</v>
      </c>
      <c r="K702" s="1">
        <f t="shared" ca="1" si="195"/>
        <v>9.7208127921960341E-10</v>
      </c>
      <c r="L702" s="13">
        <f t="shared" ca="1" si="196"/>
        <v>134</v>
      </c>
      <c r="M702" s="7">
        <f t="shared" ca="1" si="197"/>
        <v>866</v>
      </c>
      <c r="N702" s="43">
        <f t="shared" ca="1" si="198"/>
        <v>7</v>
      </c>
      <c r="O702" s="92">
        <f t="shared" ca="1" si="199"/>
        <v>3.2214900588145507</v>
      </c>
      <c r="P702" s="92">
        <f t="shared" ca="1" si="200"/>
        <v>32.214900588145518</v>
      </c>
      <c r="Q702" s="92">
        <f t="shared" ca="1" si="201"/>
        <v>32.214900588145518</v>
      </c>
      <c r="R702" s="92">
        <f t="shared" ca="1" si="202"/>
        <v>3.2214900588145516</v>
      </c>
      <c r="S702" s="92">
        <f t="shared" ca="1" si="203"/>
        <v>3.2214900588145507</v>
      </c>
      <c r="T702" s="4">
        <f t="shared" ca="1" si="204"/>
        <v>3.1315501773656841E-9</v>
      </c>
      <c r="U702" s="99">
        <f t="shared" ca="1" si="205"/>
        <v>1289.9757603899629</v>
      </c>
      <c r="V702" s="4">
        <f t="shared" ca="1" si="206"/>
        <v>1.2539612873221557E-6</v>
      </c>
      <c r="W702" s="13">
        <f t="shared" ca="1" si="207"/>
        <v>6145.3132124999993</v>
      </c>
      <c r="X702" s="4">
        <f t="shared" ca="1" si="208"/>
        <v>5.9737439288121294E-6</v>
      </c>
    </row>
    <row r="703" spans="1:24">
      <c r="A703">
        <v>1</v>
      </c>
      <c r="B703">
        <v>0</v>
      </c>
      <c r="C703">
        <f t="shared" ca="1" si="190"/>
        <v>5</v>
      </c>
      <c r="D703">
        <f t="shared" ca="1" si="191"/>
        <v>3</v>
      </c>
      <c r="E703">
        <f t="shared" ca="1" si="192"/>
        <v>1</v>
      </c>
      <c r="F703" s="100">
        <f t="shared" ca="1" si="193"/>
        <v>9.8190028203999996E-2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3">
        <f t="shared" ca="1" si="198"/>
        <v>7</v>
      </c>
      <c r="O703" s="92">
        <f t="shared" ca="1" si="199"/>
        <v>3.2214900588145507</v>
      </c>
      <c r="P703" s="92">
        <f t="shared" ca="1" si="200"/>
        <v>32.214900588145518</v>
      </c>
      <c r="Q703" s="92">
        <f t="shared" ca="1" si="201"/>
        <v>32.214900588145518</v>
      </c>
      <c r="R703" s="92">
        <f t="shared" ca="1" si="202"/>
        <v>3.2214900588145516</v>
      </c>
      <c r="S703" s="92">
        <f t="shared" ca="1" si="203"/>
        <v>3.2214900588145507</v>
      </c>
      <c r="T703" s="4">
        <f t="shared" ca="1" si="204"/>
        <v>0</v>
      </c>
      <c r="U703" s="99">
        <f t="shared" ca="1" si="205"/>
        <v>1309.9757603899629</v>
      </c>
      <c r="V703" s="4">
        <f t="shared" ca="1" si="206"/>
        <v>0</v>
      </c>
      <c r="W703" s="13">
        <f t="shared" ca="1" si="207"/>
        <v>42119.50483125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ca="1" si="190"/>
        <v>5</v>
      </c>
      <c r="D704">
        <f t="shared" ca="1" si="191"/>
        <v>3</v>
      </c>
      <c r="E704">
        <f t="shared" ca="1" si="192"/>
        <v>1</v>
      </c>
      <c r="F704" s="100">
        <f t="shared" ca="1" si="193"/>
        <v>9.8190028203999996E-2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3">
        <f t="shared" ca="1" si="198"/>
        <v>7</v>
      </c>
      <c r="O704" s="92">
        <f t="shared" ca="1" si="199"/>
        <v>3.2214900588145507</v>
      </c>
      <c r="P704" s="92">
        <f t="shared" ca="1" si="200"/>
        <v>32.214900588145518</v>
      </c>
      <c r="Q704" s="92">
        <f t="shared" ca="1" si="201"/>
        <v>32.214900588145518</v>
      </c>
      <c r="R704" s="92">
        <f t="shared" ca="1" si="202"/>
        <v>3.2214900588145516</v>
      </c>
      <c r="S704" s="92">
        <f t="shared" ca="1" si="203"/>
        <v>3.2214900588145507</v>
      </c>
      <c r="T704" s="4">
        <f t="shared" ca="1" si="204"/>
        <v>0</v>
      </c>
      <c r="U704" s="99">
        <f t="shared" ca="1" si="205"/>
        <v>1287.9757603899629</v>
      </c>
      <c r="V704" s="4">
        <f t="shared" ca="1" si="206"/>
        <v>0</v>
      </c>
      <c r="W704" s="13">
        <f t="shared" ca="1" si="207"/>
        <v>36102.432712499998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ca="1" si="190"/>
        <v>5</v>
      </c>
      <c r="D705">
        <f t="shared" ca="1" si="191"/>
        <v>3</v>
      </c>
      <c r="E705">
        <f t="shared" ca="1" si="192"/>
        <v>1</v>
      </c>
      <c r="F705" s="100">
        <f t="shared" ca="1" si="193"/>
        <v>9.8190028203999996E-2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110</v>
      </c>
      <c r="M705" s="7">
        <f t="shared" ca="1" si="197"/>
        <v>890</v>
      </c>
      <c r="N705" s="43">
        <f t="shared" ca="1" si="198"/>
        <v>8</v>
      </c>
      <c r="O705" s="92">
        <f t="shared" ca="1" si="199"/>
        <v>3.5531918581169131</v>
      </c>
      <c r="P705" s="92">
        <f t="shared" ca="1" si="200"/>
        <v>35.531918581169137</v>
      </c>
      <c r="Q705" s="92">
        <f t="shared" ca="1" si="201"/>
        <v>33.541707785354966</v>
      </c>
      <c r="R705" s="92">
        <f t="shared" ca="1" si="202"/>
        <v>3.4536813183262054</v>
      </c>
      <c r="S705" s="92">
        <f t="shared" ca="1" si="203"/>
        <v>3.5462261203315633</v>
      </c>
      <c r="T705" s="4">
        <f t="shared" ca="1" si="204"/>
        <v>0</v>
      </c>
      <c r="U705" s="99">
        <f t="shared" ca="1" si="205"/>
        <v>1366.7817087343356</v>
      </c>
      <c r="V705" s="4">
        <f t="shared" ca="1" si="206"/>
        <v>0</v>
      </c>
      <c r="W705" s="13">
        <f t="shared" ca="1" si="207"/>
        <v>30085.360593749996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ca="1" si="190"/>
        <v>5</v>
      </c>
      <c r="D706">
        <f t="shared" ca="1" si="191"/>
        <v>3</v>
      </c>
      <c r="E706">
        <f t="shared" ca="1" si="192"/>
        <v>1</v>
      </c>
      <c r="F706" s="100">
        <f t="shared" ca="1" si="193"/>
        <v>9.8190028203999996E-2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100</v>
      </c>
      <c r="M706" s="7">
        <f t="shared" ca="1" si="197"/>
        <v>900</v>
      </c>
      <c r="N706" s="43">
        <f t="shared" ca="1" si="198"/>
        <v>8</v>
      </c>
      <c r="O706" s="92">
        <f t="shared" ca="1" si="199"/>
        <v>3.5531918581169131</v>
      </c>
      <c r="P706" s="92">
        <f t="shared" ca="1" si="200"/>
        <v>35.531918581169137</v>
      </c>
      <c r="Q706" s="92">
        <f t="shared" ca="1" si="201"/>
        <v>35.531918581169137</v>
      </c>
      <c r="R706" s="92">
        <f t="shared" ca="1" si="202"/>
        <v>3.5531918581169135</v>
      </c>
      <c r="S706" s="92">
        <f t="shared" ca="1" si="203"/>
        <v>3.5531918581169126</v>
      </c>
      <c r="T706" s="4">
        <f t="shared" ca="1" si="204"/>
        <v>0</v>
      </c>
      <c r="U706" s="99">
        <f t="shared" ca="1" si="205"/>
        <v>1358.9440426620492</v>
      </c>
      <c r="V706" s="4">
        <f t="shared" ca="1" si="206"/>
        <v>0</v>
      </c>
      <c r="W706" s="13">
        <f t="shared" ca="1" si="207"/>
        <v>24068.288474999998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ca="1" si="190"/>
        <v>5</v>
      </c>
      <c r="D707">
        <f t="shared" ca="1" si="191"/>
        <v>3</v>
      </c>
      <c r="E707">
        <f t="shared" ca="1" si="192"/>
        <v>1</v>
      </c>
      <c r="F707" s="100">
        <f t="shared" ca="1" si="193"/>
        <v>9.8190028203999996E-2</v>
      </c>
      <c r="G707">
        <v>0</v>
      </c>
      <c r="H707">
        <v>0</v>
      </c>
      <c r="I707">
        <v>3</v>
      </c>
      <c r="J707" s="1">
        <f t="shared" ca="1" si="194"/>
        <v>9.7029900000000167E-5</v>
      </c>
      <c r="K707" s="1">
        <f t="shared" ca="1" si="195"/>
        <v>9.5273686176313161E-6</v>
      </c>
      <c r="L707" s="13">
        <f t="shared" ca="1" si="196"/>
        <v>100</v>
      </c>
      <c r="M707" s="7">
        <f t="shared" ca="1" si="197"/>
        <v>900</v>
      </c>
      <c r="N707" s="43">
        <f t="shared" ca="1" si="198"/>
        <v>8</v>
      </c>
      <c r="O707" s="92">
        <f t="shared" ca="1" si="199"/>
        <v>3.5531918581169131</v>
      </c>
      <c r="P707" s="92">
        <f t="shared" ca="1" si="200"/>
        <v>35.531918581169137</v>
      </c>
      <c r="Q707" s="92">
        <f t="shared" ca="1" si="201"/>
        <v>35.531918581169137</v>
      </c>
      <c r="R707" s="92">
        <f t="shared" ca="1" si="202"/>
        <v>3.5531918581169135</v>
      </c>
      <c r="S707" s="92">
        <f t="shared" ca="1" si="203"/>
        <v>3.5531918581169126</v>
      </c>
      <c r="T707" s="4">
        <f t="shared" ca="1" si="204"/>
        <v>3.3852568601446181E-5</v>
      </c>
      <c r="U707" s="99">
        <f t="shared" ca="1" si="205"/>
        <v>1358.9440426620492</v>
      </c>
      <c r="V707" s="4">
        <f t="shared" ca="1" si="206"/>
        <v>1.2947160825175441E-2</v>
      </c>
      <c r="W707" s="13">
        <f t="shared" ca="1" si="207"/>
        <v>18051.216356249999</v>
      </c>
      <c r="X707" s="4">
        <f t="shared" ca="1" si="208"/>
        <v>0.17198059222260936</v>
      </c>
    </row>
    <row r="708" spans="1:24">
      <c r="A708">
        <v>1</v>
      </c>
      <c r="B708">
        <v>0</v>
      </c>
      <c r="C708">
        <f t="shared" ca="1" si="190"/>
        <v>5</v>
      </c>
      <c r="D708">
        <f t="shared" ca="1" si="191"/>
        <v>3</v>
      </c>
      <c r="E708">
        <f t="shared" ca="1" si="192"/>
        <v>1</v>
      </c>
      <c r="F708" s="100">
        <f t="shared" ca="1" si="193"/>
        <v>9.8190028203999996E-2</v>
      </c>
      <c r="G708">
        <v>0</v>
      </c>
      <c r="H708">
        <v>0</v>
      </c>
      <c r="I708">
        <v>2</v>
      </c>
      <c r="J708" s="1">
        <f t="shared" ca="1" si="194"/>
        <v>2.9403000000000077E-6</v>
      </c>
      <c r="K708" s="1">
        <f t="shared" ca="1" si="195"/>
        <v>2.8870813992822192E-7</v>
      </c>
      <c r="L708" s="13">
        <f t="shared" ca="1" si="196"/>
        <v>100</v>
      </c>
      <c r="M708" s="7">
        <f t="shared" ca="1" si="197"/>
        <v>900</v>
      </c>
      <c r="N708" s="43">
        <f t="shared" ca="1" si="198"/>
        <v>8</v>
      </c>
      <c r="O708" s="92">
        <f t="shared" ca="1" si="199"/>
        <v>3.5531918581169131</v>
      </c>
      <c r="P708" s="92">
        <f t="shared" ca="1" si="200"/>
        <v>35.531918581169137</v>
      </c>
      <c r="Q708" s="92">
        <f t="shared" ca="1" si="201"/>
        <v>35.531918581169137</v>
      </c>
      <c r="R708" s="92">
        <f t="shared" ca="1" si="202"/>
        <v>3.5531918581169135</v>
      </c>
      <c r="S708" s="92">
        <f t="shared" ca="1" si="203"/>
        <v>3.5531918581169126</v>
      </c>
      <c r="T708" s="4">
        <f t="shared" ca="1" si="204"/>
        <v>1.0258354121650364E-6</v>
      </c>
      <c r="U708" s="99">
        <f t="shared" ca="1" si="205"/>
        <v>1358.9440426620492</v>
      </c>
      <c r="V708" s="4">
        <f t="shared" ca="1" si="206"/>
        <v>3.9233820682349848E-4</v>
      </c>
      <c r="W708" s="13">
        <f t="shared" ca="1" si="207"/>
        <v>12034.144237499999</v>
      </c>
      <c r="X708" s="4">
        <f t="shared" ca="1" si="208"/>
        <v>3.4743553984365552E-3</v>
      </c>
    </row>
    <row r="709" spans="1:24">
      <c r="A709">
        <v>1</v>
      </c>
      <c r="B709">
        <v>0</v>
      </c>
      <c r="C709">
        <f t="shared" ca="1" si="190"/>
        <v>5</v>
      </c>
      <c r="D709">
        <f t="shared" ca="1" si="191"/>
        <v>3</v>
      </c>
      <c r="E709">
        <f t="shared" ca="1" si="192"/>
        <v>1</v>
      </c>
      <c r="F709" s="100">
        <f t="shared" ca="1" si="193"/>
        <v>9.8190028203999996E-2</v>
      </c>
      <c r="G709">
        <v>0</v>
      </c>
      <c r="H709">
        <v>0</v>
      </c>
      <c r="I709">
        <v>1</v>
      </c>
      <c r="J709" s="1">
        <f t="shared" ca="1" si="194"/>
        <v>2.970000000000011E-8</v>
      </c>
      <c r="K709" s="1">
        <f t="shared" ca="1" si="195"/>
        <v>2.9162438376588109E-9</v>
      </c>
      <c r="L709" s="13">
        <f t="shared" ca="1" si="196"/>
        <v>100</v>
      </c>
      <c r="M709" s="7">
        <f t="shared" ca="1" si="197"/>
        <v>900</v>
      </c>
      <c r="N709" s="43">
        <f t="shared" ca="1" si="198"/>
        <v>8</v>
      </c>
      <c r="O709" s="92">
        <f t="shared" ca="1" si="199"/>
        <v>3.5531918581169131</v>
      </c>
      <c r="P709" s="92">
        <f t="shared" ca="1" si="200"/>
        <v>35.531918581169137</v>
      </c>
      <c r="Q709" s="92">
        <f t="shared" ca="1" si="201"/>
        <v>35.531918581169137</v>
      </c>
      <c r="R709" s="92">
        <f t="shared" ca="1" si="202"/>
        <v>3.5531918581169135</v>
      </c>
      <c r="S709" s="92">
        <f t="shared" ca="1" si="203"/>
        <v>3.5531918581169126</v>
      </c>
      <c r="T709" s="4">
        <f t="shared" ca="1" si="204"/>
        <v>1.0361973860252907E-8</v>
      </c>
      <c r="U709" s="99">
        <f t="shared" ca="1" si="205"/>
        <v>1358.9440426620492</v>
      </c>
      <c r="V709" s="4">
        <f t="shared" ca="1" si="206"/>
        <v>3.9630121901363532E-6</v>
      </c>
      <c r="W709" s="13">
        <f t="shared" ca="1" si="207"/>
        <v>6017.0721187499994</v>
      </c>
      <c r="X709" s="4">
        <f t="shared" ca="1" si="208"/>
        <v>1.7547249487053331E-5</v>
      </c>
    </row>
    <row r="710" spans="1:24">
      <c r="A710">
        <v>1</v>
      </c>
      <c r="B710">
        <v>0</v>
      </c>
      <c r="C710">
        <f t="shared" ca="1" si="190"/>
        <v>5</v>
      </c>
      <c r="D710">
        <f t="shared" ca="1" si="191"/>
        <v>3</v>
      </c>
      <c r="E710">
        <f t="shared" ca="1" si="192"/>
        <v>1</v>
      </c>
      <c r="F710" s="100">
        <f t="shared" ca="1" si="193"/>
        <v>9.8190028203999996E-2</v>
      </c>
      <c r="G710">
        <v>0</v>
      </c>
      <c r="H710">
        <v>0</v>
      </c>
      <c r="I710">
        <v>0</v>
      </c>
      <c r="J710" s="1">
        <f t="shared" ca="1" si="194"/>
        <v>1.0000000000000046E-10</v>
      </c>
      <c r="K710" s="1">
        <f t="shared" ca="1" si="195"/>
        <v>9.8190028204000438E-12</v>
      </c>
      <c r="L710" s="13">
        <f t="shared" ca="1" si="196"/>
        <v>100</v>
      </c>
      <c r="M710" s="7">
        <f t="shared" ca="1" si="197"/>
        <v>900</v>
      </c>
      <c r="N710" s="43">
        <f t="shared" ca="1" si="198"/>
        <v>8</v>
      </c>
      <c r="O710" s="92">
        <f t="shared" ca="1" si="199"/>
        <v>3.5531918581169131</v>
      </c>
      <c r="P710" s="92">
        <f t="shared" ca="1" si="200"/>
        <v>35.531918581169137</v>
      </c>
      <c r="Q710" s="92">
        <f t="shared" ca="1" si="201"/>
        <v>35.531918581169137</v>
      </c>
      <c r="R710" s="92">
        <f t="shared" ca="1" si="202"/>
        <v>3.5531918581169135</v>
      </c>
      <c r="S710" s="92">
        <f t="shared" ca="1" si="203"/>
        <v>3.5531918581169126</v>
      </c>
      <c r="T710" s="4">
        <f t="shared" ca="1" si="204"/>
        <v>3.4888800876272438E-11</v>
      </c>
      <c r="U710" s="99">
        <f t="shared" ca="1" si="205"/>
        <v>1358.9440426620492</v>
      </c>
      <c r="V710" s="4">
        <f t="shared" ca="1" si="206"/>
        <v>1.3343475387664499E-8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ca="1" si="190"/>
        <v>6</v>
      </c>
      <c r="D711">
        <f t="shared" ca="1" si="191"/>
        <v>4</v>
      </c>
      <c r="E711">
        <f t="shared" ca="1" si="192"/>
        <v>1</v>
      </c>
      <c r="F711" s="100">
        <f t="shared" ca="1" si="193"/>
        <v>2.0111210596E-2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422</v>
      </c>
      <c r="M711" s="7">
        <f t="shared" ca="1" si="197"/>
        <v>578</v>
      </c>
      <c r="N711" s="43">
        <f t="shared" ca="1" si="198"/>
        <v>5</v>
      </c>
      <c r="O711" s="92">
        <f t="shared" ca="1" si="199"/>
        <v>2.4432565128993144</v>
      </c>
      <c r="P711" s="92">
        <f t="shared" ca="1" si="200"/>
        <v>24.432565128993144</v>
      </c>
      <c r="Q711" s="92">
        <f t="shared" ca="1" si="201"/>
        <v>24.432565128993144</v>
      </c>
      <c r="R711" s="92">
        <f t="shared" ca="1" si="202"/>
        <v>2.4432565128993144</v>
      </c>
      <c r="S711" s="92">
        <f t="shared" ca="1" si="203"/>
        <v>2.4432565128993144</v>
      </c>
      <c r="T711" s="4">
        <f t="shared" ca="1" si="204"/>
        <v>0</v>
      </c>
      <c r="U711" s="99">
        <f t="shared" ca="1" si="205"/>
        <v>1336.3931955743851</v>
      </c>
      <c r="V711" s="4">
        <f t="shared" ca="1" si="206"/>
        <v>0</v>
      </c>
      <c r="W711" s="13">
        <f t="shared" ca="1" si="207"/>
        <v>54281.8901625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ca="1" si="190"/>
        <v>6</v>
      </c>
      <c r="D712">
        <f t="shared" ca="1" si="191"/>
        <v>4</v>
      </c>
      <c r="E712">
        <f t="shared" ca="1" si="192"/>
        <v>1</v>
      </c>
      <c r="F712" s="100">
        <f t="shared" ca="1" si="193"/>
        <v>2.0111210596E-2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400</v>
      </c>
      <c r="M712" s="7">
        <f t="shared" ca="1" si="197"/>
        <v>600</v>
      </c>
      <c r="N712" s="43">
        <f t="shared" ca="1" si="198"/>
        <v>5</v>
      </c>
      <c r="O712" s="92">
        <f t="shared" ca="1" si="199"/>
        <v>2.4432565128993144</v>
      </c>
      <c r="P712" s="92">
        <f t="shared" ca="1" si="200"/>
        <v>24.432565128993144</v>
      </c>
      <c r="Q712" s="92">
        <f t="shared" ca="1" si="201"/>
        <v>24.432565128993144</v>
      </c>
      <c r="R712" s="92">
        <f t="shared" ca="1" si="202"/>
        <v>2.4432565128993144</v>
      </c>
      <c r="S712" s="92">
        <f t="shared" ca="1" si="203"/>
        <v>2.4432565128993144</v>
      </c>
      <c r="T712" s="4">
        <f t="shared" ca="1" si="204"/>
        <v>0</v>
      </c>
      <c r="U712" s="99">
        <f t="shared" ca="1" si="205"/>
        <v>1314.3931955743851</v>
      </c>
      <c r="V712" s="4">
        <f t="shared" ca="1" si="206"/>
        <v>0</v>
      </c>
      <c r="W712" s="13">
        <f t="shared" ca="1" si="207"/>
        <v>48264.818043749998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ca="1" si="190"/>
        <v>6</v>
      </c>
      <c r="D713">
        <f t="shared" ca="1" si="191"/>
        <v>4</v>
      </c>
      <c r="E713">
        <f t="shared" ca="1" si="192"/>
        <v>1</v>
      </c>
      <c r="F713" s="100">
        <f t="shared" ca="1" si="193"/>
        <v>2.0111210596E-2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378</v>
      </c>
      <c r="M713" s="7">
        <f t="shared" ca="1" si="197"/>
        <v>622</v>
      </c>
      <c r="N713" s="43">
        <f t="shared" ca="1" si="198"/>
        <v>5</v>
      </c>
      <c r="O713" s="92">
        <f t="shared" ca="1" si="199"/>
        <v>2.4432565128993144</v>
      </c>
      <c r="P713" s="92">
        <f t="shared" ca="1" si="200"/>
        <v>24.432565128993144</v>
      </c>
      <c r="Q713" s="92">
        <f t="shared" ca="1" si="201"/>
        <v>24.432565128993144</v>
      </c>
      <c r="R713" s="92">
        <f t="shared" ca="1" si="202"/>
        <v>2.4432565128993144</v>
      </c>
      <c r="S713" s="92">
        <f t="shared" ca="1" si="203"/>
        <v>2.4432565128993144</v>
      </c>
      <c r="T713" s="4">
        <f t="shared" ca="1" si="204"/>
        <v>0</v>
      </c>
      <c r="U713" s="99">
        <f t="shared" ca="1" si="205"/>
        <v>1292.3931955743851</v>
      </c>
      <c r="V713" s="4">
        <f t="shared" ca="1" si="206"/>
        <v>0</v>
      </c>
      <c r="W713" s="13">
        <f t="shared" ca="1" si="207"/>
        <v>42247.745924999996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ca="1" si="190"/>
        <v>6</v>
      </c>
      <c r="D714">
        <f t="shared" ca="1" si="191"/>
        <v>4</v>
      </c>
      <c r="E714">
        <f t="shared" ca="1" si="192"/>
        <v>1</v>
      </c>
      <c r="F714" s="100">
        <f t="shared" ca="1" si="193"/>
        <v>2.0111210596E-2</v>
      </c>
      <c r="G714">
        <v>1</v>
      </c>
      <c r="H714">
        <v>1</v>
      </c>
      <c r="I714">
        <v>4</v>
      </c>
      <c r="J714" s="1">
        <f t="shared" ca="1" si="194"/>
        <v>0.94148014940099989</v>
      </c>
      <c r="K714" s="1">
        <f t="shared" ca="1" si="195"/>
        <v>1.8934305556557052E-2</v>
      </c>
      <c r="L714" s="13">
        <f t="shared" ca="1" si="196"/>
        <v>356</v>
      </c>
      <c r="M714" s="7">
        <f t="shared" ca="1" si="197"/>
        <v>644</v>
      </c>
      <c r="N714" s="43">
        <f t="shared" ca="1" si="198"/>
        <v>6</v>
      </c>
      <c r="O714" s="92">
        <f t="shared" ca="1" si="199"/>
        <v>2.7275117780454798</v>
      </c>
      <c r="P714" s="92">
        <f t="shared" ca="1" si="200"/>
        <v>27.275117780454792</v>
      </c>
      <c r="Q714" s="92">
        <f t="shared" ca="1" si="201"/>
        <v>26.706607250162463</v>
      </c>
      <c r="R714" s="92">
        <f t="shared" ca="1" si="202"/>
        <v>2.6990862515308627</v>
      </c>
      <c r="S714" s="92">
        <f t="shared" ca="1" si="203"/>
        <v>2.7255219911894564</v>
      </c>
      <c r="T714" s="4">
        <f t="shared" ca="1" si="204"/>
        <v>5.1605866182296962E-2</v>
      </c>
      <c r="U714" s="99">
        <f t="shared" ca="1" si="205"/>
        <v>1358.0152449734937</v>
      </c>
      <c r="V714" s="4">
        <f t="shared" ca="1" si="206"/>
        <v>25.713075598790809</v>
      </c>
      <c r="W714" s="13">
        <f t="shared" ca="1" si="207"/>
        <v>36230.673806249994</v>
      </c>
      <c r="X714" s="4">
        <f t="shared" ca="1" si="208"/>
        <v>686.00264836748534</v>
      </c>
    </row>
    <row r="715" spans="1:24">
      <c r="A715">
        <v>1</v>
      </c>
      <c r="B715">
        <v>1</v>
      </c>
      <c r="C715">
        <f t="shared" ca="1" si="190"/>
        <v>6</v>
      </c>
      <c r="D715">
        <f t="shared" ca="1" si="191"/>
        <v>4</v>
      </c>
      <c r="E715">
        <f t="shared" ca="1" si="192"/>
        <v>1</v>
      </c>
      <c r="F715" s="100">
        <f t="shared" ca="1" si="193"/>
        <v>2.0111210596E-2</v>
      </c>
      <c r="G715">
        <v>1</v>
      </c>
      <c r="H715">
        <v>1</v>
      </c>
      <c r="I715">
        <v>3</v>
      </c>
      <c r="J715" s="1">
        <f t="shared" ca="1" si="194"/>
        <v>3.8039601996000032E-2</v>
      </c>
      <c r="K715" s="1">
        <f t="shared" ca="1" si="195"/>
        <v>7.6502244672957864E-4</v>
      </c>
      <c r="L715" s="13">
        <f t="shared" ca="1" si="196"/>
        <v>334</v>
      </c>
      <c r="M715" s="7">
        <f t="shared" ca="1" si="197"/>
        <v>666</v>
      </c>
      <c r="N715" s="43">
        <f t="shared" ca="1" si="198"/>
        <v>6</v>
      </c>
      <c r="O715" s="92">
        <f t="shared" ca="1" si="199"/>
        <v>2.7275117780454798</v>
      </c>
      <c r="P715" s="92">
        <f t="shared" ca="1" si="200"/>
        <v>27.275117780454792</v>
      </c>
      <c r="Q715" s="92">
        <f t="shared" ca="1" si="201"/>
        <v>27.275117780454792</v>
      </c>
      <c r="R715" s="92">
        <f t="shared" ca="1" si="202"/>
        <v>2.7275117780454794</v>
      </c>
      <c r="S715" s="92">
        <f t="shared" ca="1" si="203"/>
        <v>2.7275117780454794</v>
      </c>
      <c r="T715" s="4">
        <f t="shared" ca="1" si="204"/>
        <v>2.0866077339240963E-3</v>
      </c>
      <c r="U715" s="99">
        <f t="shared" ca="1" si="205"/>
        <v>1336.6329230659346</v>
      </c>
      <c r="V715" s="4">
        <f t="shared" ca="1" si="206"/>
        <v>1.0225541891832099</v>
      </c>
      <c r="W715" s="13">
        <f t="shared" ca="1" si="207"/>
        <v>30213.601687499999</v>
      </c>
      <c r="X715" s="4">
        <f t="shared" ca="1" si="208"/>
        <v>23.114083487484177</v>
      </c>
    </row>
    <row r="716" spans="1:24">
      <c r="A716">
        <v>1</v>
      </c>
      <c r="B716">
        <v>1</v>
      </c>
      <c r="C716">
        <f t="shared" ca="1" si="190"/>
        <v>6</v>
      </c>
      <c r="D716">
        <f t="shared" ca="1" si="191"/>
        <v>4</v>
      </c>
      <c r="E716">
        <f t="shared" ca="1" si="192"/>
        <v>1</v>
      </c>
      <c r="F716" s="100">
        <f t="shared" ca="1" si="193"/>
        <v>2.0111210596E-2</v>
      </c>
      <c r="G716">
        <v>1</v>
      </c>
      <c r="H716">
        <v>1</v>
      </c>
      <c r="I716">
        <v>2</v>
      </c>
      <c r="J716" s="1">
        <f t="shared" ca="1" si="194"/>
        <v>5.7635760600000105E-4</v>
      </c>
      <c r="K716" s="1">
        <f t="shared" ca="1" si="195"/>
        <v>1.1591249192872415E-5</v>
      </c>
      <c r="L716" s="13">
        <f t="shared" ca="1" si="196"/>
        <v>312</v>
      </c>
      <c r="M716" s="7">
        <f t="shared" ca="1" si="197"/>
        <v>688</v>
      </c>
      <c r="N716" s="43">
        <f t="shared" ca="1" si="198"/>
        <v>6</v>
      </c>
      <c r="O716" s="92">
        <f t="shared" ca="1" si="199"/>
        <v>2.7275117780454798</v>
      </c>
      <c r="P716" s="92">
        <f t="shared" ca="1" si="200"/>
        <v>27.275117780454792</v>
      </c>
      <c r="Q716" s="92">
        <f t="shared" ca="1" si="201"/>
        <v>27.275117780454792</v>
      </c>
      <c r="R716" s="92">
        <f t="shared" ca="1" si="202"/>
        <v>2.7275117780454794</v>
      </c>
      <c r="S716" s="92">
        <f t="shared" ca="1" si="203"/>
        <v>2.7275117780454794</v>
      </c>
      <c r="T716" s="4">
        <f t="shared" ca="1" si="204"/>
        <v>3.1615268695819671E-5</v>
      </c>
      <c r="U716" s="99">
        <f t="shared" ca="1" si="205"/>
        <v>1314.6329230659346</v>
      </c>
      <c r="V716" s="4">
        <f t="shared" ca="1" si="206"/>
        <v>1.5238237808411518E-2</v>
      </c>
      <c r="W716" s="13">
        <f t="shared" ca="1" si="207"/>
        <v>24196.529568749997</v>
      </c>
      <c r="X716" s="4">
        <f t="shared" ca="1" si="208"/>
        <v>0.28046800383408693</v>
      </c>
    </row>
    <row r="717" spans="1:24">
      <c r="A717">
        <v>1</v>
      </c>
      <c r="B717">
        <v>1</v>
      </c>
      <c r="C717">
        <f t="shared" ca="1" si="190"/>
        <v>6</v>
      </c>
      <c r="D717">
        <f t="shared" ca="1" si="191"/>
        <v>4</v>
      </c>
      <c r="E717">
        <f t="shared" ca="1" si="192"/>
        <v>1</v>
      </c>
      <c r="F717" s="100">
        <f t="shared" ca="1" si="193"/>
        <v>2.0111210596E-2</v>
      </c>
      <c r="G717">
        <v>1</v>
      </c>
      <c r="H717">
        <v>1</v>
      </c>
      <c r="I717">
        <v>1</v>
      </c>
      <c r="J717" s="1">
        <f t="shared" ca="1" si="194"/>
        <v>3.8811960000000103E-6</v>
      </c>
      <c r="K717" s="1">
        <f t="shared" ca="1" si="195"/>
        <v>7.8055550120353022E-8</v>
      </c>
      <c r="L717" s="13">
        <f t="shared" ca="1" si="196"/>
        <v>290</v>
      </c>
      <c r="M717" s="7">
        <f t="shared" ca="1" si="197"/>
        <v>710</v>
      </c>
      <c r="N717" s="43">
        <f t="shared" ca="1" si="198"/>
        <v>6</v>
      </c>
      <c r="O717" s="92">
        <f t="shared" ca="1" si="199"/>
        <v>2.7275117780454798</v>
      </c>
      <c r="P717" s="92">
        <f t="shared" ca="1" si="200"/>
        <v>27.275117780454792</v>
      </c>
      <c r="Q717" s="92">
        <f t="shared" ca="1" si="201"/>
        <v>27.275117780454792</v>
      </c>
      <c r="R717" s="92">
        <f t="shared" ca="1" si="202"/>
        <v>2.7275117780454794</v>
      </c>
      <c r="S717" s="92">
        <f t="shared" ca="1" si="203"/>
        <v>2.7275117780454794</v>
      </c>
      <c r="T717" s="4">
        <f t="shared" ca="1" si="204"/>
        <v>2.1289743229508209E-7</v>
      </c>
      <c r="U717" s="99">
        <f t="shared" ca="1" si="205"/>
        <v>1292.6329230659346</v>
      </c>
      <c r="V717" s="4">
        <f t="shared" ca="1" si="206"/>
        <v>1.0089717391359149E-4</v>
      </c>
      <c r="W717" s="13">
        <f t="shared" ca="1" si="207"/>
        <v>18179.457449999998</v>
      </c>
      <c r="X717" s="4">
        <f t="shared" ca="1" si="208"/>
        <v>1.4190075521492999E-3</v>
      </c>
    </row>
    <row r="718" spans="1:24">
      <c r="A718">
        <v>1</v>
      </c>
      <c r="B718">
        <v>1</v>
      </c>
      <c r="C718">
        <f t="shared" ca="1" si="190"/>
        <v>6</v>
      </c>
      <c r="D718">
        <f t="shared" ca="1" si="191"/>
        <v>4</v>
      </c>
      <c r="E718">
        <f t="shared" ca="1" si="192"/>
        <v>1</v>
      </c>
      <c r="F718" s="100">
        <f t="shared" ca="1" si="193"/>
        <v>2.0111210596E-2</v>
      </c>
      <c r="G718">
        <v>1</v>
      </c>
      <c r="H718">
        <v>1</v>
      </c>
      <c r="I718">
        <v>0</v>
      </c>
      <c r="J718" s="1">
        <f t="shared" ca="1" si="194"/>
        <v>9.8010000000000359E-9</v>
      </c>
      <c r="K718" s="1">
        <f t="shared" ca="1" si="195"/>
        <v>1.9710997505139674E-10</v>
      </c>
      <c r="L718" s="13">
        <f t="shared" ca="1" si="196"/>
        <v>268</v>
      </c>
      <c r="M718" s="7">
        <f t="shared" ca="1" si="197"/>
        <v>732</v>
      </c>
      <c r="N718" s="43">
        <f t="shared" ca="1" si="198"/>
        <v>6</v>
      </c>
      <c r="O718" s="92">
        <f t="shared" ca="1" si="199"/>
        <v>2.7275117780454798</v>
      </c>
      <c r="P718" s="92">
        <f t="shared" ca="1" si="200"/>
        <v>27.275117780454792</v>
      </c>
      <c r="Q718" s="92">
        <f t="shared" ca="1" si="201"/>
        <v>27.275117780454792</v>
      </c>
      <c r="R718" s="92">
        <f t="shared" ca="1" si="202"/>
        <v>2.7275117780454794</v>
      </c>
      <c r="S718" s="92">
        <f t="shared" ca="1" si="203"/>
        <v>2.7275117780454794</v>
      </c>
      <c r="T718" s="4">
        <f t="shared" ca="1" si="204"/>
        <v>5.3761977852293522E-10</v>
      </c>
      <c r="U718" s="99">
        <f t="shared" ca="1" si="205"/>
        <v>1270.6329230659346</v>
      </c>
      <c r="V718" s="4">
        <f t="shared" ca="1" si="206"/>
        <v>2.5045442376500969E-7</v>
      </c>
      <c r="W718" s="13">
        <f t="shared" ca="1" si="207"/>
        <v>12162.38533125</v>
      </c>
      <c r="X718" s="4">
        <f t="shared" ca="1" si="208"/>
        <v>2.3973274692081612E-6</v>
      </c>
    </row>
    <row r="719" spans="1:24">
      <c r="A719">
        <v>1</v>
      </c>
      <c r="B719">
        <v>1</v>
      </c>
      <c r="C719">
        <f t="shared" ca="1" si="190"/>
        <v>6</v>
      </c>
      <c r="D719">
        <f t="shared" ca="1" si="191"/>
        <v>4</v>
      </c>
      <c r="E719">
        <f t="shared" ca="1" si="192"/>
        <v>1</v>
      </c>
      <c r="F719" s="100">
        <f t="shared" ca="1" si="193"/>
        <v>2.0111210596E-2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288</v>
      </c>
      <c r="M719" s="7">
        <f t="shared" ca="1" si="197"/>
        <v>712</v>
      </c>
      <c r="N719" s="43">
        <f t="shared" ca="1" si="198"/>
        <v>6</v>
      </c>
      <c r="O719" s="92">
        <f t="shared" ca="1" si="199"/>
        <v>2.7275117780454798</v>
      </c>
      <c r="P719" s="92">
        <f t="shared" ca="1" si="200"/>
        <v>27.275117780454792</v>
      </c>
      <c r="Q719" s="92">
        <f t="shared" ca="1" si="201"/>
        <v>27.275117780454792</v>
      </c>
      <c r="R719" s="92">
        <f t="shared" ca="1" si="202"/>
        <v>2.7275117780454794</v>
      </c>
      <c r="S719" s="92">
        <f t="shared" ca="1" si="203"/>
        <v>2.7275117780454794</v>
      </c>
      <c r="T719" s="4">
        <f t="shared" ca="1" si="204"/>
        <v>0</v>
      </c>
      <c r="U719" s="99">
        <f t="shared" ca="1" si="205"/>
        <v>1290.6329230659346</v>
      </c>
      <c r="V719" s="4">
        <f t="shared" ca="1" si="206"/>
        <v>0</v>
      </c>
      <c r="W719" s="13">
        <f t="shared" ca="1" si="207"/>
        <v>48136.576950000002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ca="1" si="190"/>
        <v>6</v>
      </c>
      <c r="D720">
        <f t="shared" ca="1" si="191"/>
        <v>4</v>
      </c>
      <c r="E720">
        <f t="shared" ca="1" si="192"/>
        <v>1</v>
      </c>
      <c r="F720" s="100">
        <f t="shared" ca="1" si="193"/>
        <v>2.0111210596E-2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266</v>
      </c>
      <c r="M720" s="7">
        <f t="shared" ca="1" si="197"/>
        <v>734</v>
      </c>
      <c r="N720" s="43">
        <f t="shared" ca="1" si="198"/>
        <v>6</v>
      </c>
      <c r="O720" s="92">
        <f t="shared" ca="1" si="199"/>
        <v>2.7275117780454798</v>
      </c>
      <c r="P720" s="92">
        <f t="shared" ca="1" si="200"/>
        <v>27.275117780454792</v>
      </c>
      <c r="Q720" s="92">
        <f t="shared" ca="1" si="201"/>
        <v>27.275117780454792</v>
      </c>
      <c r="R720" s="92">
        <f t="shared" ca="1" si="202"/>
        <v>2.7275117780454794</v>
      </c>
      <c r="S720" s="92">
        <f t="shared" ca="1" si="203"/>
        <v>2.7275117780454794</v>
      </c>
      <c r="T720" s="4">
        <f t="shared" ca="1" si="204"/>
        <v>0</v>
      </c>
      <c r="U720" s="99">
        <f t="shared" ca="1" si="205"/>
        <v>1268.6329230659346</v>
      </c>
      <c r="V720" s="4">
        <f t="shared" ca="1" si="206"/>
        <v>0</v>
      </c>
      <c r="W720" s="13">
        <f t="shared" ca="1" si="207"/>
        <v>42119.50483125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ca="1" si="190"/>
        <v>6</v>
      </c>
      <c r="D721">
        <f t="shared" ca="1" si="191"/>
        <v>4</v>
      </c>
      <c r="E721">
        <f t="shared" ca="1" si="192"/>
        <v>1</v>
      </c>
      <c r="F721" s="100">
        <f t="shared" ca="1" si="193"/>
        <v>2.0111210596E-2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244</v>
      </c>
      <c r="M721" s="7">
        <f t="shared" ca="1" si="197"/>
        <v>756</v>
      </c>
      <c r="N721" s="43">
        <f t="shared" ca="1" si="198"/>
        <v>7</v>
      </c>
      <c r="O721" s="92">
        <f t="shared" ca="1" si="199"/>
        <v>3.2214900588145507</v>
      </c>
      <c r="P721" s="92">
        <f t="shared" ca="1" si="200"/>
        <v>29.745009184300148</v>
      </c>
      <c r="Q721" s="92">
        <f t="shared" ca="1" si="201"/>
        <v>27.275117780454792</v>
      </c>
      <c r="R721" s="92">
        <f t="shared" ca="1" si="202"/>
        <v>2.851006348237747</v>
      </c>
      <c r="S721" s="92">
        <f t="shared" ca="1" si="203"/>
        <v>3.1955561990741743</v>
      </c>
      <c r="T721" s="4">
        <f t="shared" ca="1" si="204"/>
        <v>0</v>
      </c>
      <c r="U721" s="99">
        <f t="shared" ca="1" si="205"/>
        <v>1391.9252614304514</v>
      </c>
      <c r="V721" s="4">
        <f t="shared" ca="1" si="206"/>
        <v>0</v>
      </c>
      <c r="W721" s="13">
        <f t="shared" ca="1" si="207"/>
        <v>36102.432712499998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ca="1" si="190"/>
        <v>6</v>
      </c>
      <c r="D722">
        <f t="shared" ca="1" si="191"/>
        <v>4</v>
      </c>
      <c r="E722">
        <f t="shared" ca="1" si="192"/>
        <v>1</v>
      </c>
      <c r="F722" s="100">
        <f t="shared" ca="1" si="193"/>
        <v>2.0111210596E-2</v>
      </c>
      <c r="G722">
        <v>1</v>
      </c>
      <c r="H722">
        <v>0</v>
      </c>
      <c r="I722">
        <v>4</v>
      </c>
      <c r="J722" s="1">
        <f t="shared" ca="1" si="194"/>
        <v>9.5099004990000079E-3</v>
      </c>
      <c r="K722" s="1">
        <f t="shared" ca="1" si="195"/>
        <v>1.9125561168239466E-4</v>
      </c>
      <c r="L722" s="13">
        <f t="shared" ca="1" si="196"/>
        <v>222</v>
      </c>
      <c r="M722" s="7">
        <f t="shared" ca="1" si="197"/>
        <v>778</v>
      </c>
      <c r="N722" s="43">
        <f t="shared" ca="1" si="198"/>
        <v>7</v>
      </c>
      <c r="O722" s="92">
        <f t="shared" ca="1" si="199"/>
        <v>3.2214900588145507</v>
      </c>
      <c r="P722" s="92">
        <f t="shared" ca="1" si="200"/>
        <v>32.214900588145518</v>
      </c>
      <c r="Q722" s="92">
        <f t="shared" ca="1" si="201"/>
        <v>32.214900588145518</v>
      </c>
      <c r="R722" s="92">
        <f t="shared" ca="1" si="202"/>
        <v>3.2214900588145516</v>
      </c>
      <c r="S722" s="92">
        <f t="shared" ca="1" si="203"/>
        <v>3.2214900588145507</v>
      </c>
      <c r="T722" s="4">
        <f t="shared" ca="1" si="204"/>
        <v>6.161280517273305E-4</v>
      </c>
      <c r="U722" s="99">
        <f t="shared" ca="1" si="205"/>
        <v>1377.9757603899629</v>
      </c>
      <c r="V722" s="4">
        <f t="shared" ca="1" si="206"/>
        <v>0.26354559693689528</v>
      </c>
      <c r="W722" s="13">
        <f t="shared" ca="1" si="207"/>
        <v>30085.360593749996</v>
      </c>
      <c r="X722" s="4">
        <f t="shared" ca="1" si="208"/>
        <v>5.7539940430430674</v>
      </c>
    </row>
    <row r="723" spans="1:24">
      <c r="A723">
        <v>1</v>
      </c>
      <c r="B723">
        <v>1</v>
      </c>
      <c r="C723">
        <f t="shared" ca="1" si="190"/>
        <v>6</v>
      </c>
      <c r="D723">
        <f t="shared" ca="1" si="191"/>
        <v>4</v>
      </c>
      <c r="E723">
        <f t="shared" ca="1" si="192"/>
        <v>1</v>
      </c>
      <c r="F723" s="100">
        <f t="shared" ca="1" si="193"/>
        <v>2.0111210596E-2</v>
      </c>
      <c r="G723">
        <v>1</v>
      </c>
      <c r="H723">
        <v>0</v>
      </c>
      <c r="I723">
        <v>3</v>
      </c>
      <c r="J723" s="1">
        <f t="shared" ca="1" si="194"/>
        <v>3.8423840400000073E-4</v>
      </c>
      <c r="K723" s="1">
        <f t="shared" ca="1" si="195"/>
        <v>7.7274994619149444E-6</v>
      </c>
      <c r="L723" s="13">
        <f t="shared" ca="1" si="196"/>
        <v>200</v>
      </c>
      <c r="M723" s="7">
        <f t="shared" ca="1" si="197"/>
        <v>800</v>
      </c>
      <c r="N723" s="43">
        <f t="shared" ca="1" si="198"/>
        <v>7</v>
      </c>
      <c r="O723" s="92">
        <f t="shared" ca="1" si="199"/>
        <v>3.2214900588145507</v>
      </c>
      <c r="P723" s="92">
        <f t="shared" ca="1" si="200"/>
        <v>32.214900588145518</v>
      </c>
      <c r="Q723" s="92">
        <f t="shared" ca="1" si="201"/>
        <v>32.214900588145518</v>
      </c>
      <c r="R723" s="92">
        <f t="shared" ca="1" si="202"/>
        <v>3.2214900588145516</v>
      </c>
      <c r="S723" s="92">
        <f t="shared" ca="1" si="203"/>
        <v>3.2214900588145507</v>
      </c>
      <c r="T723" s="4">
        <f t="shared" ca="1" si="204"/>
        <v>2.4894062696053782E-5</v>
      </c>
      <c r="U723" s="99">
        <f t="shared" ca="1" si="205"/>
        <v>1355.9757603899629</v>
      </c>
      <c r="V723" s="4">
        <f t="shared" ca="1" si="206"/>
        <v>1.0478301958783146E-2</v>
      </c>
      <c r="W723" s="13">
        <f t="shared" ca="1" si="207"/>
        <v>24068.288474999998</v>
      </c>
      <c r="X723" s="4">
        <f t="shared" ca="1" si="208"/>
        <v>0.18598768623977613</v>
      </c>
    </row>
    <row r="724" spans="1:24">
      <c r="A724">
        <v>1</v>
      </c>
      <c r="B724">
        <v>1</v>
      </c>
      <c r="C724">
        <f t="shared" ca="1" si="190"/>
        <v>6</v>
      </c>
      <c r="D724">
        <f t="shared" ca="1" si="191"/>
        <v>4</v>
      </c>
      <c r="E724">
        <f t="shared" ca="1" si="192"/>
        <v>1</v>
      </c>
      <c r="F724" s="100">
        <f t="shared" ca="1" si="193"/>
        <v>2.0111210596E-2</v>
      </c>
      <c r="G724">
        <v>1</v>
      </c>
      <c r="H724">
        <v>0</v>
      </c>
      <c r="I724">
        <v>2</v>
      </c>
      <c r="J724" s="1">
        <f t="shared" ca="1" si="194"/>
        <v>5.8217940000000154E-6</v>
      </c>
      <c r="K724" s="1">
        <f t="shared" ca="1" si="195"/>
        <v>1.1708332518052954E-7</v>
      </c>
      <c r="L724" s="13">
        <f t="shared" ca="1" si="196"/>
        <v>178</v>
      </c>
      <c r="M724" s="7">
        <f t="shared" ca="1" si="197"/>
        <v>822</v>
      </c>
      <c r="N724" s="43">
        <f t="shared" ca="1" si="198"/>
        <v>7</v>
      </c>
      <c r="O724" s="92">
        <f t="shared" ca="1" si="199"/>
        <v>3.2214900588145507</v>
      </c>
      <c r="P724" s="92">
        <f t="shared" ca="1" si="200"/>
        <v>32.214900588145518</v>
      </c>
      <c r="Q724" s="92">
        <f t="shared" ca="1" si="201"/>
        <v>32.214900588145518</v>
      </c>
      <c r="R724" s="92">
        <f t="shared" ca="1" si="202"/>
        <v>3.2214900588145516</v>
      </c>
      <c r="S724" s="92">
        <f t="shared" ca="1" si="203"/>
        <v>3.2214900588145507</v>
      </c>
      <c r="T724" s="4">
        <f t="shared" ca="1" si="204"/>
        <v>3.771827681220273E-7</v>
      </c>
      <c r="U724" s="99">
        <f t="shared" ca="1" si="205"/>
        <v>1333.9757603899629</v>
      </c>
      <c r="V724" s="4">
        <f t="shared" ca="1" si="206"/>
        <v>1.5618631773668218E-4</v>
      </c>
      <c r="W724" s="13">
        <f t="shared" ca="1" si="207"/>
        <v>18051.216356249999</v>
      </c>
      <c r="X724" s="4">
        <f t="shared" ca="1" si="208"/>
        <v>2.1134964345429124E-3</v>
      </c>
    </row>
    <row r="725" spans="1:24">
      <c r="A725">
        <v>1</v>
      </c>
      <c r="B725">
        <v>1</v>
      </c>
      <c r="C725">
        <f t="shared" ca="1" si="190"/>
        <v>6</v>
      </c>
      <c r="D725">
        <f t="shared" ca="1" si="191"/>
        <v>4</v>
      </c>
      <c r="E725">
        <f t="shared" ca="1" si="192"/>
        <v>1</v>
      </c>
      <c r="F725" s="100">
        <f t="shared" ca="1" si="193"/>
        <v>2.0111210596E-2</v>
      </c>
      <c r="G725">
        <v>1</v>
      </c>
      <c r="H725">
        <v>0</v>
      </c>
      <c r="I725">
        <v>1</v>
      </c>
      <c r="J725" s="1">
        <f t="shared" ca="1" si="194"/>
        <v>3.9204000000000137E-8</v>
      </c>
      <c r="K725" s="1">
        <f t="shared" ca="1" si="195"/>
        <v>7.8843990020558673E-10</v>
      </c>
      <c r="L725" s="13">
        <f t="shared" ca="1" si="196"/>
        <v>156</v>
      </c>
      <c r="M725" s="7">
        <f t="shared" ca="1" si="197"/>
        <v>844</v>
      </c>
      <c r="N725" s="43">
        <f t="shared" ca="1" si="198"/>
        <v>7</v>
      </c>
      <c r="O725" s="92">
        <f t="shared" ca="1" si="199"/>
        <v>3.2214900588145507</v>
      </c>
      <c r="P725" s="92">
        <f t="shared" ca="1" si="200"/>
        <v>32.214900588145518</v>
      </c>
      <c r="Q725" s="92">
        <f t="shared" ca="1" si="201"/>
        <v>32.214900588145518</v>
      </c>
      <c r="R725" s="92">
        <f t="shared" ca="1" si="202"/>
        <v>3.2214900588145516</v>
      </c>
      <c r="S725" s="92">
        <f t="shared" ca="1" si="203"/>
        <v>3.2214900588145507</v>
      </c>
      <c r="T725" s="4">
        <f t="shared" ca="1" si="204"/>
        <v>2.539951300485034E-9</v>
      </c>
      <c r="U725" s="99">
        <f t="shared" ca="1" si="205"/>
        <v>1311.9757603899629</v>
      </c>
      <c r="V725" s="4">
        <f t="shared" ca="1" si="206"/>
        <v>1.0344140375940111E-6</v>
      </c>
      <c r="W725" s="13">
        <f t="shared" ca="1" si="207"/>
        <v>12034.144237499999</v>
      </c>
      <c r="X725" s="4">
        <f t="shared" ca="1" si="208"/>
        <v>9.4881994816741359E-6</v>
      </c>
    </row>
    <row r="726" spans="1:24">
      <c r="A726">
        <v>1</v>
      </c>
      <c r="B726">
        <v>1</v>
      </c>
      <c r="C726">
        <f t="shared" ca="1" si="190"/>
        <v>6</v>
      </c>
      <c r="D726">
        <f t="shared" ca="1" si="191"/>
        <v>4</v>
      </c>
      <c r="E726">
        <f t="shared" ca="1" si="192"/>
        <v>1</v>
      </c>
      <c r="F726" s="100">
        <f t="shared" ca="1" si="193"/>
        <v>2.0111210596E-2</v>
      </c>
      <c r="G726">
        <v>1</v>
      </c>
      <c r="H726">
        <v>0</v>
      </c>
      <c r="I726">
        <v>0</v>
      </c>
      <c r="J726" s="1">
        <f t="shared" ca="1" si="194"/>
        <v>9.9000000000000459E-11</v>
      </c>
      <c r="K726" s="1">
        <f t="shared" ca="1" si="195"/>
        <v>1.9910098490040094E-12</v>
      </c>
      <c r="L726" s="13">
        <f t="shared" ca="1" si="196"/>
        <v>134</v>
      </c>
      <c r="M726" s="7">
        <f t="shared" ca="1" si="197"/>
        <v>866</v>
      </c>
      <c r="N726" s="43">
        <f t="shared" ca="1" si="198"/>
        <v>7</v>
      </c>
      <c r="O726" s="92">
        <f t="shared" ca="1" si="199"/>
        <v>3.2214900588145507</v>
      </c>
      <c r="P726" s="92">
        <f t="shared" ca="1" si="200"/>
        <v>32.214900588145518</v>
      </c>
      <c r="Q726" s="92">
        <f t="shared" ca="1" si="201"/>
        <v>32.214900588145518</v>
      </c>
      <c r="R726" s="92">
        <f t="shared" ca="1" si="202"/>
        <v>3.2214900588145516</v>
      </c>
      <c r="S726" s="92">
        <f t="shared" ca="1" si="203"/>
        <v>3.2214900588145507</v>
      </c>
      <c r="T726" s="4">
        <f t="shared" ca="1" si="204"/>
        <v>6.4140184355682761E-12</v>
      </c>
      <c r="U726" s="99">
        <f t="shared" ca="1" si="205"/>
        <v>1289.9757603899629</v>
      </c>
      <c r="V726" s="4">
        <f t="shared" ca="1" si="206"/>
        <v>2.5683544439128522E-9</v>
      </c>
      <c r="W726" s="13">
        <f t="shared" ca="1" si="207"/>
        <v>6017.0721187499994</v>
      </c>
      <c r="X726" s="4">
        <f t="shared" ca="1" si="208"/>
        <v>1.1980049850598671E-8</v>
      </c>
    </row>
    <row r="727" spans="1:24">
      <c r="A727">
        <v>1</v>
      </c>
      <c r="B727">
        <v>1</v>
      </c>
      <c r="C727">
        <f t="shared" ca="1" si="190"/>
        <v>6</v>
      </c>
      <c r="D727">
        <f t="shared" ca="1" si="191"/>
        <v>4</v>
      </c>
      <c r="E727">
        <f t="shared" ca="1" si="192"/>
        <v>1</v>
      </c>
      <c r="F727" s="100">
        <f t="shared" ca="1" si="193"/>
        <v>2.0111210596E-2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288</v>
      </c>
      <c r="M727" s="7">
        <f t="shared" ca="1" si="197"/>
        <v>712</v>
      </c>
      <c r="N727" s="43">
        <f t="shared" ca="1" si="198"/>
        <v>6</v>
      </c>
      <c r="O727" s="92">
        <f t="shared" ca="1" si="199"/>
        <v>2.7275117780454798</v>
      </c>
      <c r="P727" s="92">
        <f t="shared" ca="1" si="200"/>
        <v>27.275117780454792</v>
      </c>
      <c r="Q727" s="92">
        <f t="shared" ca="1" si="201"/>
        <v>27.275117780454792</v>
      </c>
      <c r="R727" s="92">
        <f t="shared" ca="1" si="202"/>
        <v>2.7275117780454794</v>
      </c>
      <c r="S727" s="92">
        <f t="shared" ca="1" si="203"/>
        <v>2.7275117780454794</v>
      </c>
      <c r="T727" s="4">
        <f t="shared" ca="1" si="204"/>
        <v>0</v>
      </c>
      <c r="U727" s="99">
        <f t="shared" ca="1" si="205"/>
        <v>1290.6329230659346</v>
      </c>
      <c r="V727" s="4">
        <f t="shared" ca="1" si="206"/>
        <v>0</v>
      </c>
      <c r="W727" s="13">
        <f t="shared" ca="1" si="207"/>
        <v>48264.818043749998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ca="1" si="190"/>
        <v>6</v>
      </c>
      <c r="D728">
        <f t="shared" ca="1" si="191"/>
        <v>4</v>
      </c>
      <c r="E728">
        <f t="shared" ca="1" si="192"/>
        <v>1</v>
      </c>
      <c r="F728" s="100">
        <f t="shared" ca="1" si="193"/>
        <v>2.0111210596E-2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266</v>
      </c>
      <c r="M728" s="7">
        <f t="shared" ca="1" si="197"/>
        <v>734</v>
      </c>
      <c r="N728" s="43">
        <f t="shared" ca="1" si="198"/>
        <v>6</v>
      </c>
      <c r="O728" s="92">
        <f t="shared" ca="1" si="199"/>
        <v>2.7275117780454798</v>
      </c>
      <c r="P728" s="92">
        <f t="shared" ca="1" si="200"/>
        <v>27.275117780454792</v>
      </c>
      <c r="Q728" s="92">
        <f t="shared" ca="1" si="201"/>
        <v>27.275117780454792</v>
      </c>
      <c r="R728" s="92">
        <f t="shared" ca="1" si="202"/>
        <v>2.7275117780454794</v>
      </c>
      <c r="S728" s="92">
        <f t="shared" ca="1" si="203"/>
        <v>2.7275117780454794</v>
      </c>
      <c r="T728" s="4">
        <f t="shared" ca="1" si="204"/>
        <v>0</v>
      </c>
      <c r="U728" s="99">
        <f t="shared" ca="1" si="205"/>
        <v>1268.6329230659346</v>
      </c>
      <c r="V728" s="4">
        <f t="shared" ca="1" si="206"/>
        <v>0</v>
      </c>
      <c r="W728" s="13">
        <f t="shared" ca="1" si="207"/>
        <v>42247.745924999996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ca="1" si="190"/>
        <v>6</v>
      </c>
      <c r="D729">
        <f t="shared" ca="1" si="191"/>
        <v>4</v>
      </c>
      <c r="E729">
        <f t="shared" ca="1" si="192"/>
        <v>1</v>
      </c>
      <c r="F729" s="100">
        <f t="shared" ca="1" si="193"/>
        <v>2.0111210596E-2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244</v>
      </c>
      <c r="M729" s="7">
        <f t="shared" ca="1" si="197"/>
        <v>756</v>
      </c>
      <c r="N729" s="43">
        <f t="shared" ca="1" si="198"/>
        <v>7</v>
      </c>
      <c r="O729" s="92">
        <f t="shared" ca="1" si="199"/>
        <v>3.2214900588145507</v>
      </c>
      <c r="P729" s="92">
        <f t="shared" ca="1" si="200"/>
        <v>29.745009184300148</v>
      </c>
      <c r="Q729" s="92">
        <f t="shared" ca="1" si="201"/>
        <v>27.275117780454792</v>
      </c>
      <c r="R729" s="92">
        <f t="shared" ca="1" si="202"/>
        <v>2.851006348237747</v>
      </c>
      <c r="S729" s="92">
        <f t="shared" ca="1" si="203"/>
        <v>3.1955561990741743</v>
      </c>
      <c r="T729" s="4">
        <f t="shared" ca="1" si="204"/>
        <v>0</v>
      </c>
      <c r="U729" s="99">
        <f t="shared" ca="1" si="205"/>
        <v>1391.9252614304514</v>
      </c>
      <c r="V729" s="4">
        <f t="shared" ca="1" si="206"/>
        <v>0</v>
      </c>
      <c r="W729" s="13">
        <f t="shared" ca="1" si="207"/>
        <v>36230.673806249994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ca="1" si="190"/>
        <v>6</v>
      </c>
      <c r="D730">
        <f t="shared" ca="1" si="191"/>
        <v>4</v>
      </c>
      <c r="E730">
        <f t="shared" ca="1" si="192"/>
        <v>1</v>
      </c>
      <c r="F730" s="100">
        <f t="shared" ca="1" si="193"/>
        <v>2.0111210596E-2</v>
      </c>
      <c r="G730">
        <v>0</v>
      </c>
      <c r="H730">
        <v>1</v>
      </c>
      <c r="I730">
        <v>4</v>
      </c>
      <c r="J730" s="1">
        <f t="shared" ca="1" si="194"/>
        <v>9.5099004990000079E-3</v>
      </c>
      <c r="K730" s="1">
        <f t="shared" ca="1" si="195"/>
        <v>1.9125561168239466E-4</v>
      </c>
      <c r="L730" s="13">
        <f t="shared" ca="1" si="196"/>
        <v>222</v>
      </c>
      <c r="M730" s="7">
        <f t="shared" ca="1" si="197"/>
        <v>778</v>
      </c>
      <c r="N730" s="43">
        <f t="shared" ca="1" si="198"/>
        <v>7</v>
      </c>
      <c r="O730" s="92">
        <f t="shared" ca="1" si="199"/>
        <v>3.2214900588145507</v>
      </c>
      <c r="P730" s="92">
        <f t="shared" ca="1" si="200"/>
        <v>32.214900588145518</v>
      </c>
      <c r="Q730" s="92">
        <f t="shared" ca="1" si="201"/>
        <v>32.214900588145518</v>
      </c>
      <c r="R730" s="92">
        <f t="shared" ca="1" si="202"/>
        <v>3.2214900588145516</v>
      </c>
      <c r="S730" s="92">
        <f t="shared" ca="1" si="203"/>
        <v>3.2214900588145507</v>
      </c>
      <c r="T730" s="4">
        <f t="shared" ca="1" si="204"/>
        <v>6.161280517273305E-4</v>
      </c>
      <c r="U730" s="99">
        <f t="shared" ca="1" si="205"/>
        <v>1377.9757603899629</v>
      </c>
      <c r="V730" s="4">
        <f t="shared" ca="1" si="206"/>
        <v>0.26354559693689528</v>
      </c>
      <c r="W730" s="13">
        <f t="shared" ca="1" si="207"/>
        <v>30213.601687499999</v>
      </c>
      <c r="X730" s="4">
        <f t="shared" ca="1" si="208"/>
        <v>5.7785208718710441</v>
      </c>
    </row>
    <row r="731" spans="1:24">
      <c r="A731">
        <v>1</v>
      </c>
      <c r="B731">
        <v>1</v>
      </c>
      <c r="C731">
        <f t="shared" ca="1" si="190"/>
        <v>6</v>
      </c>
      <c r="D731">
        <f t="shared" ca="1" si="191"/>
        <v>4</v>
      </c>
      <c r="E731">
        <f t="shared" ca="1" si="192"/>
        <v>1</v>
      </c>
      <c r="F731" s="100">
        <f t="shared" ca="1" si="193"/>
        <v>2.0111210596E-2</v>
      </c>
      <c r="G731">
        <v>0</v>
      </c>
      <c r="H731">
        <v>1</v>
      </c>
      <c r="I731">
        <v>3</v>
      </c>
      <c r="J731" s="1">
        <f t="shared" ca="1" si="194"/>
        <v>3.8423840400000073E-4</v>
      </c>
      <c r="K731" s="1">
        <f t="shared" ca="1" si="195"/>
        <v>7.7274994619149444E-6</v>
      </c>
      <c r="L731" s="13">
        <f t="shared" ca="1" si="196"/>
        <v>200</v>
      </c>
      <c r="M731" s="7">
        <f t="shared" ca="1" si="197"/>
        <v>800</v>
      </c>
      <c r="N731" s="43">
        <f t="shared" ca="1" si="198"/>
        <v>7</v>
      </c>
      <c r="O731" s="92">
        <f t="shared" ca="1" si="199"/>
        <v>3.2214900588145507</v>
      </c>
      <c r="P731" s="92">
        <f t="shared" ca="1" si="200"/>
        <v>32.214900588145518</v>
      </c>
      <c r="Q731" s="92">
        <f t="shared" ca="1" si="201"/>
        <v>32.214900588145518</v>
      </c>
      <c r="R731" s="92">
        <f t="shared" ca="1" si="202"/>
        <v>3.2214900588145516</v>
      </c>
      <c r="S731" s="92">
        <f t="shared" ca="1" si="203"/>
        <v>3.2214900588145507</v>
      </c>
      <c r="T731" s="4">
        <f t="shared" ca="1" si="204"/>
        <v>2.4894062696053782E-5</v>
      </c>
      <c r="U731" s="99">
        <f t="shared" ca="1" si="205"/>
        <v>1355.9757603899629</v>
      </c>
      <c r="V731" s="4">
        <f t="shared" ca="1" si="206"/>
        <v>1.0478301958783146E-2</v>
      </c>
      <c r="W731" s="13">
        <f t="shared" ca="1" si="207"/>
        <v>24196.529568749997</v>
      </c>
      <c r="X731" s="4">
        <f t="shared" ca="1" si="208"/>
        <v>0.18697866922272463</v>
      </c>
    </row>
    <row r="732" spans="1:24">
      <c r="A732">
        <v>1</v>
      </c>
      <c r="B732">
        <v>1</v>
      </c>
      <c r="C732">
        <f t="shared" ca="1" si="190"/>
        <v>6</v>
      </c>
      <c r="D732">
        <f t="shared" ca="1" si="191"/>
        <v>4</v>
      </c>
      <c r="E732">
        <f t="shared" ca="1" si="192"/>
        <v>1</v>
      </c>
      <c r="F732" s="100">
        <f t="shared" ca="1" si="193"/>
        <v>2.0111210596E-2</v>
      </c>
      <c r="G732">
        <v>0</v>
      </c>
      <c r="H732">
        <v>1</v>
      </c>
      <c r="I732">
        <v>2</v>
      </c>
      <c r="J732" s="1">
        <f t="shared" ca="1" si="194"/>
        <v>5.8217940000000154E-6</v>
      </c>
      <c r="K732" s="1">
        <f t="shared" ca="1" si="195"/>
        <v>1.1708332518052954E-7</v>
      </c>
      <c r="L732" s="13">
        <f t="shared" ca="1" si="196"/>
        <v>178</v>
      </c>
      <c r="M732" s="7">
        <f t="shared" ca="1" si="197"/>
        <v>822</v>
      </c>
      <c r="N732" s="43">
        <f t="shared" ca="1" si="198"/>
        <v>7</v>
      </c>
      <c r="O732" s="92">
        <f t="shared" ca="1" si="199"/>
        <v>3.2214900588145507</v>
      </c>
      <c r="P732" s="92">
        <f t="shared" ca="1" si="200"/>
        <v>32.214900588145518</v>
      </c>
      <c r="Q732" s="92">
        <f t="shared" ca="1" si="201"/>
        <v>32.214900588145518</v>
      </c>
      <c r="R732" s="92">
        <f t="shared" ca="1" si="202"/>
        <v>3.2214900588145516</v>
      </c>
      <c r="S732" s="92">
        <f t="shared" ca="1" si="203"/>
        <v>3.2214900588145507</v>
      </c>
      <c r="T732" s="4">
        <f t="shared" ca="1" si="204"/>
        <v>3.771827681220273E-7</v>
      </c>
      <c r="U732" s="99">
        <f t="shared" ca="1" si="205"/>
        <v>1333.9757603899629</v>
      </c>
      <c r="V732" s="4">
        <f t="shared" ca="1" si="206"/>
        <v>1.5618631773668218E-4</v>
      </c>
      <c r="W732" s="13">
        <f t="shared" ca="1" si="207"/>
        <v>18179.457449999998</v>
      </c>
      <c r="X732" s="4">
        <f t="shared" ca="1" si="208"/>
        <v>2.1285113282239502E-3</v>
      </c>
    </row>
    <row r="733" spans="1:24">
      <c r="A733">
        <v>1</v>
      </c>
      <c r="B733">
        <v>1</v>
      </c>
      <c r="C733">
        <f t="shared" ca="1" si="190"/>
        <v>6</v>
      </c>
      <c r="D733">
        <f t="shared" ca="1" si="191"/>
        <v>4</v>
      </c>
      <c r="E733">
        <f t="shared" ca="1" si="192"/>
        <v>1</v>
      </c>
      <c r="F733" s="100">
        <f t="shared" ca="1" si="193"/>
        <v>2.0111210596E-2</v>
      </c>
      <c r="G733">
        <v>0</v>
      </c>
      <c r="H733">
        <v>1</v>
      </c>
      <c r="I733">
        <v>1</v>
      </c>
      <c r="J733" s="1">
        <f t="shared" ca="1" si="194"/>
        <v>3.9204000000000137E-8</v>
      </c>
      <c r="K733" s="1">
        <f t="shared" ca="1" si="195"/>
        <v>7.8843990020558673E-10</v>
      </c>
      <c r="L733" s="13">
        <f t="shared" ca="1" si="196"/>
        <v>156</v>
      </c>
      <c r="M733" s="7">
        <f t="shared" ca="1" si="197"/>
        <v>844</v>
      </c>
      <c r="N733" s="43">
        <f t="shared" ca="1" si="198"/>
        <v>7</v>
      </c>
      <c r="O733" s="92">
        <f t="shared" ca="1" si="199"/>
        <v>3.2214900588145507</v>
      </c>
      <c r="P733" s="92">
        <f t="shared" ca="1" si="200"/>
        <v>32.214900588145518</v>
      </c>
      <c r="Q733" s="92">
        <f t="shared" ca="1" si="201"/>
        <v>32.214900588145518</v>
      </c>
      <c r="R733" s="92">
        <f t="shared" ca="1" si="202"/>
        <v>3.2214900588145516</v>
      </c>
      <c r="S733" s="92">
        <f t="shared" ca="1" si="203"/>
        <v>3.2214900588145507</v>
      </c>
      <c r="T733" s="4">
        <f t="shared" ca="1" si="204"/>
        <v>2.539951300485034E-9</v>
      </c>
      <c r="U733" s="99">
        <f t="shared" ca="1" si="205"/>
        <v>1311.9757603899629</v>
      </c>
      <c r="V733" s="4">
        <f t="shared" ca="1" si="206"/>
        <v>1.0344140375940111E-6</v>
      </c>
      <c r="W733" s="13">
        <f t="shared" ca="1" si="207"/>
        <v>12162.38533125</v>
      </c>
      <c r="X733" s="4">
        <f t="shared" ca="1" si="208"/>
        <v>9.5893098768326415E-6</v>
      </c>
    </row>
    <row r="734" spans="1:24">
      <c r="A734">
        <v>1</v>
      </c>
      <c r="B734">
        <v>1</v>
      </c>
      <c r="C734">
        <f t="shared" ca="1" si="190"/>
        <v>6</v>
      </c>
      <c r="D734">
        <f t="shared" ca="1" si="191"/>
        <v>4</v>
      </c>
      <c r="E734">
        <f t="shared" ca="1" si="192"/>
        <v>1</v>
      </c>
      <c r="F734" s="100">
        <f t="shared" ca="1" si="193"/>
        <v>2.0111210596E-2</v>
      </c>
      <c r="G734">
        <v>0</v>
      </c>
      <c r="H734">
        <v>1</v>
      </c>
      <c r="I734">
        <v>0</v>
      </c>
      <c r="J734" s="1">
        <f t="shared" ca="1" si="194"/>
        <v>9.9000000000000459E-11</v>
      </c>
      <c r="K734" s="1">
        <f t="shared" ca="1" si="195"/>
        <v>1.9910098490040094E-12</v>
      </c>
      <c r="L734" s="13">
        <f t="shared" ca="1" si="196"/>
        <v>134</v>
      </c>
      <c r="M734" s="7">
        <f t="shared" ca="1" si="197"/>
        <v>866</v>
      </c>
      <c r="N734" s="43">
        <f t="shared" ca="1" si="198"/>
        <v>7</v>
      </c>
      <c r="O734" s="92">
        <f t="shared" ca="1" si="199"/>
        <v>3.2214900588145507</v>
      </c>
      <c r="P734" s="92">
        <f t="shared" ca="1" si="200"/>
        <v>32.214900588145518</v>
      </c>
      <c r="Q734" s="92">
        <f t="shared" ca="1" si="201"/>
        <v>32.214900588145518</v>
      </c>
      <c r="R734" s="92">
        <f t="shared" ca="1" si="202"/>
        <v>3.2214900588145516</v>
      </c>
      <c r="S734" s="92">
        <f t="shared" ca="1" si="203"/>
        <v>3.2214900588145507</v>
      </c>
      <c r="T734" s="4">
        <f t="shared" ca="1" si="204"/>
        <v>6.4140184355682761E-12</v>
      </c>
      <c r="U734" s="99">
        <f t="shared" ca="1" si="205"/>
        <v>1289.9757603899629</v>
      </c>
      <c r="V734" s="4">
        <f t="shared" ca="1" si="206"/>
        <v>2.5683544439128522E-9</v>
      </c>
      <c r="W734" s="13">
        <f t="shared" ca="1" si="207"/>
        <v>6145.3132124999993</v>
      </c>
      <c r="X734" s="4">
        <f t="shared" ca="1" si="208"/>
        <v>1.2235379131301967E-8</v>
      </c>
    </row>
    <row r="735" spans="1:24">
      <c r="A735">
        <v>1</v>
      </c>
      <c r="B735">
        <v>1</v>
      </c>
      <c r="C735">
        <f t="shared" ca="1" si="190"/>
        <v>6</v>
      </c>
      <c r="D735">
        <f t="shared" ca="1" si="191"/>
        <v>4</v>
      </c>
      <c r="E735">
        <f t="shared" ca="1" si="192"/>
        <v>1</v>
      </c>
      <c r="F735" s="100">
        <f t="shared" ca="1" si="193"/>
        <v>2.0111210596E-2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3">
        <f t="shared" ca="1" si="198"/>
        <v>7</v>
      </c>
      <c r="O735" s="92">
        <f t="shared" ca="1" si="199"/>
        <v>3.2214900588145507</v>
      </c>
      <c r="P735" s="92">
        <f t="shared" ca="1" si="200"/>
        <v>32.214900588145518</v>
      </c>
      <c r="Q735" s="92">
        <f t="shared" ca="1" si="201"/>
        <v>32.214900588145518</v>
      </c>
      <c r="R735" s="92">
        <f t="shared" ca="1" si="202"/>
        <v>3.2214900588145516</v>
      </c>
      <c r="S735" s="92">
        <f t="shared" ca="1" si="203"/>
        <v>3.2214900588145507</v>
      </c>
      <c r="T735" s="4">
        <f t="shared" ca="1" si="204"/>
        <v>0</v>
      </c>
      <c r="U735" s="99">
        <f t="shared" ca="1" si="205"/>
        <v>1309.9757603899629</v>
      </c>
      <c r="V735" s="4">
        <f t="shared" ca="1" si="206"/>
        <v>0</v>
      </c>
      <c r="W735" s="13">
        <f t="shared" ca="1" si="207"/>
        <v>42119.50483125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ca="1" si="190"/>
        <v>6</v>
      </c>
      <c r="D736">
        <f t="shared" ca="1" si="191"/>
        <v>4</v>
      </c>
      <c r="E736">
        <f t="shared" ca="1" si="192"/>
        <v>1</v>
      </c>
      <c r="F736" s="100">
        <f t="shared" ca="1" si="193"/>
        <v>2.0111210596E-2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132</v>
      </c>
      <c r="M736" s="7">
        <f t="shared" ca="1" si="197"/>
        <v>868</v>
      </c>
      <c r="N736" s="43">
        <f t="shared" ca="1" si="198"/>
        <v>7</v>
      </c>
      <c r="O736" s="92">
        <f t="shared" ca="1" si="199"/>
        <v>3.2214900588145507</v>
      </c>
      <c r="P736" s="92">
        <f t="shared" ca="1" si="200"/>
        <v>32.214900588145518</v>
      </c>
      <c r="Q736" s="92">
        <f t="shared" ca="1" si="201"/>
        <v>32.214900588145518</v>
      </c>
      <c r="R736" s="92">
        <f t="shared" ca="1" si="202"/>
        <v>3.2214900588145516</v>
      </c>
      <c r="S736" s="92">
        <f t="shared" ca="1" si="203"/>
        <v>3.2214900588145507</v>
      </c>
      <c r="T736" s="4">
        <f t="shared" ca="1" si="204"/>
        <v>0</v>
      </c>
      <c r="U736" s="99">
        <f t="shared" ca="1" si="205"/>
        <v>1287.9757603899629</v>
      </c>
      <c r="V736" s="4">
        <f t="shared" ca="1" si="206"/>
        <v>0</v>
      </c>
      <c r="W736" s="13">
        <f t="shared" ca="1" si="207"/>
        <v>36102.432712499998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ca="1" si="190"/>
        <v>6</v>
      </c>
      <c r="D737">
        <f t="shared" ca="1" si="191"/>
        <v>4</v>
      </c>
      <c r="E737">
        <f t="shared" ca="1" si="192"/>
        <v>1</v>
      </c>
      <c r="F737" s="100">
        <f t="shared" ca="1" si="193"/>
        <v>2.0111210596E-2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110</v>
      </c>
      <c r="M737" s="7">
        <f t="shared" ca="1" si="197"/>
        <v>890</v>
      </c>
      <c r="N737" s="43">
        <f t="shared" ca="1" si="198"/>
        <v>8</v>
      </c>
      <c r="O737" s="92">
        <f t="shared" ca="1" si="199"/>
        <v>3.5531918581169131</v>
      </c>
      <c r="P737" s="92">
        <f t="shared" ca="1" si="200"/>
        <v>35.531918581169137</v>
      </c>
      <c r="Q737" s="92">
        <f t="shared" ca="1" si="201"/>
        <v>33.541707785354966</v>
      </c>
      <c r="R737" s="92">
        <f t="shared" ca="1" si="202"/>
        <v>3.4536813183262054</v>
      </c>
      <c r="S737" s="92">
        <f t="shared" ca="1" si="203"/>
        <v>3.5462261203315633</v>
      </c>
      <c r="T737" s="4">
        <f t="shared" ca="1" si="204"/>
        <v>0</v>
      </c>
      <c r="U737" s="99">
        <f t="shared" ca="1" si="205"/>
        <v>1366.7817087343356</v>
      </c>
      <c r="V737" s="4">
        <f t="shared" ca="1" si="206"/>
        <v>0</v>
      </c>
      <c r="W737" s="13">
        <f t="shared" ca="1" si="207"/>
        <v>30085.360593749996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ca="1" si="190"/>
        <v>6</v>
      </c>
      <c r="D738">
        <f t="shared" ca="1" si="191"/>
        <v>4</v>
      </c>
      <c r="E738">
        <f t="shared" ca="1" si="192"/>
        <v>1</v>
      </c>
      <c r="F738" s="100">
        <f t="shared" ca="1" si="193"/>
        <v>2.0111210596E-2</v>
      </c>
      <c r="G738">
        <v>0</v>
      </c>
      <c r="H738">
        <v>0</v>
      </c>
      <c r="I738">
        <v>4</v>
      </c>
      <c r="J738" s="1">
        <f t="shared" ca="1" si="194"/>
        <v>9.605960100000017E-5</v>
      </c>
      <c r="K738" s="1">
        <f t="shared" ca="1" si="195"/>
        <v>1.9318748654787357E-6</v>
      </c>
      <c r="L738" s="13">
        <f t="shared" ca="1" si="196"/>
        <v>100</v>
      </c>
      <c r="M738" s="7">
        <f t="shared" ca="1" si="197"/>
        <v>900</v>
      </c>
      <c r="N738" s="43">
        <f t="shared" ca="1" si="198"/>
        <v>8</v>
      </c>
      <c r="O738" s="92">
        <f t="shared" ca="1" si="199"/>
        <v>3.5531918581169131</v>
      </c>
      <c r="P738" s="92">
        <f t="shared" ca="1" si="200"/>
        <v>35.531918581169137</v>
      </c>
      <c r="Q738" s="92">
        <f t="shared" ca="1" si="201"/>
        <v>35.531918581169137</v>
      </c>
      <c r="R738" s="92">
        <f t="shared" ca="1" si="202"/>
        <v>3.5531918581169135</v>
      </c>
      <c r="S738" s="92">
        <f t="shared" ca="1" si="203"/>
        <v>3.5531918581169126</v>
      </c>
      <c r="T738" s="4">
        <f t="shared" ca="1" si="204"/>
        <v>6.8643220429197497E-6</v>
      </c>
      <c r="U738" s="99">
        <f t="shared" ca="1" si="205"/>
        <v>1358.9440426620492</v>
      </c>
      <c r="V738" s="4">
        <f t="shared" ca="1" si="206"/>
        <v>2.6253098396108758E-3</v>
      </c>
      <c r="W738" s="13">
        <f t="shared" ca="1" si="207"/>
        <v>24068.288474999998</v>
      </c>
      <c r="X738" s="4">
        <f t="shared" ca="1" si="208"/>
        <v>4.6496921559944025E-2</v>
      </c>
    </row>
    <row r="739" spans="1:24">
      <c r="A739">
        <v>1</v>
      </c>
      <c r="B739">
        <v>1</v>
      </c>
      <c r="C739">
        <f t="shared" ca="1" si="190"/>
        <v>6</v>
      </c>
      <c r="D739">
        <f t="shared" ca="1" si="191"/>
        <v>4</v>
      </c>
      <c r="E739">
        <f t="shared" ca="1" si="192"/>
        <v>1</v>
      </c>
      <c r="F739" s="100">
        <f t="shared" ca="1" si="193"/>
        <v>2.0111210596E-2</v>
      </c>
      <c r="G739">
        <v>0</v>
      </c>
      <c r="H739">
        <v>0</v>
      </c>
      <c r="I739">
        <v>3</v>
      </c>
      <c r="J739" s="1">
        <f t="shared" ca="1" si="194"/>
        <v>3.8811960000000103E-6</v>
      </c>
      <c r="K739" s="1">
        <f t="shared" ca="1" si="195"/>
        <v>7.8055550120353022E-8</v>
      </c>
      <c r="L739" s="13">
        <f t="shared" ca="1" si="196"/>
        <v>100</v>
      </c>
      <c r="M739" s="7">
        <f t="shared" ca="1" si="197"/>
        <v>900</v>
      </c>
      <c r="N739" s="43">
        <f t="shared" ca="1" si="198"/>
        <v>8</v>
      </c>
      <c r="O739" s="92">
        <f t="shared" ca="1" si="199"/>
        <v>3.5531918581169131</v>
      </c>
      <c r="P739" s="92">
        <f t="shared" ca="1" si="200"/>
        <v>35.531918581169137</v>
      </c>
      <c r="Q739" s="92">
        <f t="shared" ca="1" si="201"/>
        <v>35.531918581169137</v>
      </c>
      <c r="R739" s="92">
        <f t="shared" ca="1" si="202"/>
        <v>3.5531918581169135</v>
      </c>
      <c r="S739" s="92">
        <f t="shared" ca="1" si="203"/>
        <v>3.5531918581169126</v>
      </c>
      <c r="T739" s="4">
        <f t="shared" ca="1" si="204"/>
        <v>2.7734634516847497E-7</v>
      </c>
      <c r="U739" s="99">
        <f t="shared" ca="1" si="205"/>
        <v>1358.9440426620492</v>
      </c>
      <c r="V739" s="4">
        <f t="shared" ca="1" si="206"/>
        <v>1.0607312483276274E-4</v>
      </c>
      <c r="W739" s="13">
        <f t="shared" ca="1" si="207"/>
        <v>18051.216356249999</v>
      </c>
      <c r="X739" s="4">
        <f t="shared" ca="1" si="208"/>
        <v>1.408997623028608E-3</v>
      </c>
    </row>
    <row r="740" spans="1:24">
      <c r="A740">
        <v>1</v>
      </c>
      <c r="B740">
        <v>1</v>
      </c>
      <c r="C740">
        <f t="shared" ca="1" si="190"/>
        <v>6</v>
      </c>
      <c r="D740">
        <f t="shared" ca="1" si="191"/>
        <v>4</v>
      </c>
      <c r="E740">
        <f t="shared" ca="1" si="192"/>
        <v>1</v>
      </c>
      <c r="F740" s="100">
        <f t="shared" ca="1" si="193"/>
        <v>2.0111210596E-2</v>
      </c>
      <c r="G740">
        <v>0</v>
      </c>
      <c r="H740">
        <v>0</v>
      </c>
      <c r="I740">
        <v>2</v>
      </c>
      <c r="J740" s="1">
        <f t="shared" ca="1" si="194"/>
        <v>5.8806000000000209E-8</v>
      </c>
      <c r="K740" s="1">
        <f t="shared" ca="1" si="195"/>
        <v>1.1826598503083803E-9</v>
      </c>
      <c r="L740" s="13">
        <f t="shared" ca="1" si="196"/>
        <v>100</v>
      </c>
      <c r="M740" s="7">
        <f t="shared" ca="1" si="197"/>
        <v>900</v>
      </c>
      <c r="N740" s="43">
        <f t="shared" ca="1" si="198"/>
        <v>8</v>
      </c>
      <c r="O740" s="92">
        <f t="shared" ca="1" si="199"/>
        <v>3.5531918581169131</v>
      </c>
      <c r="P740" s="92">
        <f t="shared" ca="1" si="200"/>
        <v>35.531918581169137</v>
      </c>
      <c r="Q740" s="92">
        <f t="shared" ca="1" si="201"/>
        <v>35.531918581169137</v>
      </c>
      <c r="R740" s="92">
        <f t="shared" ca="1" si="202"/>
        <v>3.5531918581169135</v>
      </c>
      <c r="S740" s="92">
        <f t="shared" ca="1" si="203"/>
        <v>3.5531918581169126</v>
      </c>
      <c r="T740" s="4">
        <f t="shared" ca="1" si="204"/>
        <v>4.2022173510375037E-9</v>
      </c>
      <c r="U740" s="99">
        <f t="shared" ca="1" si="205"/>
        <v>1358.9440426620492</v>
      </c>
      <c r="V740" s="4">
        <f t="shared" ca="1" si="206"/>
        <v>1.6071685580721644E-6</v>
      </c>
      <c r="W740" s="13">
        <f t="shared" ca="1" si="207"/>
        <v>12034.144237499999</v>
      </c>
      <c r="X740" s="4">
        <f t="shared" ca="1" si="208"/>
        <v>1.4232299222511205E-5</v>
      </c>
    </row>
    <row r="741" spans="1:24">
      <c r="A741">
        <v>1</v>
      </c>
      <c r="B741">
        <v>1</v>
      </c>
      <c r="C741">
        <f t="shared" ca="1" si="190"/>
        <v>6</v>
      </c>
      <c r="D741">
        <f t="shared" ca="1" si="191"/>
        <v>4</v>
      </c>
      <c r="E741">
        <f t="shared" ca="1" si="192"/>
        <v>1</v>
      </c>
      <c r="F741" s="100">
        <f t="shared" ca="1" si="193"/>
        <v>2.0111210596E-2</v>
      </c>
      <c r="G741">
        <v>0</v>
      </c>
      <c r="H741">
        <v>0</v>
      </c>
      <c r="I741">
        <v>1</v>
      </c>
      <c r="J741" s="1">
        <f t="shared" ca="1" si="194"/>
        <v>3.9600000000000173E-10</v>
      </c>
      <c r="K741" s="1">
        <f t="shared" ca="1" si="195"/>
        <v>7.9640393960160345E-12</v>
      </c>
      <c r="L741" s="13">
        <f t="shared" ca="1" si="196"/>
        <v>100</v>
      </c>
      <c r="M741" s="7">
        <f t="shared" ca="1" si="197"/>
        <v>900</v>
      </c>
      <c r="N741" s="43">
        <f t="shared" ca="1" si="198"/>
        <v>8</v>
      </c>
      <c r="O741" s="92">
        <f t="shared" ca="1" si="199"/>
        <v>3.5531918581169131</v>
      </c>
      <c r="P741" s="92">
        <f t="shared" ca="1" si="200"/>
        <v>35.531918581169137</v>
      </c>
      <c r="Q741" s="92">
        <f t="shared" ca="1" si="201"/>
        <v>35.531918581169137</v>
      </c>
      <c r="R741" s="92">
        <f t="shared" ca="1" si="202"/>
        <v>3.5531918581169135</v>
      </c>
      <c r="S741" s="92">
        <f t="shared" ca="1" si="203"/>
        <v>3.5531918581169126</v>
      </c>
      <c r="T741" s="4">
        <f t="shared" ca="1" si="204"/>
        <v>2.8297759939646509E-11</v>
      </c>
      <c r="U741" s="99">
        <f t="shared" ca="1" si="205"/>
        <v>1358.9440426620492</v>
      </c>
      <c r="V741" s="4">
        <f t="shared" ca="1" si="206"/>
        <v>1.0822683892741855E-8</v>
      </c>
      <c r="W741" s="13">
        <f t="shared" ca="1" si="207"/>
        <v>6017.0721187499994</v>
      </c>
      <c r="X741" s="4">
        <f t="shared" ca="1" si="208"/>
        <v>4.7920199402394664E-8</v>
      </c>
    </row>
    <row r="742" spans="1:24">
      <c r="A742">
        <v>1</v>
      </c>
      <c r="B742">
        <v>1</v>
      </c>
      <c r="C742">
        <f t="shared" ca="1" si="190"/>
        <v>6</v>
      </c>
      <c r="D742">
        <f t="shared" ca="1" si="191"/>
        <v>4</v>
      </c>
      <c r="E742">
        <f t="shared" ca="1" si="192"/>
        <v>1</v>
      </c>
      <c r="F742" s="100">
        <f t="shared" ca="1" si="193"/>
        <v>2.0111210596E-2</v>
      </c>
      <c r="G742">
        <v>0</v>
      </c>
      <c r="H742">
        <v>0</v>
      </c>
      <c r="I742">
        <v>0</v>
      </c>
      <c r="J742" s="1">
        <f t="shared" ca="1" si="194"/>
        <v>1.0000000000000054E-12</v>
      </c>
      <c r="K742" s="1">
        <f t="shared" ca="1" si="195"/>
        <v>2.0111210596000108E-14</v>
      </c>
      <c r="L742" s="13">
        <f t="shared" ca="1" si="196"/>
        <v>100</v>
      </c>
      <c r="M742" s="7">
        <f t="shared" ca="1" si="197"/>
        <v>900</v>
      </c>
      <c r="N742" s="43">
        <f t="shared" ca="1" si="198"/>
        <v>8</v>
      </c>
      <c r="O742" s="92">
        <f t="shared" ca="1" si="199"/>
        <v>3.5531918581169131</v>
      </c>
      <c r="P742" s="92">
        <f t="shared" ca="1" si="200"/>
        <v>35.531918581169137</v>
      </c>
      <c r="Q742" s="92">
        <f t="shared" ca="1" si="201"/>
        <v>35.531918581169137</v>
      </c>
      <c r="R742" s="92">
        <f t="shared" ca="1" si="202"/>
        <v>3.5531918581169135</v>
      </c>
      <c r="S742" s="92">
        <f t="shared" ca="1" si="203"/>
        <v>3.5531918581169126</v>
      </c>
      <c r="T742" s="4">
        <f t="shared" ca="1" si="204"/>
        <v>7.1458989746582168E-14</v>
      </c>
      <c r="U742" s="99">
        <f t="shared" ca="1" si="205"/>
        <v>1358.9440426620492</v>
      </c>
      <c r="V742" s="4">
        <f t="shared" ca="1" si="206"/>
        <v>2.7330009830156226E-11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ca="1" si="209">MIN(8, 1+$B$543+$B$542+A743+B743)</f>
        <v>7</v>
      </c>
      <c r="D743">
        <f t="shared" ref="D743:D806" ca="1" si="210">C743-(1+$B$543)</f>
        <v>5</v>
      </c>
      <c r="E743">
        <f t="shared" ref="E743:E806" ca="1" si="211">MIN(A743, C743-(1+$B$543+$B$542))</f>
        <v>1</v>
      </c>
      <c r="F743" s="100">
        <f t="shared" ref="F743:F806" ca="1" si="212">IF(A743=3, $E$538, IF(A743=2, (1-$E$538)*$E$537 + (1-$E$538)*(1-$E$537)*(1-$E$536)*Set2AM3*Set2AM33, IF(A743=1, (1-$E$538)*(1-$E$537)*$E$536 + (1-$E$538)*(1-$E$537)*(1-$E$536)*Set2AM3*Set2AM32, (1-$E$538)*(1-$E$537)*(1-$E$536)*(1-Set2AM3)))) * IF($B$542+$B$543&gt;0, IF(B743=3, $E$538, IF(B743=2, (1-$E$538)*$E$537, IF(B743=1, (1-$E$538)*(1-$E$537)*$E$536, (1-$E$538)*(1-$E$537)*(1-$E$536)))), IF(B743=0, 1, 0))</f>
        <v>1.9258341200000001E-2</v>
      </c>
      <c r="G743">
        <v>1</v>
      </c>
      <c r="H743">
        <v>1</v>
      </c>
      <c r="I743">
        <v>7</v>
      </c>
      <c r="J743" s="1">
        <f t="shared" ref="J743:J806" ca="1" si="213">IF($B$541&lt;100%, POWER($B$541,G743)*POWER(1-$B$541, 1-G743), 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422</v>
      </c>
      <c r="M743" s="7">
        <f t="shared" ref="M743:M806" ca="1" si="216">MAX(Set2MinTP-(L743+Set2Regain), 0)</f>
        <v>578</v>
      </c>
      <c r="N743" s="43">
        <f t="shared" ref="N743:N806" ca="1" si="217">CEILING(M743/Set2MeleeTP, 1)</f>
        <v>5</v>
      </c>
      <c r="O743" s="92">
        <f t="shared" ref="O743:O806" ca="1" si="218">VLOOKUP(N743, AvgRoundsSet2, 2)</f>
        <v>2.4432565128993144</v>
      </c>
      <c r="P743" s="92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24.432565128993144</v>
      </c>
      <c r="Q743" s="92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24.432565128993144</v>
      </c>
      <c r="R743" s="92">
        <f t="shared" ref="R743:R806" ca="1" si="221">(P743+Q743)/20</f>
        <v>2.4432565128993144</v>
      </c>
      <c r="S743" s="92">
        <f t="shared" ref="S743:S806" ca="1" si="222">R743*Set2ConserveTP + O743*(1-Set2ConserveTP)</f>
        <v>2.4432565128993144</v>
      </c>
      <c r="T743" s="4">
        <f t="shared" ref="T743:T806" ca="1" si="223">K743*S743</f>
        <v>0</v>
      </c>
      <c r="U743" s="99">
        <f t="shared" ref="U743:U806" ca="1" si="224">MIN(L743+(S743+Set2OverTP)*AvgHitsPerRound2*Set2MeleeTP + Set2Regain + 10.5*Set2ConserveTP, 3000)</f>
        <v>1336.3931955743851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54281.8901625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ca="1" si="209"/>
        <v>7</v>
      </c>
      <c r="D744">
        <f t="shared" ca="1" si="210"/>
        <v>5</v>
      </c>
      <c r="E744">
        <f t="shared" ca="1" si="211"/>
        <v>1</v>
      </c>
      <c r="F744" s="100">
        <f t="shared" ca="1" si="212"/>
        <v>1.9258341200000001E-2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400</v>
      </c>
      <c r="M744" s="7">
        <f t="shared" ca="1" si="216"/>
        <v>600</v>
      </c>
      <c r="N744" s="43">
        <f t="shared" ca="1" si="217"/>
        <v>5</v>
      </c>
      <c r="O744" s="92">
        <f t="shared" ca="1" si="218"/>
        <v>2.4432565128993144</v>
      </c>
      <c r="P744" s="92">
        <f t="shared" ca="1" si="219"/>
        <v>24.432565128993144</v>
      </c>
      <c r="Q744" s="92">
        <f t="shared" ca="1" si="220"/>
        <v>24.432565128993144</v>
      </c>
      <c r="R744" s="92">
        <f t="shared" ca="1" si="221"/>
        <v>2.4432565128993144</v>
      </c>
      <c r="S744" s="92">
        <f t="shared" ca="1" si="222"/>
        <v>2.4432565128993144</v>
      </c>
      <c r="T744" s="4">
        <f t="shared" ca="1" si="223"/>
        <v>0</v>
      </c>
      <c r="U744" s="99">
        <f t="shared" ca="1" si="224"/>
        <v>1314.3931955743851</v>
      </c>
      <c r="V744" s="4">
        <f t="shared" ca="1" si="225"/>
        <v>0</v>
      </c>
      <c r="W744" s="13">
        <f t="shared" ca="1" si="226"/>
        <v>48264.818043749998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ca="1" si="209"/>
        <v>7</v>
      </c>
      <c r="D745">
        <f t="shared" ca="1" si="210"/>
        <v>5</v>
      </c>
      <c r="E745">
        <f t="shared" ca="1" si="211"/>
        <v>1</v>
      </c>
      <c r="F745" s="100">
        <f t="shared" ca="1" si="212"/>
        <v>1.9258341200000001E-2</v>
      </c>
      <c r="G745">
        <v>1</v>
      </c>
      <c r="H745">
        <v>1</v>
      </c>
      <c r="I745">
        <v>5</v>
      </c>
      <c r="J745" s="1">
        <f t="shared" ca="1" si="213"/>
        <v>0.93206534790698992</v>
      </c>
      <c r="K745" s="1">
        <f t="shared" ca="1" si="214"/>
        <v>1.7950032490689518E-2</v>
      </c>
      <c r="L745" s="13">
        <f t="shared" ca="1" si="215"/>
        <v>378</v>
      </c>
      <c r="M745" s="7">
        <f t="shared" ca="1" si="216"/>
        <v>622</v>
      </c>
      <c r="N745" s="43">
        <f t="shared" ca="1" si="217"/>
        <v>5</v>
      </c>
      <c r="O745" s="92">
        <f t="shared" ca="1" si="218"/>
        <v>2.4432565128993144</v>
      </c>
      <c r="P745" s="92">
        <f t="shared" ca="1" si="219"/>
        <v>24.432565128993144</v>
      </c>
      <c r="Q745" s="92">
        <f t="shared" ca="1" si="220"/>
        <v>24.432565128993144</v>
      </c>
      <c r="R745" s="92">
        <f t="shared" ca="1" si="221"/>
        <v>2.4432565128993144</v>
      </c>
      <c r="S745" s="92">
        <f t="shared" ca="1" si="222"/>
        <v>2.4432565128993144</v>
      </c>
      <c r="T745" s="4">
        <f t="shared" ca="1" si="223"/>
        <v>4.3856533789631467E-2</v>
      </c>
      <c r="U745" s="99">
        <f t="shared" ca="1" si="224"/>
        <v>1292.3931955743851</v>
      </c>
      <c r="V745" s="4">
        <f t="shared" ca="1" si="225"/>
        <v>23.198499851306266</v>
      </c>
      <c r="W745" s="13">
        <f t="shared" ca="1" si="226"/>
        <v>42247.745924999996</v>
      </c>
      <c r="X745" s="4">
        <f t="shared" ca="1" si="227"/>
        <v>758.34841201214556</v>
      </c>
    </row>
    <row r="746" spans="1:24">
      <c r="A746">
        <v>1</v>
      </c>
      <c r="B746">
        <v>2</v>
      </c>
      <c r="C746">
        <f t="shared" ca="1" si="209"/>
        <v>7</v>
      </c>
      <c r="D746">
        <f t="shared" ca="1" si="210"/>
        <v>5</v>
      </c>
      <c r="E746">
        <f t="shared" ca="1" si="211"/>
        <v>1</v>
      </c>
      <c r="F746" s="100">
        <f t="shared" ca="1" si="212"/>
        <v>1.9258341200000001E-2</v>
      </c>
      <c r="G746">
        <v>1</v>
      </c>
      <c r="H746">
        <v>1</v>
      </c>
      <c r="I746">
        <v>4</v>
      </c>
      <c r="J746" s="1">
        <f t="shared" ca="1" si="213"/>
        <v>4.7074007470050035E-2</v>
      </c>
      <c r="K746" s="1">
        <f t="shared" ca="1" si="214"/>
        <v>9.0656729750957237E-4</v>
      </c>
      <c r="L746" s="13">
        <f t="shared" ca="1" si="215"/>
        <v>356</v>
      </c>
      <c r="M746" s="7">
        <f t="shared" ca="1" si="216"/>
        <v>644</v>
      </c>
      <c r="N746" s="43">
        <f t="shared" ca="1" si="217"/>
        <v>6</v>
      </c>
      <c r="O746" s="92">
        <f t="shared" ca="1" si="218"/>
        <v>2.7275117780454798</v>
      </c>
      <c r="P746" s="92">
        <f t="shared" ca="1" si="219"/>
        <v>27.275117780454792</v>
      </c>
      <c r="Q746" s="92">
        <f t="shared" ca="1" si="220"/>
        <v>26.706607250162463</v>
      </c>
      <c r="R746" s="92">
        <f t="shared" ca="1" si="221"/>
        <v>2.6990862515308627</v>
      </c>
      <c r="S746" s="92">
        <f t="shared" ca="1" si="222"/>
        <v>2.7255219911894564</v>
      </c>
      <c r="T746" s="4">
        <f t="shared" ca="1" si="223"/>
        <v>2.4708691058555341E-3</v>
      </c>
      <c r="U746" s="99">
        <f t="shared" ca="1" si="224"/>
        <v>1358.0152449734937</v>
      </c>
      <c r="V746" s="4">
        <f t="shared" ca="1" si="225"/>
        <v>1.2311322106124201</v>
      </c>
      <c r="W746" s="13">
        <f t="shared" ca="1" si="226"/>
        <v>36230.673806249994</v>
      </c>
      <c r="X746" s="4">
        <f t="shared" ca="1" si="227"/>
        <v>32.84554403948291</v>
      </c>
    </row>
    <row r="747" spans="1:24">
      <c r="A747">
        <v>1</v>
      </c>
      <c r="B747">
        <v>2</v>
      </c>
      <c r="C747">
        <f t="shared" ca="1" si="209"/>
        <v>7</v>
      </c>
      <c r="D747">
        <f t="shared" ca="1" si="210"/>
        <v>5</v>
      </c>
      <c r="E747">
        <f t="shared" ca="1" si="211"/>
        <v>1</v>
      </c>
      <c r="F747" s="100">
        <f t="shared" ca="1" si="212"/>
        <v>1.9258341200000001E-2</v>
      </c>
      <c r="G747">
        <v>1</v>
      </c>
      <c r="H747">
        <v>1</v>
      </c>
      <c r="I747">
        <v>3</v>
      </c>
      <c r="J747" s="1">
        <f t="shared" ca="1" si="213"/>
        <v>9.5099004990000164E-4</v>
      </c>
      <c r="K747" s="1">
        <f t="shared" ca="1" si="214"/>
        <v>1.831449085877926E-5</v>
      </c>
      <c r="L747" s="13">
        <f t="shared" ca="1" si="215"/>
        <v>334</v>
      </c>
      <c r="M747" s="7">
        <f t="shared" ca="1" si="216"/>
        <v>666</v>
      </c>
      <c r="N747" s="43">
        <f t="shared" ca="1" si="217"/>
        <v>6</v>
      </c>
      <c r="O747" s="92">
        <f t="shared" ca="1" si="218"/>
        <v>2.7275117780454798</v>
      </c>
      <c r="P747" s="92">
        <f t="shared" ca="1" si="219"/>
        <v>27.275117780454792</v>
      </c>
      <c r="Q747" s="92">
        <f t="shared" ca="1" si="220"/>
        <v>27.275117780454792</v>
      </c>
      <c r="R747" s="92">
        <f t="shared" ca="1" si="221"/>
        <v>2.7275117780454794</v>
      </c>
      <c r="S747" s="92">
        <f t="shared" ca="1" si="222"/>
        <v>2.7275117780454794</v>
      </c>
      <c r="T747" s="4">
        <f t="shared" ca="1" si="223"/>
        <v>4.9952989526226697E-5</v>
      </c>
      <c r="U747" s="99">
        <f t="shared" ca="1" si="224"/>
        <v>1336.6329230659346</v>
      </c>
      <c r="V747" s="4">
        <f t="shared" ca="1" si="225"/>
        <v>2.4479751451034461E-2</v>
      </c>
      <c r="W747" s="13">
        <f t="shared" ca="1" si="226"/>
        <v>30213.601687499999</v>
      </c>
      <c r="X747" s="4">
        <f t="shared" ca="1" si="227"/>
        <v>0.55334673191651629</v>
      </c>
    </row>
    <row r="748" spans="1:24">
      <c r="A748">
        <v>1</v>
      </c>
      <c r="B748">
        <v>2</v>
      </c>
      <c r="C748">
        <f t="shared" ca="1" si="209"/>
        <v>7</v>
      </c>
      <c r="D748">
        <f t="shared" ca="1" si="210"/>
        <v>5</v>
      </c>
      <c r="E748">
        <f t="shared" ca="1" si="211"/>
        <v>1</v>
      </c>
      <c r="F748" s="100">
        <f t="shared" ca="1" si="212"/>
        <v>1.9258341200000001E-2</v>
      </c>
      <c r="G748">
        <v>1</v>
      </c>
      <c r="H748">
        <v>1</v>
      </c>
      <c r="I748">
        <v>2</v>
      </c>
      <c r="J748" s="1">
        <f t="shared" ca="1" si="213"/>
        <v>9.6059601000000268E-6</v>
      </c>
      <c r="K748" s="1">
        <f t="shared" ca="1" si="214"/>
        <v>1.8499485715938665E-7</v>
      </c>
      <c r="L748" s="13">
        <f t="shared" ca="1" si="215"/>
        <v>312</v>
      </c>
      <c r="M748" s="7">
        <f t="shared" ca="1" si="216"/>
        <v>688</v>
      </c>
      <c r="N748" s="43">
        <f t="shared" ca="1" si="217"/>
        <v>6</v>
      </c>
      <c r="O748" s="92">
        <f t="shared" ca="1" si="218"/>
        <v>2.7275117780454798</v>
      </c>
      <c r="P748" s="92">
        <f t="shared" ca="1" si="219"/>
        <v>27.275117780454792</v>
      </c>
      <c r="Q748" s="92">
        <f t="shared" ca="1" si="220"/>
        <v>27.275117780454792</v>
      </c>
      <c r="R748" s="92">
        <f t="shared" ca="1" si="221"/>
        <v>2.7275117780454794</v>
      </c>
      <c r="S748" s="92">
        <f t="shared" ca="1" si="222"/>
        <v>2.7275117780454794</v>
      </c>
      <c r="T748" s="4">
        <f t="shared" ca="1" si="223"/>
        <v>5.045756517800682E-7</v>
      </c>
      <c r="U748" s="99">
        <f t="shared" ca="1" si="224"/>
        <v>1314.6329230659346</v>
      </c>
      <c r="V748" s="4">
        <f t="shared" ca="1" si="225"/>
        <v>2.4320032981960951E-4</v>
      </c>
      <c r="W748" s="13">
        <f t="shared" ca="1" si="226"/>
        <v>24196.529568749997</v>
      </c>
      <c r="X748" s="4">
        <f t="shared" ca="1" si="227"/>
        <v>4.4762335313237806E-3</v>
      </c>
    </row>
    <row r="749" spans="1:24">
      <c r="A749">
        <v>1</v>
      </c>
      <c r="B749">
        <v>2</v>
      </c>
      <c r="C749">
        <f t="shared" ca="1" si="209"/>
        <v>7</v>
      </c>
      <c r="D749">
        <f t="shared" ca="1" si="210"/>
        <v>5</v>
      </c>
      <c r="E749">
        <f t="shared" ca="1" si="211"/>
        <v>1</v>
      </c>
      <c r="F749" s="100">
        <f t="shared" ca="1" si="212"/>
        <v>1.9258341200000001E-2</v>
      </c>
      <c r="G749">
        <v>1</v>
      </c>
      <c r="H749">
        <v>1</v>
      </c>
      <c r="I749">
        <v>1</v>
      </c>
      <c r="J749" s="1">
        <f t="shared" ca="1" si="213"/>
        <v>4.8514950000000171E-8</v>
      </c>
      <c r="K749" s="1">
        <f t="shared" ca="1" si="214"/>
        <v>9.3431746040094333E-10</v>
      </c>
      <c r="L749" s="13">
        <f t="shared" ca="1" si="215"/>
        <v>290</v>
      </c>
      <c r="M749" s="7">
        <f t="shared" ca="1" si="216"/>
        <v>710</v>
      </c>
      <c r="N749" s="43">
        <f t="shared" ca="1" si="217"/>
        <v>6</v>
      </c>
      <c r="O749" s="92">
        <f t="shared" ca="1" si="218"/>
        <v>2.7275117780454798</v>
      </c>
      <c r="P749" s="92">
        <f t="shared" ca="1" si="219"/>
        <v>27.275117780454792</v>
      </c>
      <c r="Q749" s="92">
        <f t="shared" ca="1" si="220"/>
        <v>27.275117780454792</v>
      </c>
      <c r="R749" s="92">
        <f t="shared" ca="1" si="221"/>
        <v>2.7275117780454794</v>
      </c>
      <c r="S749" s="92">
        <f t="shared" ca="1" si="222"/>
        <v>2.7275117780454794</v>
      </c>
      <c r="T749" s="4">
        <f t="shared" ca="1" si="223"/>
        <v>2.5483618776771137E-9</v>
      </c>
      <c r="U749" s="99">
        <f t="shared" ca="1" si="224"/>
        <v>1292.6329230659346</v>
      </c>
      <c r="V749" s="4">
        <f t="shared" ca="1" si="225"/>
        <v>1.2077295099096121E-6</v>
      </c>
      <c r="W749" s="13">
        <f t="shared" ca="1" si="226"/>
        <v>18179.457449999998</v>
      </c>
      <c r="X749" s="4">
        <f t="shared" ca="1" si="227"/>
        <v>1.6985384516151007E-5</v>
      </c>
    </row>
    <row r="750" spans="1:24">
      <c r="A750">
        <v>1</v>
      </c>
      <c r="B750">
        <v>2</v>
      </c>
      <c r="C750">
        <f t="shared" ca="1" si="209"/>
        <v>7</v>
      </c>
      <c r="D750">
        <f t="shared" ca="1" si="210"/>
        <v>5</v>
      </c>
      <c r="E750">
        <f t="shared" ca="1" si="211"/>
        <v>1</v>
      </c>
      <c r="F750" s="100">
        <f t="shared" ca="1" si="212"/>
        <v>1.9258341200000001E-2</v>
      </c>
      <c r="G750">
        <v>1</v>
      </c>
      <c r="H750">
        <v>1</v>
      </c>
      <c r="I750">
        <v>0</v>
      </c>
      <c r="J750" s="1">
        <f t="shared" ca="1" si="213"/>
        <v>9.8010000000000445E-11</v>
      </c>
      <c r="K750" s="1">
        <f t="shared" ca="1" si="214"/>
        <v>1.8875100210120087E-12</v>
      </c>
      <c r="L750" s="13">
        <f t="shared" ca="1" si="215"/>
        <v>268</v>
      </c>
      <c r="M750" s="7">
        <f t="shared" ca="1" si="216"/>
        <v>732</v>
      </c>
      <c r="N750" s="43">
        <f t="shared" ca="1" si="217"/>
        <v>6</v>
      </c>
      <c r="O750" s="92">
        <f t="shared" ca="1" si="218"/>
        <v>2.7275117780454798</v>
      </c>
      <c r="P750" s="92">
        <f t="shared" ca="1" si="219"/>
        <v>27.275117780454792</v>
      </c>
      <c r="Q750" s="92">
        <f t="shared" ca="1" si="220"/>
        <v>27.275117780454792</v>
      </c>
      <c r="R750" s="92">
        <f t="shared" ca="1" si="221"/>
        <v>2.7275117780454794</v>
      </c>
      <c r="S750" s="92">
        <f t="shared" ca="1" si="222"/>
        <v>2.7275117780454794</v>
      </c>
      <c r="T750" s="4">
        <f t="shared" ca="1" si="223"/>
        <v>5.1482058134891238E-12</v>
      </c>
      <c r="U750" s="99">
        <f t="shared" ca="1" si="224"/>
        <v>1270.6329230659346</v>
      </c>
      <c r="V750" s="4">
        <f t="shared" ca="1" si="225"/>
        <v>2.3983323753147322E-9</v>
      </c>
      <c r="W750" s="13">
        <f t="shared" ca="1" si="226"/>
        <v>12162.38533125</v>
      </c>
      <c r="X750" s="4">
        <f t="shared" ca="1" si="227"/>
        <v>2.2956624192143833E-8</v>
      </c>
    </row>
    <row r="751" spans="1:24">
      <c r="A751">
        <v>1</v>
      </c>
      <c r="B751">
        <v>2</v>
      </c>
      <c r="C751">
        <f t="shared" ca="1" si="209"/>
        <v>7</v>
      </c>
      <c r="D751">
        <f t="shared" ca="1" si="210"/>
        <v>5</v>
      </c>
      <c r="E751">
        <f t="shared" ca="1" si="211"/>
        <v>1</v>
      </c>
      <c r="F751" s="100">
        <f t="shared" ca="1" si="212"/>
        <v>1.9258341200000001E-2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288</v>
      </c>
      <c r="M751" s="7">
        <f t="shared" ca="1" si="216"/>
        <v>712</v>
      </c>
      <c r="N751" s="43">
        <f t="shared" ca="1" si="217"/>
        <v>6</v>
      </c>
      <c r="O751" s="92">
        <f t="shared" ca="1" si="218"/>
        <v>2.7275117780454798</v>
      </c>
      <c r="P751" s="92">
        <f t="shared" ca="1" si="219"/>
        <v>27.275117780454792</v>
      </c>
      <c r="Q751" s="92">
        <f t="shared" ca="1" si="220"/>
        <v>27.275117780454792</v>
      </c>
      <c r="R751" s="92">
        <f t="shared" ca="1" si="221"/>
        <v>2.7275117780454794</v>
      </c>
      <c r="S751" s="92">
        <f t="shared" ca="1" si="222"/>
        <v>2.7275117780454794</v>
      </c>
      <c r="T751" s="4">
        <f t="shared" ca="1" si="223"/>
        <v>0</v>
      </c>
      <c r="U751" s="99">
        <f t="shared" ca="1" si="224"/>
        <v>1290.6329230659346</v>
      </c>
      <c r="V751" s="4">
        <f t="shared" ca="1" si="225"/>
        <v>0</v>
      </c>
      <c r="W751" s="13">
        <f t="shared" ca="1" si="226"/>
        <v>48136.576950000002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ca="1" si="209"/>
        <v>7</v>
      </c>
      <c r="D752">
        <f t="shared" ca="1" si="210"/>
        <v>5</v>
      </c>
      <c r="E752">
        <f t="shared" ca="1" si="211"/>
        <v>1</v>
      </c>
      <c r="F752" s="100">
        <f t="shared" ca="1" si="212"/>
        <v>1.9258341200000001E-2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266</v>
      </c>
      <c r="M752" s="7">
        <f t="shared" ca="1" si="216"/>
        <v>734</v>
      </c>
      <c r="N752" s="43">
        <f t="shared" ca="1" si="217"/>
        <v>6</v>
      </c>
      <c r="O752" s="92">
        <f t="shared" ca="1" si="218"/>
        <v>2.7275117780454798</v>
      </c>
      <c r="P752" s="92">
        <f t="shared" ca="1" si="219"/>
        <v>27.275117780454792</v>
      </c>
      <c r="Q752" s="92">
        <f t="shared" ca="1" si="220"/>
        <v>27.275117780454792</v>
      </c>
      <c r="R752" s="92">
        <f t="shared" ca="1" si="221"/>
        <v>2.7275117780454794</v>
      </c>
      <c r="S752" s="92">
        <f t="shared" ca="1" si="222"/>
        <v>2.7275117780454794</v>
      </c>
      <c r="T752" s="4">
        <f t="shared" ca="1" si="223"/>
        <v>0</v>
      </c>
      <c r="U752" s="99">
        <f t="shared" ca="1" si="224"/>
        <v>1268.6329230659346</v>
      </c>
      <c r="V752" s="4">
        <f t="shared" ca="1" si="225"/>
        <v>0</v>
      </c>
      <c r="W752" s="13">
        <f t="shared" ca="1" si="226"/>
        <v>42119.50483125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ca="1" si="209"/>
        <v>7</v>
      </c>
      <c r="D753">
        <f t="shared" ca="1" si="210"/>
        <v>5</v>
      </c>
      <c r="E753">
        <f t="shared" ca="1" si="211"/>
        <v>1</v>
      </c>
      <c r="F753" s="100">
        <f t="shared" ca="1" si="212"/>
        <v>1.9258341200000001E-2</v>
      </c>
      <c r="G753">
        <v>1</v>
      </c>
      <c r="H753">
        <v>0</v>
      </c>
      <c r="I753">
        <v>5</v>
      </c>
      <c r="J753" s="1">
        <f t="shared" ca="1" si="213"/>
        <v>9.4148014940100087E-3</v>
      </c>
      <c r="K753" s="1">
        <f t="shared" ca="1" si="214"/>
        <v>1.8131345950191452E-4</v>
      </c>
      <c r="L753" s="13">
        <f t="shared" ca="1" si="215"/>
        <v>244</v>
      </c>
      <c r="M753" s="7">
        <f t="shared" ca="1" si="216"/>
        <v>756</v>
      </c>
      <c r="N753" s="43">
        <f t="shared" ca="1" si="217"/>
        <v>7</v>
      </c>
      <c r="O753" s="92">
        <f t="shared" ca="1" si="218"/>
        <v>3.2214900588145507</v>
      </c>
      <c r="P753" s="92">
        <f t="shared" ca="1" si="219"/>
        <v>29.745009184300148</v>
      </c>
      <c r="Q753" s="92">
        <f t="shared" ca="1" si="220"/>
        <v>27.275117780454792</v>
      </c>
      <c r="R753" s="92">
        <f t="shared" ca="1" si="221"/>
        <v>2.851006348237747</v>
      </c>
      <c r="S753" s="92">
        <f t="shared" ca="1" si="222"/>
        <v>3.1955561990741743</v>
      </c>
      <c r="T753" s="4">
        <f t="shared" ca="1" si="223"/>
        <v>5.7939734948692719E-4</v>
      </c>
      <c r="U753" s="99">
        <f t="shared" ca="1" si="224"/>
        <v>1391.9252614304514</v>
      </c>
      <c r="V753" s="4">
        <f t="shared" ca="1" si="225"/>
        <v>0.25237478451806195</v>
      </c>
      <c r="W753" s="13">
        <f t="shared" ca="1" si="226"/>
        <v>36102.432712499998</v>
      </c>
      <c r="X753" s="4">
        <f t="shared" ca="1" si="227"/>
        <v>6.5458569715384627</v>
      </c>
    </row>
    <row r="754" spans="1:24">
      <c r="A754">
        <v>1</v>
      </c>
      <c r="B754">
        <v>2</v>
      </c>
      <c r="C754">
        <f t="shared" ca="1" si="209"/>
        <v>7</v>
      </c>
      <c r="D754">
        <f t="shared" ca="1" si="210"/>
        <v>5</v>
      </c>
      <c r="E754">
        <f t="shared" ca="1" si="211"/>
        <v>1</v>
      </c>
      <c r="F754" s="100">
        <f t="shared" ca="1" si="212"/>
        <v>1.9258341200000001E-2</v>
      </c>
      <c r="G754">
        <v>1</v>
      </c>
      <c r="H754">
        <v>0</v>
      </c>
      <c r="I754">
        <v>4</v>
      </c>
      <c r="J754" s="1">
        <f t="shared" ca="1" si="213"/>
        <v>4.7549502495000082E-4</v>
      </c>
      <c r="K754" s="1">
        <f t="shared" ca="1" si="214"/>
        <v>9.1572454293896298E-6</v>
      </c>
      <c r="L754" s="13">
        <f t="shared" ca="1" si="215"/>
        <v>222</v>
      </c>
      <c r="M754" s="7">
        <f t="shared" ca="1" si="216"/>
        <v>778</v>
      </c>
      <c r="N754" s="43">
        <f t="shared" ca="1" si="217"/>
        <v>7</v>
      </c>
      <c r="O754" s="92">
        <f t="shared" ca="1" si="218"/>
        <v>3.2214900588145507</v>
      </c>
      <c r="P754" s="92">
        <f t="shared" ca="1" si="219"/>
        <v>32.214900588145518</v>
      </c>
      <c r="Q754" s="92">
        <f t="shared" ca="1" si="220"/>
        <v>32.214900588145518</v>
      </c>
      <c r="R754" s="92">
        <f t="shared" ca="1" si="221"/>
        <v>3.2214900588145516</v>
      </c>
      <c r="S754" s="92">
        <f t="shared" ca="1" si="222"/>
        <v>3.2214900588145507</v>
      </c>
      <c r="T754" s="4">
        <f t="shared" ca="1" si="223"/>
        <v>2.9499975116903673E-5</v>
      </c>
      <c r="U754" s="99">
        <f t="shared" ca="1" si="224"/>
        <v>1377.9757603899629</v>
      </c>
      <c r="V754" s="4">
        <f t="shared" ca="1" si="225"/>
        <v>1.2618462233640687E-2</v>
      </c>
      <c r="W754" s="13">
        <f t="shared" ca="1" si="226"/>
        <v>30085.360593749996</v>
      </c>
      <c r="X754" s="4">
        <f t="shared" ca="1" si="227"/>
        <v>0.27549903078865601</v>
      </c>
    </row>
    <row r="755" spans="1:24">
      <c r="A755">
        <v>1</v>
      </c>
      <c r="B755">
        <v>2</v>
      </c>
      <c r="C755">
        <f t="shared" ca="1" si="209"/>
        <v>7</v>
      </c>
      <c r="D755">
        <f t="shared" ca="1" si="210"/>
        <v>5</v>
      </c>
      <c r="E755">
        <f t="shared" ca="1" si="211"/>
        <v>1</v>
      </c>
      <c r="F755" s="100">
        <f t="shared" ca="1" si="212"/>
        <v>1.9258341200000001E-2</v>
      </c>
      <c r="G755">
        <v>1</v>
      </c>
      <c r="H755">
        <v>0</v>
      </c>
      <c r="I755">
        <v>3</v>
      </c>
      <c r="J755" s="1">
        <f t="shared" ca="1" si="213"/>
        <v>9.6059601000000268E-6</v>
      </c>
      <c r="K755" s="1">
        <f t="shared" ca="1" si="214"/>
        <v>1.8499485715938665E-7</v>
      </c>
      <c r="L755" s="13">
        <f t="shared" ca="1" si="215"/>
        <v>200</v>
      </c>
      <c r="M755" s="7">
        <f t="shared" ca="1" si="216"/>
        <v>800</v>
      </c>
      <c r="N755" s="43">
        <f t="shared" ca="1" si="217"/>
        <v>7</v>
      </c>
      <c r="O755" s="92">
        <f t="shared" ca="1" si="218"/>
        <v>3.2214900588145507</v>
      </c>
      <c r="P755" s="92">
        <f t="shared" ca="1" si="219"/>
        <v>32.214900588145518</v>
      </c>
      <c r="Q755" s="92">
        <f t="shared" ca="1" si="220"/>
        <v>32.214900588145518</v>
      </c>
      <c r="R755" s="92">
        <f t="shared" ca="1" si="221"/>
        <v>3.2214900588145516</v>
      </c>
      <c r="S755" s="92">
        <f t="shared" ca="1" si="222"/>
        <v>3.2214900588145507</v>
      </c>
      <c r="T755" s="4">
        <f t="shared" ca="1" si="223"/>
        <v>5.9595909327078186E-7</v>
      </c>
      <c r="U755" s="99">
        <f t="shared" ca="1" si="224"/>
        <v>1355.9757603899629</v>
      </c>
      <c r="V755" s="4">
        <f t="shared" ca="1" si="225"/>
        <v>2.5084854210493188E-4</v>
      </c>
      <c r="W755" s="13">
        <f t="shared" ca="1" si="226"/>
        <v>24068.288474999998</v>
      </c>
      <c r="X755" s="4">
        <f t="shared" ca="1" si="227"/>
        <v>4.4525095885035362E-3</v>
      </c>
    </row>
    <row r="756" spans="1:24">
      <c r="A756">
        <v>1</v>
      </c>
      <c r="B756">
        <v>2</v>
      </c>
      <c r="C756">
        <f t="shared" ca="1" si="209"/>
        <v>7</v>
      </c>
      <c r="D756">
        <f t="shared" ca="1" si="210"/>
        <v>5</v>
      </c>
      <c r="E756">
        <f t="shared" ca="1" si="211"/>
        <v>1</v>
      </c>
      <c r="F756" s="100">
        <f t="shared" ca="1" si="212"/>
        <v>1.9258341200000001E-2</v>
      </c>
      <c r="G756">
        <v>1</v>
      </c>
      <c r="H756">
        <v>0</v>
      </c>
      <c r="I756">
        <v>2</v>
      </c>
      <c r="J756" s="1">
        <f t="shared" ca="1" si="213"/>
        <v>9.7029900000000355E-8</v>
      </c>
      <c r="K756" s="1">
        <f t="shared" ca="1" si="214"/>
        <v>1.8686349208018871E-9</v>
      </c>
      <c r="L756" s="13">
        <f t="shared" ca="1" si="215"/>
        <v>178</v>
      </c>
      <c r="M756" s="7">
        <f t="shared" ca="1" si="216"/>
        <v>822</v>
      </c>
      <c r="N756" s="43">
        <f t="shared" ca="1" si="217"/>
        <v>7</v>
      </c>
      <c r="O756" s="92">
        <f t="shared" ca="1" si="218"/>
        <v>3.2214900588145507</v>
      </c>
      <c r="P756" s="92">
        <f t="shared" ca="1" si="219"/>
        <v>32.214900588145518</v>
      </c>
      <c r="Q756" s="92">
        <f t="shared" ca="1" si="220"/>
        <v>32.214900588145518</v>
      </c>
      <c r="R756" s="92">
        <f t="shared" ca="1" si="221"/>
        <v>3.2214900588145516</v>
      </c>
      <c r="S756" s="92">
        <f t="shared" ca="1" si="222"/>
        <v>3.2214900588145507</v>
      </c>
      <c r="T756" s="4">
        <f t="shared" ca="1" si="223"/>
        <v>6.0197888209169947E-9</v>
      </c>
      <c r="U756" s="99">
        <f t="shared" ca="1" si="224"/>
        <v>1333.9757603899629</v>
      </c>
      <c r="V756" s="4">
        <f t="shared" ca="1" si="225"/>
        <v>2.4927136893679353E-6</v>
      </c>
      <c r="W756" s="13">
        <f t="shared" ca="1" si="226"/>
        <v>18051.216356249999</v>
      </c>
      <c r="X756" s="4">
        <f t="shared" ca="1" si="227"/>
        <v>3.3731133246238946E-5</v>
      </c>
    </row>
    <row r="757" spans="1:24">
      <c r="A757">
        <v>1</v>
      </c>
      <c r="B757">
        <v>2</v>
      </c>
      <c r="C757">
        <f t="shared" ca="1" si="209"/>
        <v>7</v>
      </c>
      <c r="D757">
        <f t="shared" ca="1" si="210"/>
        <v>5</v>
      </c>
      <c r="E757">
        <f t="shared" ca="1" si="211"/>
        <v>1</v>
      </c>
      <c r="F757" s="100">
        <f t="shared" ca="1" si="212"/>
        <v>1.9258341200000001E-2</v>
      </c>
      <c r="G757">
        <v>1</v>
      </c>
      <c r="H757">
        <v>0</v>
      </c>
      <c r="I757">
        <v>1</v>
      </c>
      <c r="J757" s="1">
        <f t="shared" ca="1" si="213"/>
        <v>4.9005000000000225E-10</v>
      </c>
      <c r="K757" s="1">
        <f t="shared" ca="1" si="214"/>
        <v>9.4375501050600443E-12</v>
      </c>
      <c r="L757" s="13">
        <f t="shared" ca="1" si="215"/>
        <v>156</v>
      </c>
      <c r="M757" s="7">
        <f t="shared" ca="1" si="216"/>
        <v>844</v>
      </c>
      <c r="N757" s="43">
        <f t="shared" ca="1" si="217"/>
        <v>7</v>
      </c>
      <c r="O757" s="92">
        <f t="shared" ca="1" si="218"/>
        <v>3.2214900588145507</v>
      </c>
      <c r="P757" s="92">
        <f t="shared" ca="1" si="219"/>
        <v>32.214900588145518</v>
      </c>
      <c r="Q757" s="92">
        <f t="shared" ca="1" si="220"/>
        <v>32.214900588145518</v>
      </c>
      <c r="R757" s="92">
        <f t="shared" ca="1" si="221"/>
        <v>3.2214900588145516</v>
      </c>
      <c r="S757" s="92">
        <f t="shared" ca="1" si="222"/>
        <v>3.2214900588145507</v>
      </c>
      <c r="T757" s="4">
        <f t="shared" ca="1" si="223"/>
        <v>3.0402973843015153E-11</v>
      </c>
      <c r="U757" s="99">
        <f t="shared" ca="1" si="224"/>
        <v>1311.9757603899629</v>
      </c>
      <c r="V757" s="4">
        <f t="shared" ca="1" si="225"/>
        <v>1.2381836975304527E-8</v>
      </c>
      <c r="W757" s="13">
        <f t="shared" ca="1" si="226"/>
        <v>12034.144237499999</v>
      </c>
      <c r="X757" s="4">
        <f t="shared" ca="1" si="227"/>
        <v>1.1357283921292584E-7</v>
      </c>
    </row>
    <row r="758" spans="1:24">
      <c r="A758">
        <v>1</v>
      </c>
      <c r="B758">
        <v>2</v>
      </c>
      <c r="C758">
        <f t="shared" ca="1" si="209"/>
        <v>7</v>
      </c>
      <c r="D758">
        <f t="shared" ca="1" si="210"/>
        <v>5</v>
      </c>
      <c r="E758">
        <f t="shared" ca="1" si="211"/>
        <v>1</v>
      </c>
      <c r="F758" s="100">
        <f t="shared" ca="1" si="212"/>
        <v>1.9258341200000001E-2</v>
      </c>
      <c r="G758">
        <v>1</v>
      </c>
      <c r="H758">
        <v>0</v>
      </c>
      <c r="I758">
        <v>0</v>
      </c>
      <c r="J758" s="1">
        <f t="shared" ca="1" si="213"/>
        <v>9.9000000000000548E-13</v>
      </c>
      <c r="K758" s="1">
        <f t="shared" ca="1" si="214"/>
        <v>1.9065757788000108E-14</v>
      </c>
      <c r="L758" s="13">
        <f t="shared" ca="1" si="215"/>
        <v>134</v>
      </c>
      <c r="M758" s="7">
        <f t="shared" ca="1" si="216"/>
        <v>866</v>
      </c>
      <c r="N758" s="43">
        <f t="shared" ca="1" si="217"/>
        <v>7</v>
      </c>
      <c r="O758" s="92">
        <f t="shared" ca="1" si="218"/>
        <v>3.2214900588145507</v>
      </c>
      <c r="P758" s="92">
        <f t="shared" ca="1" si="219"/>
        <v>32.214900588145518</v>
      </c>
      <c r="Q758" s="92">
        <f t="shared" ca="1" si="220"/>
        <v>32.214900588145518</v>
      </c>
      <c r="R758" s="92">
        <f t="shared" ca="1" si="221"/>
        <v>3.2214900588145516</v>
      </c>
      <c r="S758" s="92">
        <f t="shared" ca="1" si="222"/>
        <v>3.2214900588145507</v>
      </c>
      <c r="T758" s="4">
        <f t="shared" ca="1" si="223"/>
        <v>6.142014917780845E-14</v>
      </c>
      <c r="U758" s="99">
        <f t="shared" ca="1" si="224"/>
        <v>1289.9757603899629</v>
      </c>
      <c r="V758" s="4">
        <f t="shared" ca="1" si="225"/>
        <v>2.4594365399986295E-11</v>
      </c>
      <c r="W758" s="13">
        <f t="shared" ca="1" si="226"/>
        <v>6017.0721187499994</v>
      </c>
      <c r="X758" s="4">
        <f t="shared" ca="1" si="227"/>
        <v>1.1472003960901612E-10</v>
      </c>
    </row>
    <row r="759" spans="1:24">
      <c r="A759">
        <v>1</v>
      </c>
      <c r="B759">
        <v>2</v>
      </c>
      <c r="C759">
        <f t="shared" ca="1" si="209"/>
        <v>7</v>
      </c>
      <c r="D759">
        <f t="shared" ca="1" si="210"/>
        <v>5</v>
      </c>
      <c r="E759">
        <f t="shared" ca="1" si="211"/>
        <v>1</v>
      </c>
      <c r="F759" s="100">
        <f t="shared" ca="1" si="212"/>
        <v>1.9258341200000001E-2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288</v>
      </c>
      <c r="M759" s="7">
        <f t="shared" ca="1" si="216"/>
        <v>712</v>
      </c>
      <c r="N759" s="43">
        <f t="shared" ca="1" si="217"/>
        <v>6</v>
      </c>
      <c r="O759" s="92">
        <f t="shared" ca="1" si="218"/>
        <v>2.7275117780454798</v>
      </c>
      <c r="P759" s="92">
        <f t="shared" ca="1" si="219"/>
        <v>27.275117780454792</v>
      </c>
      <c r="Q759" s="92">
        <f t="shared" ca="1" si="220"/>
        <v>27.275117780454792</v>
      </c>
      <c r="R759" s="92">
        <f t="shared" ca="1" si="221"/>
        <v>2.7275117780454794</v>
      </c>
      <c r="S759" s="92">
        <f t="shared" ca="1" si="222"/>
        <v>2.7275117780454794</v>
      </c>
      <c r="T759" s="4">
        <f t="shared" ca="1" si="223"/>
        <v>0</v>
      </c>
      <c r="U759" s="99">
        <f t="shared" ca="1" si="224"/>
        <v>1290.6329230659346</v>
      </c>
      <c r="V759" s="4">
        <f t="shared" ca="1" si="225"/>
        <v>0</v>
      </c>
      <c r="W759" s="13">
        <f t="shared" ca="1" si="226"/>
        <v>48264.818043749998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ca="1" si="209"/>
        <v>7</v>
      </c>
      <c r="D760">
        <f t="shared" ca="1" si="210"/>
        <v>5</v>
      </c>
      <c r="E760">
        <f t="shared" ca="1" si="211"/>
        <v>1</v>
      </c>
      <c r="F760" s="100">
        <f t="shared" ca="1" si="212"/>
        <v>1.9258341200000001E-2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266</v>
      </c>
      <c r="M760" s="7">
        <f t="shared" ca="1" si="216"/>
        <v>734</v>
      </c>
      <c r="N760" s="43">
        <f t="shared" ca="1" si="217"/>
        <v>6</v>
      </c>
      <c r="O760" s="92">
        <f t="shared" ca="1" si="218"/>
        <v>2.7275117780454798</v>
      </c>
      <c r="P760" s="92">
        <f t="shared" ca="1" si="219"/>
        <v>27.275117780454792</v>
      </c>
      <c r="Q760" s="92">
        <f t="shared" ca="1" si="220"/>
        <v>27.275117780454792</v>
      </c>
      <c r="R760" s="92">
        <f t="shared" ca="1" si="221"/>
        <v>2.7275117780454794</v>
      </c>
      <c r="S760" s="92">
        <f t="shared" ca="1" si="222"/>
        <v>2.7275117780454794</v>
      </c>
      <c r="T760" s="4">
        <f t="shared" ca="1" si="223"/>
        <v>0</v>
      </c>
      <c r="U760" s="99">
        <f t="shared" ca="1" si="224"/>
        <v>1268.6329230659346</v>
      </c>
      <c r="V760" s="4">
        <f t="shared" ca="1" si="225"/>
        <v>0</v>
      </c>
      <c r="W760" s="13">
        <f t="shared" ca="1" si="226"/>
        <v>42247.745924999996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ca="1" si="209"/>
        <v>7</v>
      </c>
      <c r="D761">
        <f t="shared" ca="1" si="210"/>
        <v>5</v>
      </c>
      <c r="E761">
        <f t="shared" ca="1" si="211"/>
        <v>1</v>
      </c>
      <c r="F761" s="100">
        <f t="shared" ca="1" si="212"/>
        <v>1.9258341200000001E-2</v>
      </c>
      <c r="G761">
        <v>0</v>
      </c>
      <c r="H761">
        <v>1</v>
      </c>
      <c r="I761">
        <v>5</v>
      </c>
      <c r="J761" s="1">
        <f t="shared" ca="1" si="213"/>
        <v>9.4148014940100087E-3</v>
      </c>
      <c r="K761" s="1">
        <f t="shared" ca="1" si="214"/>
        <v>1.8131345950191452E-4</v>
      </c>
      <c r="L761" s="13">
        <f t="shared" ca="1" si="215"/>
        <v>244</v>
      </c>
      <c r="M761" s="7">
        <f t="shared" ca="1" si="216"/>
        <v>756</v>
      </c>
      <c r="N761" s="43">
        <f t="shared" ca="1" si="217"/>
        <v>7</v>
      </c>
      <c r="O761" s="92">
        <f t="shared" ca="1" si="218"/>
        <v>3.2214900588145507</v>
      </c>
      <c r="P761" s="92">
        <f t="shared" ca="1" si="219"/>
        <v>29.745009184300148</v>
      </c>
      <c r="Q761" s="92">
        <f t="shared" ca="1" si="220"/>
        <v>27.275117780454792</v>
      </c>
      <c r="R761" s="92">
        <f t="shared" ca="1" si="221"/>
        <v>2.851006348237747</v>
      </c>
      <c r="S761" s="92">
        <f t="shared" ca="1" si="222"/>
        <v>3.1955561990741743</v>
      </c>
      <c r="T761" s="4">
        <f t="shared" ca="1" si="223"/>
        <v>5.7939734948692719E-4</v>
      </c>
      <c r="U761" s="99">
        <f t="shared" ca="1" si="224"/>
        <v>1391.9252614304514</v>
      </c>
      <c r="V761" s="4">
        <f t="shared" ca="1" si="225"/>
        <v>0.25237478451806195</v>
      </c>
      <c r="W761" s="13">
        <f t="shared" ca="1" si="226"/>
        <v>36230.673806249994</v>
      </c>
      <c r="X761" s="4">
        <f t="shared" ca="1" si="227"/>
        <v>6.5691088078965834</v>
      </c>
    </row>
    <row r="762" spans="1:24">
      <c r="A762">
        <v>1</v>
      </c>
      <c r="B762">
        <v>2</v>
      </c>
      <c r="C762">
        <f t="shared" ca="1" si="209"/>
        <v>7</v>
      </c>
      <c r="D762">
        <f t="shared" ca="1" si="210"/>
        <v>5</v>
      </c>
      <c r="E762">
        <f t="shared" ca="1" si="211"/>
        <v>1</v>
      </c>
      <c r="F762" s="100">
        <f t="shared" ca="1" si="212"/>
        <v>1.9258341200000001E-2</v>
      </c>
      <c r="G762">
        <v>0</v>
      </c>
      <c r="H762">
        <v>1</v>
      </c>
      <c r="I762">
        <v>4</v>
      </c>
      <c r="J762" s="1">
        <f t="shared" ca="1" si="213"/>
        <v>4.7549502495000082E-4</v>
      </c>
      <c r="K762" s="1">
        <f t="shared" ca="1" si="214"/>
        <v>9.1572454293896298E-6</v>
      </c>
      <c r="L762" s="13">
        <f t="shared" ca="1" si="215"/>
        <v>222</v>
      </c>
      <c r="M762" s="7">
        <f t="shared" ca="1" si="216"/>
        <v>778</v>
      </c>
      <c r="N762" s="43">
        <f t="shared" ca="1" si="217"/>
        <v>7</v>
      </c>
      <c r="O762" s="92">
        <f t="shared" ca="1" si="218"/>
        <v>3.2214900588145507</v>
      </c>
      <c r="P762" s="92">
        <f t="shared" ca="1" si="219"/>
        <v>32.214900588145518</v>
      </c>
      <c r="Q762" s="92">
        <f t="shared" ca="1" si="220"/>
        <v>32.214900588145518</v>
      </c>
      <c r="R762" s="92">
        <f t="shared" ca="1" si="221"/>
        <v>3.2214900588145516</v>
      </c>
      <c r="S762" s="92">
        <f t="shared" ca="1" si="222"/>
        <v>3.2214900588145507</v>
      </c>
      <c r="T762" s="4">
        <f t="shared" ca="1" si="223"/>
        <v>2.9499975116903673E-5</v>
      </c>
      <c r="U762" s="99">
        <f t="shared" ca="1" si="224"/>
        <v>1377.9757603899629</v>
      </c>
      <c r="V762" s="4">
        <f t="shared" ca="1" si="225"/>
        <v>1.2618462233640687E-2</v>
      </c>
      <c r="W762" s="13">
        <f t="shared" ca="1" si="226"/>
        <v>30213.601687499999</v>
      </c>
      <c r="X762" s="4">
        <f t="shared" ca="1" si="227"/>
        <v>0.27667336595825814</v>
      </c>
    </row>
    <row r="763" spans="1:24">
      <c r="A763">
        <v>1</v>
      </c>
      <c r="B763">
        <v>2</v>
      </c>
      <c r="C763">
        <f t="shared" ca="1" si="209"/>
        <v>7</v>
      </c>
      <c r="D763">
        <f t="shared" ca="1" si="210"/>
        <v>5</v>
      </c>
      <c r="E763">
        <f t="shared" ca="1" si="211"/>
        <v>1</v>
      </c>
      <c r="F763" s="100">
        <f t="shared" ca="1" si="212"/>
        <v>1.9258341200000001E-2</v>
      </c>
      <c r="G763">
        <v>0</v>
      </c>
      <c r="H763">
        <v>1</v>
      </c>
      <c r="I763">
        <v>3</v>
      </c>
      <c r="J763" s="1">
        <f t="shared" ca="1" si="213"/>
        <v>9.6059601000000268E-6</v>
      </c>
      <c r="K763" s="1">
        <f t="shared" ca="1" si="214"/>
        <v>1.8499485715938665E-7</v>
      </c>
      <c r="L763" s="13">
        <f t="shared" ca="1" si="215"/>
        <v>200</v>
      </c>
      <c r="M763" s="7">
        <f t="shared" ca="1" si="216"/>
        <v>800</v>
      </c>
      <c r="N763" s="43">
        <f t="shared" ca="1" si="217"/>
        <v>7</v>
      </c>
      <c r="O763" s="92">
        <f t="shared" ca="1" si="218"/>
        <v>3.2214900588145507</v>
      </c>
      <c r="P763" s="92">
        <f t="shared" ca="1" si="219"/>
        <v>32.214900588145518</v>
      </c>
      <c r="Q763" s="92">
        <f t="shared" ca="1" si="220"/>
        <v>32.214900588145518</v>
      </c>
      <c r="R763" s="92">
        <f t="shared" ca="1" si="221"/>
        <v>3.2214900588145516</v>
      </c>
      <c r="S763" s="92">
        <f t="shared" ca="1" si="222"/>
        <v>3.2214900588145507</v>
      </c>
      <c r="T763" s="4">
        <f t="shared" ca="1" si="223"/>
        <v>5.9595909327078186E-7</v>
      </c>
      <c r="U763" s="99">
        <f t="shared" ca="1" si="224"/>
        <v>1355.9757603899629</v>
      </c>
      <c r="V763" s="4">
        <f t="shared" ca="1" si="225"/>
        <v>2.5084854210493188E-4</v>
      </c>
      <c r="W763" s="13">
        <f t="shared" ca="1" si="226"/>
        <v>24196.529568749997</v>
      </c>
      <c r="X763" s="4">
        <f t="shared" ca="1" si="227"/>
        <v>4.4762335313237806E-3</v>
      </c>
    </row>
    <row r="764" spans="1:24">
      <c r="A764">
        <v>1</v>
      </c>
      <c r="B764">
        <v>2</v>
      </c>
      <c r="C764">
        <f t="shared" ca="1" si="209"/>
        <v>7</v>
      </c>
      <c r="D764">
        <f t="shared" ca="1" si="210"/>
        <v>5</v>
      </c>
      <c r="E764">
        <f t="shared" ca="1" si="211"/>
        <v>1</v>
      </c>
      <c r="F764" s="100">
        <f t="shared" ca="1" si="212"/>
        <v>1.9258341200000001E-2</v>
      </c>
      <c r="G764">
        <v>0</v>
      </c>
      <c r="H764">
        <v>1</v>
      </c>
      <c r="I764">
        <v>2</v>
      </c>
      <c r="J764" s="1">
        <f t="shared" ca="1" si="213"/>
        <v>9.7029900000000355E-8</v>
      </c>
      <c r="K764" s="1">
        <f t="shared" ca="1" si="214"/>
        <v>1.8686349208018871E-9</v>
      </c>
      <c r="L764" s="13">
        <f t="shared" ca="1" si="215"/>
        <v>178</v>
      </c>
      <c r="M764" s="7">
        <f t="shared" ca="1" si="216"/>
        <v>822</v>
      </c>
      <c r="N764" s="43">
        <f t="shared" ca="1" si="217"/>
        <v>7</v>
      </c>
      <c r="O764" s="92">
        <f t="shared" ca="1" si="218"/>
        <v>3.2214900588145507</v>
      </c>
      <c r="P764" s="92">
        <f t="shared" ca="1" si="219"/>
        <v>32.214900588145518</v>
      </c>
      <c r="Q764" s="92">
        <f t="shared" ca="1" si="220"/>
        <v>32.214900588145518</v>
      </c>
      <c r="R764" s="92">
        <f t="shared" ca="1" si="221"/>
        <v>3.2214900588145516</v>
      </c>
      <c r="S764" s="92">
        <f t="shared" ca="1" si="222"/>
        <v>3.2214900588145507</v>
      </c>
      <c r="T764" s="4">
        <f t="shared" ca="1" si="223"/>
        <v>6.0197888209169947E-9</v>
      </c>
      <c r="U764" s="99">
        <f t="shared" ca="1" si="224"/>
        <v>1333.9757603899629</v>
      </c>
      <c r="V764" s="4">
        <f t="shared" ca="1" si="225"/>
        <v>2.4927136893679353E-6</v>
      </c>
      <c r="W764" s="13">
        <f t="shared" ca="1" si="226"/>
        <v>18179.457449999998</v>
      </c>
      <c r="X764" s="4">
        <f t="shared" ca="1" si="227"/>
        <v>3.397076903230202E-5</v>
      </c>
    </row>
    <row r="765" spans="1:24">
      <c r="A765">
        <v>1</v>
      </c>
      <c r="B765">
        <v>2</v>
      </c>
      <c r="C765">
        <f t="shared" ca="1" si="209"/>
        <v>7</v>
      </c>
      <c r="D765">
        <f t="shared" ca="1" si="210"/>
        <v>5</v>
      </c>
      <c r="E765">
        <f t="shared" ca="1" si="211"/>
        <v>1</v>
      </c>
      <c r="F765" s="100">
        <f t="shared" ca="1" si="212"/>
        <v>1.9258341200000001E-2</v>
      </c>
      <c r="G765">
        <v>0</v>
      </c>
      <c r="H765">
        <v>1</v>
      </c>
      <c r="I765">
        <v>1</v>
      </c>
      <c r="J765" s="1">
        <f t="shared" ca="1" si="213"/>
        <v>4.9005000000000225E-10</v>
      </c>
      <c r="K765" s="1">
        <f t="shared" ca="1" si="214"/>
        <v>9.4375501050600443E-12</v>
      </c>
      <c r="L765" s="13">
        <f t="shared" ca="1" si="215"/>
        <v>156</v>
      </c>
      <c r="M765" s="7">
        <f t="shared" ca="1" si="216"/>
        <v>844</v>
      </c>
      <c r="N765" s="43">
        <f t="shared" ca="1" si="217"/>
        <v>7</v>
      </c>
      <c r="O765" s="92">
        <f t="shared" ca="1" si="218"/>
        <v>3.2214900588145507</v>
      </c>
      <c r="P765" s="92">
        <f t="shared" ca="1" si="219"/>
        <v>32.214900588145518</v>
      </c>
      <c r="Q765" s="92">
        <f t="shared" ca="1" si="220"/>
        <v>32.214900588145518</v>
      </c>
      <c r="R765" s="92">
        <f t="shared" ca="1" si="221"/>
        <v>3.2214900588145516</v>
      </c>
      <c r="S765" s="92">
        <f t="shared" ca="1" si="222"/>
        <v>3.2214900588145507</v>
      </c>
      <c r="T765" s="4">
        <f t="shared" ca="1" si="223"/>
        <v>3.0402973843015153E-11</v>
      </c>
      <c r="U765" s="99">
        <f t="shared" ca="1" si="224"/>
        <v>1311.9757603899629</v>
      </c>
      <c r="V765" s="4">
        <f t="shared" ca="1" si="225"/>
        <v>1.2381836975304527E-8</v>
      </c>
      <c r="W765" s="13">
        <f t="shared" ca="1" si="226"/>
        <v>12162.38533125</v>
      </c>
      <c r="X765" s="4">
        <f t="shared" ca="1" si="227"/>
        <v>1.1478312096071917E-7</v>
      </c>
    </row>
    <row r="766" spans="1:24">
      <c r="A766">
        <v>1</v>
      </c>
      <c r="B766">
        <v>2</v>
      </c>
      <c r="C766">
        <f t="shared" ca="1" si="209"/>
        <v>7</v>
      </c>
      <c r="D766">
        <f t="shared" ca="1" si="210"/>
        <v>5</v>
      </c>
      <c r="E766">
        <f t="shared" ca="1" si="211"/>
        <v>1</v>
      </c>
      <c r="F766" s="100">
        <f t="shared" ca="1" si="212"/>
        <v>1.9258341200000001E-2</v>
      </c>
      <c r="G766">
        <v>0</v>
      </c>
      <c r="H766">
        <v>1</v>
      </c>
      <c r="I766">
        <v>0</v>
      </c>
      <c r="J766" s="1">
        <f t="shared" ca="1" si="213"/>
        <v>9.9000000000000548E-13</v>
      </c>
      <c r="K766" s="1">
        <f t="shared" ca="1" si="214"/>
        <v>1.9065757788000108E-14</v>
      </c>
      <c r="L766" s="13">
        <f t="shared" ca="1" si="215"/>
        <v>134</v>
      </c>
      <c r="M766" s="7">
        <f t="shared" ca="1" si="216"/>
        <v>866</v>
      </c>
      <c r="N766" s="43">
        <f t="shared" ca="1" si="217"/>
        <v>7</v>
      </c>
      <c r="O766" s="92">
        <f t="shared" ca="1" si="218"/>
        <v>3.2214900588145507</v>
      </c>
      <c r="P766" s="92">
        <f t="shared" ca="1" si="219"/>
        <v>32.214900588145518</v>
      </c>
      <c r="Q766" s="92">
        <f t="shared" ca="1" si="220"/>
        <v>32.214900588145518</v>
      </c>
      <c r="R766" s="92">
        <f t="shared" ca="1" si="221"/>
        <v>3.2214900588145516</v>
      </c>
      <c r="S766" s="92">
        <f t="shared" ca="1" si="222"/>
        <v>3.2214900588145507</v>
      </c>
      <c r="T766" s="4">
        <f t="shared" ca="1" si="223"/>
        <v>6.142014917780845E-14</v>
      </c>
      <c r="U766" s="99">
        <f t="shared" ca="1" si="224"/>
        <v>1289.9757603899629</v>
      </c>
      <c r="V766" s="4">
        <f t="shared" ca="1" si="225"/>
        <v>2.4594365399986295E-11</v>
      </c>
      <c r="W766" s="13">
        <f t="shared" ca="1" si="226"/>
        <v>6145.3132124999993</v>
      </c>
      <c r="X766" s="4">
        <f t="shared" ca="1" si="227"/>
        <v>1.1716505324092184E-10</v>
      </c>
    </row>
    <row r="767" spans="1:24">
      <c r="A767">
        <v>1</v>
      </c>
      <c r="B767">
        <v>2</v>
      </c>
      <c r="C767">
        <f t="shared" ca="1" si="209"/>
        <v>7</v>
      </c>
      <c r="D767">
        <f t="shared" ca="1" si="210"/>
        <v>5</v>
      </c>
      <c r="E767">
        <f t="shared" ca="1" si="211"/>
        <v>1</v>
      </c>
      <c r="F767" s="100">
        <f t="shared" ca="1" si="212"/>
        <v>1.9258341200000001E-2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3">
        <f t="shared" ca="1" si="217"/>
        <v>7</v>
      </c>
      <c r="O767" s="92">
        <f t="shared" ca="1" si="218"/>
        <v>3.2214900588145507</v>
      </c>
      <c r="P767" s="92">
        <f t="shared" ca="1" si="219"/>
        <v>32.214900588145518</v>
      </c>
      <c r="Q767" s="92">
        <f t="shared" ca="1" si="220"/>
        <v>32.214900588145518</v>
      </c>
      <c r="R767" s="92">
        <f t="shared" ca="1" si="221"/>
        <v>3.2214900588145516</v>
      </c>
      <c r="S767" s="92">
        <f t="shared" ca="1" si="222"/>
        <v>3.2214900588145507</v>
      </c>
      <c r="T767" s="4">
        <f t="shared" ca="1" si="223"/>
        <v>0</v>
      </c>
      <c r="U767" s="99">
        <f t="shared" ca="1" si="224"/>
        <v>1309.9757603899629</v>
      </c>
      <c r="V767" s="4">
        <f t="shared" ca="1" si="225"/>
        <v>0</v>
      </c>
      <c r="W767" s="13">
        <f t="shared" ca="1" si="226"/>
        <v>42119.50483125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ca="1" si="209"/>
        <v>7</v>
      </c>
      <c r="D768">
        <f t="shared" ca="1" si="210"/>
        <v>5</v>
      </c>
      <c r="E768">
        <f t="shared" ca="1" si="211"/>
        <v>1</v>
      </c>
      <c r="F768" s="100">
        <f t="shared" ca="1" si="212"/>
        <v>1.9258341200000001E-2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132</v>
      </c>
      <c r="M768" s="7">
        <f t="shared" ca="1" si="216"/>
        <v>868</v>
      </c>
      <c r="N768" s="43">
        <f t="shared" ca="1" si="217"/>
        <v>7</v>
      </c>
      <c r="O768" s="92">
        <f t="shared" ca="1" si="218"/>
        <v>3.2214900588145507</v>
      </c>
      <c r="P768" s="92">
        <f t="shared" ca="1" si="219"/>
        <v>32.214900588145518</v>
      </c>
      <c r="Q768" s="92">
        <f t="shared" ca="1" si="220"/>
        <v>32.214900588145518</v>
      </c>
      <c r="R768" s="92">
        <f t="shared" ca="1" si="221"/>
        <v>3.2214900588145516</v>
      </c>
      <c r="S768" s="92">
        <f t="shared" ca="1" si="222"/>
        <v>3.2214900588145507</v>
      </c>
      <c r="T768" s="4">
        <f t="shared" ca="1" si="223"/>
        <v>0</v>
      </c>
      <c r="U768" s="99">
        <f t="shared" ca="1" si="224"/>
        <v>1287.9757603899629</v>
      </c>
      <c r="V768" s="4">
        <f t="shared" ca="1" si="225"/>
        <v>0</v>
      </c>
      <c r="W768" s="13">
        <f t="shared" ca="1" si="226"/>
        <v>36102.432712499998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ca="1" si="209"/>
        <v>7</v>
      </c>
      <c r="D769">
        <f t="shared" ca="1" si="210"/>
        <v>5</v>
      </c>
      <c r="E769">
        <f t="shared" ca="1" si="211"/>
        <v>1</v>
      </c>
      <c r="F769" s="100">
        <f t="shared" ca="1" si="212"/>
        <v>1.9258341200000001E-2</v>
      </c>
      <c r="G769">
        <v>0</v>
      </c>
      <c r="H769">
        <v>0</v>
      </c>
      <c r="I769">
        <v>5</v>
      </c>
      <c r="J769" s="1">
        <f t="shared" ca="1" si="213"/>
        <v>9.5099004990000158E-5</v>
      </c>
      <c r="K769" s="1">
        <f t="shared" ca="1" si="214"/>
        <v>1.8314490858779257E-6</v>
      </c>
      <c r="L769" s="13">
        <f t="shared" ca="1" si="215"/>
        <v>110</v>
      </c>
      <c r="M769" s="7">
        <f t="shared" ca="1" si="216"/>
        <v>890</v>
      </c>
      <c r="N769" s="43">
        <f t="shared" ca="1" si="217"/>
        <v>8</v>
      </c>
      <c r="O769" s="92">
        <f t="shared" ca="1" si="218"/>
        <v>3.5531918581169131</v>
      </c>
      <c r="P769" s="92">
        <f t="shared" ca="1" si="219"/>
        <v>35.531918581169137</v>
      </c>
      <c r="Q769" s="92">
        <f t="shared" ca="1" si="220"/>
        <v>33.541707785354966</v>
      </c>
      <c r="R769" s="92">
        <f t="shared" ca="1" si="221"/>
        <v>3.4536813183262054</v>
      </c>
      <c r="S769" s="92">
        <f t="shared" ca="1" si="222"/>
        <v>3.5462261203315633</v>
      </c>
      <c r="T769" s="4">
        <f t="shared" ca="1" si="223"/>
        <v>6.4947325863976643E-6</v>
      </c>
      <c r="U769" s="99">
        <f t="shared" ca="1" si="224"/>
        <v>1366.7817087343356</v>
      </c>
      <c r="V769" s="4">
        <f t="shared" ca="1" si="225"/>
        <v>2.5031911110561683E-3</v>
      </c>
      <c r="W769" s="13">
        <f t="shared" ca="1" si="226"/>
        <v>30085.360593749996</v>
      </c>
      <c r="X769" s="4">
        <f t="shared" ca="1" si="227"/>
        <v>5.5099806157731197E-2</v>
      </c>
    </row>
    <row r="770" spans="1:24">
      <c r="A770">
        <v>1</v>
      </c>
      <c r="B770">
        <v>2</v>
      </c>
      <c r="C770">
        <f t="shared" ca="1" si="209"/>
        <v>7</v>
      </c>
      <c r="D770">
        <f t="shared" ca="1" si="210"/>
        <v>5</v>
      </c>
      <c r="E770">
        <f t="shared" ca="1" si="211"/>
        <v>1</v>
      </c>
      <c r="F770" s="100">
        <f t="shared" ca="1" si="212"/>
        <v>1.9258341200000001E-2</v>
      </c>
      <c r="G770">
        <v>0</v>
      </c>
      <c r="H770">
        <v>0</v>
      </c>
      <c r="I770">
        <v>4</v>
      </c>
      <c r="J770" s="1">
        <f t="shared" ca="1" si="213"/>
        <v>4.8029800500000126E-6</v>
      </c>
      <c r="K770" s="1">
        <f t="shared" ca="1" si="214"/>
        <v>9.249742857969331E-8</v>
      </c>
      <c r="L770" s="13">
        <f t="shared" ca="1" si="215"/>
        <v>100</v>
      </c>
      <c r="M770" s="7">
        <f t="shared" ca="1" si="216"/>
        <v>900</v>
      </c>
      <c r="N770" s="43">
        <f t="shared" ca="1" si="217"/>
        <v>8</v>
      </c>
      <c r="O770" s="92">
        <f t="shared" ca="1" si="218"/>
        <v>3.5531918581169131</v>
      </c>
      <c r="P770" s="92">
        <f t="shared" ca="1" si="219"/>
        <v>35.531918581169137</v>
      </c>
      <c r="Q770" s="92">
        <f t="shared" ca="1" si="220"/>
        <v>35.531918581169137</v>
      </c>
      <c r="R770" s="92">
        <f t="shared" ca="1" si="221"/>
        <v>3.5531918581169135</v>
      </c>
      <c r="S770" s="92">
        <f t="shared" ca="1" si="222"/>
        <v>3.5531918581169126</v>
      </c>
      <c r="T770" s="4">
        <f t="shared" ca="1" si="223"/>
        <v>3.2866111012611689E-7</v>
      </c>
      <c r="U770" s="99">
        <f t="shared" ca="1" si="224"/>
        <v>1358.9440426620492</v>
      </c>
      <c r="V770" s="4">
        <f t="shared" ca="1" si="225"/>
        <v>1.2569882952993261E-4</v>
      </c>
      <c r="W770" s="13">
        <f t="shared" ca="1" si="226"/>
        <v>24068.288474999998</v>
      </c>
      <c r="X770" s="4">
        <f t="shared" ca="1" si="227"/>
        <v>2.2262547942517681E-3</v>
      </c>
    </row>
    <row r="771" spans="1:24">
      <c r="A771">
        <v>1</v>
      </c>
      <c r="B771">
        <v>2</v>
      </c>
      <c r="C771">
        <f t="shared" ca="1" si="209"/>
        <v>7</v>
      </c>
      <c r="D771">
        <f t="shared" ca="1" si="210"/>
        <v>5</v>
      </c>
      <c r="E771">
        <f t="shared" ca="1" si="211"/>
        <v>1</v>
      </c>
      <c r="F771" s="100">
        <f t="shared" ca="1" si="212"/>
        <v>1.9258341200000001E-2</v>
      </c>
      <c r="G771">
        <v>0</v>
      </c>
      <c r="H771">
        <v>0</v>
      </c>
      <c r="I771">
        <v>3</v>
      </c>
      <c r="J771" s="1">
        <f t="shared" ca="1" si="213"/>
        <v>9.7029900000000341E-8</v>
      </c>
      <c r="K771" s="1">
        <f t="shared" ca="1" si="214"/>
        <v>1.8686349208018867E-9</v>
      </c>
      <c r="L771" s="13">
        <f t="shared" ca="1" si="215"/>
        <v>100</v>
      </c>
      <c r="M771" s="7">
        <f t="shared" ca="1" si="216"/>
        <v>900</v>
      </c>
      <c r="N771" s="43">
        <f t="shared" ca="1" si="217"/>
        <v>8</v>
      </c>
      <c r="O771" s="92">
        <f t="shared" ca="1" si="218"/>
        <v>3.5531918581169131</v>
      </c>
      <c r="P771" s="92">
        <f t="shared" ca="1" si="219"/>
        <v>35.531918581169137</v>
      </c>
      <c r="Q771" s="92">
        <f t="shared" ca="1" si="220"/>
        <v>35.531918581169137</v>
      </c>
      <c r="R771" s="92">
        <f t="shared" ca="1" si="221"/>
        <v>3.5531918581169135</v>
      </c>
      <c r="S771" s="92">
        <f t="shared" ca="1" si="222"/>
        <v>3.5531918581169126</v>
      </c>
      <c r="T771" s="4">
        <f t="shared" ca="1" si="223"/>
        <v>6.6396183863862054E-9</v>
      </c>
      <c r="U771" s="99">
        <f t="shared" ca="1" si="224"/>
        <v>1358.9440426620492</v>
      </c>
      <c r="V771" s="4">
        <f t="shared" ca="1" si="225"/>
        <v>2.539370293533994E-6</v>
      </c>
      <c r="W771" s="13">
        <f t="shared" ca="1" si="226"/>
        <v>18051.216356249999</v>
      </c>
      <c r="X771" s="4">
        <f t="shared" ca="1" si="227"/>
        <v>3.3731133246238939E-5</v>
      </c>
    </row>
    <row r="772" spans="1:24">
      <c r="A772">
        <v>1</v>
      </c>
      <c r="B772">
        <v>2</v>
      </c>
      <c r="C772">
        <f t="shared" ca="1" si="209"/>
        <v>7</v>
      </c>
      <c r="D772">
        <f t="shared" ca="1" si="210"/>
        <v>5</v>
      </c>
      <c r="E772">
        <f t="shared" ca="1" si="211"/>
        <v>1</v>
      </c>
      <c r="F772" s="100">
        <f t="shared" ca="1" si="212"/>
        <v>1.9258341200000001E-2</v>
      </c>
      <c r="G772">
        <v>0</v>
      </c>
      <c r="H772">
        <v>0</v>
      </c>
      <c r="I772">
        <v>2</v>
      </c>
      <c r="J772" s="1">
        <f t="shared" ca="1" si="213"/>
        <v>9.801000000000045E-10</v>
      </c>
      <c r="K772" s="1">
        <f t="shared" ca="1" si="214"/>
        <v>1.8875100210120089E-11</v>
      </c>
      <c r="L772" s="13">
        <f t="shared" ca="1" si="215"/>
        <v>100</v>
      </c>
      <c r="M772" s="7">
        <f t="shared" ca="1" si="216"/>
        <v>900</v>
      </c>
      <c r="N772" s="43">
        <f t="shared" ca="1" si="217"/>
        <v>8</v>
      </c>
      <c r="O772" s="92">
        <f t="shared" ca="1" si="218"/>
        <v>3.5531918581169131</v>
      </c>
      <c r="P772" s="92">
        <f t="shared" ca="1" si="219"/>
        <v>35.531918581169137</v>
      </c>
      <c r="Q772" s="92">
        <f t="shared" ca="1" si="220"/>
        <v>35.531918581169137</v>
      </c>
      <c r="R772" s="92">
        <f t="shared" ca="1" si="221"/>
        <v>3.5531918581169135</v>
      </c>
      <c r="S772" s="92">
        <f t="shared" ca="1" si="222"/>
        <v>3.5531918581169126</v>
      </c>
      <c r="T772" s="4">
        <f t="shared" ca="1" si="223"/>
        <v>6.7066852387739529E-11</v>
      </c>
      <c r="U772" s="99">
        <f t="shared" ca="1" si="224"/>
        <v>1358.9440426620492</v>
      </c>
      <c r="V772" s="4">
        <f t="shared" ca="1" si="225"/>
        <v>2.5650204985191889E-8</v>
      </c>
      <c r="W772" s="13">
        <f t="shared" ca="1" si="226"/>
        <v>12034.144237499999</v>
      </c>
      <c r="X772" s="4">
        <f t="shared" ca="1" si="227"/>
        <v>2.2714567842585168E-7</v>
      </c>
    </row>
    <row r="773" spans="1:24">
      <c r="A773">
        <v>1</v>
      </c>
      <c r="B773">
        <v>2</v>
      </c>
      <c r="C773">
        <f t="shared" ca="1" si="209"/>
        <v>7</v>
      </c>
      <c r="D773">
        <f t="shared" ca="1" si="210"/>
        <v>5</v>
      </c>
      <c r="E773">
        <f t="shared" ca="1" si="211"/>
        <v>1</v>
      </c>
      <c r="F773" s="100">
        <f t="shared" ca="1" si="212"/>
        <v>1.9258341200000001E-2</v>
      </c>
      <c r="G773">
        <v>0</v>
      </c>
      <c r="H773">
        <v>0</v>
      </c>
      <c r="I773">
        <v>1</v>
      </c>
      <c r="J773" s="1">
        <f t="shared" ca="1" si="213"/>
        <v>4.9500000000000272E-12</v>
      </c>
      <c r="K773" s="1">
        <f t="shared" ca="1" si="214"/>
        <v>9.5328788940000533E-14</v>
      </c>
      <c r="L773" s="13">
        <f t="shared" ca="1" si="215"/>
        <v>100</v>
      </c>
      <c r="M773" s="7">
        <f t="shared" ca="1" si="216"/>
        <v>900</v>
      </c>
      <c r="N773" s="43">
        <f t="shared" ca="1" si="217"/>
        <v>8</v>
      </c>
      <c r="O773" s="92">
        <f t="shared" ca="1" si="218"/>
        <v>3.5531918581169131</v>
      </c>
      <c r="P773" s="92">
        <f t="shared" ca="1" si="219"/>
        <v>35.531918581169137</v>
      </c>
      <c r="Q773" s="92">
        <f t="shared" ca="1" si="220"/>
        <v>35.531918581169137</v>
      </c>
      <c r="R773" s="92">
        <f t="shared" ca="1" si="221"/>
        <v>3.5531918581169135</v>
      </c>
      <c r="S773" s="92">
        <f t="shared" ca="1" si="222"/>
        <v>3.5531918581169126</v>
      </c>
      <c r="T773" s="4">
        <f t="shared" ca="1" si="223"/>
        <v>3.3872147670575546E-13</v>
      </c>
      <c r="U773" s="99">
        <f t="shared" ca="1" si="224"/>
        <v>1358.9440426620492</v>
      </c>
      <c r="V773" s="4">
        <f t="shared" ca="1" si="225"/>
        <v>1.2954648982420156E-10</v>
      </c>
      <c r="W773" s="13">
        <f t="shared" ca="1" si="226"/>
        <v>6017.0721187499994</v>
      </c>
      <c r="X773" s="4">
        <f t="shared" ca="1" si="227"/>
        <v>5.7360019804508055E-10</v>
      </c>
    </row>
    <row r="774" spans="1:24">
      <c r="A774">
        <v>1</v>
      </c>
      <c r="B774">
        <v>2</v>
      </c>
      <c r="C774">
        <f t="shared" ca="1" si="209"/>
        <v>7</v>
      </c>
      <c r="D774">
        <f t="shared" ca="1" si="210"/>
        <v>5</v>
      </c>
      <c r="E774">
        <f t="shared" ca="1" si="211"/>
        <v>1</v>
      </c>
      <c r="F774" s="100">
        <f t="shared" ca="1" si="212"/>
        <v>1.9258341200000001E-2</v>
      </c>
      <c r="G774">
        <v>0</v>
      </c>
      <c r="H774">
        <v>0</v>
      </c>
      <c r="I774">
        <v>0</v>
      </c>
      <c r="J774" s="1">
        <f t="shared" ca="1" si="213"/>
        <v>1.0000000000000063E-14</v>
      </c>
      <c r="K774" s="1">
        <f t="shared" ca="1" si="214"/>
        <v>1.9258341200000122E-16</v>
      </c>
      <c r="L774" s="13">
        <f t="shared" ca="1" si="215"/>
        <v>100</v>
      </c>
      <c r="M774" s="7">
        <f t="shared" ca="1" si="216"/>
        <v>900</v>
      </c>
      <c r="N774" s="43">
        <f t="shared" ca="1" si="217"/>
        <v>8</v>
      </c>
      <c r="O774" s="92">
        <f t="shared" ca="1" si="218"/>
        <v>3.5531918581169131</v>
      </c>
      <c r="P774" s="92">
        <f t="shared" ca="1" si="219"/>
        <v>35.531918581169137</v>
      </c>
      <c r="Q774" s="92">
        <f t="shared" ca="1" si="220"/>
        <v>35.531918581169137</v>
      </c>
      <c r="R774" s="92">
        <f t="shared" ca="1" si="221"/>
        <v>3.5531918581169135</v>
      </c>
      <c r="S774" s="92">
        <f t="shared" ca="1" si="222"/>
        <v>3.5531918581169126</v>
      </c>
      <c r="T774" s="4">
        <f t="shared" ca="1" si="223"/>
        <v>6.8428581152677923E-16</v>
      </c>
      <c r="U774" s="99">
        <f t="shared" ca="1" si="224"/>
        <v>1358.9440426620492</v>
      </c>
      <c r="V774" s="4">
        <f t="shared" ca="1" si="225"/>
        <v>2.6171008045293267E-13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ca="1" si="209"/>
        <v>8</v>
      </c>
      <c r="D775">
        <f t="shared" ca="1" si="210"/>
        <v>6</v>
      </c>
      <c r="E775">
        <f t="shared" ca="1" si="211"/>
        <v>1</v>
      </c>
      <c r="F775" s="100">
        <f t="shared" ca="1" si="212"/>
        <v>4.2544200000000001E-3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422</v>
      </c>
      <c r="M775" s="7">
        <f t="shared" ca="1" si="216"/>
        <v>578</v>
      </c>
      <c r="N775" s="43">
        <f t="shared" ca="1" si="217"/>
        <v>5</v>
      </c>
      <c r="O775" s="92">
        <f t="shared" ca="1" si="218"/>
        <v>2.4432565128993144</v>
      </c>
      <c r="P775" s="92">
        <f t="shared" ca="1" si="219"/>
        <v>24.432565128993144</v>
      </c>
      <c r="Q775" s="92">
        <f t="shared" ca="1" si="220"/>
        <v>24.432565128993144</v>
      </c>
      <c r="R775" s="92">
        <f t="shared" ca="1" si="221"/>
        <v>2.4432565128993144</v>
      </c>
      <c r="S775" s="92">
        <f t="shared" ca="1" si="222"/>
        <v>2.4432565128993144</v>
      </c>
      <c r="T775" s="4">
        <f t="shared" ca="1" si="223"/>
        <v>0</v>
      </c>
      <c r="U775" s="99">
        <f t="shared" ca="1" si="224"/>
        <v>1336.3931955743851</v>
      </c>
      <c r="V775" s="4">
        <f t="shared" ca="1" si="225"/>
        <v>0</v>
      </c>
      <c r="W775" s="13">
        <f t="shared" ca="1" si="226"/>
        <v>54281.8901625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ca="1" si="209"/>
        <v>8</v>
      </c>
      <c r="D776">
        <f t="shared" ca="1" si="210"/>
        <v>6</v>
      </c>
      <c r="E776">
        <f t="shared" ca="1" si="211"/>
        <v>1</v>
      </c>
      <c r="F776" s="100">
        <f t="shared" ca="1" si="212"/>
        <v>4.2544200000000001E-3</v>
      </c>
      <c r="G776">
        <v>1</v>
      </c>
      <c r="H776">
        <v>1</v>
      </c>
      <c r="I776">
        <v>6</v>
      </c>
      <c r="J776" s="1">
        <f t="shared" ca="1" si="213"/>
        <v>0.92274469442791995</v>
      </c>
      <c r="K776" s="1">
        <f t="shared" ca="1" si="214"/>
        <v>3.9257434828680309E-3</v>
      </c>
      <c r="L776" s="13">
        <f t="shared" ca="1" si="215"/>
        <v>400</v>
      </c>
      <c r="M776" s="7">
        <f t="shared" ca="1" si="216"/>
        <v>600</v>
      </c>
      <c r="N776" s="43">
        <f t="shared" ca="1" si="217"/>
        <v>5</v>
      </c>
      <c r="O776" s="92">
        <f t="shared" ca="1" si="218"/>
        <v>2.4432565128993144</v>
      </c>
      <c r="P776" s="92">
        <f t="shared" ca="1" si="219"/>
        <v>24.432565128993144</v>
      </c>
      <c r="Q776" s="92">
        <f t="shared" ca="1" si="220"/>
        <v>24.432565128993144</v>
      </c>
      <c r="R776" s="92">
        <f t="shared" ca="1" si="221"/>
        <v>2.4432565128993144</v>
      </c>
      <c r="S776" s="92">
        <f t="shared" ca="1" si="222"/>
        <v>2.4432565128993144</v>
      </c>
      <c r="T776" s="4">
        <f t="shared" ca="1" si="223"/>
        <v>9.5915983324893553E-3</v>
      </c>
      <c r="U776" s="99">
        <f t="shared" ca="1" si="224"/>
        <v>1314.3931955743851</v>
      </c>
      <c r="V776" s="4">
        <f t="shared" ca="1" si="225"/>
        <v>5.1599705214522276</v>
      </c>
      <c r="W776" s="13">
        <f t="shared" ca="1" si="226"/>
        <v>48264.818043749998</v>
      </c>
      <c r="X776" s="4">
        <f t="shared" ca="1" si="227"/>
        <v>189.47529488706289</v>
      </c>
    </row>
    <row r="777" spans="1:24">
      <c r="A777">
        <v>1</v>
      </c>
      <c r="B777">
        <v>3</v>
      </c>
      <c r="C777">
        <f t="shared" ca="1" si="209"/>
        <v>8</v>
      </c>
      <c r="D777">
        <f t="shared" ca="1" si="210"/>
        <v>6</v>
      </c>
      <c r="E777">
        <f t="shared" ca="1" si="211"/>
        <v>1</v>
      </c>
      <c r="F777" s="100">
        <f t="shared" ca="1" si="212"/>
        <v>4.2544200000000001E-3</v>
      </c>
      <c r="G777">
        <v>1</v>
      </c>
      <c r="H777">
        <v>1</v>
      </c>
      <c r="I777">
        <v>5</v>
      </c>
      <c r="J777" s="1">
        <f t="shared" ca="1" si="213"/>
        <v>5.5923920874419442E-2</v>
      </c>
      <c r="K777" s="1">
        <f t="shared" ca="1" si="214"/>
        <v>2.3792384744654755E-4</v>
      </c>
      <c r="L777" s="13">
        <f t="shared" ca="1" si="215"/>
        <v>378</v>
      </c>
      <c r="M777" s="7">
        <f t="shared" ca="1" si="216"/>
        <v>622</v>
      </c>
      <c r="N777" s="43">
        <f t="shared" ca="1" si="217"/>
        <v>5</v>
      </c>
      <c r="O777" s="92">
        <f t="shared" ca="1" si="218"/>
        <v>2.4432565128993144</v>
      </c>
      <c r="P777" s="92">
        <f t="shared" ca="1" si="219"/>
        <v>24.432565128993144</v>
      </c>
      <c r="Q777" s="92">
        <f t="shared" ca="1" si="220"/>
        <v>24.432565128993144</v>
      </c>
      <c r="R777" s="92">
        <f t="shared" ca="1" si="221"/>
        <v>2.4432565128993144</v>
      </c>
      <c r="S777" s="92">
        <f t="shared" ca="1" si="222"/>
        <v>2.4432565128993144</v>
      </c>
      <c r="T777" s="4">
        <f t="shared" ca="1" si="223"/>
        <v>5.8130898984784019E-4</v>
      </c>
      <c r="U777" s="99">
        <f t="shared" ca="1" si="224"/>
        <v>1292.3931955743851</v>
      </c>
      <c r="V777" s="4">
        <f t="shared" ca="1" si="225"/>
        <v>0.30749116150479611</v>
      </c>
      <c r="W777" s="13">
        <f t="shared" ca="1" si="226"/>
        <v>42247.745924999996</v>
      </c>
      <c r="X777" s="4">
        <f t="shared" ca="1" si="227"/>
        <v>10.0517462564202</v>
      </c>
    </row>
    <row r="778" spans="1:24">
      <c r="A778">
        <v>1</v>
      </c>
      <c r="B778">
        <v>3</v>
      </c>
      <c r="C778">
        <f t="shared" ca="1" si="209"/>
        <v>8</v>
      </c>
      <c r="D778">
        <f t="shared" ca="1" si="210"/>
        <v>6</v>
      </c>
      <c r="E778">
        <f t="shared" ca="1" si="211"/>
        <v>1</v>
      </c>
      <c r="F778" s="100">
        <f t="shared" ca="1" si="212"/>
        <v>4.2544200000000001E-3</v>
      </c>
      <c r="G778">
        <v>1</v>
      </c>
      <c r="H778">
        <v>1</v>
      </c>
      <c r="I778">
        <v>4</v>
      </c>
      <c r="J778" s="1">
        <f t="shared" ca="1" si="213"/>
        <v>1.4122202241015026E-3</v>
      </c>
      <c r="K778" s="1">
        <f t="shared" ca="1" si="214"/>
        <v>6.008177965821915E-6</v>
      </c>
      <c r="L778" s="13">
        <f t="shared" ca="1" si="215"/>
        <v>356</v>
      </c>
      <c r="M778" s="7">
        <f t="shared" ca="1" si="216"/>
        <v>644</v>
      </c>
      <c r="N778" s="43">
        <f t="shared" ca="1" si="217"/>
        <v>6</v>
      </c>
      <c r="O778" s="92">
        <f t="shared" ca="1" si="218"/>
        <v>2.7275117780454798</v>
      </c>
      <c r="P778" s="92">
        <f t="shared" ca="1" si="219"/>
        <v>27.275117780454792</v>
      </c>
      <c r="Q778" s="92">
        <f t="shared" ca="1" si="220"/>
        <v>26.706607250162463</v>
      </c>
      <c r="R778" s="92">
        <f t="shared" ca="1" si="221"/>
        <v>2.6990862515308627</v>
      </c>
      <c r="S778" s="92">
        <f t="shared" ca="1" si="222"/>
        <v>2.7255219911894564</v>
      </c>
      <c r="T778" s="4">
        <f t="shared" ca="1" si="223"/>
        <v>1.6375421172827562E-5</v>
      </c>
      <c r="U778" s="99">
        <f t="shared" ca="1" si="224"/>
        <v>1358.0152449734937</v>
      </c>
      <c r="V778" s="4">
        <f t="shared" ca="1" si="225"/>
        <v>8.1591972720999953E-3</v>
      </c>
      <c r="W778" s="13">
        <f t="shared" ca="1" si="226"/>
        <v>36230.673806249994</v>
      </c>
      <c r="X778" s="4">
        <f t="shared" ca="1" si="227"/>
        <v>0.21768033604959242</v>
      </c>
    </row>
    <row r="779" spans="1:24">
      <c r="A779">
        <v>1</v>
      </c>
      <c r="B779">
        <v>3</v>
      </c>
      <c r="C779">
        <f t="shared" ca="1" si="209"/>
        <v>8</v>
      </c>
      <c r="D779">
        <f t="shared" ca="1" si="210"/>
        <v>6</v>
      </c>
      <c r="E779">
        <f t="shared" ca="1" si="211"/>
        <v>1</v>
      </c>
      <c r="F779" s="100">
        <f t="shared" ca="1" si="212"/>
        <v>4.2544200000000001E-3</v>
      </c>
      <c r="G779">
        <v>1</v>
      </c>
      <c r="H779">
        <v>1</v>
      </c>
      <c r="I779">
        <v>3</v>
      </c>
      <c r="J779" s="1">
        <f t="shared" ca="1" si="213"/>
        <v>1.9019800998000047E-5</v>
      </c>
      <c r="K779" s="1">
        <f t="shared" ca="1" si="214"/>
        <v>8.0918221761911355E-8</v>
      </c>
      <c r="L779" s="13">
        <f t="shared" ca="1" si="215"/>
        <v>334</v>
      </c>
      <c r="M779" s="7">
        <f t="shared" ca="1" si="216"/>
        <v>666</v>
      </c>
      <c r="N779" s="43">
        <f t="shared" ca="1" si="217"/>
        <v>6</v>
      </c>
      <c r="O779" s="92">
        <f t="shared" ca="1" si="218"/>
        <v>2.7275117780454798</v>
      </c>
      <c r="P779" s="92">
        <f t="shared" ca="1" si="219"/>
        <v>27.275117780454792</v>
      </c>
      <c r="Q779" s="92">
        <f t="shared" ca="1" si="220"/>
        <v>27.275117780454792</v>
      </c>
      <c r="R779" s="92">
        <f t="shared" ca="1" si="221"/>
        <v>2.7275117780454794</v>
      </c>
      <c r="S779" s="92">
        <f t="shared" ca="1" si="222"/>
        <v>2.7275117780454794</v>
      </c>
      <c r="T779" s="4">
        <f t="shared" ca="1" si="223"/>
        <v>2.2070540291410924E-7</v>
      </c>
      <c r="U779" s="99">
        <f t="shared" ca="1" si="224"/>
        <v>1336.6329230659346</v>
      </c>
      <c r="V779" s="4">
        <f t="shared" ca="1" si="225"/>
        <v>1.081579592829211E-4</v>
      </c>
      <c r="W779" s="13">
        <f t="shared" ca="1" si="226"/>
        <v>30213.601687499999</v>
      </c>
      <c r="X779" s="4">
        <f t="shared" ca="1" si="227"/>
        <v>2.4448309215751841E-3</v>
      </c>
    </row>
    <row r="780" spans="1:24">
      <c r="A780">
        <v>1</v>
      </c>
      <c r="B780">
        <v>3</v>
      </c>
      <c r="C780">
        <f t="shared" ca="1" si="209"/>
        <v>8</v>
      </c>
      <c r="D780">
        <f t="shared" ca="1" si="210"/>
        <v>6</v>
      </c>
      <c r="E780">
        <f t="shared" ca="1" si="211"/>
        <v>1</v>
      </c>
      <c r="F780" s="100">
        <f t="shared" ca="1" si="212"/>
        <v>4.2544200000000001E-3</v>
      </c>
      <c r="G780">
        <v>1</v>
      </c>
      <c r="H780">
        <v>1</v>
      </c>
      <c r="I780">
        <v>2</v>
      </c>
      <c r="J780" s="1">
        <f t="shared" ca="1" si="213"/>
        <v>1.4408940150000054E-7</v>
      </c>
      <c r="K780" s="1">
        <f t="shared" ca="1" si="214"/>
        <v>6.1301683152963227E-10</v>
      </c>
      <c r="L780" s="13">
        <f t="shared" ca="1" si="215"/>
        <v>312</v>
      </c>
      <c r="M780" s="7">
        <f t="shared" ca="1" si="216"/>
        <v>688</v>
      </c>
      <c r="N780" s="43">
        <f t="shared" ca="1" si="217"/>
        <v>6</v>
      </c>
      <c r="O780" s="92">
        <f t="shared" ca="1" si="218"/>
        <v>2.7275117780454798</v>
      </c>
      <c r="P780" s="92">
        <f t="shared" ca="1" si="219"/>
        <v>27.275117780454792</v>
      </c>
      <c r="Q780" s="92">
        <f t="shared" ca="1" si="220"/>
        <v>27.275117780454792</v>
      </c>
      <c r="R780" s="92">
        <f t="shared" ca="1" si="221"/>
        <v>2.7275117780454794</v>
      </c>
      <c r="S780" s="92">
        <f t="shared" ca="1" si="222"/>
        <v>2.7275117780454794</v>
      </c>
      <c r="T780" s="4">
        <f t="shared" ca="1" si="223"/>
        <v>1.6720106281371934E-9</v>
      </c>
      <c r="U780" s="99">
        <f t="shared" ca="1" si="224"/>
        <v>1314.6329230659346</v>
      </c>
      <c r="V780" s="4">
        <f t="shared" ca="1" si="225"/>
        <v>8.0589210912241802E-7</v>
      </c>
      <c r="W780" s="13">
        <f t="shared" ca="1" si="226"/>
        <v>24196.529568749997</v>
      </c>
      <c r="X780" s="4">
        <f t="shared" ca="1" si="227"/>
        <v>1.4832879890248183E-5</v>
      </c>
    </row>
    <row r="781" spans="1:24">
      <c r="A781">
        <v>1</v>
      </c>
      <c r="B781">
        <v>3</v>
      </c>
      <c r="C781">
        <f t="shared" ca="1" si="209"/>
        <v>8</v>
      </c>
      <c r="D781">
        <f t="shared" ca="1" si="210"/>
        <v>6</v>
      </c>
      <c r="E781">
        <f t="shared" ca="1" si="211"/>
        <v>1</v>
      </c>
      <c r="F781" s="100">
        <f t="shared" ca="1" si="212"/>
        <v>4.2544200000000001E-3</v>
      </c>
      <c r="G781">
        <v>1</v>
      </c>
      <c r="H781">
        <v>1</v>
      </c>
      <c r="I781">
        <v>1</v>
      </c>
      <c r="J781" s="1">
        <f t="shared" ca="1" si="213"/>
        <v>5.8217940000000265E-10</v>
      </c>
      <c r="K781" s="1">
        <f t="shared" ca="1" si="214"/>
        <v>2.4768356829480115E-12</v>
      </c>
      <c r="L781" s="13">
        <f t="shared" ca="1" si="215"/>
        <v>290</v>
      </c>
      <c r="M781" s="7">
        <f t="shared" ca="1" si="216"/>
        <v>710</v>
      </c>
      <c r="N781" s="43">
        <f t="shared" ca="1" si="217"/>
        <v>6</v>
      </c>
      <c r="O781" s="92">
        <f t="shared" ca="1" si="218"/>
        <v>2.7275117780454798</v>
      </c>
      <c r="P781" s="92">
        <f t="shared" ca="1" si="219"/>
        <v>27.275117780454792</v>
      </c>
      <c r="Q781" s="92">
        <f t="shared" ca="1" si="220"/>
        <v>27.275117780454792</v>
      </c>
      <c r="R781" s="92">
        <f t="shared" ca="1" si="221"/>
        <v>2.7275117780454794</v>
      </c>
      <c r="S781" s="92">
        <f t="shared" ca="1" si="222"/>
        <v>2.7275117780454794</v>
      </c>
      <c r="T781" s="4">
        <f t="shared" ca="1" si="223"/>
        <v>6.7555984975240198E-12</v>
      </c>
      <c r="U781" s="99">
        <f t="shared" ca="1" si="224"/>
        <v>1292.6329230659346</v>
      </c>
      <c r="V781" s="4">
        <f t="shared" ca="1" si="225"/>
        <v>3.2016393488030985E-9</v>
      </c>
      <c r="W781" s="13">
        <f t="shared" ca="1" si="226"/>
        <v>18179.457449999998</v>
      </c>
      <c r="X781" s="4">
        <f t="shared" ca="1" si="227"/>
        <v>4.5027528908795062E-8</v>
      </c>
    </row>
    <row r="782" spans="1:24">
      <c r="A782">
        <v>1</v>
      </c>
      <c r="B782">
        <v>3</v>
      </c>
      <c r="C782">
        <f t="shared" ca="1" si="209"/>
        <v>8</v>
      </c>
      <c r="D782">
        <f t="shared" ca="1" si="210"/>
        <v>6</v>
      </c>
      <c r="E782">
        <f t="shared" ca="1" si="211"/>
        <v>1</v>
      </c>
      <c r="F782" s="100">
        <f t="shared" ca="1" si="212"/>
        <v>4.2544200000000001E-3</v>
      </c>
      <c r="G782">
        <v>1</v>
      </c>
      <c r="H782">
        <v>1</v>
      </c>
      <c r="I782">
        <v>0</v>
      </c>
      <c r="J782" s="1">
        <f t="shared" ca="1" si="213"/>
        <v>9.8010000000000529E-13</v>
      </c>
      <c r="K782" s="1">
        <f t="shared" ca="1" si="214"/>
        <v>4.1697570420000226E-15</v>
      </c>
      <c r="L782" s="13">
        <f t="shared" ca="1" si="215"/>
        <v>268</v>
      </c>
      <c r="M782" s="7">
        <f t="shared" ca="1" si="216"/>
        <v>732</v>
      </c>
      <c r="N782" s="43">
        <f t="shared" ca="1" si="217"/>
        <v>6</v>
      </c>
      <c r="O782" s="92">
        <f t="shared" ca="1" si="218"/>
        <v>2.7275117780454798</v>
      </c>
      <c r="P782" s="92">
        <f t="shared" ca="1" si="219"/>
        <v>27.275117780454792</v>
      </c>
      <c r="Q782" s="92">
        <f t="shared" ca="1" si="220"/>
        <v>27.275117780454792</v>
      </c>
      <c r="R782" s="92">
        <f t="shared" ca="1" si="221"/>
        <v>2.7275117780454794</v>
      </c>
      <c r="S782" s="92">
        <f t="shared" ca="1" si="222"/>
        <v>2.7275117780454794</v>
      </c>
      <c r="T782" s="4">
        <f t="shared" ca="1" si="223"/>
        <v>1.137306144364314E-14</v>
      </c>
      <c r="U782" s="99">
        <f t="shared" ca="1" si="224"/>
        <v>1270.6329230659346</v>
      </c>
      <c r="V782" s="4">
        <f t="shared" ca="1" si="225"/>
        <v>5.2982305787512536E-12</v>
      </c>
      <c r="W782" s="13">
        <f t="shared" ca="1" si="226"/>
        <v>12162.38533125</v>
      </c>
      <c r="X782" s="4">
        <f t="shared" ca="1" si="227"/>
        <v>5.0714191882497464E-11</v>
      </c>
    </row>
    <row r="783" spans="1:24">
      <c r="A783">
        <v>1</v>
      </c>
      <c r="B783">
        <v>3</v>
      </c>
      <c r="C783">
        <f t="shared" ca="1" si="209"/>
        <v>8</v>
      </c>
      <c r="D783">
        <f t="shared" ca="1" si="210"/>
        <v>6</v>
      </c>
      <c r="E783">
        <f t="shared" ca="1" si="211"/>
        <v>1</v>
      </c>
      <c r="F783" s="100">
        <f t="shared" ca="1" si="212"/>
        <v>4.2544200000000001E-3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288</v>
      </c>
      <c r="M783" s="7">
        <f t="shared" ca="1" si="216"/>
        <v>712</v>
      </c>
      <c r="N783" s="43">
        <f t="shared" ca="1" si="217"/>
        <v>6</v>
      </c>
      <c r="O783" s="92">
        <f t="shared" ca="1" si="218"/>
        <v>2.7275117780454798</v>
      </c>
      <c r="P783" s="92">
        <f t="shared" ca="1" si="219"/>
        <v>27.275117780454792</v>
      </c>
      <c r="Q783" s="92">
        <f t="shared" ca="1" si="220"/>
        <v>27.275117780454792</v>
      </c>
      <c r="R783" s="92">
        <f t="shared" ca="1" si="221"/>
        <v>2.7275117780454794</v>
      </c>
      <c r="S783" s="92">
        <f t="shared" ca="1" si="222"/>
        <v>2.7275117780454794</v>
      </c>
      <c r="T783" s="4">
        <f t="shared" ca="1" si="223"/>
        <v>0</v>
      </c>
      <c r="U783" s="99">
        <f t="shared" ca="1" si="224"/>
        <v>1290.6329230659346</v>
      </c>
      <c r="V783" s="4">
        <f t="shared" ca="1" si="225"/>
        <v>0</v>
      </c>
      <c r="W783" s="13">
        <f t="shared" ca="1" si="226"/>
        <v>48136.576950000002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ca="1" si="209"/>
        <v>8</v>
      </c>
      <c r="D784">
        <f t="shared" ca="1" si="210"/>
        <v>6</v>
      </c>
      <c r="E784">
        <f t="shared" ca="1" si="211"/>
        <v>1</v>
      </c>
      <c r="F784" s="100">
        <f t="shared" ca="1" si="212"/>
        <v>4.2544200000000001E-3</v>
      </c>
      <c r="G784">
        <v>1</v>
      </c>
      <c r="H784">
        <v>0</v>
      </c>
      <c r="I784">
        <v>6</v>
      </c>
      <c r="J784" s="1">
        <f t="shared" ca="1" si="213"/>
        <v>9.3206534790699087E-3</v>
      </c>
      <c r="K784" s="1">
        <f t="shared" ca="1" si="214"/>
        <v>3.9653974574424601E-5</v>
      </c>
      <c r="L784" s="13">
        <f t="shared" ca="1" si="215"/>
        <v>266</v>
      </c>
      <c r="M784" s="7">
        <f t="shared" ca="1" si="216"/>
        <v>734</v>
      </c>
      <c r="N784" s="43">
        <f t="shared" ca="1" si="217"/>
        <v>6</v>
      </c>
      <c r="O784" s="92">
        <f t="shared" ca="1" si="218"/>
        <v>2.7275117780454798</v>
      </c>
      <c r="P784" s="92">
        <f t="shared" ca="1" si="219"/>
        <v>27.275117780454792</v>
      </c>
      <c r="Q784" s="92">
        <f t="shared" ca="1" si="220"/>
        <v>27.275117780454792</v>
      </c>
      <c r="R784" s="92">
        <f t="shared" ca="1" si="221"/>
        <v>2.7275117780454794</v>
      </c>
      <c r="S784" s="92">
        <f t="shared" ca="1" si="222"/>
        <v>2.7275117780454794</v>
      </c>
      <c r="T784" s="4">
        <f t="shared" ca="1" si="223"/>
        <v>1.0815668269805908E-4</v>
      </c>
      <c r="U784" s="99">
        <f t="shared" ca="1" si="224"/>
        <v>1268.6329230659346</v>
      </c>
      <c r="V784" s="4">
        <f t="shared" ca="1" si="225"/>
        <v>5.0306337675534531E-2</v>
      </c>
      <c r="W784" s="13">
        <f t="shared" ca="1" si="226"/>
        <v>42119.50483125</v>
      </c>
      <c r="X784" s="4">
        <f t="shared" ca="1" si="227"/>
        <v>1.6702057736657416</v>
      </c>
    </row>
    <row r="785" spans="1:24">
      <c r="A785">
        <v>1</v>
      </c>
      <c r="B785">
        <v>3</v>
      </c>
      <c r="C785">
        <f t="shared" ca="1" si="209"/>
        <v>8</v>
      </c>
      <c r="D785">
        <f t="shared" ca="1" si="210"/>
        <v>6</v>
      </c>
      <c r="E785">
        <f t="shared" ca="1" si="211"/>
        <v>1</v>
      </c>
      <c r="F785" s="100">
        <f t="shared" ca="1" si="212"/>
        <v>4.2544200000000001E-3</v>
      </c>
      <c r="G785">
        <v>1</v>
      </c>
      <c r="H785">
        <v>0</v>
      </c>
      <c r="I785">
        <v>5</v>
      </c>
      <c r="J785" s="1">
        <f t="shared" ca="1" si="213"/>
        <v>5.6488808964060098E-4</v>
      </c>
      <c r="K785" s="1">
        <f t="shared" ca="1" si="214"/>
        <v>2.4032711863287655E-6</v>
      </c>
      <c r="L785" s="13">
        <f t="shared" ca="1" si="215"/>
        <v>244</v>
      </c>
      <c r="M785" s="7">
        <f t="shared" ca="1" si="216"/>
        <v>756</v>
      </c>
      <c r="N785" s="43">
        <f t="shared" ca="1" si="217"/>
        <v>7</v>
      </c>
      <c r="O785" s="92">
        <f t="shared" ca="1" si="218"/>
        <v>3.2214900588145507</v>
      </c>
      <c r="P785" s="92">
        <f t="shared" ca="1" si="219"/>
        <v>29.745009184300148</v>
      </c>
      <c r="Q785" s="92">
        <f t="shared" ca="1" si="220"/>
        <v>27.275117780454792</v>
      </c>
      <c r="R785" s="92">
        <f t="shared" ca="1" si="221"/>
        <v>2.851006348237747</v>
      </c>
      <c r="S785" s="92">
        <f t="shared" ca="1" si="222"/>
        <v>3.1955561990741743</v>
      </c>
      <c r="T785" s="4">
        <f t="shared" ca="1" si="223"/>
        <v>7.6797881375292323E-6</v>
      </c>
      <c r="U785" s="99">
        <f t="shared" ca="1" si="224"/>
        <v>1391.9252614304514</v>
      </c>
      <c r="V785" s="4">
        <f t="shared" ca="1" si="225"/>
        <v>3.3451738743189379E-3</v>
      </c>
      <c r="W785" s="13">
        <f t="shared" ca="1" si="226"/>
        <v>36102.432712499998</v>
      </c>
      <c r="X785" s="4">
        <f t="shared" ca="1" si="227"/>
        <v>8.6763936294324301E-2</v>
      </c>
    </row>
    <row r="786" spans="1:24">
      <c r="A786">
        <v>1</v>
      </c>
      <c r="B786">
        <v>3</v>
      </c>
      <c r="C786">
        <f t="shared" ca="1" si="209"/>
        <v>8</v>
      </c>
      <c r="D786">
        <f t="shared" ca="1" si="210"/>
        <v>6</v>
      </c>
      <c r="E786">
        <f t="shared" ca="1" si="211"/>
        <v>1</v>
      </c>
      <c r="F786" s="100">
        <f t="shared" ca="1" si="212"/>
        <v>4.2544200000000001E-3</v>
      </c>
      <c r="G786">
        <v>1</v>
      </c>
      <c r="H786">
        <v>0</v>
      </c>
      <c r="I786">
        <v>4</v>
      </c>
      <c r="J786" s="1">
        <f t="shared" ca="1" si="213"/>
        <v>1.426485074850004E-5</v>
      </c>
      <c r="K786" s="1">
        <f t="shared" ca="1" si="214"/>
        <v>6.0688666321433546E-8</v>
      </c>
      <c r="L786" s="13">
        <f t="shared" ca="1" si="215"/>
        <v>222</v>
      </c>
      <c r="M786" s="7">
        <f t="shared" ca="1" si="216"/>
        <v>778</v>
      </c>
      <c r="N786" s="43">
        <f t="shared" ca="1" si="217"/>
        <v>7</v>
      </c>
      <c r="O786" s="92">
        <f t="shared" ca="1" si="218"/>
        <v>3.2214900588145507</v>
      </c>
      <c r="P786" s="92">
        <f t="shared" ca="1" si="219"/>
        <v>32.214900588145518</v>
      </c>
      <c r="Q786" s="92">
        <f t="shared" ca="1" si="220"/>
        <v>32.214900588145518</v>
      </c>
      <c r="R786" s="92">
        <f t="shared" ca="1" si="221"/>
        <v>3.2214900588145516</v>
      </c>
      <c r="S786" s="92">
        <f t="shared" ca="1" si="222"/>
        <v>3.2214900588145507</v>
      </c>
      <c r="T786" s="4">
        <f t="shared" ca="1" si="223"/>
        <v>1.9550793523721161E-7</v>
      </c>
      <c r="U786" s="99">
        <f t="shared" ca="1" si="224"/>
        <v>1377.9757603899629</v>
      </c>
      <c r="V786" s="4">
        <f t="shared" ca="1" si="225"/>
        <v>8.3627511121330119E-5</v>
      </c>
      <c r="W786" s="13">
        <f t="shared" ca="1" si="226"/>
        <v>30085.360593749996</v>
      </c>
      <c r="X786" s="4">
        <f t="shared" ca="1" si="227"/>
        <v>1.8258404102340993E-3</v>
      </c>
    </row>
    <row r="787" spans="1:24">
      <c r="A787">
        <v>1</v>
      </c>
      <c r="B787">
        <v>3</v>
      </c>
      <c r="C787">
        <f t="shared" ca="1" si="209"/>
        <v>8</v>
      </c>
      <c r="D787">
        <f t="shared" ca="1" si="210"/>
        <v>6</v>
      </c>
      <c r="E787">
        <f t="shared" ca="1" si="211"/>
        <v>1</v>
      </c>
      <c r="F787" s="100">
        <f t="shared" ca="1" si="212"/>
        <v>4.2544200000000001E-3</v>
      </c>
      <c r="G787">
        <v>1</v>
      </c>
      <c r="H787">
        <v>0</v>
      </c>
      <c r="I787">
        <v>3</v>
      </c>
      <c r="J787" s="1">
        <f t="shared" ca="1" si="213"/>
        <v>1.9211920200000068E-7</v>
      </c>
      <c r="K787" s="1">
        <f t="shared" ca="1" si="214"/>
        <v>8.1735577537284293E-10</v>
      </c>
      <c r="L787" s="13">
        <f t="shared" ca="1" si="215"/>
        <v>200</v>
      </c>
      <c r="M787" s="7">
        <f t="shared" ca="1" si="216"/>
        <v>800</v>
      </c>
      <c r="N787" s="43">
        <f t="shared" ca="1" si="217"/>
        <v>7</v>
      </c>
      <c r="O787" s="92">
        <f t="shared" ca="1" si="218"/>
        <v>3.2214900588145507</v>
      </c>
      <c r="P787" s="92">
        <f t="shared" ca="1" si="219"/>
        <v>32.214900588145518</v>
      </c>
      <c r="Q787" s="92">
        <f t="shared" ca="1" si="220"/>
        <v>32.214900588145518</v>
      </c>
      <c r="R787" s="92">
        <f t="shared" ca="1" si="221"/>
        <v>3.2214900588145516</v>
      </c>
      <c r="S787" s="92">
        <f t="shared" ca="1" si="222"/>
        <v>3.2214900588145507</v>
      </c>
      <c r="T787" s="4">
        <f t="shared" ca="1" si="223"/>
        <v>2.6331035048782727E-9</v>
      </c>
      <c r="U787" s="99">
        <f t="shared" ca="1" si="224"/>
        <v>1355.9757603899629</v>
      </c>
      <c r="V787" s="4">
        <f t="shared" ca="1" si="225"/>
        <v>1.1083146190203184E-6</v>
      </c>
      <c r="W787" s="13">
        <f t="shared" ca="1" si="226"/>
        <v>24068.288474999998</v>
      </c>
      <c r="X787" s="4">
        <f t="shared" ca="1" si="227"/>
        <v>1.9672354588380882E-5</v>
      </c>
    </row>
    <row r="788" spans="1:24">
      <c r="A788">
        <v>1</v>
      </c>
      <c r="B788">
        <v>3</v>
      </c>
      <c r="C788">
        <f t="shared" ca="1" si="209"/>
        <v>8</v>
      </c>
      <c r="D788">
        <f t="shared" ca="1" si="210"/>
        <v>6</v>
      </c>
      <c r="E788">
        <f t="shared" ca="1" si="211"/>
        <v>1</v>
      </c>
      <c r="F788" s="100">
        <f t="shared" ca="1" si="212"/>
        <v>4.2544200000000001E-3</v>
      </c>
      <c r="G788">
        <v>1</v>
      </c>
      <c r="H788">
        <v>0</v>
      </c>
      <c r="I788">
        <v>2</v>
      </c>
      <c r="J788" s="1">
        <f t="shared" ca="1" si="213"/>
        <v>1.4554485000000069E-9</v>
      </c>
      <c r="K788" s="1">
        <f t="shared" ca="1" si="214"/>
        <v>6.1920892073700299E-12</v>
      </c>
      <c r="L788" s="13">
        <f t="shared" ca="1" si="215"/>
        <v>178</v>
      </c>
      <c r="M788" s="7">
        <f t="shared" ca="1" si="216"/>
        <v>822</v>
      </c>
      <c r="N788" s="43">
        <f t="shared" ca="1" si="217"/>
        <v>7</v>
      </c>
      <c r="O788" s="92">
        <f t="shared" ca="1" si="218"/>
        <v>3.2214900588145507</v>
      </c>
      <c r="P788" s="92">
        <f t="shared" ca="1" si="219"/>
        <v>32.214900588145518</v>
      </c>
      <c r="Q788" s="92">
        <f t="shared" ca="1" si="220"/>
        <v>32.214900588145518</v>
      </c>
      <c r="R788" s="92">
        <f t="shared" ca="1" si="221"/>
        <v>3.2214900588145516</v>
      </c>
      <c r="S788" s="92">
        <f t="shared" ca="1" si="222"/>
        <v>3.2214900588145507</v>
      </c>
      <c r="T788" s="4">
        <f t="shared" ca="1" si="223"/>
        <v>1.9947753824835421E-11</v>
      </c>
      <c r="U788" s="99">
        <f t="shared" ca="1" si="224"/>
        <v>1333.9757603899629</v>
      </c>
      <c r="V788" s="4">
        <f t="shared" ca="1" si="225"/>
        <v>8.2600969088039185E-9</v>
      </c>
      <c r="W788" s="13">
        <f t="shared" ca="1" si="226"/>
        <v>18051.216356249999</v>
      </c>
      <c r="X788" s="4">
        <f t="shared" ca="1" si="227"/>
        <v>1.1177474197943698E-7</v>
      </c>
    </row>
    <row r="789" spans="1:24">
      <c r="A789">
        <v>1</v>
      </c>
      <c r="B789">
        <v>3</v>
      </c>
      <c r="C789">
        <f t="shared" ca="1" si="209"/>
        <v>8</v>
      </c>
      <c r="D789">
        <f t="shared" ca="1" si="210"/>
        <v>6</v>
      </c>
      <c r="E789">
        <f t="shared" ca="1" si="211"/>
        <v>1</v>
      </c>
      <c r="F789" s="100">
        <f t="shared" ca="1" si="212"/>
        <v>4.2544200000000001E-3</v>
      </c>
      <c r="G789">
        <v>1</v>
      </c>
      <c r="H789">
        <v>0</v>
      </c>
      <c r="I789">
        <v>1</v>
      </c>
      <c r="J789" s="1">
        <f t="shared" ca="1" si="213"/>
        <v>5.8806000000000321E-12</v>
      </c>
      <c r="K789" s="1">
        <f t="shared" ca="1" si="214"/>
        <v>2.5018542252000137E-14</v>
      </c>
      <c r="L789" s="13">
        <f t="shared" ca="1" si="215"/>
        <v>156</v>
      </c>
      <c r="M789" s="7">
        <f t="shared" ca="1" si="216"/>
        <v>844</v>
      </c>
      <c r="N789" s="43">
        <f t="shared" ca="1" si="217"/>
        <v>7</v>
      </c>
      <c r="O789" s="92">
        <f t="shared" ca="1" si="218"/>
        <v>3.2214900588145507</v>
      </c>
      <c r="P789" s="92">
        <f t="shared" ca="1" si="219"/>
        <v>32.214900588145518</v>
      </c>
      <c r="Q789" s="92">
        <f t="shared" ca="1" si="220"/>
        <v>32.214900588145518</v>
      </c>
      <c r="R789" s="92">
        <f t="shared" ca="1" si="221"/>
        <v>3.2214900588145516</v>
      </c>
      <c r="S789" s="92">
        <f t="shared" ca="1" si="222"/>
        <v>3.2214900588145507</v>
      </c>
      <c r="T789" s="4">
        <f t="shared" ca="1" si="223"/>
        <v>8.0596985150850247E-14</v>
      </c>
      <c r="U789" s="99">
        <f t="shared" ca="1" si="224"/>
        <v>1311.9757603899629</v>
      </c>
      <c r="V789" s="4">
        <f t="shared" ca="1" si="225"/>
        <v>3.2823720994916295E-11</v>
      </c>
      <c r="W789" s="13">
        <f t="shared" ca="1" si="226"/>
        <v>12034.144237499999</v>
      </c>
      <c r="X789" s="4">
        <f t="shared" ca="1" si="227"/>
        <v>3.0107674607255768E-10</v>
      </c>
    </row>
    <row r="790" spans="1:24">
      <c r="A790">
        <v>1</v>
      </c>
      <c r="B790">
        <v>3</v>
      </c>
      <c r="C790">
        <f t="shared" ca="1" si="209"/>
        <v>8</v>
      </c>
      <c r="D790">
        <f t="shared" ca="1" si="210"/>
        <v>6</v>
      </c>
      <c r="E790">
        <f t="shared" ca="1" si="211"/>
        <v>1</v>
      </c>
      <c r="F790" s="100">
        <f t="shared" ca="1" si="212"/>
        <v>4.2544200000000001E-3</v>
      </c>
      <c r="G790">
        <v>1</v>
      </c>
      <c r="H790">
        <v>0</v>
      </c>
      <c r="I790">
        <v>0</v>
      </c>
      <c r="J790" s="1">
        <f t="shared" ca="1" si="213"/>
        <v>9.9000000000000638E-15</v>
      </c>
      <c r="K790" s="1">
        <f t="shared" ca="1" si="214"/>
        <v>4.2118758000000271E-17</v>
      </c>
      <c r="L790" s="13">
        <f t="shared" ca="1" si="215"/>
        <v>134</v>
      </c>
      <c r="M790" s="7">
        <f t="shared" ca="1" si="216"/>
        <v>866</v>
      </c>
      <c r="N790" s="43">
        <f t="shared" ca="1" si="217"/>
        <v>7</v>
      </c>
      <c r="O790" s="92">
        <f t="shared" ca="1" si="218"/>
        <v>3.2214900588145507</v>
      </c>
      <c r="P790" s="92">
        <f t="shared" ca="1" si="219"/>
        <v>32.214900588145518</v>
      </c>
      <c r="Q790" s="92">
        <f t="shared" ca="1" si="220"/>
        <v>32.214900588145518</v>
      </c>
      <c r="R790" s="92">
        <f t="shared" ca="1" si="221"/>
        <v>3.2214900588145516</v>
      </c>
      <c r="S790" s="92">
        <f t="shared" ca="1" si="222"/>
        <v>3.2214900588145507</v>
      </c>
      <c r="T790" s="4">
        <f t="shared" ca="1" si="223"/>
        <v>1.3568516018661671E-16</v>
      </c>
      <c r="U790" s="99">
        <f t="shared" ca="1" si="224"/>
        <v>1289.9757603899629</v>
      </c>
      <c r="V790" s="4">
        <f t="shared" ca="1" si="225"/>
        <v>5.4332176877731185E-14</v>
      </c>
      <c r="W790" s="13">
        <f t="shared" ca="1" si="226"/>
        <v>6017.0721187499994</v>
      </c>
      <c r="X790" s="4">
        <f t="shared" ca="1" si="227"/>
        <v>2.534316044381801E-13</v>
      </c>
    </row>
    <row r="791" spans="1:24">
      <c r="A791">
        <v>1</v>
      </c>
      <c r="B791">
        <v>3</v>
      </c>
      <c r="C791">
        <f t="shared" ca="1" si="209"/>
        <v>8</v>
      </c>
      <c r="D791">
        <f t="shared" ca="1" si="210"/>
        <v>6</v>
      </c>
      <c r="E791">
        <f t="shared" ca="1" si="211"/>
        <v>1</v>
      </c>
      <c r="F791" s="100">
        <f t="shared" ca="1" si="212"/>
        <v>4.2544200000000001E-3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288</v>
      </c>
      <c r="M791" s="7">
        <f t="shared" ca="1" si="216"/>
        <v>712</v>
      </c>
      <c r="N791" s="43">
        <f t="shared" ca="1" si="217"/>
        <v>6</v>
      </c>
      <c r="O791" s="92">
        <f t="shared" ca="1" si="218"/>
        <v>2.7275117780454798</v>
      </c>
      <c r="P791" s="92">
        <f t="shared" ca="1" si="219"/>
        <v>27.275117780454792</v>
      </c>
      <c r="Q791" s="92">
        <f t="shared" ca="1" si="220"/>
        <v>27.275117780454792</v>
      </c>
      <c r="R791" s="92">
        <f t="shared" ca="1" si="221"/>
        <v>2.7275117780454794</v>
      </c>
      <c r="S791" s="92">
        <f t="shared" ca="1" si="222"/>
        <v>2.7275117780454794</v>
      </c>
      <c r="T791" s="4">
        <f t="shared" ca="1" si="223"/>
        <v>0</v>
      </c>
      <c r="U791" s="99">
        <f t="shared" ca="1" si="224"/>
        <v>1290.6329230659346</v>
      </c>
      <c r="V791" s="4">
        <f t="shared" ca="1" si="225"/>
        <v>0</v>
      </c>
      <c r="W791" s="13">
        <f t="shared" ca="1" si="226"/>
        <v>48264.818043749998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ca="1" si="209"/>
        <v>8</v>
      </c>
      <c r="D792">
        <f t="shared" ca="1" si="210"/>
        <v>6</v>
      </c>
      <c r="E792">
        <f t="shared" ca="1" si="211"/>
        <v>1</v>
      </c>
      <c r="F792" s="100">
        <f t="shared" ca="1" si="212"/>
        <v>4.2544200000000001E-3</v>
      </c>
      <c r="G792">
        <v>0</v>
      </c>
      <c r="H792">
        <v>1</v>
      </c>
      <c r="I792">
        <v>6</v>
      </c>
      <c r="J792" s="1">
        <f t="shared" ca="1" si="213"/>
        <v>9.3206534790699087E-3</v>
      </c>
      <c r="K792" s="1">
        <f t="shared" ca="1" si="214"/>
        <v>3.9653974574424601E-5</v>
      </c>
      <c r="L792" s="13">
        <f t="shared" ca="1" si="215"/>
        <v>266</v>
      </c>
      <c r="M792" s="7">
        <f t="shared" ca="1" si="216"/>
        <v>734</v>
      </c>
      <c r="N792" s="43">
        <f t="shared" ca="1" si="217"/>
        <v>6</v>
      </c>
      <c r="O792" s="92">
        <f t="shared" ca="1" si="218"/>
        <v>2.7275117780454798</v>
      </c>
      <c r="P792" s="92">
        <f t="shared" ca="1" si="219"/>
        <v>27.275117780454792</v>
      </c>
      <c r="Q792" s="92">
        <f t="shared" ca="1" si="220"/>
        <v>27.275117780454792</v>
      </c>
      <c r="R792" s="92">
        <f t="shared" ca="1" si="221"/>
        <v>2.7275117780454794</v>
      </c>
      <c r="S792" s="92">
        <f t="shared" ca="1" si="222"/>
        <v>2.7275117780454794</v>
      </c>
      <c r="T792" s="4">
        <f t="shared" ca="1" si="223"/>
        <v>1.0815668269805908E-4</v>
      </c>
      <c r="U792" s="99">
        <f t="shared" ca="1" si="224"/>
        <v>1268.6329230659346</v>
      </c>
      <c r="V792" s="4">
        <f t="shared" ca="1" si="225"/>
        <v>5.0306337675534531E-2</v>
      </c>
      <c r="W792" s="13">
        <f t="shared" ca="1" si="226"/>
        <v>42247.745924999996</v>
      </c>
      <c r="X792" s="4">
        <f t="shared" ca="1" si="227"/>
        <v>1.6752910427367005</v>
      </c>
    </row>
    <row r="793" spans="1:24">
      <c r="A793">
        <v>1</v>
      </c>
      <c r="B793">
        <v>3</v>
      </c>
      <c r="C793">
        <f t="shared" ca="1" si="209"/>
        <v>8</v>
      </c>
      <c r="D793">
        <f t="shared" ca="1" si="210"/>
        <v>6</v>
      </c>
      <c r="E793">
        <f t="shared" ca="1" si="211"/>
        <v>1</v>
      </c>
      <c r="F793" s="100">
        <f t="shared" ca="1" si="212"/>
        <v>4.2544200000000001E-3</v>
      </c>
      <c r="G793">
        <v>0</v>
      </c>
      <c r="H793">
        <v>1</v>
      </c>
      <c r="I793">
        <v>5</v>
      </c>
      <c r="J793" s="1">
        <f t="shared" ca="1" si="213"/>
        <v>5.6488808964060098E-4</v>
      </c>
      <c r="K793" s="1">
        <f t="shared" ca="1" si="214"/>
        <v>2.4032711863287655E-6</v>
      </c>
      <c r="L793" s="13">
        <f t="shared" ca="1" si="215"/>
        <v>244</v>
      </c>
      <c r="M793" s="7">
        <f t="shared" ca="1" si="216"/>
        <v>756</v>
      </c>
      <c r="N793" s="43">
        <f t="shared" ca="1" si="217"/>
        <v>7</v>
      </c>
      <c r="O793" s="92">
        <f t="shared" ca="1" si="218"/>
        <v>3.2214900588145507</v>
      </c>
      <c r="P793" s="92">
        <f t="shared" ca="1" si="219"/>
        <v>29.745009184300148</v>
      </c>
      <c r="Q793" s="92">
        <f t="shared" ca="1" si="220"/>
        <v>27.275117780454792</v>
      </c>
      <c r="R793" s="92">
        <f t="shared" ca="1" si="221"/>
        <v>2.851006348237747</v>
      </c>
      <c r="S793" s="92">
        <f t="shared" ca="1" si="222"/>
        <v>3.1955561990741743</v>
      </c>
      <c r="T793" s="4">
        <f t="shared" ca="1" si="223"/>
        <v>7.6797881375292323E-6</v>
      </c>
      <c r="U793" s="99">
        <f t="shared" ca="1" si="224"/>
        <v>1391.9252614304514</v>
      </c>
      <c r="V793" s="4">
        <f t="shared" ca="1" si="225"/>
        <v>3.3451738743189379E-3</v>
      </c>
      <c r="W793" s="13">
        <f t="shared" ca="1" si="226"/>
        <v>36230.673806249994</v>
      </c>
      <c r="X793" s="4">
        <f t="shared" ca="1" si="227"/>
        <v>8.7072134419836952E-2</v>
      </c>
    </row>
    <row r="794" spans="1:24">
      <c r="A794">
        <v>1</v>
      </c>
      <c r="B794">
        <v>3</v>
      </c>
      <c r="C794">
        <f t="shared" ca="1" si="209"/>
        <v>8</v>
      </c>
      <c r="D794">
        <f t="shared" ca="1" si="210"/>
        <v>6</v>
      </c>
      <c r="E794">
        <f t="shared" ca="1" si="211"/>
        <v>1</v>
      </c>
      <c r="F794" s="100">
        <f t="shared" ca="1" si="212"/>
        <v>4.2544200000000001E-3</v>
      </c>
      <c r="G794">
        <v>0</v>
      </c>
      <c r="H794">
        <v>1</v>
      </c>
      <c r="I794">
        <v>4</v>
      </c>
      <c r="J794" s="1">
        <f t="shared" ca="1" si="213"/>
        <v>1.426485074850004E-5</v>
      </c>
      <c r="K794" s="1">
        <f t="shared" ca="1" si="214"/>
        <v>6.0688666321433546E-8</v>
      </c>
      <c r="L794" s="13">
        <f t="shared" ca="1" si="215"/>
        <v>222</v>
      </c>
      <c r="M794" s="7">
        <f t="shared" ca="1" si="216"/>
        <v>778</v>
      </c>
      <c r="N794" s="43">
        <f t="shared" ca="1" si="217"/>
        <v>7</v>
      </c>
      <c r="O794" s="92">
        <f t="shared" ca="1" si="218"/>
        <v>3.2214900588145507</v>
      </c>
      <c r="P794" s="92">
        <f t="shared" ca="1" si="219"/>
        <v>32.214900588145518</v>
      </c>
      <c r="Q794" s="92">
        <f t="shared" ca="1" si="220"/>
        <v>32.214900588145518</v>
      </c>
      <c r="R794" s="92">
        <f t="shared" ca="1" si="221"/>
        <v>3.2214900588145516</v>
      </c>
      <c r="S794" s="92">
        <f t="shared" ca="1" si="222"/>
        <v>3.2214900588145507</v>
      </c>
      <c r="T794" s="4">
        <f t="shared" ca="1" si="223"/>
        <v>1.9550793523721161E-7</v>
      </c>
      <c r="U794" s="99">
        <f t="shared" ca="1" si="224"/>
        <v>1377.9757603899629</v>
      </c>
      <c r="V794" s="4">
        <f t="shared" ca="1" si="225"/>
        <v>8.3627511121330119E-5</v>
      </c>
      <c r="W794" s="13">
        <f t="shared" ca="1" si="226"/>
        <v>30213.601687499999</v>
      </c>
      <c r="X794" s="4">
        <f t="shared" ca="1" si="227"/>
        <v>1.833623191181389E-3</v>
      </c>
    </row>
    <row r="795" spans="1:24">
      <c r="A795">
        <v>1</v>
      </c>
      <c r="B795">
        <v>3</v>
      </c>
      <c r="C795">
        <f t="shared" ca="1" si="209"/>
        <v>8</v>
      </c>
      <c r="D795">
        <f t="shared" ca="1" si="210"/>
        <v>6</v>
      </c>
      <c r="E795">
        <f t="shared" ca="1" si="211"/>
        <v>1</v>
      </c>
      <c r="F795" s="100">
        <f t="shared" ca="1" si="212"/>
        <v>4.2544200000000001E-3</v>
      </c>
      <c r="G795">
        <v>0</v>
      </c>
      <c r="H795">
        <v>1</v>
      </c>
      <c r="I795">
        <v>3</v>
      </c>
      <c r="J795" s="1">
        <f t="shared" ca="1" si="213"/>
        <v>1.9211920200000068E-7</v>
      </c>
      <c r="K795" s="1">
        <f t="shared" ca="1" si="214"/>
        <v>8.1735577537284293E-10</v>
      </c>
      <c r="L795" s="13">
        <f t="shared" ca="1" si="215"/>
        <v>200</v>
      </c>
      <c r="M795" s="7">
        <f t="shared" ca="1" si="216"/>
        <v>800</v>
      </c>
      <c r="N795" s="43">
        <f t="shared" ca="1" si="217"/>
        <v>7</v>
      </c>
      <c r="O795" s="92">
        <f t="shared" ca="1" si="218"/>
        <v>3.2214900588145507</v>
      </c>
      <c r="P795" s="92">
        <f t="shared" ca="1" si="219"/>
        <v>32.214900588145518</v>
      </c>
      <c r="Q795" s="92">
        <f t="shared" ca="1" si="220"/>
        <v>32.214900588145518</v>
      </c>
      <c r="R795" s="92">
        <f t="shared" ca="1" si="221"/>
        <v>3.2214900588145516</v>
      </c>
      <c r="S795" s="92">
        <f t="shared" ca="1" si="222"/>
        <v>3.2214900588145507</v>
      </c>
      <c r="T795" s="4">
        <f t="shared" ca="1" si="223"/>
        <v>2.6331035048782727E-9</v>
      </c>
      <c r="U795" s="99">
        <f t="shared" ca="1" si="224"/>
        <v>1355.9757603899629</v>
      </c>
      <c r="V795" s="4">
        <f t="shared" ca="1" si="225"/>
        <v>1.1083146190203184E-6</v>
      </c>
      <c r="W795" s="13">
        <f t="shared" ca="1" si="226"/>
        <v>24196.529568749997</v>
      </c>
      <c r="X795" s="4">
        <f t="shared" ca="1" si="227"/>
        <v>1.9777173186997574E-5</v>
      </c>
    </row>
    <row r="796" spans="1:24">
      <c r="A796">
        <v>1</v>
      </c>
      <c r="B796">
        <v>3</v>
      </c>
      <c r="C796">
        <f t="shared" ca="1" si="209"/>
        <v>8</v>
      </c>
      <c r="D796">
        <f t="shared" ca="1" si="210"/>
        <v>6</v>
      </c>
      <c r="E796">
        <f t="shared" ca="1" si="211"/>
        <v>1</v>
      </c>
      <c r="F796" s="100">
        <f t="shared" ca="1" si="212"/>
        <v>4.2544200000000001E-3</v>
      </c>
      <c r="G796">
        <v>0</v>
      </c>
      <c r="H796">
        <v>1</v>
      </c>
      <c r="I796">
        <v>2</v>
      </c>
      <c r="J796" s="1">
        <f t="shared" ca="1" si="213"/>
        <v>1.4554485000000069E-9</v>
      </c>
      <c r="K796" s="1">
        <f t="shared" ca="1" si="214"/>
        <v>6.1920892073700299E-12</v>
      </c>
      <c r="L796" s="13">
        <f t="shared" ca="1" si="215"/>
        <v>178</v>
      </c>
      <c r="M796" s="7">
        <f t="shared" ca="1" si="216"/>
        <v>822</v>
      </c>
      <c r="N796" s="43">
        <f t="shared" ca="1" si="217"/>
        <v>7</v>
      </c>
      <c r="O796" s="92">
        <f t="shared" ca="1" si="218"/>
        <v>3.2214900588145507</v>
      </c>
      <c r="P796" s="92">
        <f t="shared" ca="1" si="219"/>
        <v>32.214900588145518</v>
      </c>
      <c r="Q796" s="92">
        <f t="shared" ca="1" si="220"/>
        <v>32.214900588145518</v>
      </c>
      <c r="R796" s="92">
        <f t="shared" ca="1" si="221"/>
        <v>3.2214900588145516</v>
      </c>
      <c r="S796" s="92">
        <f t="shared" ca="1" si="222"/>
        <v>3.2214900588145507</v>
      </c>
      <c r="T796" s="4">
        <f t="shared" ca="1" si="223"/>
        <v>1.9947753824835421E-11</v>
      </c>
      <c r="U796" s="99">
        <f t="shared" ca="1" si="224"/>
        <v>1333.9757603899629</v>
      </c>
      <c r="V796" s="4">
        <f t="shared" ca="1" si="225"/>
        <v>8.2600969088039185E-9</v>
      </c>
      <c r="W796" s="13">
        <f t="shared" ca="1" si="226"/>
        <v>18179.457449999998</v>
      </c>
      <c r="X796" s="4">
        <f t="shared" ca="1" si="227"/>
        <v>1.1256882227198768E-7</v>
      </c>
    </row>
    <row r="797" spans="1:24">
      <c r="A797">
        <v>1</v>
      </c>
      <c r="B797">
        <v>3</v>
      </c>
      <c r="C797">
        <f t="shared" ca="1" si="209"/>
        <v>8</v>
      </c>
      <c r="D797">
        <f t="shared" ca="1" si="210"/>
        <v>6</v>
      </c>
      <c r="E797">
        <f t="shared" ca="1" si="211"/>
        <v>1</v>
      </c>
      <c r="F797" s="100">
        <f t="shared" ca="1" si="212"/>
        <v>4.2544200000000001E-3</v>
      </c>
      <c r="G797">
        <v>0</v>
      </c>
      <c r="H797">
        <v>1</v>
      </c>
      <c r="I797">
        <v>1</v>
      </c>
      <c r="J797" s="1">
        <f t="shared" ca="1" si="213"/>
        <v>5.8806000000000321E-12</v>
      </c>
      <c r="K797" s="1">
        <f t="shared" ca="1" si="214"/>
        <v>2.5018542252000137E-14</v>
      </c>
      <c r="L797" s="13">
        <f t="shared" ca="1" si="215"/>
        <v>156</v>
      </c>
      <c r="M797" s="7">
        <f t="shared" ca="1" si="216"/>
        <v>844</v>
      </c>
      <c r="N797" s="43">
        <f t="shared" ca="1" si="217"/>
        <v>7</v>
      </c>
      <c r="O797" s="92">
        <f t="shared" ca="1" si="218"/>
        <v>3.2214900588145507</v>
      </c>
      <c r="P797" s="92">
        <f t="shared" ca="1" si="219"/>
        <v>32.214900588145518</v>
      </c>
      <c r="Q797" s="92">
        <f t="shared" ca="1" si="220"/>
        <v>32.214900588145518</v>
      </c>
      <c r="R797" s="92">
        <f t="shared" ca="1" si="221"/>
        <v>3.2214900588145516</v>
      </c>
      <c r="S797" s="92">
        <f t="shared" ca="1" si="222"/>
        <v>3.2214900588145507</v>
      </c>
      <c r="T797" s="4">
        <f t="shared" ca="1" si="223"/>
        <v>8.0596985150850247E-14</v>
      </c>
      <c r="U797" s="99">
        <f t="shared" ca="1" si="224"/>
        <v>1311.9757603899629</v>
      </c>
      <c r="V797" s="4">
        <f t="shared" ca="1" si="225"/>
        <v>3.2823720994916295E-11</v>
      </c>
      <c r="W797" s="13">
        <f t="shared" ca="1" si="226"/>
        <v>12162.38533125</v>
      </c>
      <c r="X797" s="4">
        <f t="shared" ca="1" si="227"/>
        <v>3.042851512949848E-10</v>
      </c>
    </row>
    <row r="798" spans="1:24">
      <c r="A798">
        <v>1</v>
      </c>
      <c r="B798">
        <v>3</v>
      </c>
      <c r="C798">
        <f t="shared" ca="1" si="209"/>
        <v>8</v>
      </c>
      <c r="D798">
        <f t="shared" ca="1" si="210"/>
        <v>6</v>
      </c>
      <c r="E798">
        <f t="shared" ca="1" si="211"/>
        <v>1</v>
      </c>
      <c r="F798" s="100">
        <f t="shared" ca="1" si="212"/>
        <v>4.2544200000000001E-3</v>
      </c>
      <c r="G798">
        <v>0</v>
      </c>
      <c r="H798">
        <v>1</v>
      </c>
      <c r="I798">
        <v>0</v>
      </c>
      <c r="J798" s="1">
        <f t="shared" ca="1" si="213"/>
        <v>9.9000000000000638E-15</v>
      </c>
      <c r="K798" s="1">
        <f t="shared" ca="1" si="214"/>
        <v>4.2118758000000271E-17</v>
      </c>
      <c r="L798" s="13">
        <f t="shared" ca="1" si="215"/>
        <v>134</v>
      </c>
      <c r="M798" s="7">
        <f t="shared" ca="1" si="216"/>
        <v>866</v>
      </c>
      <c r="N798" s="43">
        <f t="shared" ca="1" si="217"/>
        <v>7</v>
      </c>
      <c r="O798" s="92">
        <f t="shared" ca="1" si="218"/>
        <v>3.2214900588145507</v>
      </c>
      <c r="P798" s="92">
        <f t="shared" ca="1" si="219"/>
        <v>32.214900588145518</v>
      </c>
      <c r="Q798" s="92">
        <f t="shared" ca="1" si="220"/>
        <v>32.214900588145518</v>
      </c>
      <c r="R798" s="92">
        <f t="shared" ca="1" si="221"/>
        <v>3.2214900588145516</v>
      </c>
      <c r="S798" s="92">
        <f t="shared" ca="1" si="222"/>
        <v>3.2214900588145507</v>
      </c>
      <c r="T798" s="4">
        <f t="shared" ca="1" si="223"/>
        <v>1.3568516018661671E-16</v>
      </c>
      <c r="U798" s="99">
        <f t="shared" ca="1" si="224"/>
        <v>1289.9757603899629</v>
      </c>
      <c r="V798" s="4">
        <f t="shared" ca="1" si="225"/>
        <v>5.4332176877731185E-14</v>
      </c>
      <c r="W798" s="13">
        <f t="shared" ca="1" si="226"/>
        <v>6145.3132124999993</v>
      </c>
      <c r="X798" s="4">
        <f t="shared" ca="1" si="227"/>
        <v>2.5883296003149172E-13</v>
      </c>
    </row>
    <row r="799" spans="1:24">
      <c r="A799">
        <v>1</v>
      </c>
      <c r="B799">
        <v>3</v>
      </c>
      <c r="C799">
        <f t="shared" ca="1" si="209"/>
        <v>8</v>
      </c>
      <c r="D799">
        <f t="shared" ca="1" si="210"/>
        <v>6</v>
      </c>
      <c r="E799">
        <f t="shared" ca="1" si="211"/>
        <v>1</v>
      </c>
      <c r="F799" s="100">
        <f t="shared" ca="1" si="212"/>
        <v>4.2544200000000001E-3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3">
        <f t="shared" ca="1" si="217"/>
        <v>7</v>
      </c>
      <c r="O799" s="92">
        <f t="shared" ca="1" si="218"/>
        <v>3.2214900588145507</v>
      </c>
      <c r="P799" s="92">
        <f t="shared" ca="1" si="219"/>
        <v>32.214900588145518</v>
      </c>
      <c r="Q799" s="92">
        <f t="shared" ca="1" si="220"/>
        <v>32.214900588145518</v>
      </c>
      <c r="R799" s="92">
        <f t="shared" ca="1" si="221"/>
        <v>3.2214900588145516</v>
      </c>
      <c r="S799" s="92">
        <f t="shared" ca="1" si="222"/>
        <v>3.2214900588145507</v>
      </c>
      <c r="T799" s="4">
        <f t="shared" ca="1" si="223"/>
        <v>0</v>
      </c>
      <c r="U799" s="99">
        <f t="shared" ca="1" si="224"/>
        <v>1309.9757603899629</v>
      </c>
      <c r="V799" s="4">
        <f t="shared" ca="1" si="225"/>
        <v>0</v>
      </c>
      <c r="W799" s="13">
        <f t="shared" ca="1" si="226"/>
        <v>42119.50483125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ca="1" si="209"/>
        <v>8</v>
      </c>
      <c r="D800">
        <f t="shared" ca="1" si="210"/>
        <v>6</v>
      </c>
      <c r="E800">
        <f t="shared" ca="1" si="211"/>
        <v>1</v>
      </c>
      <c r="F800" s="100">
        <f t="shared" ca="1" si="212"/>
        <v>4.2544200000000001E-3</v>
      </c>
      <c r="G800">
        <v>0</v>
      </c>
      <c r="H800">
        <v>0</v>
      </c>
      <c r="I800">
        <v>6</v>
      </c>
      <c r="J800" s="1">
        <f t="shared" ca="1" si="213"/>
        <v>9.4148014940100163E-5</v>
      </c>
      <c r="K800" s="1">
        <f t="shared" ca="1" si="214"/>
        <v>4.0054519772146097E-7</v>
      </c>
      <c r="L800" s="13">
        <f t="shared" ca="1" si="215"/>
        <v>132</v>
      </c>
      <c r="M800" s="7">
        <f t="shared" ca="1" si="216"/>
        <v>868</v>
      </c>
      <c r="N800" s="43">
        <f t="shared" ca="1" si="217"/>
        <v>7</v>
      </c>
      <c r="O800" s="92">
        <f t="shared" ca="1" si="218"/>
        <v>3.2214900588145507</v>
      </c>
      <c r="P800" s="92">
        <f t="shared" ca="1" si="219"/>
        <v>32.214900588145518</v>
      </c>
      <c r="Q800" s="92">
        <f t="shared" ca="1" si="220"/>
        <v>32.214900588145518</v>
      </c>
      <c r="R800" s="92">
        <f t="shared" ca="1" si="221"/>
        <v>3.2214900588145516</v>
      </c>
      <c r="S800" s="92">
        <f t="shared" ca="1" si="222"/>
        <v>3.2214900588145507</v>
      </c>
      <c r="T800" s="4">
        <f t="shared" ca="1" si="223"/>
        <v>1.2903523725655952E-6</v>
      </c>
      <c r="U800" s="99">
        <f t="shared" ca="1" si="224"/>
        <v>1287.9757603899629</v>
      </c>
      <c r="V800" s="4">
        <f t="shared" ca="1" si="225"/>
        <v>5.1589250560584669E-4</v>
      </c>
      <c r="W800" s="13">
        <f t="shared" ca="1" si="226"/>
        <v>36102.432712499998</v>
      </c>
      <c r="X800" s="4">
        <f t="shared" ca="1" si="227"/>
        <v>1.4460656049054051E-2</v>
      </c>
    </row>
    <row r="801" spans="1:24">
      <c r="A801">
        <v>1</v>
      </c>
      <c r="B801">
        <v>3</v>
      </c>
      <c r="C801">
        <f t="shared" ca="1" si="209"/>
        <v>8</v>
      </c>
      <c r="D801">
        <f t="shared" ca="1" si="210"/>
        <v>6</v>
      </c>
      <c r="E801">
        <f t="shared" ca="1" si="211"/>
        <v>1</v>
      </c>
      <c r="F801" s="100">
        <f t="shared" ca="1" si="212"/>
        <v>4.2544200000000001E-3</v>
      </c>
      <c r="G801">
        <v>0</v>
      </c>
      <c r="H801">
        <v>0</v>
      </c>
      <c r="I801">
        <v>5</v>
      </c>
      <c r="J801" s="1">
        <f t="shared" ca="1" si="213"/>
        <v>5.7059402994000143E-6</v>
      </c>
      <c r="K801" s="1">
        <f t="shared" ca="1" si="214"/>
        <v>2.4275466528573408E-8</v>
      </c>
      <c r="L801" s="13">
        <f t="shared" ca="1" si="215"/>
        <v>110</v>
      </c>
      <c r="M801" s="7">
        <f t="shared" ca="1" si="216"/>
        <v>890</v>
      </c>
      <c r="N801" s="43">
        <f t="shared" ca="1" si="217"/>
        <v>8</v>
      </c>
      <c r="O801" s="92">
        <f t="shared" ca="1" si="218"/>
        <v>3.5531918581169131</v>
      </c>
      <c r="P801" s="92">
        <f t="shared" ca="1" si="219"/>
        <v>35.531918581169137</v>
      </c>
      <c r="Q801" s="92">
        <f t="shared" ca="1" si="220"/>
        <v>33.541707785354966</v>
      </c>
      <c r="R801" s="92">
        <f t="shared" ca="1" si="221"/>
        <v>3.4536813183262054</v>
      </c>
      <c r="S801" s="92">
        <f t="shared" ca="1" si="222"/>
        <v>3.5462261203315633</v>
      </c>
      <c r="T801" s="4">
        <f t="shared" ca="1" si="223"/>
        <v>8.6086293486861593E-8</v>
      </c>
      <c r="U801" s="99">
        <f t="shared" ca="1" si="224"/>
        <v>1366.7817087343356</v>
      </c>
      <c r="V801" s="4">
        <f t="shared" ca="1" si="225"/>
        <v>3.3179263622246728E-5</v>
      </c>
      <c r="W801" s="13">
        <f t="shared" ca="1" si="226"/>
        <v>30085.360593749996</v>
      </c>
      <c r="X801" s="4">
        <f t="shared" ca="1" si="227"/>
        <v>7.3033616409363944E-4</v>
      </c>
    </row>
    <row r="802" spans="1:24">
      <c r="A802">
        <v>1</v>
      </c>
      <c r="B802">
        <v>3</v>
      </c>
      <c r="C802">
        <f t="shared" ca="1" si="209"/>
        <v>8</v>
      </c>
      <c r="D802">
        <f t="shared" ca="1" si="210"/>
        <v>6</v>
      </c>
      <c r="E802">
        <f t="shared" ca="1" si="211"/>
        <v>1</v>
      </c>
      <c r="F802" s="100">
        <f t="shared" ca="1" si="212"/>
        <v>4.2544200000000001E-3</v>
      </c>
      <c r="G802">
        <v>0</v>
      </c>
      <c r="H802">
        <v>0</v>
      </c>
      <c r="I802">
        <v>4</v>
      </c>
      <c r="J802" s="1">
        <f t="shared" ca="1" si="213"/>
        <v>1.4408940150000052E-7</v>
      </c>
      <c r="K802" s="1">
        <f t="shared" ca="1" si="214"/>
        <v>6.1301683152963217E-10</v>
      </c>
      <c r="L802" s="13">
        <f t="shared" ca="1" si="215"/>
        <v>100</v>
      </c>
      <c r="M802" s="7">
        <f t="shared" ca="1" si="216"/>
        <v>900</v>
      </c>
      <c r="N802" s="43">
        <f t="shared" ca="1" si="217"/>
        <v>8</v>
      </c>
      <c r="O802" s="92">
        <f t="shared" ca="1" si="218"/>
        <v>3.5531918581169131</v>
      </c>
      <c r="P802" s="92">
        <f t="shared" ca="1" si="219"/>
        <v>35.531918581169137</v>
      </c>
      <c r="Q802" s="92">
        <f t="shared" ca="1" si="220"/>
        <v>35.531918581169137</v>
      </c>
      <c r="R802" s="92">
        <f t="shared" ca="1" si="221"/>
        <v>3.5531918581169135</v>
      </c>
      <c r="S802" s="92">
        <f t="shared" ca="1" si="222"/>
        <v>3.5531918581169126</v>
      </c>
      <c r="T802" s="4">
        <f t="shared" ca="1" si="223"/>
        <v>2.1781664146797161E-9</v>
      </c>
      <c r="U802" s="99">
        <f t="shared" ca="1" si="224"/>
        <v>1358.9440426620492</v>
      </c>
      <c r="V802" s="4">
        <f t="shared" ca="1" si="225"/>
        <v>8.3305557125875872E-7</v>
      </c>
      <c r="W802" s="13">
        <f t="shared" ca="1" si="226"/>
        <v>24068.288474999998</v>
      </c>
      <c r="X802" s="4">
        <f t="shared" ca="1" si="227"/>
        <v>1.4754265941285661E-5</v>
      </c>
    </row>
    <row r="803" spans="1:24">
      <c r="A803">
        <v>1</v>
      </c>
      <c r="B803">
        <v>3</v>
      </c>
      <c r="C803">
        <f t="shared" ca="1" si="209"/>
        <v>8</v>
      </c>
      <c r="D803">
        <f t="shared" ca="1" si="210"/>
        <v>6</v>
      </c>
      <c r="E803">
        <f t="shared" ca="1" si="211"/>
        <v>1</v>
      </c>
      <c r="F803" s="100">
        <f t="shared" ca="1" si="212"/>
        <v>4.2544200000000001E-3</v>
      </c>
      <c r="G803">
        <v>0</v>
      </c>
      <c r="H803">
        <v>0</v>
      </c>
      <c r="I803">
        <v>3</v>
      </c>
      <c r="J803" s="1">
        <f t="shared" ca="1" si="213"/>
        <v>1.9405980000000086E-9</v>
      </c>
      <c r="K803" s="1">
        <f t="shared" ca="1" si="214"/>
        <v>8.2561189431600366E-12</v>
      </c>
      <c r="L803" s="13">
        <f t="shared" ca="1" si="215"/>
        <v>100</v>
      </c>
      <c r="M803" s="7">
        <f t="shared" ca="1" si="216"/>
        <v>900</v>
      </c>
      <c r="N803" s="43">
        <f t="shared" ca="1" si="217"/>
        <v>8</v>
      </c>
      <c r="O803" s="92">
        <f t="shared" ca="1" si="218"/>
        <v>3.5531918581169131</v>
      </c>
      <c r="P803" s="92">
        <f t="shared" ca="1" si="219"/>
        <v>35.531918581169137</v>
      </c>
      <c r="Q803" s="92">
        <f t="shared" ca="1" si="220"/>
        <v>35.531918581169137</v>
      </c>
      <c r="R803" s="92">
        <f t="shared" ca="1" si="221"/>
        <v>3.5531918581169135</v>
      </c>
      <c r="S803" s="92">
        <f t="shared" ca="1" si="222"/>
        <v>3.5531918581169126</v>
      </c>
      <c r="T803" s="4">
        <f t="shared" ca="1" si="223"/>
        <v>2.9335574608481054E-11</v>
      </c>
      <c r="U803" s="99">
        <f t="shared" ca="1" si="224"/>
        <v>1358.9440426620492</v>
      </c>
      <c r="V803" s="4">
        <f t="shared" ca="1" si="225"/>
        <v>1.1219603653316626E-8</v>
      </c>
      <c r="W803" s="13">
        <f t="shared" ca="1" si="226"/>
        <v>18051.216356249999</v>
      </c>
      <c r="X803" s="4">
        <f t="shared" ca="1" si="227"/>
        <v>1.490329893059159E-7</v>
      </c>
    </row>
    <row r="804" spans="1:24">
      <c r="A804">
        <v>1</v>
      </c>
      <c r="B804">
        <v>3</v>
      </c>
      <c r="C804">
        <f t="shared" ca="1" si="209"/>
        <v>8</v>
      </c>
      <c r="D804">
        <f t="shared" ca="1" si="210"/>
        <v>6</v>
      </c>
      <c r="E804">
        <f t="shared" ca="1" si="211"/>
        <v>1</v>
      </c>
      <c r="F804" s="100">
        <f t="shared" ca="1" si="212"/>
        <v>4.2544200000000001E-3</v>
      </c>
      <c r="G804">
        <v>0</v>
      </c>
      <c r="H804">
        <v>0</v>
      </c>
      <c r="I804">
        <v>2</v>
      </c>
      <c r="J804" s="1">
        <f t="shared" ca="1" si="213"/>
        <v>1.4701500000000082E-11</v>
      </c>
      <c r="K804" s="1">
        <f t="shared" ca="1" si="214"/>
        <v>6.2546355630000351E-14</v>
      </c>
      <c r="L804" s="13">
        <f t="shared" ca="1" si="215"/>
        <v>100</v>
      </c>
      <c r="M804" s="7">
        <f t="shared" ca="1" si="216"/>
        <v>900</v>
      </c>
      <c r="N804" s="43">
        <f t="shared" ca="1" si="217"/>
        <v>8</v>
      </c>
      <c r="O804" s="92">
        <f t="shared" ca="1" si="218"/>
        <v>3.5531918581169131</v>
      </c>
      <c r="P804" s="92">
        <f t="shared" ca="1" si="219"/>
        <v>35.531918581169137</v>
      </c>
      <c r="Q804" s="92">
        <f t="shared" ca="1" si="220"/>
        <v>35.531918581169137</v>
      </c>
      <c r="R804" s="92">
        <f t="shared" ca="1" si="221"/>
        <v>3.5531918581169135</v>
      </c>
      <c r="S804" s="92">
        <f t="shared" ca="1" si="222"/>
        <v>3.5531918581169126</v>
      </c>
      <c r="T804" s="4">
        <f t="shared" ca="1" si="223"/>
        <v>2.2223920157940216E-13</v>
      </c>
      <c r="U804" s="99">
        <f t="shared" ca="1" si="224"/>
        <v>1358.9440426620492</v>
      </c>
      <c r="V804" s="4">
        <f t="shared" ca="1" si="225"/>
        <v>8.4996997373610905E-11</v>
      </c>
      <c r="W804" s="13">
        <f t="shared" ca="1" si="226"/>
        <v>12034.144237499999</v>
      </c>
      <c r="X804" s="4">
        <f t="shared" ca="1" si="227"/>
        <v>7.5269186518139435E-10</v>
      </c>
    </row>
    <row r="805" spans="1:24">
      <c r="A805">
        <v>1</v>
      </c>
      <c r="B805">
        <v>3</v>
      </c>
      <c r="C805">
        <f t="shared" ca="1" si="209"/>
        <v>8</v>
      </c>
      <c r="D805">
        <f t="shared" ca="1" si="210"/>
        <v>6</v>
      </c>
      <c r="E805">
        <f t="shared" ca="1" si="211"/>
        <v>1</v>
      </c>
      <c r="F805" s="100">
        <f t="shared" ca="1" si="212"/>
        <v>4.2544200000000001E-3</v>
      </c>
      <c r="G805">
        <v>0</v>
      </c>
      <c r="H805">
        <v>0</v>
      </c>
      <c r="I805">
        <v>1</v>
      </c>
      <c r="J805" s="1">
        <f t="shared" ca="1" si="213"/>
        <v>5.9400000000000383E-14</v>
      </c>
      <c r="K805" s="1">
        <f t="shared" ca="1" si="214"/>
        <v>2.5271254800000164E-16</v>
      </c>
      <c r="L805" s="13">
        <f t="shared" ca="1" si="215"/>
        <v>100</v>
      </c>
      <c r="M805" s="7">
        <f t="shared" ca="1" si="216"/>
        <v>900</v>
      </c>
      <c r="N805" s="43">
        <f t="shared" ca="1" si="217"/>
        <v>8</v>
      </c>
      <c r="O805" s="92">
        <f t="shared" ca="1" si="218"/>
        <v>3.5531918581169131</v>
      </c>
      <c r="P805" s="92">
        <f t="shared" ca="1" si="219"/>
        <v>35.531918581169137</v>
      </c>
      <c r="Q805" s="92">
        <f t="shared" ca="1" si="220"/>
        <v>35.531918581169137</v>
      </c>
      <c r="R805" s="92">
        <f t="shared" ca="1" si="221"/>
        <v>3.5531918581169135</v>
      </c>
      <c r="S805" s="92">
        <f t="shared" ca="1" si="222"/>
        <v>3.5531918581169126</v>
      </c>
      <c r="T805" s="4">
        <f t="shared" ca="1" si="223"/>
        <v>8.9793616799758531E-16</v>
      </c>
      <c r="U805" s="99">
        <f t="shared" ca="1" si="224"/>
        <v>1358.9440426620492</v>
      </c>
      <c r="V805" s="4">
        <f t="shared" ca="1" si="225"/>
        <v>3.4342221161054939E-13</v>
      </c>
      <c r="W805" s="13">
        <f t="shared" ca="1" si="226"/>
        <v>6017.0721187499994</v>
      </c>
      <c r="X805" s="4">
        <f t="shared" ca="1" si="227"/>
        <v>1.5205896266290808E-12</v>
      </c>
    </row>
    <row r="806" spans="1:24">
      <c r="A806">
        <v>1</v>
      </c>
      <c r="B806">
        <v>3</v>
      </c>
      <c r="C806">
        <f t="shared" ca="1" si="209"/>
        <v>8</v>
      </c>
      <c r="D806">
        <f t="shared" ca="1" si="210"/>
        <v>6</v>
      </c>
      <c r="E806">
        <f t="shared" ca="1" si="211"/>
        <v>1</v>
      </c>
      <c r="F806" s="100">
        <f t="shared" ca="1" si="212"/>
        <v>4.2544200000000001E-3</v>
      </c>
      <c r="G806">
        <v>0</v>
      </c>
      <c r="H806">
        <v>0</v>
      </c>
      <c r="I806">
        <v>0</v>
      </c>
      <c r="J806" s="1">
        <f t="shared" ca="1" si="213"/>
        <v>1.0000000000000073E-16</v>
      </c>
      <c r="K806" s="1">
        <f t="shared" ca="1" si="214"/>
        <v>4.254420000000031E-19</v>
      </c>
      <c r="L806" s="13">
        <f t="shared" ca="1" si="215"/>
        <v>100</v>
      </c>
      <c r="M806" s="7">
        <f t="shared" ca="1" si="216"/>
        <v>900</v>
      </c>
      <c r="N806" s="43">
        <f t="shared" ca="1" si="217"/>
        <v>8</v>
      </c>
      <c r="O806" s="92">
        <f t="shared" ca="1" si="218"/>
        <v>3.5531918581169131</v>
      </c>
      <c r="P806" s="92">
        <f t="shared" ca="1" si="219"/>
        <v>35.531918581169137</v>
      </c>
      <c r="Q806" s="92">
        <f t="shared" ca="1" si="220"/>
        <v>35.531918581169137</v>
      </c>
      <c r="R806" s="92">
        <f t="shared" ca="1" si="221"/>
        <v>3.5531918581169135</v>
      </c>
      <c r="S806" s="92">
        <f t="shared" ca="1" si="222"/>
        <v>3.5531918581169126</v>
      </c>
      <c r="T806" s="4">
        <f t="shared" ca="1" si="223"/>
        <v>1.5116770505009867E-18</v>
      </c>
      <c r="U806" s="99">
        <f t="shared" ca="1" si="224"/>
        <v>1358.9440426620492</v>
      </c>
      <c r="V806" s="4">
        <f t="shared" ca="1" si="225"/>
        <v>5.7815187139823179E-16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ca="1" si="228">MIN(8, 1+$B$543+$B$542+A807+B807)</f>
        <v>6</v>
      </c>
      <c r="D807">
        <f t="shared" ref="D807:D870" ca="1" si="229">C807-(1+$B$543)</f>
        <v>4</v>
      </c>
      <c r="E807">
        <f t="shared" ref="E807:E870" ca="1" si="230">MIN(A807, C807-(1+$B$543+$B$542))</f>
        <v>2</v>
      </c>
      <c r="F807" s="100">
        <f t="shared" ref="F807:F870" ca="1" si="231">IF(A807=3, $E$538, IF(A807=2, (1-$E$538)*$E$537 + (1-$E$538)*(1-$E$537)*(1-$E$536)*Set2AM3*Set2AM33, IF(A807=1, (1-$E$538)*(1-$E$537)*$E$536 + (1-$E$538)*(1-$E$537)*(1-$E$536)*Set2AM3*Set2AM32, (1-$E$538)*(1-$E$537)*(1-$E$536)*(1-Set2AM3)))) * IF($B$542+$B$543&gt;0, IF(B807=3, $E$538, IF(B807=2, (1-$E$538)*$E$537, IF(B807=1, (1-$E$538)*(1-$E$537)*$E$536, (1-$E$538)*(1-$E$537)*(1-$E$536)))), IF(B807=0, 1, 0))</f>
        <v>9.40260188E-2</v>
      </c>
      <c r="G807">
        <v>1</v>
      </c>
      <c r="H807">
        <v>1</v>
      </c>
      <c r="I807">
        <v>7</v>
      </c>
      <c r="J807" s="1">
        <f t="shared" ref="J807:J870" ca="1" si="232">IF($B$541&lt;100%, POWER($B$541,G807)*POWER(1-$B$541, 1-G807), 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422</v>
      </c>
      <c r="M807" s="7">
        <f t="shared" ref="M807:M870" ca="1" si="235">MAX(Set2MinTP-(L807+Set2Regain), 0)</f>
        <v>578</v>
      </c>
      <c r="N807" s="43">
        <f t="shared" ref="N807:N870" ca="1" si="236">CEILING(M807/Set2MeleeTP, 1)</f>
        <v>5</v>
      </c>
      <c r="O807" s="92">
        <f t="shared" ref="O807:O870" ca="1" si="237">VLOOKUP(N807, AvgRoundsSet2, 2)</f>
        <v>2.4432565128993144</v>
      </c>
      <c r="P807" s="92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24.432565128993144</v>
      </c>
      <c r="Q807" s="92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24.432565128993144</v>
      </c>
      <c r="R807" s="92">
        <f t="shared" ref="R807:R870" ca="1" si="240">(P807+Q807)/20</f>
        <v>2.4432565128993144</v>
      </c>
      <c r="S807" s="92">
        <f t="shared" ref="S807:S870" ca="1" si="241">R807*Set2ConserveTP + O807*(1-Set2ConserveTP)</f>
        <v>2.4432565128993144</v>
      </c>
      <c r="T807" s="4">
        <f t="shared" ref="T807:T870" ca="1" si="242">K807*S807</f>
        <v>0</v>
      </c>
      <c r="U807" s="99">
        <f t="shared" ref="U807:U870" ca="1" si="243">MIN(L807+(S807+Set2OverTP)*AvgHitsPerRound2*Set2MeleeTP + Set2Regain + 10.5*Set2ConserveTP, 3000)</f>
        <v>1336.3931955743851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54281.8901625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ca="1" si="228"/>
        <v>6</v>
      </c>
      <c r="D808">
        <f t="shared" ca="1" si="229"/>
        <v>4</v>
      </c>
      <c r="E808">
        <f t="shared" ca="1" si="230"/>
        <v>2</v>
      </c>
      <c r="F808" s="100">
        <f t="shared" ca="1" si="231"/>
        <v>9.40260188E-2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400</v>
      </c>
      <c r="M808" s="7">
        <f t="shared" ca="1" si="235"/>
        <v>600</v>
      </c>
      <c r="N808" s="43">
        <f t="shared" ca="1" si="236"/>
        <v>5</v>
      </c>
      <c r="O808" s="92">
        <f t="shared" ca="1" si="237"/>
        <v>2.4432565128993144</v>
      </c>
      <c r="P808" s="92">
        <f t="shared" ca="1" si="238"/>
        <v>24.432565128993144</v>
      </c>
      <c r="Q808" s="92">
        <f t="shared" ca="1" si="239"/>
        <v>24.432565128993144</v>
      </c>
      <c r="R808" s="92">
        <f t="shared" ca="1" si="240"/>
        <v>2.4432565128993144</v>
      </c>
      <c r="S808" s="92">
        <f t="shared" ca="1" si="241"/>
        <v>2.4432565128993144</v>
      </c>
      <c r="T808" s="4">
        <f t="shared" ca="1" si="242"/>
        <v>0</v>
      </c>
      <c r="U808" s="99">
        <f t="shared" ca="1" si="243"/>
        <v>1314.3931955743851</v>
      </c>
      <c r="V808" s="4">
        <f t="shared" ca="1" si="244"/>
        <v>0</v>
      </c>
      <c r="W808" s="13">
        <f t="shared" ca="1" si="245"/>
        <v>48264.818043749998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ca="1" si="228"/>
        <v>6</v>
      </c>
      <c r="D809">
        <f t="shared" ca="1" si="229"/>
        <v>4</v>
      </c>
      <c r="E809">
        <f t="shared" ca="1" si="230"/>
        <v>2</v>
      </c>
      <c r="F809" s="100">
        <f t="shared" ca="1" si="231"/>
        <v>9.40260188E-2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378</v>
      </c>
      <c r="M809" s="7">
        <f t="shared" ca="1" si="235"/>
        <v>622</v>
      </c>
      <c r="N809" s="43">
        <f t="shared" ca="1" si="236"/>
        <v>5</v>
      </c>
      <c r="O809" s="92">
        <f t="shared" ca="1" si="237"/>
        <v>2.4432565128993144</v>
      </c>
      <c r="P809" s="92">
        <f t="shared" ca="1" si="238"/>
        <v>24.432565128993144</v>
      </c>
      <c r="Q809" s="92">
        <f t="shared" ca="1" si="239"/>
        <v>24.432565128993144</v>
      </c>
      <c r="R809" s="92">
        <f t="shared" ca="1" si="240"/>
        <v>2.4432565128993144</v>
      </c>
      <c r="S809" s="92">
        <f t="shared" ca="1" si="241"/>
        <v>2.4432565128993144</v>
      </c>
      <c r="T809" s="4">
        <f t="shared" ca="1" si="242"/>
        <v>0</v>
      </c>
      <c r="U809" s="99">
        <f t="shared" ca="1" si="243"/>
        <v>1292.3931955743851</v>
      </c>
      <c r="V809" s="4">
        <f t="shared" ca="1" si="244"/>
        <v>0</v>
      </c>
      <c r="W809" s="13">
        <f t="shared" ca="1" si="245"/>
        <v>42247.745924999996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ca="1" si="228"/>
        <v>6</v>
      </c>
      <c r="D810">
        <f t="shared" ca="1" si="229"/>
        <v>4</v>
      </c>
      <c r="E810">
        <f t="shared" ca="1" si="230"/>
        <v>2</v>
      </c>
      <c r="F810" s="100">
        <f t="shared" ca="1" si="231"/>
        <v>9.40260188E-2</v>
      </c>
      <c r="G810">
        <v>1</v>
      </c>
      <c r="H810">
        <v>1</v>
      </c>
      <c r="I810">
        <v>4</v>
      </c>
      <c r="J810" s="1">
        <f t="shared" ca="1" si="232"/>
        <v>0.94148014940099989</v>
      </c>
      <c r="K810" s="1">
        <f t="shared" ca="1" si="233"/>
        <v>8.8523630227405226E-2</v>
      </c>
      <c r="L810" s="13">
        <f t="shared" ca="1" si="234"/>
        <v>356</v>
      </c>
      <c r="M810" s="7">
        <f t="shared" ca="1" si="235"/>
        <v>644</v>
      </c>
      <c r="N810" s="43">
        <f t="shared" ca="1" si="236"/>
        <v>6</v>
      </c>
      <c r="O810" s="92">
        <f t="shared" ca="1" si="237"/>
        <v>2.7275117780454798</v>
      </c>
      <c r="P810" s="92">
        <f t="shared" ca="1" si="238"/>
        <v>27.275117780454792</v>
      </c>
      <c r="Q810" s="92">
        <f t="shared" ca="1" si="239"/>
        <v>26.706607250162463</v>
      </c>
      <c r="R810" s="92">
        <f t="shared" ca="1" si="240"/>
        <v>2.6990862515308627</v>
      </c>
      <c r="S810" s="92">
        <f t="shared" ca="1" si="241"/>
        <v>2.7255219911894564</v>
      </c>
      <c r="T810" s="4">
        <f t="shared" ca="1" si="242"/>
        <v>0.24127310092471663</v>
      </c>
      <c r="U810" s="99">
        <f t="shared" ca="1" si="243"/>
        <v>1358.0152449734937</v>
      </c>
      <c r="V810" s="4">
        <f t="shared" ca="1" si="244"/>
        <v>120.21643938921268</v>
      </c>
      <c r="W810" s="13">
        <f t="shared" ca="1" si="245"/>
        <v>36230.673806249994</v>
      </c>
      <c r="X810" s="4">
        <f t="shared" ca="1" si="246"/>
        <v>3207.2707709142105</v>
      </c>
    </row>
    <row r="811" spans="1:24">
      <c r="A811">
        <v>2</v>
      </c>
      <c r="B811">
        <v>0</v>
      </c>
      <c r="C811">
        <f t="shared" ca="1" si="228"/>
        <v>6</v>
      </c>
      <c r="D811">
        <f t="shared" ca="1" si="229"/>
        <v>4</v>
      </c>
      <c r="E811">
        <f t="shared" ca="1" si="230"/>
        <v>2</v>
      </c>
      <c r="F811" s="100">
        <f t="shared" ca="1" si="231"/>
        <v>9.40260188E-2</v>
      </c>
      <c r="G811">
        <v>1</v>
      </c>
      <c r="H811">
        <v>1</v>
      </c>
      <c r="I811">
        <v>3</v>
      </c>
      <c r="J811" s="1">
        <f t="shared" ca="1" si="232"/>
        <v>3.8039601996000032E-2</v>
      </c>
      <c r="K811" s="1">
        <f t="shared" ca="1" si="233"/>
        <v>3.5767123324204164E-3</v>
      </c>
      <c r="L811" s="13">
        <f t="shared" ca="1" si="234"/>
        <v>334</v>
      </c>
      <c r="M811" s="7">
        <f t="shared" ca="1" si="235"/>
        <v>666</v>
      </c>
      <c r="N811" s="43">
        <f t="shared" ca="1" si="236"/>
        <v>6</v>
      </c>
      <c r="O811" s="92">
        <f t="shared" ca="1" si="237"/>
        <v>2.7275117780454798</v>
      </c>
      <c r="P811" s="92">
        <f t="shared" ca="1" si="238"/>
        <v>27.275117780454792</v>
      </c>
      <c r="Q811" s="92">
        <f t="shared" ca="1" si="239"/>
        <v>27.275117780454792</v>
      </c>
      <c r="R811" s="92">
        <f t="shared" ca="1" si="240"/>
        <v>2.7275117780454794</v>
      </c>
      <c r="S811" s="92">
        <f t="shared" ca="1" si="241"/>
        <v>2.7275117780454794</v>
      </c>
      <c r="T811" s="4">
        <f t="shared" ca="1" si="242"/>
        <v>9.7555250133572035E-3</v>
      </c>
      <c r="U811" s="99">
        <f t="shared" ca="1" si="243"/>
        <v>1336.6329230659346</v>
      </c>
      <c r="V811" s="4">
        <f t="shared" ca="1" si="244"/>
        <v>4.7807514598490783</v>
      </c>
      <c r="W811" s="13">
        <f t="shared" ca="1" si="245"/>
        <v>30213.601687499999</v>
      </c>
      <c r="X811" s="4">
        <f t="shared" ca="1" si="246"/>
        <v>108.06536176251954</v>
      </c>
    </row>
    <row r="812" spans="1:24">
      <c r="A812">
        <v>2</v>
      </c>
      <c r="B812">
        <v>0</v>
      </c>
      <c r="C812">
        <f t="shared" ca="1" si="228"/>
        <v>6</v>
      </c>
      <c r="D812">
        <f t="shared" ca="1" si="229"/>
        <v>4</v>
      </c>
      <c r="E812">
        <f t="shared" ca="1" si="230"/>
        <v>2</v>
      </c>
      <c r="F812" s="100">
        <f t="shared" ca="1" si="231"/>
        <v>9.40260188E-2</v>
      </c>
      <c r="G812">
        <v>1</v>
      </c>
      <c r="H812">
        <v>1</v>
      </c>
      <c r="I812">
        <v>2</v>
      </c>
      <c r="J812" s="1">
        <f t="shared" ca="1" si="232"/>
        <v>5.7635760600000105E-4</v>
      </c>
      <c r="K812" s="1">
        <f t="shared" ca="1" si="233"/>
        <v>5.4192611097279088E-5</v>
      </c>
      <c r="L812" s="13">
        <f t="shared" ca="1" si="234"/>
        <v>312</v>
      </c>
      <c r="M812" s="7">
        <f t="shared" ca="1" si="235"/>
        <v>688</v>
      </c>
      <c r="N812" s="43">
        <f t="shared" ca="1" si="236"/>
        <v>6</v>
      </c>
      <c r="O812" s="92">
        <f t="shared" ca="1" si="237"/>
        <v>2.7275117780454798</v>
      </c>
      <c r="P812" s="92">
        <f t="shared" ca="1" si="238"/>
        <v>27.275117780454792</v>
      </c>
      <c r="Q812" s="92">
        <f t="shared" ca="1" si="239"/>
        <v>27.275117780454792</v>
      </c>
      <c r="R812" s="92">
        <f t="shared" ca="1" si="240"/>
        <v>2.7275117780454794</v>
      </c>
      <c r="S812" s="92">
        <f t="shared" ca="1" si="241"/>
        <v>2.7275117780454794</v>
      </c>
      <c r="T812" s="4">
        <f t="shared" ca="1" si="242"/>
        <v>1.4781098505086687E-4</v>
      </c>
      <c r="U812" s="99">
        <f t="shared" ca="1" si="243"/>
        <v>1314.6329230659346</v>
      </c>
      <c r="V812" s="4">
        <f t="shared" ca="1" si="244"/>
        <v>7.1243390735391418E-2</v>
      </c>
      <c r="W812" s="13">
        <f t="shared" ca="1" si="245"/>
        <v>24196.529568749997</v>
      </c>
      <c r="X812" s="4">
        <f t="shared" ca="1" si="246"/>
        <v>1.3112731168230827</v>
      </c>
    </row>
    <row r="813" spans="1:24">
      <c r="A813">
        <v>2</v>
      </c>
      <c r="B813">
        <v>0</v>
      </c>
      <c r="C813">
        <f t="shared" ca="1" si="228"/>
        <v>6</v>
      </c>
      <c r="D813">
        <f t="shared" ca="1" si="229"/>
        <v>4</v>
      </c>
      <c r="E813">
        <f t="shared" ca="1" si="230"/>
        <v>2</v>
      </c>
      <c r="F813" s="100">
        <f t="shared" ca="1" si="231"/>
        <v>9.40260188E-2</v>
      </c>
      <c r="G813">
        <v>1</v>
      </c>
      <c r="H813">
        <v>1</v>
      </c>
      <c r="I813">
        <v>1</v>
      </c>
      <c r="J813" s="1">
        <f t="shared" ca="1" si="232"/>
        <v>3.8811960000000103E-6</v>
      </c>
      <c r="K813" s="1">
        <f t="shared" ca="1" si="233"/>
        <v>3.6493340806248578E-7</v>
      </c>
      <c r="L813" s="13">
        <f t="shared" ca="1" si="234"/>
        <v>290</v>
      </c>
      <c r="M813" s="7">
        <f t="shared" ca="1" si="235"/>
        <v>710</v>
      </c>
      <c r="N813" s="43">
        <f t="shared" ca="1" si="236"/>
        <v>6</v>
      </c>
      <c r="O813" s="92">
        <f t="shared" ca="1" si="237"/>
        <v>2.7275117780454798</v>
      </c>
      <c r="P813" s="92">
        <f t="shared" ca="1" si="238"/>
        <v>27.275117780454792</v>
      </c>
      <c r="Q813" s="92">
        <f t="shared" ca="1" si="239"/>
        <v>27.275117780454792</v>
      </c>
      <c r="R813" s="92">
        <f t="shared" ca="1" si="240"/>
        <v>2.7275117780454794</v>
      </c>
      <c r="S813" s="92">
        <f t="shared" ca="1" si="241"/>
        <v>2.7275117780454794</v>
      </c>
      <c r="T813" s="4">
        <f t="shared" ca="1" si="242"/>
        <v>9.9536016869270711E-7</v>
      </c>
      <c r="U813" s="99">
        <f t="shared" ca="1" si="243"/>
        <v>1292.6329230659346</v>
      </c>
      <c r="V813" s="4">
        <f t="shared" ca="1" si="244"/>
        <v>4.717249379882245E-4</v>
      </c>
      <c r="W813" s="13">
        <f t="shared" ca="1" si="245"/>
        <v>18179.457449999998</v>
      </c>
      <c r="X813" s="4">
        <f t="shared" ca="1" si="246"/>
        <v>6.6342913639554461E-3</v>
      </c>
    </row>
    <row r="814" spans="1:24">
      <c r="A814">
        <v>2</v>
      </c>
      <c r="B814">
        <v>0</v>
      </c>
      <c r="C814">
        <f t="shared" ca="1" si="228"/>
        <v>6</v>
      </c>
      <c r="D814">
        <f t="shared" ca="1" si="229"/>
        <v>4</v>
      </c>
      <c r="E814">
        <f t="shared" ca="1" si="230"/>
        <v>2</v>
      </c>
      <c r="F814" s="100">
        <f t="shared" ca="1" si="231"/>
        <v>9.40260188E-2</v>
      </c>
      <c r="G814">
        <v>1</v>
      </c>
      <c r="H814">
        <v>1</v>
      </c>
      <c r="I814">
        <v>0</v>
      </c>
      <c r="J814" s="1">
        <f t="shared" ca="1" si="232"/>
        <v>9.8010000000000359E-9</v>
      </c>
      <c r="K814" s="1">
        <f t="shared" ca="1" si="233"/>
        <v>9.2154901025880333E-10</v>
      </c>
      <c r="L814" s="13">
        <f t="shared" ca="1" si="234"/>
        <v>268</v>
      </c>
      <c r="M814" s="7">
        <f t="shared" ca="1" si="235"/>
        <v>732</v>
      </c>
      <c r="N814" s="43">
        <f t="shared" ca="1" si="236"/>
        <v>6</v>
      </c>
      <c r="O814" s="92">
        <f t="shared" ca="1" si="237"/>
        <v>2.7275117780454798</v>
      </c>
      <c r="P814" s="92">
        <f t="shared" ca="1" si="238"/>
        <v>27.275117780454792</v>
      </c>
      <c r="Q814" s="92">
        <f t="shared" ca="1" si="239"/>
        <v>27.275117780454792</v>
      </c>
      <c r="R814" s="92">
        <f t="shared" ca="1" si="240"/>
        <v>2.7275117780454794</v>
      </c>
      <c r="S814" s="92">
        <f t="shared" ca="1" si="241"/>
        <v>2.7275117780454794</v>
      </c>
      <c r="T814" s="4">
        <f t="shared" ca="1" si="242"/>
        <v>2.5135357795270403E-9</v>
      </c>
      <c r="U814" s="99">
        <f t="shared" ca="1" si="243"/>
        <v>1270.6329230659346</v>
      </c>
      <c r="V814" s="4">
        <f t="shared" ca="1" si="244"/>
        <v>1.1709505126536623E-6</v>
      </c>
      <c r="W814" s="13">
        <f t="shared" ca="1" si="245"/>
        <v>12162.38533125</v>
      </c>
      <c r="X814" s="4">
        <f t="shared" ca="1" si="246"/>
        <v>1.1208234164399625E-5</v>
      </c>
    </row>
    <row r="815" spans="1:24">
      <c r="A815">
        <v>2</v>
      </c>
      <c r="B815">
        <v>0</v>
      </c>
      <c r="C815">
        <f t="shared" ca="1" si="228"/>
        <v>6</v>
      </c>
      <c r="D815">
        <f t="shared" ca="1" si="229"/>
        <v>4</v>
      </c>
      <c r="E815">
        <f t="shared" ca="1" si="230"/>
        <v>2</v>
      </c>
      <c r="F815" s="100">
        <f t="shared" ca="1" si="231"/>
        <v>9.40260188E-2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288</v>
      </c>
      <c r="M815" s="7">
        <f t="shared" ca="1" si="235"/>
        <v>712</v>
      </c>
      <c r="N815" s="43">
        <f t="shared" ca="1" si="236"/>
        <v>6</v>
      </c>
      <c r="O815" s="92">
        <f t="shared" ca="1" si="237"/>
        <v>2.7275117780454798</v>
      </c>
      <c r="P815" s="92">
        <f t="shared" ca="1" si="238"/>
        <v>27.275117780454792</v>
      </c>
      <c r="Q815" s="92">
        <f t="shared" ca="1" si="239"/>
        <v>27.275117780454792</v>
      </c>
      <c r="R815" s="92">
        <f t="shared" ca="1" si="240"/>
        <v>2.7275117780454794</v>
      </c>
      <c r="S815" s="92">
        <f t="shared" ca="1" si="241"/>
        <v>2.7275117780454794</v>
      </c>
      <c r="T815" s="4">
        <f t="shared" ca="1" si="242"/>
        <v>0</v>
      </c>
      <c r="U815" s="99">
        <f t="shared" ca="1" si="243"/>
        <v>1290.6329230659346</v>
      </c>
      <c r="V815" s="4">
        <f t="shared" ca="1" si="244"/>
        <v>0</v>
      </c>
      <c r="W815" s="13">
        <f t="shared" ca="1" si="245"/>
        <v>48136.576950000002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ca="1" si="228"/>
        <v>6</v>
      </c>
      <c r="D816">
        <f t="shared" ca="1" si="229"/>
        <v>4</v>
      </c>
      <c r="E816">
        <f t="shared" ca="1" si="230"/>
        <v>2</v>
      </c>
      <c r="F816" s="100">
        <f t="shared" ca="1" si="231"/>
        <v>9.40260188E-2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266</v>
      </c>
      <c r="M816" s="7">
        <f t="shared" ca="1" si="235"/>
        <v>734</v>
      </c>
      <c r="N816" s="43">
        <f t="shared" ca="1" si="236"/>
        <v>6</v>
      </c>
      <c r="O816" s="92">
        <f t="shared" ca="1" si="237"/>
        <v>2.7275117780454798</v>
      </c>
      <c r="P816" s="92">
        <f t="shared" ca="1" si="238"/>
        <v>27.275117780454792</v>
      </c>
      <c r="Q816" s="92">
        <f t="shared" ca="1" si="239"/>
        <v>27.275117780454792</v>
      </c>
      <c r="R816" s="92">
        <f t="shared" ca="1" si="240"/>
        <v>2.7275117780454794</v>
      </c>
      <c r="S816" s="92">
        <f t="shared" ca="1" si="241"/>
        <v>2.7275117780454794</v>
      </c>
      <c r="T816" s="4">
        <f t="shared" ca="1" si="242"/>
        <v>0</v>
      </c>
      <c r="U816" s="99">
        <f t="shared" ca="1" si="243"/>
        <v>1268.6329230659346</v>
      </c>
      <c r="V816" s="4">
        <f t="shared" ca="1" si="244"/>
        <v>0</v>
      </c>
      <c r="W816" s="13">
        <f t="shared" ca="1" si="245"/>
        <v>42119.50483125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ca="1" si="228"/>
        <v>6</v>
      </c>
      <c r="D817">
        <f t="shared" ca="1" si="229"/>
        <v>4</v>
      </c>
      <c r="E817">
        <f t="shared" ca="1" si="230"/>
        <v>2</v>
      </c>
      <c r="F817" s="100">
        <f t="shared" ca="1" si="231"/>
        <v>9.40260188E-2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244</v>
      </c>
      <c r="M817" s="7">
        <f t="shared" ca="1" si="235"/>
        <v>756</v>
      </c>
      <c r="N817" s="43">
        <f t="shared" ca="1" si="236"/>
        <v>7</v>
      </c>
      <c r="O817" s="92">
        <f t="shared" ca="1" si="237"/>
        <v>3.2214900588145507</v>
      </c>
      <c r="P817" s="92">
        <f t="shared" ca="1" si="238"/>
        <v>29.745009184300148</v>
      </c>
      <c r="Q817" s="92">
        <f t="shared" ca="1" si="239"/>
        <v>27.275117780454792</v>
      </c>
      <c r="R817" s="92">
        <f t="shared" ca="1" si="240"/>
        <v>2.851006348237747</v>
      </c>
      <c r="S817" s="92">
        <f t="shared" ca="1" si="241"/>
        <v>3.1955561990741743</v>
      </c>
      <c r="T817" s="4">
        <f t="shared" ca="1" si="242"/>
        <v>0</v>
      </c>
      <c r="U817" s="99">
        <f t="shared" ca="1" si="243"/>
        <v>1391.9252614304514</v>
      </c>
      <c r="V817" s="4">
        <f t="shared" ca="1" si="244"/>
        <v>0</v>
      </c>
      <c r="W817" s="13">
        <f t="shared" ca="1" si="245"/>
        <v>36102.432712499998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ca="1" si="228"/>
        <v>6</v>
      </c>
      <c r="D818">
        <f t="shared" ca="1" si="229"/>
        <v>4</v>
      </c>
      <c r="E818">
        <f t="shared" ca="1" si="230"/>
        <v>2</v>
      </c>
      <c r="F818" s="100">
        <f t="shared" ca="1" si="231"/>
        <v>9.40260188E-2</v>
      </c>
      <c r="G818">
        <v>1</v>
      </c>
      <c r="H818">
        <v>0</v>
      </c>
      <c r="I818">
        <v>4</v>
      </c>
      <c r="J818" s="1">
        <f t="shared" ca="1" si="232"/>
        <v>9.5099004990000079E-3</v>
      </c>
      <c r="K818" s="1">
        <f t="shared" ca="1" si="233"/>
        <v>8.941780831051041E-4</v>
      </c>
      <c r="L818" s="13">
        <f t="shared" ca="1" si="234"/>
        <v>222</v>
      </c>
      <c r="M818" s="7">
        <f t="shared" ca="1" si="235"/>
        <v>778</v>
      </c>
      <c r="N818" s="43">
        <f t="shared" ca="1" si="236"/>
        <v>7</v>
      </c>
      <c r="O818" s="92">
        <f t="shared" ca="1" si="237"/>
        <v>3.2214900588145507</v>
      </c>
      <c r="P818" s="92">
        <f t="shared" ca="1" si="238"/>
        <v>32.214900588145518</v>
      </c>
      <c r="Q818" s="92">
        <f t="shared" ca="1" si="239"/>
        <v>32.214900588145518</v>
      </c>
      <c r="R818" s="92">
        <f t="shared" ca="1" si="240"/>
        <v>3.2214900588145516</v>
      </c>
      <c r="S818" s="92">
        <f t="shared" ca="1" si="241"/>
        <v>3.2214900588145507</v>
      </c>
      <c r="T818" s="4">
        <f t="shared" ca="1" si="242"/>
        <v>2.8805858055329439E-3</v>
      </c>
      <c r="U818" s="99">
        <f t="shared" ca="1" si="243"/>
        <v>1377.9757603899629</v>
      </c>
      <c r="V818" s="4">
        <f t="shared" ca="1" si="244"/>
        <v>1.2321557239907952</v>
      </c>
      <c r="W818" s="13">
        <f t="shared" ca="1" si="245"/>
        <v>30085.360593749996</v>
      </c>
      <c r="X818" s="4">
        <f t="shared" ca="1" si="246"/>
        <v>26.901670065245209</v>
      </c>
    </row>
    <row r="819" spans="1:24">
      <c r="A819">
        <v>2</v>
      </c>
      <c r="B819">
        <v>0</v>
      </c>
      <c r="C819">
        <f t="shared" ca="1" si="228"/>
        <v>6</v>
      </c>
      <c r="D819">
        <f t="shared" ca="1" si="229"/>
        <v>4</v>
      </c>
      <c r="E819">
        <f t="shared" ca="1" si="230"/>
        <v>2</v>
      </c>
      <c r="F819" s="100">
        <f t="shared" ca="1" si="231"/>
        <v>9.40260188E-2</v>
      </c>
      <c r="G819">
        <v>1</v>
      </c>
      <c r="H819">
        <v>0</v>
      </c>
      <c r="I819">
        <v>3</v>
      </c>
      <c r="J819" s="1">
        <f t="shared" ca="1" si="232"/>
        <v>3.8423840400000073E-4</v>
      </c>
      <c r="K819" s="1">
        <f t="shared" ca="1" si="233"/>
        <v>3.6128407398186066E-5</v>
      </c>
      <c r="L819" s="13">
        <f t="shared" ca="1" si="234"/>
        <v>200</v>
      </c>
      <c r="M819" s="7">
        <f t="shared" ca="1" si="235"/>
        <v>800</v>
      </c>
      <c r="N819" s="43">
        <f t="shared" ca="1" si="236"/>
        <v>7</v>
      </c>
      <c r="O819" s="92">
        <f t="shared" ca="1" si="237"/>
        <v>3.2214900588145507</v>
      </c>
      <c r="P819" s="92">
        <f t="shared" ca="1" si="238"/>
        <v>32.214900588145518</v>
      </c>
      <c r="Q819" s="92">
        <f t="shared" ca="1" si="239"/>
        <v>32.214900588145518</v>
      </c>
      <c r="R819" s="92">
        <f t="shared" ca="1" si="240"/>
        <v>3.2214900588145516</v>
      </c>
      <c r="S819" s="92">
        <f t="shared" ca="1" si="241"/>
        <v>3.2214900588145507</v>
      </c>
      <c r="T819" s="4">
        <f t="shared" ca="1" si="242"/>
        <v>1.1638730527405848E-4</v>
      </c>
      <c r="U819" s="99">
        <f t="shared" ca="1" si="243"/>
        <v>1355.9757603899629</v>
      </c>
      <c r="V819" s="4">
        <f t="shared" ca="1" si="244"/>
        <v>4.8989244693433714E-2</v>
      </c>
      <c r="W819" s="13">
        <f t="shared" ca="1" si="245"/>
        <v>24068.288474999998</v>
      </c>
      <c r="X819" s="4">
        <f t="shared" ca="1" si="246"/>
        <v>0.86954893140186629</v>
      </c>
    </row>
    <row r="820" spans="1:24">
      <c r="A820">
        <v>2</v>
      </c>
      <c r="B820">
        <v>0</v>
      </c>
      <c r="C820">
        <f t="shared" ca="1" si="228"/>
        <v>6</v>
      </c>
      <c r="D820">
        <f t="shared" ca="1" si="229"/>
        <v>4</v>
      </c>
      <c r="E820">
        <f t="shared" ca="1" si="230"/>
        <v>2</v>
      </c>
      <c r="F820" s="100">
        <f t="shared" ca="1" si="231"/>
        <v>9.40260188E-2</v>
      </c>
      <c r="G820">
        <v>1</v>
      </c>
      <c r="H820">
        <v>0</v>
      </c>
      <c r="I820">
        <v>2</v>
      </c>
      <c r="J820" s="1">
        <f t="shared" ca="1" si="232"/>
        <v>5.8217940000000154E-6</v>
      </c>
      <c r="K820" s="1">
        <f t="shared" ca="1" si="233"/>
        <v>5.4740011209372867E-7</v>
      </c>
      <c r="L820" s="13">
        <f t="shared" ca="1" si="234"/>
        <v>178</v>
      </c>
      <c r="M820" s="7">
        <f t="shared" ca="1" si="235"/>
        <v>822</v>
      </c>
      <c r="N820" s="43">
        <f t="shared" ca="1" si="236"/>
        <v>7</v>
      </c>
      <c r="O820" s="92">
        <f t="shared" ca="1" si="237"/>
        <v>3.2214900588145507</v>
      </c>
      <c r="P820" s="92">
        <f t="shared" ca="1" si="238"/>
        <v>32.214900588145518</v>
      </c>
      <c r="Q820" s="92">
        <f t="shared" ca="1" si="239"/>
        <v>32.214900588145518</v>
      </c>
      <c r="R820" s="92">
        <f t="shared" ca="1" si="240"/>
        <v>3.2214900588145516</v>
      </c>
      <c r="S820" s="92">
        <f t="shared" ca="1" si="241"/>
        <v>3.2214900588145507</v>
      </c>
      <c r="T820" s="4">
        <f t="shared" ca="1" si="242"/>
        <v>1.7634440193039176E-6</v>
      </c>
      <c r="U820" s="99">
        <f t="shared" ca="1" si="243"/>
        <v>1333.9757603899629</v>
      </c>
      <c r="V820" s="4">
        <f t="shared" ca="1" si="244"/>
        <v>7.3021848076778261E-4</v>
      </c>
      <c r="W820" s="13">
        <f t="shared" ca="1" si="245"/>
        <v>18051.216356249999</v>
      </c>
      <c r="X820" s="4">
        <f t="shared" ca="1" si="246"/>
        <v>9.8812378568393974E-3</v>
      </c>
    </row>
    <row r="821" spans="1:24">
      <c r="A821">
        <v>2</v>
      </c>
      <c r="B821">
        <v>0</v>
      </c>
      <c r="C821">
        <f t="shared" ca="1" si="228"/>
        <v>6</v>
      </c>
      <c r="D821">
        <f t="shared" ca="1" si="229"/>
        <v>4</v>
      </c>
      <c r="E821">
        <f t="shared" ca="1" si="230"/>
        <v>2</v>
      </c>
      <c r="F821" s="100">
        <f t="shared" ca="1" si="231"/>
        <v>9.40260188E-2</v>
      </c>
      <c r="G821">
        <v>1</v>
      </c>
      <c r="H821">
        <v>0</v>
      </c>
      <c r="I821">
        <v>1</v>
      </c>
      <c r="J821" s="1">
        <f t="shared" ca="1" si="232"/>
        <v>3.9204000000000137E-8</v>
      </c>
      <c r="K821" s="1">
        <f t="shared" ca="1" si="233"/>
        <v>3.6861960410352129E-9</v>
      </c>
      <c r="L821" s="13">
        <f t="shared" ca="1" si="234"/>
        <v>156</v>
      </c>
      <c r="M821" s="7">
        <f t="shared" ca="1" si="235"/>
        <v>844</v>
      </c>
      <c r="N821" s="43">
        <f t="shared" ca="1" si="236"/>
        <v>7</v>
      </c>
      <c r="O821" s="92">
        <f t="shared" ca="1" si="237"/>
        <v>3.2214900588145507</v>
      </c>
      <c r="P821" s="92">
        <f t="shared" ca="1" si="238"/>
        <v>32.214900588145518</v>
      </c>
      <c r="Q821" s="92">
        <f t="shared" ca="1" si="239"/>
        <v>32.214900588145518</v>
      </c>
      <c r="R821" s="92">
        <f t="shared" ca="1" si="240"/>
        <v>3.2214900588145516</v>
      </c>
      <c r="S821" s="92">
        <f t="shared" ca="1" si="241"/>
        <v>3.2214900588145507</v>
      </c>
      <c r="T821" s="4">
        <f t="shared" ca="1" si="242"/>
        <v>1.1875043901036492E-8</v>
      </c>
      <c r="U821" s="99">
        <f t="shared" ca="1" si="243"/>
        <v>1311.9757603899629</v>
      </c>
      <c r="V821" s="4">
        <f t="shared" ca="1" si="244"/>
        <v>4.8361998538836448E-6</v>
      </c>
      <c r="W821" s="13">
        <f t="shared" ca="1" si="245"/>
        <v>12034.144237499999</v>
      </c>
      <c r="X821" s="4">
        <f t="shared" ca="1" si="246"/>
        <v>4.4360214845519219E-5</v>
      </c>
    </row>
    <row r="822" spans="1:24">
      <c r="A822">
        <v>2</v>
      </c>
      <c r="B822">
        <v>0</v>
      </c>
      <c r="C822">
        <f t="shared" ca="1" si="228"/>
        <v>6</v>
      </c>
      <c r="D822">
        <f t="shared" ca="1" si="229"/>
        <v>4</v>
      </c>
      <c r="E822">
        <f t="shared" ca="1" si="230"/>
        <v>2</v>
      </c>
      <c r="F822" s="100">
        <f t="shared" ca="1" si="231"/>
        <v>9.40260188E-2</v>
      </c>
      <c r="G822">
        <v>1</v>
      </c>
      <c r="H822">
        <v>0</v>
      </c>
      <c r="I822">
        <v>0</v>
      </c>
      <c r="J822" s="1">
        <f t="shared" ca="1" si="232"/>
        <v>9.9000000000000459E-11</v>
      </c>
      <c r="K822" s="1">
        <f t="shared" ca="1" si="233"/>
        <v>9.3085758612000432E-12</v>
      </c>
      <c r="L822" s="13">
        <f t="shared" ca="1" si="234"/>
        <v>134</v>
      </c>
      <c r="M822" s="7">
        <f t="shared" ca="1" si="235"/>
        <v>866</v>
      </c>
      <c r="N822" s="43">
        <f t="shared" ca="1" si="236"/>
        <v>7</v>
      </c>
      <c r="O822" s="92">
        <f t="shared" ca="1" si="237"/>
        <v>3.2214900588145507</v>
      </c>
      <c r="P822" s="92">
        <f t="shared" ca="1" si="238"/>
        <v>32.214900588145518</v>
      </c>
      <c r="Q822" s="92">
        <f t="shared" ca="1" si="239"/>
        <v>32.214900588145518</v>
      </c>
      <c r="R822" s="92">
        <f t="shared" ca="1" si="240"/>
        <v>3.2214900588145516</v>
      </c>
      <c r="S822" s="92">
        <f t="shared" ca="1" si="241"/>
        <v>3.2214900588145507</v>
      </c>
      <c r="T822" s="4">
        <f t="shared" ca="1" si="242"/>
        <v>2.9987484598577036E-11</v>
      </c>
      <c r="U822" s="99">
        <f t="shared" ca="1" si="243"/>
        <v>1289.9757603899629</v>
      </c>
      <c r="V822" s="4">
        <f t="shared" ca="1" si="244"/>
        <v>1.200783722469918E-8</v>
      </c>
      <c r="W822" s="13">
        <f t="shared" ca="1" si="245"/>
        <v>6017.0721187499994</v>
      </c>
      <c r="X822" s="4">
        <f t="shared" ca="1" si="246"/>
        <v>5.6010372279696046E-8</v>
      </c>
    </row>
    <row r="823" spans="1:24">
      <c r="A823">
        <v>2</v>
      </c>
      <c r="B823">
        <v>0</v>
      </c>
      <c r="C823">
        <f t="shared" ca="1" si="228"/>
        <v>6</v>
      </c>
      <c r="D823">
        <f t="shared" ca="1" si="229"/>
        <v>4</v>
      </c>
      <c r="E823">
        <f t="shared" ca="1" si="230"/>
        <v>2</v>
      </c>
      <c r="F823" s="100">
        <f t="shared" ca="1" si="231"/>
        <v>9.40260188E-2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288</v>
      </c>
      <c r="M823" s="7">
        <f t="shared" ca="1" si="235"/>
        <v>712</v>
      </c>
      <c r="N823" s="43">
        <f t="shared" ca="1" si="236"/>
        <v>6</v>
      </c>
      <c r="O823" s="92">
        <f t="shared" ca="1" si="237"/>
        <v>2.7275117780454798</v>
      </c>
      <c r="P823" s="92">
        <f t="shared" ca="1" si="238"/>
        <v>27.275117780454792</v>
      </c>
      <c r="Q823" s="92">
        <f t="shared" ca="1" si="239"/>
        <v>27.275117780454792</v>
      </c>
      <c r="R823" s="92">
        <f t="shared" ca="1" si="240"/>
        <v>2.7275117780454794</v>
      </c>
      <c r="S823" s="92">
        <f t="shared" ca="1" si="241"/>
        <v>2.7275117780454794</v>
      </c>
      <c r="T823" s="4">
        <f t="shared" ca="1" si="242"/>
        <v>0</v>
      </c>
      <c r="U823" s="99">
        <f t="shared" ca="1" si="243"/>
        <v>1290.6329230659346</v>
      </c>
      <c r="V823" s="4">
        <f t="shared" ca="1" si="244"/>
        <v>0</v>
      </c>
      <c r="W823" s="13">
        <f t="shared" ca="1" si="245"/>
        <v>48264.818043749998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ca="1" si="228"/>
        <v>6</v>
      </c>
      <c r="D824">
        <f t="shared" ca="1" si="229"/>
        <v>4</v>
      </c>
      <c r="E824">
        <f t="shared" ca="1" si="230"/>
        <v>2</v>
      </c>
      <c r="F824" s="100">
        <f t="shared" ca="1" si="231"/>
        <v>9.40260188E-2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266</v>
      </c>
      <c r="M824" s="7">
        <f t="shared" ca="1" si="235"/>
        <v>734</v>
      </c>
      <c r="N824" s="43">
        <f t="shared" ca="1" si="236"/>
        <v>6</v>
      </c>
      <c r="O824" s="92">
        <f t="shared" ca="1" si="237"/>
        <v>2.7275117780454798</v>
      </c>
      <c r="P824" s="92">
        <f t="shared" ca="1" si="238"/>
        <v>27.275117780454792</v>
      </c>
      <c r="Q824" s="92">
        <f t="shared" ca="1" si="239"/>
        <v>27.275117780454792</v>
      </c>
      <c r="R824" s="92">
        <f t="shared" ca="1" si="240"/>
        <v>2.7275117780454794</v>
      </c>
      <c r="S824" s="92">
        <f t="shared" ca="1" si="241"/>
        <v>2.7275117780454794</v>
      </c>
      <c r="T824" s="4">
        <f t="shared" ca="1" si="242"/>
        <v>0</v>
      </c>
      <c r="U824" s="99">
        <f t="shared" ca="1" si="243"/>
        <v>1268.6329230659346</v>
      </c>
      <c r="V824" s="4">
        <f t="shared" ca="1" si="244"/>
        <v>0</v>
      </c>
      <c r="W824" s="13">
        <f t="shared" ca="1" si="245"/>
        <v>42247.745924999996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ca="1" si="228"/>
        <v>6</v>
      </c>
      <c r="D825">
        <f t="shared" ca="1" si="229"/>
        <v>4</v>
      </c>
      <c r="E825">
        <f t="shared" ca="1" si="230"/>
        <v>2</v>
      </c>
      <c r="F825" s="100">
        <f t="shared" ca="1" si="231"/>
        <v>9.40260188E-2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244</v>
      </c>
      <c r="M825" s="7">
        <f t="shared" ca="1" si="235"/>
        <v>756</v>
      </c>
      <c r="N825" s="43">
        <f t="shared" ca="1" si="236"/>
        <v>7</v>
      </c>
      <c r="O825" s="92">
        <f t="shared" ca="1" si="237"/>
        <v>3.2214900588145507</v>
      </c>
      <c r="P825" s="92">
        <f t="shared" ca="1" si="238"/>
        <v>29.745009184300148</v>
      </c>
      <c r="Q825" s="92">
        <f t="shared" ca="1" si="239"/>
        <v>27.275117780454792</v>
      </c>
      <c r="R825" s="92">
        <f t="shared" ca="1" si="240"/>
        <v>2.851006348237747</v>
      </c>
      <c r="S825" s="92">
        <f t="shared" ca="1" si="241"/>
        <v>3.1955561990741743</v>
      </c>
      <c r="T825" s="4">
        <f t="shared" ca="1" si="242"/>
        <v>0</v>
      </c>
      <c r="U825" s="99">
        <f t="shared" ca="1" si="243"/>
        <v>1391.9252614304514</v>
      </c>
      <c r="V825" s="4">
        <f t="shared" ca="1" si="244"/>
        <v>0</v>
      </c>
      <c r="W825" s="13">
        <f t="shared" ca="1" si="245"/>
        <v>36230.673806249994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ca="1" si="228"/>
        <v>6</v>
      </c>
      <c r="D826">
        <f t="shared" ca="1" si="229"/>
        <v>4</v>
      </c>
      <c r="E826">
        <f t="shared" ca="1" si="230"/>
        <v>2</v>
      </c>
      <c r="F826" s="100">
        <f t="shared" ca="1" si="231"/>
        <v>9.40260188E-2</v>
      </c>
      <c r="G826">
        <v>0</v>
      </c>
      <c r="H826">
        <v>1</v>
      </c>
      <c r="I826">
        <v>4</v>
      </c>
      <c r="J826" s="1">
        <f t="shared" ca="1" si="232"/>
        <v>9.5099004990000079E-3</v>
      </c>
      <c r="K826" s="1">
        <f t="shared" ca="1" si="233"/>
        <v>8.941780831051041E-4</v>
      </c>
      <c r="L826" s="13">
        <f t="shared" ca="1" si="234"/>
        <v>222</v>
      </c>
      <c r="M826" s="7">
        <f t="shared" ca="1" si="235"/>
        <v>778</v>
      </c>
      <c r="N826" s="43">
        <f t="shared" ca="1" si="236"/>
        <v>7</v>
      </c>
      <c r="O826" s="92">
        <f t="shared" ca="1" si="237"/>
        <v>3.2214900588145507</v>
      </c>
      <c r="P826" s="92">
        <f t="shared" ca="1" si="238"/>
        <v>32.214900588145518</v>
      </c>
      <c r="Q826" s="92">
        <f t="shared" ca="1" si="239"/>
        <v>32.214900588145518</v>
      </c>
      <c r="R826" s="92">
        <f t="shared" ca="1" si="240"/>
        <v>3.2214900588145516</v>
      </c>
      <c r="S826" s="92">
        <f t="shared" ca="1" si="241"/>
        <v>3.2214900588145507</v>
      </c>
      <c r="T826" s="4">
        <f t="shared" ca="1" si="242"/>
        <v>2.8805858055329439E-3</v>
      </c>
      <c r="U826" s="99">
        <f t="shared" ca="1" si="243"/>
        <v>1377.9757603899629</v>
      </c>
      <c r="V826" s="4">
        <f t="shared" ca="1" si="244"/>
        <v>1.2321557239907952</v>
      </c>
      <c r="W826" s="13">
        <f t="shared" ca="1" si="245"/>
        <v>30213.601687499999</v>
      </c>
      <c r="X826" s="4">
        <f t="shared" ca="1" si="246"/>
        <v>27.016340440629886</v>
      </c>
    </row>
    <row r="827" spans="1:24">
      <c r="A827">
        <v>2</v>
      </c>
      <c r="B827">
        <v>0</v>
      </c>
      <c r="C827">
        <f t="shared" ca="1" si="228"/>
        <v>6</v>
      </c>
      <c r="D827">
        <f t="shared" ca="1" si="229"/>
        <v>4</v>
      </c>
      <c r="E827">
        <f t="shared" ca="1" si="230"/>
        <v>2</v>
      </c>
      <c r="F827" s="100">
        <f t="shared" ca="1" si="231"/>
        <v>9.40260188E-2</v>
      </c>
      <c r="G827">
        <v>0</v>
      </c>
      <c r="H827">
        <v>1</v>
      </c>
      <c r="I827">
        <v>3</v>
      </c>
      <c r="J827" s="1">
        <f t="shared" ca="1" si="232"/>
        <v>3.8423840400000073E-4</v>
      </c>
      <c r="K827" s="1">
        <f t="shared" ca="1" si="233"/>
        <v>3.6128407398186066E-5</v>
      </c>
      <c r="L827" s="13">
        <f t="shared" ca="1" si="234"/>
        <v>200</v>
      </c>
      <c r="M827" s="7">
        <f t="shared" ca="1" si="235"/>
        <v>800</v>
      </c>
      <c r="N827" s="43">
        <f t="shared" ca="1" si="236"/>
        <v>7</v>
      </c>
      <c r="O827" s="92">
        <f t="shared" ca="1" si="237"/>
        <v>3.2214900588145507</v>
      </c>
      <c r="P827" s="92">
        <f t="shared" ca="1" si="238"/>
        <v>32.214900588145518</v>
      </c>
      <c r="Q827" s="92">
        <f t="shared" ca="1" si="239"/>
        <v>32.214900588145518</v>
      </c>
      <c r="R827" s="92">
        <f t="shared" ca="1" si="240"/>
        <v>3.2214900588145516</v>
      </c>
      <c r="S827" s="92">
        <f t="shared" ca="1" si="241"/>
        <v>3.2214900588145507</v>
      </c>
      <c r="T827" s="4">
        <f t="shared" ca="1" si="242"/>
        <v>1.1638730527405848E-4</v>
      </c>
      <c r="U827" s="99">
        <f t="shared" ca="1" si="243"/>
        <v>1355.9757603899629</v>
      </c>
      <c r="V827" s="4">
        <f t="shared" ca="1" si="244"/>
        <v>4.8989244693433714E-2</v>
      </c>
      <c r="W827" s="13">
        <f t="shared" ca="1" si="245"/>
        <v>24196.529568749997</v>
      </c>
      <c r="X827" s="4">
        <f t="shared" ca="1" si="246"/>
        <v>0.87418207788205526</v>
      </c>
    </row>
    <row r="828" spans="1:24">
      <c r="A828">
        <v>2</v>
      </c>
      <c r="B828">
        <v>0</v>
      </c>
      <c r="C828">
        <f t="shared" ca="1" si="228"/>
        <v>6</v>
      </c>
      <c r="D828">
        <f t="shared" ca="1" si="229"/>
        <v>4</v>
      </c>
      <c r="E828">
        <f t="shared" ca="1" si="230"/>
        <v>2</v>
      </c>
      <c r="F828" s="100">
        <f t="shared" ca="1" si="231"/>
        <v>9.40260188E-2</v>
      </c>
      <c r="G828">
        <v>0</v>
      </c>
      <c r="H828">
        <v>1</v>
      </c>
      <c r="I828">
        <v>2</v>
      </c>
      <c r="J828" s="1">
        <f t="shared" ca="1" si="232"/>
        <v>5.8217940000000154E-6</v>
      </c>
      <c r="K828" s="1">
        <f t="shared" ca="1" si="233"/>
        <v>5.4740011209372867E-7</v>
      </c>
      <c r="L828" s="13">
        <f t="shared" ca="1" si="234"/>
        <v>178</v>
      </c>
      <c r="M828" s="7">
        <f t="shared" ca="1" si="235"/>
        <v>822</v>
      </c>
      <c r="N828" s="43">
        <f t="shared" ca="1" si="236"/>
        <v>7</v>
      </c>
      <c r="O828" s="92">
        <f t="shared" ca="1" si="237"/>
        <v>3.2214900588145507</v>
      </c>
      <c r="P828" s="92">
        <f t="shared" ca="1" si="238"/>
        <v>32.214900588145518</v>
      </c>
      <c r="Q828" s="92">
        <f t="shared" ca="1" si="239"/>
        <v>32.214900588145518</v>
      </c>
      <c r="R828" s="92">
        <f t="shared" ca="1" si="240"/>
        <v>3.2214900588145516</v>
      </c>
      <c r="S828" s="92">
        <f t="shared" ca="1" si="241"/>
        <v>3.2214900588145507</v>
      </c>
      <c r="T828" s="4">
        <f t="shared" ca="1" si="242"/>
        <v>1.7634440193039176E-6</v>
      </c>
      <c r="U828" s="99">
        <f t="shared" ca="1" si="243"/>
        <v>1333.9757603899629</v>
      </c>
      <c r="V828" s="4">
        <f t="shared" ca="1" si="244"/>
        <v>7.3021848076778261E-4</v>
      </c>
      <c r="W828" s="13">
        <f t="shared" ca="1" si="245"/>
        <v>18179.457449999998</v>
      </c>
      <c r="X828" s="4">
        <f t="shared" ca="1" si="246"/>
        <v>9.9514370459331692E-3</v>
      </c>
    </row>
    <row r="829" spans="1:24">
      <c r="A829">
        <v>2</v>
      </c>
      <c r="B829">
        <v>0</v>
      </c>
      <c r="C829">
        <f t="shared" ca="1" si="228"/>
        <v>6</v>
      </c>
      <c r="D829">
        <f t="shared" ca="1" si="229"/>
        <v>4</v>
      </c>
      <c r="E829">
        <f t="shared" ca="1" si="230"/>
        <v>2</v>
      </c>
      <c r="F829" s="100">
        <f t="shared" ca="1" si="231"/>
        <v>9.40260188E-2</v>
      </c>
      <c r="G829">
        <v>0</v>
      </c>
      <c r="H829">
        <v>1</v>
      </c>
      <c r="I829">
        <v>1</v>
      </c>
      <c r="J829" s="1">
        <f t="shared" ca="1" si="232"/>
        <v>3.9204000000000137E-8</v>
      </c>
      <c r="K829" s="1">
        <f t="shared" ca="1" si="233"/>
        <v>3.6861960410352129E-9</v>
      </c>
      <c r="L829" s="13">
        <f t="shared" ca="1" si="234"/>
        <v>156</v>
      </c>
      <c r="M829" s="7">
        <f t="shared" ca="1" si="235"/>
        <v>844</v>
      </c>
      <c r="N829" s="43">
        <f t="shared" ca="1" si="236"/>
        <v>7</v>
      </c>
      <c r="O829" s="92">
        <f t="shared" ca="1" si="237"/>
        <v>3.2214900588145507</v>
      </c>
      <c r="P829" s="92">
        <f t="shared" ca="1" si="238"/>
        <v>32.214900588145518</v>
      </c>
      <c r="Q829" s="92">
        <f t="shared" ca="1" si="239"/>
        <v>32.214900588145518</v>
      </c>
      <c r="R829" s="92">
        <f t="shared" ca="1" si="240"/>
        <v>3.2214900588145516</v>
      </c>
      <c r="S829" s="92">
        <f t="shared" ca="1" si="241"/>
        <v>3.2214900588145507</v>
      </c>
      <c r="T829" s="4">
        <f t="shared" ca="1" si="242"/>
        <v>1.1875043901036492E-8</v>
      </c>
      <c r="U829" s="99">
        <f t="shared" ca="1" si="243"/>
        <v>1311.9757603899629</v>
      </c>
      <c r="V829" s="4">
        <f t="shared" ca="1" si="244"/>
        <v>4.8361998538836448E-6</v>
      </c>
      <c r="W829" s="13">
        <f t="shared" ca="1" si="245"/>
        <v>12162.38533125</v>
      </c>
      <c r="X829" s="4">
        <f t="shared" ca="1" si="246"/>
        <v>4.4832936657598495E-5</v>
      </c>
    </row>
    <row r="830" spans="1:24">
      <c r="A830">
        <v>2</v>
      </c>
      <c r="B830">
        <v>0</v>
      </c>
      <c r="C830">
        <f t="shared" ca="1" si="228"/>
        <v>6</v>
      </c>
      <c r="D830">
        <f t="shared" ca="1" si="229"/>
        <v>4</v>
      </c>
      <c r="E830">
        <f t="shared" ca="1" si="230"/>
        <v>2</v>
      </c>
      <c r="F830" s="100">
        <f t="shared" ca="1" si="231"/>
        <v>9.40260188E-2</v>
      </c>
      <c r="G830">
        <v>0</v>
      </c>
      <c r="H830">
        <v>1</v>
      </c>
      <c r="I830">
        <v>0</v>
      </c>
      <c r="J830" s="1">
        <f t="shared" ca="1" si="232"/>
        <v>9.9000000000000459E-11</v>
      </c>
      <c r="K830" s="1">
        <f t="shared" ca="1" si="233"/>
        <v>9.3085758612000432E-12</v>
      </c>
      <c r="L830" s="13">
        <f t="shared" ca="1" si="234"/>
        <v>134</v>
      </c>
      <c r="M830" s="7">
        <f t="shared" ca="1" si="235"/>
        <v>866</v>
      </c>
      <c r="N830" s="43">
        <f t="shared" ca="1" si="236"/>
        <v>7</v>
      </c>
      <c r="O830" s="92">
        <f t="shared" ca="1" si="237"/>
        <v>3.2214900588145507</v>
      </c>
      <c r="P830" s="92">
        <f t="shared" ca="1" si="238"/>
        <v>32.214900588145518</v>
      </c>
      <c r="Q830" s="92">
        <f t="shared" ca="1" si="239"/>
        <v>32.214900588145518</v>
      </c>
      <c r="R830" s="92">
        <f t="shared" ca="1" si="240"/>
        <v>3.2214900588145516</v>
      </c>
      <c r="S830" s="92">
        <f t="shared" ca="1" si="241"/>
        <v>3.2214900588145507</v>
      </c>
      <c r="T830" s="4">
        <f t="shared" ca="1" si="242"/>
        <v>2.9987484598577036E-11</v>
      </c>
      <c r="U830" s="99">
        <f t="shared" ca="1" si="243"/>
        <v>1289.9757603899629</v>
      </c>
      <c r="V830" s="4">
        <f t="shared" ca="1" si="244"/>
        <v>1.200783722469918E-8</v>
      </c>
      <c r="W830" s="13">
        <f t="shared" ca="1" si="245"/>
        <v>6145.3132124999993</v>
      </c>
      <c r="X830" s="4">
        <f t="shared" ca="1" si="246"/>
        <v>5.7204114229391184E-8</v>
      </c>
    </row>
    <row r="831" spans="1:24">
      <c r="A831">
        <v>2</v>
      </c>
      <c r="B831">
        <v>0</v>
      </c>
      <c r="C831">
        <f t="shared" ca="1" si="228"/>
        <v>6</v>
      </c>
      <c r="D831">
        <f t="shared" ca="1" si="229"/>
        <v>4</v>
      </c>
      <c r="E831">
        <f t="shared" ca="1" si="230"/>
        <v>2</v>
      </c>
      <c r="F831" s="100">
        <f t="shared" ca="1" si="231"/>
        <v>9.40260188E-2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3">
        <f t="shared" ca="1" si="236"/>
        <v>7</v>
      </c>
      <c r="O831" s="92">
        <f t="shared" ca="1" si="237"/>
        <v>3.2214900588145507</v>
      </c>
      <c r="P831" s="92">
        <f t="shared" ca="1" si="238"/>
        <v>32.214900588145518</v>
      </c>
      <c r="Q831" s="92">
        <f t="shared" ca="1" si="239"/>
        <v>32.214900588145518</v>
      </c>
      <c r="R831" s="92">
        <f t="shared" ca="1" si="240"/>
        <v>3.2214900588145516</v>
      </c>
      <c r="S831" s="92">
        <f t="shared" ca="1" si="241"/>
        <v>3.2214900588145507</v>
      </c>
      <c r="T831" s="4">
        <f t="shared" ca="1" si="242"/>
        <v>0</v>
      </c>
      <c r="U831" s="99">
        <f t="shared" ca="1" si="243"/>
        <v>1309.9757603899629</v>
      </c>
      <c r="V831" s="4">
        <f t="shared" ca="1" si="244"/>
        <v>0</v>
      </c>
      <c r="W831" s="13">
        <f t="shared" ca="1" si="245"/>
        <v>42119.50483125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ca="1" si="228"/>
        <v>6</v>
      </c>
      <c r="D832">
        <f t="shared" ca="1" si="229"/>
        <v>4</v>
      </c>
      <c r="E832">
        <f t="shared" ca="1" si="230"/>
        <v>2</v>
      </c>
      <c r="F832" s="100">
        <f t="shared" ca="1" si="231"/>
        <v>9.40260188E-2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132</v>
      </c>
      <c r="M832" s="7">
        <f t="shared" ca="1" si="235"/>
        <v>868</v>
      </c>
      <c r="N832" s="43">
        <f t="shared" ca="1" si="236"/>
        <v>7</v>
      </c>
      <c r="O832" s="92">
        <f t="shared" ca="1" si="237"/>
        <v>3.2214900588145507</v>
      </c>
      <c r="P832" s="92">
        <f t="shared" ca="1" si="238"/>
        <v>32.214900588145518</v>
      </c>
      <c r="Q832" s="92">
        <f t="shared" ca="1" si="239"/>
        <v>32.214900588145518</v>
      </c>
      <c r="R832" s="92">
        <f t="shared" ca="1" si="240"/>
        <v>3.2214900588145516</v>
      </c>
      <c r="S832" s="92">
        <f t="shared" ca="1" si="241"/>
        <v>3.2214900588145507</v>
      </c>
      <c r="T832" s="4">
        <f t="shared" ca="1" si="242"/>
        <v>0</v>
      </c>
      <c r="U832" s="99">
        <f t="shared" ca="1" si="243"/>
        <v>1287.9757603899629</v>
      </c>
      <c r="V832" s="4">
        <f t="shared" ca="1" si="244"/>
        <v>0</v>
      </c>
      <c r="W832" s="13">
        <f t="shared" ca="1" si="245"/>
        <v>36102.432712499998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ca="1" si="228"/>
        <v>6</v>
      </c>
      <c r="D833">
        <f t="shared" ca="1" si="229"/>
        <v>4</v>
      </c>
      <c r="E833">
        <f t="shared" ca="1" si="230"/>
        <v>2</v>
      </c>
      <c r="F833" s="100">
        <f t="shared" ca="1" si="231"/>
        <v>9.40260188E-2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110</v>
      </c>
      <c r="M833" s="7">
        <f t="shared" ca="1" si="235"/>
        <v>890</v>
      </c>
      <c r="N833" s="43">
        <f t="shared" ca="1" si="236"/>
        <v>8</v>
      </c>
      <c r="O833" s="92">
        <f t="shared" ca="1" si="237"/>
        <v>3.5531918581169131</v>
      </c>
      <c r="P833" s="92">
        <f t="shared" ca="1" si="238"/>
        <v>35.531918581169137</v>
      </c>
      <c r="Q833" s="92">
        <f t="shared" ca="1" si="239"/>
        <v>33.541707785354966</v>
      </c>
      <c r="R833" s="92">
        <f t="shared" ca="1" si="240"/>
        <v>3.4536813183262054</v>
      </c>
      <c r="S833" s="92">
        <f t="shared" ca="1" si="241"/>
        <v>3.5462261203315633</v>
      </c>
      <c r="T833" s="4">
        <f t="shared" ca="1" si="242"/>
        <v>0</v>
      </c>
      <c r="U833" s="99">
        <f t="shared" ca="1" si="243"/>
        <v>1366.7817087343356</v>
      </c>
      <c r="V833" s="4">
        <f t="shared" ca="1" si="244"/>
        <v>0</v>
      </c>
      <c r="W833" s="13">
        <f t="shared" ca="1" si="245"/>
        <v>30085.360593749996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ca="1" si="228"/>
        <v>6</v>
      </c>
      <c r="D834">
        <f t="shared" ca="1" si="229"/>
        <v>4</v>
      </c>
      <c r="E834">
        <f t="shared" ca="1" si="230"/>
        <v>2</v>
      </c>
      <c r="F834" s="100">
        <f t="shared" ca="1" si="231"/>
        <v>9.40260188E-2</v>
      </c>
      <c r="G834">
        <v>0</v>
      </c>
      <c r="H834">
        <v>0</v>
      </c>
      <c r="I834">
        <v>4</v>
      </c>
      <c r="J834" s="1">
        <f t="shared" ca="1" si="232"/>
        <v>9.605960100000017E-5</v>
      </c>
      <c r="K834" s="1">
        <f t="shared" ca="1" si="233"/>
        <v>9.0321018495465147E-6</v>
      </c>
      <c r="L834" s="13">
        <f t="shared" ca="1" si="234"/>
        <v>100</v>
      </c>
      <c r="M834" s="7">
        <f t="shared" ca="1" si="235"/>
        <v>900</v>
      </c>
      <c r="N834" s="43">
        <f t="shared" ca="1" si="236"/>
        <v>8</v>
      </c>
      <c r="O834" s="92">
        <f t="shared" ca="1" si="237"/>
        <v>3.5531918581169131</v>
      </c>
      <c r="P834" s="92">
        <f t="shared" ca="1" si="238"/>
        <v>35.531918581169137</v>
      </c>
      <c r="Q834" s="92">
        <f t="shared" ca="1" si="239"/>
        <v>35.531918581169137</v>
      </c>
      <c r="R834" s="92">
        <f t="shared" ca="1" si="240"/>
        <v>3.5531918581169135</v>
      </c>
      <c r="S834" s="92">
        <f t="shared" ca="1" si="241"/>
        <v>3.5531918581169126</v>
      </c>
      <c r="T834" s="4">
        <f t="shared" ca="1" si="242"/>
        <v>3.2092790753491384E-5</v>
      </c>
      <c r="U834" s="99">
        <f t="shared" ca="1" si="243"/>
        <v>1358.9440426620492</v>
      </c>
      <c r="V834" s="4">
        <f t="shared" ca="1" si="244"/>
        <v>1.2274121001158112E-2</v>
      </c>
      <c r="W834" s="13">
        <f t="shared" ca="1" si="245"/>
        <v>24068.288474999998</v>
      </c>
      <c r="X834" s="4">
        <f t="shared" ca="1" si="246"/>
        <v>0.21738723285046654</v>
      </c>
    </row>
    <row r="835" spans="1:24">
      <c r="A835">
        <v>2</v>
      </c>
      <c r="B835">
        <v>0</v>
      </c>
      <c r="C835">
        <f t="shared" ca="1" si="228"/>
        <v>6</v>
      </c>
      <c r="D835">
        <f t="shared" ca="1" si="229"/>
        <v>4</v>
      </c>
      <c r="E835">
        <f t="shared" ca="1" si="230"/>
        <v>2</v>
      </c>
      <c r="F835" s="100">
        <f t="shared" ca="1" si="231"/>
        <v>9.40260188E-2</v>
      </c>
      <c r="G835">
        <v>0</v>
      </c>
      <c r="H835">
        <v>0</v>
      </c>
      <c r="I835">
        <v>3</v>
      </c>
      <c r="J835" s="1">
        <f t="shared" ca="1" si="232"/>
        <v>3.8811960000000103E-6</v>
      </c>
      <c r="K835" s="1">
        <f t="shared" ca="1" si="233"/>
        <v>3.6493340806248578E-7</v>
      </c>
      <c r="L835" s="13">
        <f t="shared" ca="1" si="234"/>
        <v>100</v>
      </c>
      <c r="M835" s="7">
        <f t="shared" ca="1" si="235"/>
        <v>900</v>
      </c>
      <c r="N835" s="43">
        <f t="shared" ca="1" si="236"/>
        <v>8</v>
      </c>
      <c r="O835" s="92">
        <f t="shared" ca="1" si="237"/>
        <v>3.5531918581169131</v>
      </c>
      <c r="P835" s="92">
        <f t="shared" ca="1" si="238"/>
        <v>35.531918581169137</v>
      </c>
      <c r="Q835" s="92">
        <f t="shared" ca="1" si="239"/>
        <v>35.531918581169137</v>
      </c>
      <c r="R835" s="92">
        <f t="shared" ca="1" si="240"/>
        <v>3.5531918581169135</v>
      </c>
      <c r="S835" s="92">
        <f t="shared" ca="1" si="241"/>
        <v>3.5531918581169126</v>
      </c>
      <c r="T835" s="4">
        <f t="shared" ca="1" si="242"/>
        <v>1.2966784142824813E-6</v>
      </c>
      <c r="U835" s="99">
        <f t="shared" ca="1" si="243"/>
        <v>1358.9440426620492</v>
      </c>
      <c r="V835" s="4">
        <f t="shared" ca="1" si="244"/>
        <v>4.959240808548737E-4</v>
      </c>
      <c r="W835" s="13">
        <f t="shared" ca="1" si="245"/>
        <v>18051.216356249999</v>
      </c>
      <c r="X835" s="4">
        <f t="shared" ca="1" si="246"/>
        <v>6.5874919045595982E-3</v>
      </c>
    </row>
    <row r="836" spans="1:24">
      <c r="A836">
        <v>2</v>
      </c>
      <c r="B836">
        <v>0</v>
      </c>
      <c r="C836">
        <f t="shared" ca="1" si="228"/>
        <v>6</v>
      </c>
      <c r="D836">
        <f t="shared" ca="1" si="229"/>
        <v>4</v>
      </c>
      <c r="E836">
        <f t="shared" ca="1" si="230"/>
        <v>2</v>
      </c>
      <c r="F836" s="100">
        <f t="shared" ca="1" si="231"/>
        <v>9.40260188E-2</v>
      </c>
      <c r="G836">
        <v>0</v>
      </c>
      <c r="H836">
        <v>0</v>
      </c>
      <c r="I836">
        <v>2</v>
      </c>
      <c r="J836" s="1">
        <f t="shared" ca="1" si="232"/>
        <v>5.8806000000000209E-8</v>
      </c>
      <c r="K836" s="1">
        <f t="shared" ca="1" si="233"/>
        <v>5.5292940615528194E-9</v>
      </c>
      <c r="L836" s="13">
        <f t="shared" ca="1" si="234"/>
        <v>100</v>
      </c>
      <c r="M836" s="7">
        <f t="shared" ca="1" si="235"/>
        <v>900</v>
      </c>
      <c r="N836" s="43">
        <f t="shared" ca="1" si="236"/>
        <v>8</v>
      </c>
      <c r="O836" s="92">
        <f t="shared" ca="1" si="237"/>
        <v>3.5531918581169131</v>
      </c>
      <c r="P836" s="92">
        <f t="shared" ca="1" si="238"/>
        <v>35.531918581169137</v>
      </c>
      <c r="Q836" s="92">
        <f t="shared" ca="1" si="239"/>
        <v>35.531918581169137</v>
      </c>
      <c r="R836" s="92">
        <f t="shared" ca="1" si="240"/>
        <v>3.5531918581169135</v>
      </c>
      <c r="S836" s="92">
        <f t="shared" ca="1" si="241"/>
        <v>3.5531918581169126</v>
      </c>
      <c r="T836" s="4">
        <f t="shared" ca="1" si="242"/>
        <v>1.9646642640643674E-8</v>
      </c>
      <c r="U836" s="99">
        <f t="shared" ca="1" si="243"/>
        <v>1358.9440426620492</v>
      </c>
      <c r="V836" s="4">
        <f t="shared" ca="1" si="244"/>
        <v>7.5140012250738503E-6</v>
      </c>
      <c r="W836" s="13">
        <f t="shared" ca="1" si="245"/>
        <v>12034.144237499999</v>
      </c>
      <c r="X836" s="4">
        <f t="shared" ca="1" si="246"/>
        <v>6.6540322268278818E-5</v>
      </c>
    </row>
    <row r="837" spans="1:24">
      <c r="A837">
        <v>2</v>
      </c>
      <c r="B837">
        <v>0</v>
      </c>
      <c r="C837">
        <f t="shared" ca="1" si="228"/>
        <v>6</v>
      </c>
      <c r="D837">
        <f t="shared" ca="1" si="229"/>
        <v>4</v>
      </c>
      <c r="E837">
        <f t="shared" ca="1" si="230"/>
        <v>2</v>
      </c>
      <c r="F837" s="100">
        <f t="shared" ca="1" si="231"/>
        <v>9.40260188E-2</v>
      </c>
      <c r="G837">
        <v>0</v>
      </c>
      <c r="H837">
        <v>0</v>
      </c>
      <c r="I837">
        <v>1</v>
      </c>
      <c r="J837" s="1">
        <f t="shared" ca="1" si="232"/>
        <v>3.9600000000000173E-10</v>
      </c>
      <c r="K837" s="1">
        <f t="shared" ca="1" si="233"/>
        <v>3.723430344480016E-11</v>
      </c>
      <c r="L837" s="13">
        <f t="shared" ca="1" si="234"/>
        <v>100</v>
      </c>
      <c r="M837" s="7">
        <f t="shared" ca="1" si="235"/>
        <v>900</v>
      </c>
      <c r="N837" s="43">
        <f t="shared" ca="1" si="236"/>
        <v>8</v>
      </c>
      <c r="O837" s="92">
        <f t="shared" ca="1" si="237"/>
        <v>3.5531918581169131</v>
      </c>
      <c r="P837" s="92">
        <f t="shared" ca="1" si="238"/>
        <v>35.531918581169137</v>
      </c>
      <c r="Q837" s="92">
        <f t="shared" ca="1" si="239"/>
        <v>35.531918581169137</v>
      </c>
      <c r="R837" s="92">
        <f t="shared" ca="1" si="240"/>
        <v>3.5531918581169135</v>
      </c>
      <c r="S837" s="92">
        <f t="shared" ca="1" si="241"/>
        <v>3.5531918581169126</v>
      </c>
      <c r="T837" s="4">
        <f t="shared" ca="1" si="242"/>
        <v>1.3230062384271845E-10</v>
      </c>
      <c r="U837" s="99">
        <f t="shared" ca="1" si="243"/>
        <v>1358.9440426620492</v>
      </c>
      <c r="V837" s="4">
        <f t="shared" ca="1" si="244"/>
        <v>5.0599334848982198E-8</v>
      </c>
      <c r="W837" s="13">
        <f t="shared" ca="1" si="245"/>
        <v>6017.0721187499994</v>
      </c>
      <c r="X837" s="4">
        <f t="shared" ca="1" si="246"/>
        <v>2.240414891187841E-7</v>
      </c>
    </row>
    <row r="838" spans="1:24">
      <c r="A838">
        <v>2</v>
      </c>
      <c r="B838">
        <v>0</v>
      </c>
      <c r="C838">
        <f t="shared" ca="1" si="228"/>
        <v>6</v>
      </c>
      <c r="D838">
        <f t="shared" ca="1" si="229"/>
        <v>4</v>
      </c>
      <c r="E838">
        <f t="shared" ca="1" si="230"/>
        <v>2</v>
      </c>
      <c r="F838" s="100">
        <f t="shared" ca="1" si="231"/>
        <v>9.40260188E-2</v>
      </c>
      <c r="G838">
        <v>0</v>
      </c>
      <c r="H838">
        <v>0</v>
      </c>
      <c r="I838">
        <v>0</v>
      </c>
      <c r="J838" s="1">
        <f t="shared" ca="1" si="232"/>
        <v>1.0000000000000054E-12</v>
      </c>
      <c r="K838" s="1">
        <f t="shared" ca="1" si="233"/>
        <v>9.4026018800000506E-14</v>
      </c>
      <c r="L838" s="13">
        <f t="shared" ca="1" si="234"/>
        <v>100</v>
      </c>
      <c r="M838" s="7">
        <f t="shared" ca="1" si="235"/>
        <v>900</v>
      </c>
      <c r="N838" s="43">
        <f t="shared" ca="1" si="236"/>
        <v>8</v>
      </c>
      <c r="O838" s="92">
        <f t="shared" ca="1" si="237"/>
        <v>3.5531918581169131</v>
      </c>
      <c r="P838" s="92">
        <f t="shared" ca="1" si="238"/>
        <v>35.531918581169137</v>
      </c>
      <c r="Q838" s="92">
        <f t="shared" ca="1" si="239"/>
        <v>35.531918581169137</v>
      </c>
      <c r="R838" s="92">
        <f t="shared" ca="1" si="240"/>
        <v>3.5531918581169135</v>
      </c>
      <c r="S838" s="92">
        <f t="shared" ca="1" si="241"/>
        <v>3.5531918581169126</v>
      </c>
      <c r="T838" s="4">
        <f t="shared" ca="1" si="242"/>
        <v>3.3409248445130955E-13</v>
      </c>
      <c r="U838" s="99">
        <f t="shared" ca="1" si="243"/>
        <v>1358.9440426620492</v>
      </c>
      <c r="V838" s="4">
        <f t="shared" ca="1" si="244"/>
        <v>1.2777609810349054E-10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ca="1" si="228"/>
        <v>7</v>
      </c>
      <c r="D839">
        <f t="shared" ca="1" si="229"/>
        <v>5</v>
      </c>
      <c r="E839">
        <f t="shared" ca="1" si="230"/>
        <v>2</v>
      </c>
      <c r="F839" s="100">
        <f t="shared" ca="1" si="231"/>
        <v>1.9258341200000001E-2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422</v>
      </c>
      <c r="M839" s="7">
        <f t="shared" ca="1" si="235"/>
        <v>578</v>
      </c>
      <c r="N839" s="43">
        <f t="shared" ca="1" si="236"/>
        <v>5</v>
      </c>
      <c r="O839" s="92">
        <f t="shared" ca="1" si="237"/>
        <v>2.4432565128993144</v>
      </c>
      <c r="P839" s="92">
        <f t="shared" ca="1" si="238"/>
        <v>24.432565128993144</v>
      </c>
      <c r="Q839" s="92">
        <f t="shared" ca="1" si="239"/>
        <v>24.432565128993144</v>
      </c>
      <c r="R839" s="92">
        <f t="shared" ca="1" si="240"/>
        <v>2.4432565128993144</v>
      </c>
      <c r="S839" s="92">
        <f t="shared" ca="1" si="241"/>
        <v>2.4432565128993144</v>
      </c>
      <c r="T839" s="4">
        <f t="shared" ca="1" si="242"/>
        <v>0</v>
      </c>
      <c r="U839" s="99">
        <f t="shared" ca="1" si="243"/>
        <v>1336.3931955743851</v>
      </c>
      <c r="V839" s="4">
        <f t="shared" ca="1" si="244"/>
        <v>0</v>
      </c>
      <c r="W839" s="13">
        <f t="shared" ca="1" si="245"/>
        <v>54281.8901625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ca="1" si="228"/>
        <v>7</v>
      </c>
      <c r="D840">
        <f t="shared" ca="1" si="229"/>
        <v>5</v>
      </c>
      <c r="E840">
        <f t="shared" ca="1" si="230"/>
        <v>2</v>
      </c>
      <c r="F840" s="100">
        <f t="shared" ca="1" si="231"/>
        <v>1.9258341200000001E-2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400</v>
      </c>
      <c r="M840" s="7">
        <f t="shared" ca="1" si="235"/>
        <v>600</v>
      </c>
      <c r="N840" s="43">
        <f t="shared" ca="1" si="236"/>
        <v>5</v>
      </c>
      <c r="O840" s="92">
        <f t="shared" ca="1" si="237"/>
        <v>2.4432565128993144</v>
      </c>
      <c r="P840" s="92">
        <f t="shared" ca="1" si="238"/>
        <v>24.432565128993144</v>
      </c>
      <c r="Q840" s="92">
        <f t="shared" ca="1" si="239"/>
        <v>24.432565128993144</v>
      </c>
      <c r="R840" s="92">
        <f t="shared" ca="1" si="240"/>
        <v>2.4432565128993144</v>
      </c>
      <c r="S840" s="92">
        <f t="shared" ca="1" si="241"/>
        <v>2.4432565128993144</v>
      </c>
      <c r="T840" s="4">
        <f t="shared" ca="1" si="242"/>
        <v>0</v>
      </c>
      <c r="U840" s="99">
        <f t="shared" ca="1" si="243"/>
        <v>1314.3931955743851</v>
      </c>
      <c r="V840" s="4">
        <f t="shared" ca="1" si="244"/>
        <v>0</v>
      </c>
      <c r="W840" s="13">
        <f t="shared" ca="1" si="245"/>
        <v>48264.818043749998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ca="1" si="228"/>
        <v>7</v>
      </c>
      <c r="D841">
        <f t="shared" ca="1" si="229"/>
        <v>5</v>
      </c>
      <c r="E841">
        <f t="shared" ca="1" si="230"/>
        <v>2</v>
      </c>
      <c r="F841" s="100">
        <f t="shared" ca="1" si="231"/>
        <v>1.9258341200000001E-2</v>
      </c>
      <c r="G841">
        <v>1</v>
      </c>
      <c r="H841">
        <v>1</v>
      </c>
      <c r="I841">
        <v>5</v>
      </c>
      <c r="J841" s="1">
        <f t="shared" ca="1" si="232"/>
        <v>0.93206534790698992</v>
      </c>
      <c r="K841" s="1">
        <f t="shared" ca="1" si="233"/>
        <v>1.7950032490689518E-2</v>
      </c>
      <c r="L841" s="13">
        <f t="shared" ca="1" si="234"/>
        <v>378</v>
      </c>
      <c r="M841" s="7">
        <f t="shared" ca="1" si="235"/>
        <v>622</v>
      </c>
      <c r="N841" s="43">
        <f t="shared" ca="1" si="236"/>
        <v>5</v>
      </c>
      <c r="O841" s="92">
        <f t="shared" ca="1" si="237"/>
        <v>2.4432565128993144</v>
      </c>
      <c r="P841" s="92">
        <f t="shared" ca="1" si="238"/>
        <v>24.432565128993144</v>
      </c>
      <c r="Q841" s="92">
        <f t="shared" ca="1" si="239"/>
        <v>24.432565128993144</v>
      </c>
      <c r="R841" s="92">
        <f t="shared" ca="1" si="240"/>
        <v>2.4432565128993144</v>
      </c>
      <c r="S841" s="92">
        <f t="shared" ca="1" si="241"/>
        <v>2.4432565128993144</v>
      </c>
      <c r="T841" s="4">
        <f t="shared" ca="1" si="242"/>
        <v>4.3856533789631467E-2</v>
      </c>
      <c r="U841" s="99">
        <f t="shared" ca="1" si="243"/>
        <v>1292.3931955743851</v>
      </c>
      <c r="V841" s="4">
        <f t="shared" ca="1" si="244"/>
        <v>23.198499851306266</v>
      </c>
      <c r="W841" s="13">
        <f t="shared" ca="1" si="245"/>
        <v>42247.745924999996</v>
      </c>
      <c r="X841" s="4">
        <f t="shared" ca="1" si="246"/>
        <v>758.34841201214556</v>
      </c>
    </row>
    <row r="842" spans="1:24">
      <c r="A842">
        <v>2</v>
      </c>
      <c r="B842">
        <v>1</v>
      </c>
      <c r="C842">
        <f t="shared" ca="1" si="228"/>
        <v>7</v>
      </c>
      <c r="D842">
        <f t="shared" ca="1" si="229"/>
        <v>5</v>
      </c>
      <c r="E842">
        <f t="shared" ca="1" si="230"/>
        <v>2</v>
      </c>
      <c r="F842" s="100">
        <f t="shared" ca="1" si="231"/>
        <v>1.9258341200000001E-2</v>
      </c>
      <c r="G842">
        <v>1</v>
      </c>
      <c r="H842">
        <v>1</v>
      </c>
      <c r="I842">
        <v>4</v>
      </c>
      <c r="J842" s="1">
        <f t="shared" ca="1" si="232"/>
        <v>4.7074007470050035E-2</v>
      </c>
      <c r="K842" s="1">
        <f t="shared" ca="1" si="233"/>
        <v>9.0656729750957237E-4</v>
      </c>
      <c r="L842" s="13">
        <f t="shared" ca="1" si="234"/>
        <v>356</v>
      </c>
      <c r="M842" s="7">
        <f t="shared" ca="1" si="235"/>
        <v>644</v>
      </c>
      <c r="N842" s="43">
        <f t="shared" ca="1" si="236"/>
        <v>6</v>
      </c>
      <c r="O842" s="92">
        <f t="shared" ca="1" si="237"/>
        <v>2.7275117780454798</v>
      </c>
      <c r="P842" s="92">
        <f t="shared" ca="1" si="238"/>
        <v>27.275117780454792</v>
      </c>
      <c r="Q842" s="92">
        <f t="shared" ca="1" si="239"/>
        <v>26.706607250162463</v>
      </c>
      <c r="R842" s="92">
        <f t="shared" ca="1" si="240"/>
        <v>2.6990862515308627</v>
      </c>
      <c r="S842" s="92">
        <f t="shared" ca="1" si="241"/>
        <v>2.7255219911894564</v>
      </c>
      <c r="T842" s="4">
        <f t="shared" ca="1" si="242"/>
        <v>2.4708691058555341E-3</v>
      </c>
      <c r="U842" s="99">
        <f t="shared" ca="1" si="243"/>
        <v>1358.0152449734937</v>
      </c>
      <c r="V842" s="4">
        <f t="shared" ca="1" si="244"/>
        <v>1.2311322106124201</v>
      </c>
      <c r="W842" s="13">
        <f t="shared" ca="1" si="245"/>
        <v>36230.673806249994</v>
      </c>
      <c r="X842" s="4">
        <f t="shared" ca="1" si="246"/>
        <v>32.84554403948291</v>
      </c>
    </row>
    <row r="843" spans="1:24">
      <c r="A843">
        <v>2</v>
      </c>
      <c r="B843">
        <v>1</v>
      </c>
      <c r="C843">
        <f t="shared" ca="1" si="228"/>
        <v>7</v>
      </c>
      <c r="D843">
        <f t="shared" ca="1" si="229"/>
        <v>5</v>
      </c>
      <c r="E843">
        <f t="shared" ca="1" si="230"/>
        <v>2</v>
      </c>
      <c r="F843" s="100">
        <f t="shared" ca="1" si="231"/>
        <v>1.9258341200000001E-2</v>
      </c>
      <c r="G843">
        <v>1</v>
      </c>
      <c r="H843">
        <v>1</v>
      </c>
      <c r="I843">
        <v>3</v>
      </c>
      <c r="J843" s="1">
        <f t="shared" ca="1" si="232"/>
        <v>9.5099004990000164E-4</v>
      </c>
      <c r="K843" s="1">
        <f t="shared" ca="1" si="233"/>
        <v>1.831449085877926E-5</v>
      </c>
      <c r="L843" s="13">
        <f t="shared" ca="1" si="234"/>
        <v>334</v>
      </c>
      <c r="M843" s="7">
        <f t="shared" ca="1" si="235"/>
        <v>666</v>
      </c>
      <c r="N843" s="43">
        <f t="shared" ca="1" si="236"/>
        <v>6</v>
      </c>
      <c r="O843" s="92">
        <f t="shared" ca="1" si="237"/>
        <v>2.7275117780454798</v>
      </c>
      <c r="P843" s="92">
        <f t="shared" ca="1" si="238"/>
        <v>27.275117780454792</v>
      </c>
      <c r="Q843" s="92">
        <f t="shared" ca="1" si="239"/>
        <v>27.275117780454792</v>
      </c>
      <c r="R843" s="92">
        <f t="shared" ca="1" si="240"/>
        <v>2.7275117780454794</v>
      </c>
      <c r="S843" s="92">
        <f t="shared" ca="1" si="241"/>
        <v>2.7275117780454794</v>
      </c>
      <c r="T843" s="4">
        <f t="shared" ca="1" si="242"/>
        <v>4.9952989526226697E-5</v>
      </c>
      <c r="U843" s="99">
        <f t="shared" ca="1" si="243"/>
        <v>1336.6329230659346</v>
      </c>
      <c r="V843" s="4">
        <f t="shared" ca="1" si="244"/>
        <v>2.4479751451034461E-2</v>
      </c>
      <c r="W843" s="13">
        <f t="shared" ca="1" si="245"/>
        <v>30213.601687499999</v>
      </c>
      <c r="X843" s="4">
        <f t="shared" ca="1" si="246"/>
        <v>0.55334673191651629</v>
      </c>
    </row>
    <row r="844" spans="1:24">
      <c r="A844">
        <v>2</v>
      </c>
      <c r="B844">
        <v>1</v>
      </c>
      <c r="C844">
        <f t="shared" ca="1" si="228"/>
        <v>7</v>
      </c>
      <c r="D844">
        <f t="shared" ca="1" si="229"/>
        <v>5</v>
      </c>
      <c r="E844">
        <f t="shared" ca="1" si="230"/>
        <v>2</v>
      </c>
      <c r="F844" s="100">
        <f t="shared" ca="1" si="231"/>
        <v>1.9258341200000001E-2</v>
      </c>
      <c r="G844">
        <v>1</v>
      </c>
      <c r="H844">
        <v>1</v>
      </c>
      <c r="I844">
        <v>2</v>
      </c>
      <c r="J844" s="1">
        <f t="shared" ca="1" si="232"/>
        <v>9.6059601000000268E-6</v>
      </c>
      <c r="K844" s="1">
        <f t="shared" ca="1" si="233"/>
        <v>1.8499485715938665E-7</v>
      </c>
      <c r="L844" s="13">
        <f t="shared" ca="1" si="234"/>
        <v>312</v>
      </c>
      <c r="M844" s="7">
        <f t="shared" ca="1" si="235"/>
        <v>688</v>
      </c>
      <c r="N844" s="43">
        <f t="shared" ca="1" si="236"/>
        <v>6</v>
      </c>
      <c r="O844" s="92">
        <f t="shared" ca="1" si="237"/>
        <v>2.7275117780454798</v>
      </c>
      <c r="P844" s="92">
        <f t="shared" ca="1" si="238"/>
        <v>27.275117780454792</v>
      </c>
      <c r="Q844" s="92">
        <f t="shared" ca="1" si="239"/>
        <v>27.275117780454792</v>
      </c>
      <c r="R844" s="92">
        <f t="shared" ca="1" si="240"/>
        <v>2.7275117780454794</v>
      </c>
      <c r="S844" s="92">
        <f t="shared" ca="1" si="241"/>
        <v>2.7275117780454794</v>
      </c>
      <c r="T844" s="4">
        <f t="shared" ca="1" si="242"/>
        <v>5.045756517800682E-7</v>
      </c>
      <c r="U844" s="99">
        <f t="shared" ca="1" si="243"/>
        <v>1314.6329230659346</v>
      </c>
      <c r="V844" s="4">
        <f t="shared" ca="1" si="244"/>
        <v>2.4320032981960951E-4</v>
      </c>
      <c r="W844" s="13">
        <f t="shared" ca="1" si="245"/>
        <v>24196.529568749997</v>
      </c>
      <c r="X844" s="4">
        <f t="shared" ca="1" si="246"/>
        <v>4.4762335313237806E-3</v>
      </c>
    </row>
    <row r="845" spans="1:24">
      <c r="A845">
        <v>2</v>
      </c>
      <c r="B845">
        <v>1</v>
      </c>
      <c r="C845">
        <f t="shared" ca="1" si="228"/>
        <v>7</v>
      </c>
      <c r="D845">
        <f t="shared" ca="1" si="229"/>
        <v>5</v>
      </c>
      <c r="E845">
        <f t="shared" ca="1" si="230"/>
        <v>2</v>
      </c>
      <c r="F845" s="100">
        <f t="shared" ca="1" si="231"/>
        <v>1.9258341200000001E-2</v>
      </c>
      <c r="G845">
        <v>1</v>
      </c>
      <c r="H845">
        <v>1</v>
      </c>
      <c r="I845">
        <v>1</v>
      </c>
      <c r="J845" s="1">
        <f t="shared" ca="1" si="232"/>
        <v>4.8514950000000171E-8</v>
      </c>
      <c r="K845" s="1">
        <f t="shared" ca="1" si="233"/>
        <v>9.3431746040094333E-10</v>
      </c>
      <c r="L845" s="13">
        <f t="shared" ca="1" si="234"/>
        <v>290</v>
      </c>
      <c r="M845" s="7">
        <f t="shared" ca="1" si="235"/>
        <v>710</v>
      </c>
      <c r="N845" s="43">
        <f t="shared" ca="1" si="236"/>
        <v>6</v>
      </c>
      <c r="O845" s="92">
        <f t="shared" ca="1" si="237"/>
        <v>2.7275117780454798</v>
      </c>
      <c r="P845" s="92">
        <f t="shared" ca="1" si="238"/>
        <v>27.275117780454792</v>
      </c>
      <c r="Q845" s="92">
        <f t="shared" ca="1" si="239"/>
        <v>27.275117780454792</v>
      </c>
      <c r="R845" s="92">
        <f t="shared" ca="1" si="240"/>
        <v>2.7275117780454794</v>
      </c>
      <c r="S845" s="92">
        <f t="shared" ca="1" si="241"/>
        <v>2.7275117780454794</v>
      </c>
      <c r="T845" s="4">
        <f t="shared" ca="1" si="242"/>
        <v>2.5483618776771137E-9</v>
      </c>
      <c r="U845" s="99">
        <f t="shared" ca="1" si="243"/>
        <v>1292.6329230659346</v>
      </c>
      <c r="V845" s="4">
        <f t="shared" ca="1" si="244"/>
        <v>1.2077295099096121E-6</v>
      </c>
      <c r="W845" s="13">
        <f t="shared" ca="1" si="245"/>
        <v>18179.457449999998</v>
      </c>
      <c r="X845" s="4">
        <f t="shared" ca="1" si="246"/>
        <v>1.6985384516151007E-5</v>
      </c>
    </row>
    <row r="846" spans="1:24">
      <c r="A846">
        <v>2</v>
      </c>
      <c r="B846">
        <v>1</v>
      </c>
      <c r="C846">
        <f t="shared" ca="1" si="228"/>
        <v>7</v>
      </c>
      <c r="D846">
        <f t="shared" ca="1" si="229"/>
        <v>5</v>
      </c>
      <c r="E846">
        <f t="shared" ca="1" si="230"/>
        <v>2</v>
      </c>
      <c r="F846" s="100">
        <f t="shared" ca="1" si="231"/>
        <v>1.9258341200000001E-2</v>
      </c>
      <c r="G846">
        <v>1</v>
      </c>
      <c r="H846">
        <v>1</v>
      </c>
      <c r="I846">
        <v>0</v>
      </c>
      <c r="J846" s="1">
        <f t="shared" ca="1" si="232"/>
        <v>9.8010000000000445E-11</v>
      </c>
      <c r="K846" s="1">
        <f t="shared" ca="1" si="233"/>
        <v>1.8875100210120087E-12</v>
      </c>
      <c r="L846" s="13">
        <f t="shared" ca="1" si="234"/>
        <v>268</v>
      </c>
      <c r="M846" s="7">
        <f t="shared" ca="1" si="235"/>
        <v>732</v>
      </c>
      <c r="N846" s="43">
        <f t="shared" ca="1" si="236"/>
        <v>6</v>
      </c>
      <c r="O846" s="92">
        <f t="shared" ca="1" si="237"/>
        <v>2.7275117780454798</v>
      </c>
      <c r="P846" s="92">
        <f t="shared" ca="1" si="238"/>
        <v>27.275117780454792</v>
      </c>
      <c r="Q846" s="92">
        <f t="shared" ca="1" si="239"/>
        <v>27.275117780454792</v>
      </c>
      <c r="R846" s="92">
        <f t="shared" ca="1" si="240"/>
        <v>2.7275117780454794</v>
      </c>
      <c r="S846" s="92">
        <f t="shared" ca="1" si="241"/>
        <v>2.7275117780454794</v>
      </c>
      <c r="T846" s="4">
        <f t="shared" ca="1" si="242"/>
        <v>5.1482058134891238E-12</v>
      </c>
      <c r="U846" s="99">
        <f t="shared" ca="1" si="243"/>
        <v>1270.6329230659346</v>
      </c>
      <c r="V846" s="4">
        <f t="shared" ca="1" si="244"/>
        <v>2.3983323753147322E-9</v>
      </c>
      <c r="W846" s="13">
        <f t="shared" ca="1" si="245"/>
        <v>12162.38533125</v>
      </c>
      <c r="X846" s="4">
        <f t="shared" ca="1" si="246"/>
        <v>2.2956624192143833E-8</v>
      </c>
    </row>
    <row r="847" spans="1:24">
      <c r="A847">
        <v>2</v>
      </c>
      <c r="B847">
        <v>1</v>
      </c>
      <c r="C847">
        <f t="shared" ca="1" si="228"/>
        <v>7</v>
      </c>
      <c r="D847">
        <f t="shared" ca="1" si="229"/>
        <v>5</v>
      </c>
      <c r="E847">
        <f t="shared" ca="1" si="230"/>
        <v>2</v>
      </c>
      <c r="F847" s="100">
        <f t="shared" ca="1" si="231"/>
        <v>1.9258341200000001E-2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288</v>
      </c>
      <c r="M847" s="7">
        <f t="shared" ca="1" si="235"/>
        <v>712</v>
      </c>
      <c r="N847" s="43">
        <f t="shared" ca="1" si="236"/>
        <v>6</v>
      </c>
      <c r="O847" s="92">
        <f t="shared" ca="1" si="237"/>
        <v>2.7275117780454798</v>
      </c>
      <c r="P847" s="92">
        <f t="shared" ca="1" si="238"/>
        <v>27.275117780454792</v>
      </c>
      <c r="Q847" s="92">
        <f t="shared" ca="1" si="239"/>
        <v>27.275117780454792</v>
      </c>
      <c r="R847" s="92">
        <f t="shared" ca="1" si="240"/>
        <v>2.7275117780454794</v>
      </c>
      <c r="S847" s="92">
        <f t="shared" ca="1" si="241"/>
        <v>2.7275117780454794</v>
      </c>
      <c r="T847" s="4">
        <f t="shared" ca="1" si="242"/>
        <v>0</v>
      </c>
      <c r="U847" s="99">
        <f t="shared" ca="1" si="243"/>
        <v>1290.6329230659346</v>
      </c>
      <c r="V847" s="4">
        <f t="shared" ca="1" si="244"/>
        <v>0</v>
      </c>
      <c r="W847" s="13">
        <f t="shared" ca="1" si="245"/>
        <v>48136.576950000002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ca="1" si="228"/>
        <v>7</v>
      </c>
      <c r="D848">
        <f t="shared" ca="1" si="229"/>
        <v>5</v>
      </c>
      <c r="E848">
        <f t="shared" ca="1" si="230"/>
        <v>2</v>
      </c>
      <c r="F848" s="100">
        <f t="shared" ca="1" si="231"/>
        <v>1.9258341200000001E-2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266</v>
      </c>
      <c r="M848" s="7">
        <f t="shared" ca="1" si="235"/>
        <v>734</v>
      </c>
      <c r="N848" s="43">
        <f t="shared" ca="1" si="236"/>
        <v>6</v>
      </c>
      <c r="O848" s="92">
        <f t="shared" ca="1" si="237"/>
        <v>2.7275117780454798</v>
      </c>
      <c r="P848" s="92">
        <f t="shared" ca="1" si="238"/>
        <v>27.275117780454792</v>
      </c>
      <c r="Q848" s="92">
        <f t="shared" ca="1" si="239"/>
        <v>27.275117780454792</v>
      </c>
      <c r="R848" s="92">
        <f t="shared" ca="1" si="240"/>
        <v>2.7275117780454794</v>
      </c>
      <c r="S848" s="92">
        <f t="shared" ca="1" si="241"/>
        <v>2.7275117780454794</v>
      </c>
      <c r="T848" s="4">
        <f t="shared" ca="1" si="242"/>
        <v>0</v>
      </c>
      <c r="U848" s="99">
        <f t="shared" ca="1" si="243"/>
        <v>1268.6329230659346</v>
      </c>
      <c r="V848" s="4">
        <f t="shared" ca="1" si="244"/>
        <v>0</v>
      </c>
      <c r="W848" s="13">
        <f t="shared" ca="1" si="245"/>
        <v>42119.50483125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ca="1" si="228"/>
        <v>7</v>
      </c>
      <c r="D849">
        <f t="shared" ca="1" si="229"/>
        <v>5</v>
      </c>
      <c r="E849">
        <f t="shared" ca="1" si="230"/>
        <v>2</v>
      </c>
      <c r="F849" s="100">
        <f t="shared" ca="1" si="231"/>
        <v>1.9258341200000001E-2</v>
      </c>
      <c r="G849">
        <v>1</v>
      </c>
      <c r="H849">
        <v>0</v>
      </c>
      <c r="I849">
        <v>5</v>
      </c>
      <c r="J849" s="1">
        <f t="shared" ca="1" si="232"/>
        <v>9.4148014940100087E-3</v>
      </c>
      <c r="K849" s="1">
        <f t="shared" ca="1" si="233"/>
        <v>1.8131345950191452E-4</v>
      </c>
      <c r="L849" s="13">
        <f t="shared" ca="1" si="234"/>
        <v>244</v>
      </c>
      <c r="M849" s="7">
        <f t="shared" ca="1" si="235"/>
        <v>756</v>
      </c>
      <c r="N849" s="43">
        <f t="shared" ca="1" si="236"/>
        <v>7</v>
      </c>
      <c r="O849" s="92">
        <f t="shared" ca="1" si="237"/>
        <v>3.2214900588145507</v>
      </c>
      <c r="P849" s="92">
        <f t="shared" ca="1" si="238"/>
        <v>29.745009184300148</v>
      </c>
      <c r="Q849" s="92">
        <f t="shared" ca="1" si="239"/>
        <v>27.275117780454792</v>
      </c>
      <c r="R849" s="92">
        <f t="shared" ca="1" si="240"/>
        <v>2.851006348237747</v>
      </c>
      <c r="S849" s="92">
        <f t="shared" ca="1" si="241"/>
        <v>3.1955561990741743</v>
      </c>
      <c r="T849" s="4">
        <f t="shared" ca="1" si="242"/>
        <v>5.7939734948692719E-4</v>
      </c>
      <c r="U849" s="99">
        <f t="shared" ca="1" si="243"/>
        <v>1391.9252614304514</v>
      </c>
      <c r="V849" s="4">
        <f t="shared" ca="1" si="244"/>
        <v>0.25237478451806195</v>
      </c>
      <c r="W849" s="13">
        <f t="shared" ca="1" si="245"/>
        <v>36102.432712499998</v>
      </c>
      <c r="X849" s="4">
        <f t="shared" ca="1" si="246"/>
        <v>6.5458569715384627</v>
      </c>
    </row>
    <row r="850" spans="1:24">
      <c r="A850">
        <v>2</v>
      </c>
      <c r="B850">
        <v>1</v>
      </c>
      <c r="C850">
        <f t="shared" ca="1" si="228"/>
        <v>7</v>
      </c>
      <c r="D850">
        <f t="shared" ca="1" si="229"/>
        <v>5</v>
      </c>
      <c r="E850">
        <f t="shared" ca="1" si="230"/>
        <v>2</v>
      </c>
      <c r="F850" s="100">
        <f t="shared" ca="1" si="231"/>
        <v>1.9258341200000001E-2</v>
      </c>
      <c r="G850">
        <v>1</v>
      </c>
      <c r="H850">
        <v>0</v>
      </c>
      <c r="I850">
        <v>4</v>
      </c>
      <c r="J850" s="1">
        <f t="shared" ca="1" si="232"/>
        <v>4.7549502495000082E-4</v>
      </c>
      <c r="K850" s="1">
        <f t="shared" ca="1" si="233"/>
        <v>9.1572454293896298E-6</v>
      </c>
      <c r="L850" s="13">
        <f t="shared" ca="1" si="234"/>
        <v>222</v>
      </c>
      <c r="M850" s="7">
        <f t="shared" ca="1" si="235"/>
        <v>778</v>
      </c>
      <c r="N850" s="43">
        <f t="shared" ca="1" si="236"/>
        <v>7</v>
      </c>
      <c r="O850" s="92">
        <f t="shared" ca="1" si="237"/>
        <v>3.2214900588145507</v>
      </c>
      <c r="P850" s="92">
        <f t="shared" ca="1" si="238"/>
        <v>32.214900588145518</v>
      </c>
      <c r="Q850" s="92">
        <f t="shared" ca="1" si="239"/>
        <v>32.214900588145518</v>
      </c>
      <c r="R850" s="92">
        <f t="shared" ca="1" si="240"/>
        <v>3.2214900588145516</v>
      </c>
      <c r="S850" s="92">
        <f t="shared" ca="1" si="241"/>
        <v>3.2214900588145507</v>
      </c>
      <c r="T850" s="4">
        <f t="shared" ca="1" si="242"/>
        <v>2.9499975116903673E-5</v>
      </c>
      <c r="U850" s="99">
        <f t="shared" ca="1" si="243"/>
        <v>1377.9757603899629</v>
      </c>
      <c r="V850" s="4">
        <f t="shared" ca="1" si="244"/>
        <v>1.2618462233640687E-2</v>
      </c>
      <c r="W850" s="13">
        <f t="shared" ca="1" si="245"/>
        <v>30085.360593749996</v>
      </c>
      <c r="X850" s="4">
        <f t="shared" ca="1" si="246"/>
        <v>0.27549903078865601</v>
      </c>
    </row>
    <row r="851" spans="1:24">
      <c r="A851">
        <v>2</v>
      </c>
      <c r="B851">
        <v>1</v>
      </c>
      <c r="C851">
        <f t="shared" ca="1" si="228"/>
        <v>7</v>
      </c>
      <c r="D851">
        <f t="shared" ca="1" si="229"/>
        <v>5</v>
      </c>
      <c r="E851">
        <f t="shared" ca="1" si="230"/>
        <v>2</v>
      </c>
      <c r="F851" s="100">
        <f t="shared" ca="1" si="231"/>
        <v>1.9258341200000001E-2</v>
      </c>
      <c r="G851">
        <v>1</v>
      </c>
      <c r="H851">
        <v>0</v>
      </c>
      <c r="I851">
        <v>3</v>
      </c>
      <c r="J851" s="1">
        <f t="shared" ca="1" si="232"/>
        <v>9.6059601000000268E-6</v>
      </c>
      <c r="K851" s="1">
        <f t="shared" ca="1" si="233"/>
        <v>1.8499485715938665E-7</v>
      </c>
      <c r="L851" s="13">
        <f t="shared" ca="1" si="234"/>
        <v>200</v>
      </c>
      <c r="M851" s="7">
        <f t="shared" ca="1" si="235"/>
        <v>800</v>
      </c>
      <c r="N851" s="43">
        <f t="shared" ca="1" si="236"/>
        <v>7</v>
      </c>
      <c r="O851" s="92">
        <f t="shared" ca="1" si="237"/>
        <v>3.2214900588145507</v>
      </c>
      <c r="P851" s="92">
        <f t="shared" ca="1" si="238"/>
        <v>32.214900588145518</v>
      </c>
      <c r="Q851" s="92">
        <f t="shared" ca="1" si="239"/>
        <v>32.214900588145518</v>
      </c>
      <c r="R851" s="92">
        <f t="shared" ca="1" si="240"/>
        <v>3.2214900588145516</v>
      </c>
      <c r="S851" s="92">
        <f t="shared" ca="1" si="241"/>
        <v>3.2214900588145507</v>
      </c>
      <c r="T851" s="4">
        <f t="shared" ca="1" si="242"/>
        <v>5.9595909327078186E-7</v>
      </c>
      <c r="U851" s="99">
        <f t="shared" ca="1" si="243"/>
        <v>1355.9757603899629</v>
      </c>
      <c r="V851" s="4">
        <f t="shared" ca="1" si="244"/>
        <v>2.5084854210493188E-4</v>
      </c>
      <c r="W851" s="13">
        <f t="shared" ca="1" si="245"/>
        <v>24068.288474999998</v>
      </c>
      <c r="X851" s="4">
        <f t="shared" ca="1" si="246"/>
        <v>4.4525095885035362E-3</v>
      </c>
    </row>
    <row r="852" spans="1:24">
      <c r="A852">
        <v>2</v>
      </c>
      <c r="B852">
        <v>1</v>
      </c>
      <c r="C852">
        <f t="shared" ca="1" si="228"/>
        <v>7</v>
      </c>
      <c r="D852">
        <f t="shared" ca="1" si="229"/>
        <v>5</v>
      </c>
      <c r="E852">
        <f t="shared" ca="1" si="230"/>
        <v>2</v>
      </c>
      <c r="F852" s="100">
        <f t="shared" ca="1" si="231"/>
        <v>1.9258341200000001E-2</v>
      </c>
      <c r="G852">
        <v>1</v>
      </c>
      <c r="H852">
        <v>0</v>
      </c>
      <c r="I852">
        <v>2</v>
      </c>
      <c r="J852" s="1">
        <f t="shared" ca="1" si="232"/>
        <v>9.7029900000000355E-8</v>
      </c>
      <c r="K852" s="1">
        <f t="shared" ca="1" si="233"/>
        <v>1.8686349208018871E-9</v>
      </c>
      <c r="L852" s="13">
        <f t="shared" ca="1" si="234"/>
        <v>178</v>
      </c>
      <c r="M852" s="7">
        <f t="shared" ca="1" si="235"/>
        <v>822</v>
      </c>
      <c r="N852" s="43">
        <f t="shared" ca="1" si="236"/>
        <v>7</v>
      </c>
      <c r="O852" s="92">
        <f t="shared" ca="1" si="237"/>
        <v>3.2214900588145507</v>
      </c>
      <c r="P852" s="92">
        <f t="shared" ca="1" si="238"/>
        <v>32.214900588145518</v>
      </c>
      <c r="Q852" s="92">
        <f t="shared" ca="1" si="239"/>
        <v>32.214900588145518</v>
      </c>
      <c r="R852" s="92">
        <f t="shared" ca="1" si="240"/>
        <v>3.2214900588145516</v>
      </c>
      <c r="S852" s="92">
        <f t="shared" ca="1" si="241"/>
        <v>3.2214900588145507</v>
      </c>
      <c r="T852" s="4">
        <f t="shared" ca="1" si="242"/>
        <v>6.0197888209169947E-9</v>
      </c>
      <c r="U852" s="99">
        <f t="shared" ca="1" si="243"/>
        <v>1333.9757603899629</v>
      </c>
      <c r="V852" s="4">
        <f t="shared" ca="1" si="244"/>
        <v>2.4927136893679353E-6</v>
      </c>
      <c r="W852" s="13">
        <f t="shared" ca="1" si="245"/>
        <v>18051.216356249999</v>
      </c>
      <c r="X852" s="4">
        <f t="shared" ca="1" si="246"/>
        <v>3.3731133246238946E-5</v>
      </c>
    </row>
    <row r="853" spans="1:24">
      <c r="A853">
        <v>2</v>
      </c>
      <c r="B853">
        <v>1</v>
      </c>
      <c r="C853">
        <f t="shared" ca="1" si="228"/>
        <v>7</v>
      </c>
      <c r="D853">
        <f t="shared" ca="1" si="229"/>
        <v>5</v>
      </c>
      <c r="E853">
        <f t="shared" ca="1" si="230"/>
        <v>2</v>
      </c>
      <c r="F853" s="100">
        <f t="shared" ca="1" si="231"/>
        <v>1.9258341200000001E-2</v>
      </c>
      <c r="G853">
        <v>1</v>
      </c>
      <c r="H853">
        <v>0</v>
      </c>
      <c r="I853">
        <v>1</v>
      </c>
      <c r="J853" s="1">
        <f t="shared" ca="1" si="232"/>
        <v>4.9005000000000225E-10</v>
      </c>
      <c r="K853" s="1">
        <f t="shared" ca="1" si="233"/>
        <v>9.4375501050600443E-12</v>
      </c>
      <c r="L853" s="13">
        <f t="shared" ca="1" si="234"/>
        <v>156</v>
      </c>
      <c r="M853" s="7">
        <f t="shared" ca="1" si="235"/>
        <v>844</v>
      </c>
      <c r="N853" s="43">
        <f t="shared" ca="1" si="236"/>
        <v>7</v>
      </c>
      <c r="O853" s="92">
        <f t="shared" ca="1" si="237"/>
        <v>3.2214900588145507</v>
      </c>
      <c r="P853" s="92">
        <f t="shared" ca="1" si="238"/>
        <v>32.214900588145518</v>
      </c>
      <c r="Q853" s="92">
        <f t="shared" ca="1" si="239"/>
        <v>32.214900588145518</v>
      </c>
      <c r="R853" s="92">
        <f t="shared" ca="1" si="240"/>
        <v>3.2214900588145516</v>
      </c>
      <c r="S853" s="92">
        <f t="shared" ca="1" si="241"/>
        <v>3.2214900588145507</v>
      </c>
      <c r="T853" s="4">
        <f t="shared" ca="1" si="242"/>
        <v>3.0402973843015153E-11</v>
      </c>
      <c r="U853" s="99">
        <f t="shared" ca="1" si="243"/>
        <v>1311.9757603899629</v>
      </c>
      <c r="V853" s="4">
        <f t="shared" ca="1" si="244"/>
        <v>1.2381836975304527E-8</v>
      </c>
      <c r="W853" s="13">
        <f t="shared" ca="1" si="245"/>
        <v>12034.144237499999</v>
      </c>
      <c r="X853" s="4">
        <f t="shared" ca="1" si="246"/>
        <v>1.1357283921292584E-7</v>
      </c>
    </row>
    <row r="854" spans="1:24">
      <c r="A854">
        <v>2</v>
      </c>
      <c r="B854">
        <v>1</v>
      </c>
      <c r="C854">
        <f t="shared" ca="1" si="228"/>
        <v>7</v>
      </c>
      <c r="D854">
        <f t="shared" ca="1" si="229"/>
        <v>5</v>
      </c>
      <c r="E854">
        <f t="shared" ca="1" si="230"/>
        <v>2</v>
      </c>
      <c r="F854" s="100">
        <f t="shared" ca="1" si="231"/>
        <v>1.9258341200000001E-2</v>
      </c>
      <c r="G854">
        <v>1</v>
      </c>
      <c r="H854">
        <v>0</v>
      </c>
      <c r="I854">
        <v>0</v>
      </c>
      <c r="J854" s="1">
        <f t="shared" ca="1" si="232"/>
        <v>9.9000000000000548E-13</v>
      </c>
      <c r="K854" s="1">
        <f t="shared" ca="1" si="233"/>
        <v>1.9065757788000108E-14</v>
      </c>
      <c r="L854" s="13">
        <f t="shared" ca="1" si="234"/>
        <v>134</v>
      </c>
      <c r="M854" s="7">
        <f t="shared" ca="1" si="235"/>
        <v>866</v>
      </c>
      <c r="N854" s="43">
        <f t="shared" ca="1" si="236"/>
        <v>7</v>
      </c>
      <c r="O854" s="92">
        <f t="shared" ca="1" si="237"/>
        <v>3.2214900588145507</v>
      </c>
      <c r="P854" s="92">
        <f t="shared" ca="1" si="238"/>
        <v>32.214900588145518</v>
      </c>
      <c r="Q854" s="92">
        <f t="shared" ca="1" si="239"/>
        <v>32.214900588145518</v>
      </c>
      <c r="R854" s="92">
        <f t="shared" ca="1" si="240"/>
        <v>3.2214900588145516</v>
      </c>
      <c r="S854" s="92">
        <f t="shared" ca="1" si="241"/>
        <v>3.2214900588145507</v>
      </c>
      <c r="T854" s="4">
        <f t="shared" ca="1" si="242"/>
        <v>6.142014917780845E-14</v>
      </c>
      <c r="U854" s="99">
        <f t="shared" ca="1" si="243"/>
        <v>1289.9757603899629</v>
      </c>
      <c r="V854" s="4">
        <f t="shared" ca="1" si="244"/>
        <v>2.4594365399986295E-11</v>
      </c>
      <c r="W854" s="13">
        <f t="shared" ca="1" si="245"/>
        <v>6017.0721187499994</v>
      </c>
      <c r="X854" s="4">
        <f t="shared" ca="1" si="246"/>
        <v>1.1472003960901612E-10</v>
      </c>
    </row>
    <row r="855" spans="1:24">
      <c r="A855">
        <v>2</v>
      </c>
      <c r="B855">
        <v>1</v>
      </c>
      <c r="C855">
        <f t="shared" ca="1" si="228"/>
        <v>7</v>
      </c>
      <c r="D855">
        <f t="shared" ca="1" si="229"/>
        <v>5</v>
      </c>
      <c r="E855">
        <f t="shared" ca="1" si="230"/>
        <v>2</v>
      </c>
      <c r="F855" s="100">
        <f t="shared" ca="1" si="231"/>
        <v>1.9258341200000001E-2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288</v>
      </c>
      <c r="M855" s="7">
        <f t="shared" ca="1" si="235"/>
        <v>712</v>
      </c>
      <c r="N855" s="43">
        <f t="shared" ca="1" si="236"/>
        <v>6</v>
      </c>
      <c r="O855" s="92">
        <f t="shared" ca="1" si="237"/>
        <v>2.7275117780454798</v>
      </c>
      <c r="P855" s="92">
        <f t="shared" ca="1" si="238"/>
        <v>27.275117780454792</v>
      </c>
      <c r="Q855" s="92">
        <f t="shared" ca="1" si="239"/>
        <v>27.275117780454792</v>
      </c>
      <c r="R855" s="92">
        <f t="shared" ca="1" si="240"/>
        <v>2.7275117780454794</v>
      </c>
      <c r="S855" s="92">
        <f t="shared" ca="1" si="241"/>
        <v>2.7275117780454794</v>
      </c>
      <c r="T855" s="4">
        <f t="shared" ca="1" si="242"/>
        <v>0</v>
      </c>
      <c r="U855" s="99">
        <f t="shared" ca="1" si="243"/>
        <v>1290.6329230659346</v>
      </c>
      <c r="V855" s="4">
        <f t="shared" ca="1" si="244"/>
        <v>0</v>
      </c>
      <c r="W855" s="13">
        <f t="shared" ca="1" si="245"/>
        <v>48264.818043749998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ca="1" si="228"/>
        <v>7</v>
      </c>
      <c r="D856">
        <f t="shared" ca="1" si="229"/>
        <v>5</v>
      </c>
      <c r="E856">
        <f t="shared" ca="1" si="230"/>
        <v>2</v>
      </c>
      <c r="F856" s="100">
        <f t="shared" ca="1" si="231"/>
        <v>1.9258341200000001E-2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266</v>
      </c>
      <c r="M856" s="7">
        <f t="shared" ca="1" si="235"/>
        <v>734</v>
      </c>
      <c r="N856" s="43">
        <f t="shared" ca="1" si="236"/>
        <v>6</v>
      </c>
      <c r="O856" s="92">
        <f t="shared" ca="1" si="237"/>
        <v>2.7275117780454798</v>
      </c>
      <c r="P856" s="92">
        <f t="shared" ca="1" si="238"/>
        <v>27.275117780454792</v>
      </c>
      <c r="Q856" s="92">
        <f t="shared" ca="1" si="239"/>
        <v>27.275117780454792</v>
      </c>
      <c r="R856" s="92">
        <f t="shared" ca="1" si="240"/>
        <v>2.7275117780454794</v>
      </c>
      <c r="S856" s="92">
        <f t="shared" ca="1" si="241"/>
        <v>2.7275117780454794</v>
      </c>
      <c r="T856" s="4">
        <f t="shared" ca="1" si="242"/>
        <v>0</v>
      </c>
      <c r="U856" s="99">
        <f t="shared" ca="1" si="243"/>
        <v>1268.6329230659346</v>
      </c>
      <c r="V856" s="4">
        <f t="shared" ca="1" si="244"/>
        <v>0</v>
      </c>
      <c r="W856" s="13">
        <f t="shared" ca="1" si="245"/>
        <v>42247.745924999996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ca="1" si="228"/>
        <v>7</v>
      </c>
      <c r="D857">
        <f t="shared" ca="1" si="229"/>
        <v>5</v>
      </c>
      <c r="E857">
        <f t="shared" ca="1" si="230"/>
        <v>2</v>
      </c>
      <c r="F857" s="100">
        <f t="shared" ca="1" si="231"/>
        <v>1.9258341200000001E-2</v>
      </c>
      <c r="G857">
        <v>0</v>
      </c>
      <c r="H857">
        <v>1</v>
      </c>
      <c r="I857">
        <v>5</v>
      </c>
      <c r="J857" s="1">
        <f t="shared" ca="1" si="232"/>
        <v>9.4148014940100087E-3</v>
      </c>
      <c r="K857" s="1">
        <f t="shared" ca="1" si="233"/>
        <v>1.8131345950191452E-4</v>
      </c>
      <c r="L857" s="13">
        <f t="shared" ca="1" si="234"/>
        <v>244</v>
      </c>
      <c r="M857" s="7">
        <f t="shared" ca="1" si="235"/>
        <v>756</v>
      </c>
      <c r="N857" s="43">
        <f t="shared" ca="1" si="236"/>
        <v>7</v>
      </c>
      <c r="O857" s="92">
        <f t="shared" ca="1" si="237"/>
        <v>3.2214900588145507</v>
      </c>
      <c r="P857" s="92">
        <f t="shared" ca="1" si="238"/>
        <v>29.745009184300148</v>
      </c>
      <c r="Q857" s="92">
        <f t="shared" ca="1" si="239"/>
        <v>27.275117780454792</v>
      </c>
      <c r="R857" s="92">
        <f t="shared" ca="1" si="240"/>
        <v>2.851006348237747</v>
      </c>
      <c r="S857" s="92">
        <f t="shared" ca="1" si="241"/>
        <v>3.1955561990741743</v>
      </c>
      <c r="T857" s="4">
        <f t="shared" ca="1" si="242"/>
        <v>5.7939734948692719E-4</v>
      </c>
      <c r="U857" s="99">
        <f t="shared" ca="1" si="243"/>
        <v>1391.9252614304514</v>
      </c>
      <c r="V857" s="4">
        <f t="shared" ca="1" si="244"/>
        <v>0.25237478451806195</v>
      </c>
      <c r="W857" s="13">
        <f t="shared" ca="1" si="245"/>
        <v>36230.673806249994</v>
      </c>
      <c r="X857" s="4">
        <f t="shared" ca="1" si="246"/>
        <v>6.5691088078965834</v>
      </c>
    </row>
    <row r="858" spans="1:24">
      <c r="A858">
        <v>2</v>
      </c>
      <c r="B858">
        <v>1</v>
      </c>
      <c r="C858">
        <f t="shared" ca="1" si="228"/>
        <v>7</v>
      </c>
      <c r="D858">
        <f t="shared" ca="1" si="229"/>
        <v>5</v>
      </c>
      <c r="E858">
        <f t="shared" ca="1" si="230"/>
        <v>2</v>
      </c>
      <c r="F858" s="100">
        <f t="shared" ca="1" si="231"/>
        <v>1.9258341200000001E-2</v>
      </c>
      <c r="G858">
        <v>0</v>
      </c>
      <c r="H858">
        <v>1</v>
      </c>
      <c r="I858">
        <v>4</v>
      </c>
      <c r="J858" s="1">
        <f t="shared" ca="1" si="232"/>
        <v>4.7549502495000082E-4</v>
      </c>
      <c r="K858" s="1">
        <f t="shared" ca="1" si="233"/>
        <v>9.1572454293896298E-6</v>
      </c>
      <c r="L858" s="13">
        <f t="shared" ca="1" si="234"/>
        <v>222</v>
      </c>
      <c r="M858" s="7">
        <f t="shared" ca="1" si="235"/>
        <v>778</v>
      </c>
      <c r="N858" s="43">
        <f t="shared" ca="1" si="236"/>
        <v>7</v>
      </c>
      <c r="O858" s="92">
        <f t="shared" ca="1" si="237"/>
        <v>3.2214900588145507</v>
      </c>
      <c r="P858" s="92">
        <f t="shared" ca="1" si="238"/>
        <v>32.214900588145518</v>
      </c>
      <c r="Q858" s="92">
        <f t="shared" ca="1" si="239"/>
        <v>32.214900588145518</v>
      </c>
      <c r="R858" s="92">
        <f t="shared" ca="1" si="240"/>
        <v>3.2214900588145516</v>
      </c>
      <c r="S858" s="92">
        <f t="shared" ca="1" si="241"/>
        <v>3.2214900588145507</v>
      </c>
      <c r="T858" s="4">
        <f t="shared" ca="1" si="242"/>
        <v>2.9499975116903673E-5</v>
      </c>
      <c r="U858" s="99">
        <f t="shared" ca="1" si="243"/>
        <v>1377.9757603899629</v>
      </c>
      <c r="V858" s="4">
        <f t="shared" ca="1" si="244"/>
        <v>1.2618462233640687E-2</v>
      </c>
      <c r="W858" s="13">
        <f t="shared" ca="1" si="245"/>
        <v>30213.601687499999</v>
      </c>
      <c r="X858" s="4">
        <f t="shared" ca="1" si="246"/>
        <v>0.27667336595825814</v>
      </c>
    </row>
    <row r="859" spans="1:24">
      <c r="A859">
        <v>2</v>
      </c>
      <c r="B859">
        <v>1</v>
      </c>
      <c r="C859">
        <f t="shared" ca="1" si="228"/>
        <v>7</v>
      </c>
      <c r="D859">
        <f t="shared" ca="1" si="229"/>
        <v>5</v>
      </c>
      <c r="E859">
        <f t="shared" ca="1" si="230"/>
        <v>2</v>
      </c>
      <c r="F859" s="100">
        <f t="shared" ca="1" si="231"/>
        <v>1.9258341200000001E-2</v>
      </c>
      <c r="G859">
        <v>0</v>
      </c>
      <c r="H859">
        <v>1</v>
      </c>
      <c r="I859">
        <v>3</v>
      </c>
      <c r="J859" s="1">
        <f t="shared" ca="1" si="232"/>
        <v>9.6059601000000268E-6</v>
      </c>
      <c r="K859" s="1">
        <f t="shared" ca="1" si="233"/>
        <v>1.8499485715938665E-7</v>
      </c>
      <c r="L859" s="13">
        <f t="shared" ca="1" si="234"/>
        <v>200</v>
      </c>
      <c r="M859" s="7">
        <f t="shared" ca="1" si="235"/>
        <v>800</v>
      </c>
      <c r="N859" s="43">
        <f t="shared" ca="1" si="236"/>
        <v>7</v>
      </c>
      <c r="O859" s="92">
        <f t="shared" ca="1" si="237"/>
        <v>3.2214900588145507</v>
      </c>
      <c r="P859" s="92">
        <f t="shared" ca="1" si="238"/>
        <v>32.214900588145518</v>
      </c>
      <c r="Q859" s="92">
        <f t="shared" ca="1" si="239"/>
        <v>32.214900588145518</v>
      </c>
      <c r="R859" s="92">
        <f t="shared" ca="1" si="240"/>
        <v>3.2214900588145516</v>
      </c>
      <c r="S859" s="92">
        <f t="shared" ca="1" si="241"/>
        <v>3.2214900588145507</v>
      </c>
      <c r="T859" s="4">
        <f t="shared" ca="1" si="242"/>
        <v>5.9595909327078186E-7</v>
      </c>
      <c r="U859" s="99">
        <f t="shared" ca="1" si="243"/>
        <v>1355.9757603899629</v>
      </c>
      <c r="V859" s="4">
        <f t="shared" ca="1" si="244"/>
        <v>2.5084854210493188E-4</v>
      </c>
      <c r="W859" s="13">
        <f t="shared" ca="1" si="245"/>
        <v>24196.529568749997</v>
      </c>
      <c r="X859" s="4">
        <f t="shared" ca="1" si="246"/>
        <v>4.4762335313237806E-3</v>
      </c>
    </row>
    <row r="860" spans="1:24">
      <c r="A860">
        <v>2</v>
      </c>
      <c r="B860">
        <v>1</v>
      </c>
      <c r="C860">
        <f t="shared" ca="1" si="228"/>
        <v>7</v>
      </c>
      <c r="D860">
        <f t="shared" ca="1" si="229"/>
        <v>5</v>
      </c>
      <c r="E860">
        <f t="shared" ca="1" si="230"/>
        <v>2</v>
      </c>
      <c r="F860" s="100">
        <f t="shared" ca="1" si="231"/>
        <v>1.9258341200000001E-2</v>
      </c>
      <c r="G860">
        <v>0</v>
      </c>
      <c r="H860">
        <v>1</v>
      </c>
      <c r="I860">
        <v>2</v>
      </c>
      <c r="J860" s="1">
        <f t="shared" ca="1" si="232"/>
        <v>9.7029900000000355E-8</v>
      </c>
      <c r="K860" s="1">
        <f t="shared" ca="1" si="233"/>
        <v>1.8686349208018871E-9</v>
      </c>
      <c r="L860" s="13">
        <f t="shared" ca="1" si="234"/>
        <v>178</v>
      </c>
      <c r="M860" s="7">
        <f t="shared" ca="1" si="235"/>
        <v>822</v>
      </c>
      <c r="N860" s="43">
        <f t="shared" ca="1" si="236"/>
        <v>7</v>
      </c>
      <c r="O860" s="92">
        <f t="shared" ca="1" si="237"/>
        <v>3.2214900588145507</v>
      </c>
      <c r="P860" s="92">
        <f t="shared" ca="1" si="238"/>
        <v>32.214900588145518</v>
      </c>
      <c r="Q860" s="92">
        <f t="shared" ca="1" si="239"/>
        <v>32.214900588145518</v>
      </c>
      <c r="R860" s="92">
        <f t="shared" ca="1" si="240"/>
        <v>3.2214900588145516</v>
      </c>
      <c r="S860" s="92">
        <f t="shared" ca="1" si="241"/>
        <v>3.2214900588145507</v>
      </c>
      <c r="T860" s="4">
        <f t="shared" ca="1" si="242"/>
        <v>6.0197888209169947E-9</v>
      </c>
      <c r="U860" s="99">
        <f t="shared" ca="1" si="243"/>
        <v>1333.9757603899629</v>
      </c>
      <c r="V860" s="4">
        <f t="shared" ca="1" si="244"/>
        <v>2.4927136893679353E-6</v>
      </c>
      <c r="W860" s="13">
        <f t="shared" ca="1" si="245"/>
        <v>18179.457449999998</v>
      </c>
      <c r="X860" s="4">
        <f t="shared" ca="1" si="246"/>
        <v>3.397076903230202E-5</v>
      </c>
    </row>
    <row r="861" spans="1:24">
      <c r="A861">
        <v>2</v>
      </c>
      <c r="B861">
        <v>1</v>
      </c>
      <c r="C861">
        <f t="shared" ca="1" si="228"/>
        <v>7</v>
      </c>
      <c r="D861">
        <f t="shared" ca="1" si="229"/>
        <v>5</v>
      </c>
      <c r="E861">
        <f t="shared" ca="1" si="230"/>
        <v>2</v>
      </c>
      <c r="F861" s="100">
        <f t="shared" ca="1" si="231"/>
        <v>1.9258341200000001E-2</v>
      </c>
      <c r="G861">
        <v>0</v>
      </c>
      <c r="H861">
        <v>1</v>
      </c>
      <c r="I861">
        <v>1</v>
      </c>
      <c r="J861" s="1">
        <f t="shared" ca="1" si="232"/>
        <v>4.9005000000000225E-10</v>
      </c>
      <c r="K861" s="1">
        <f t="shared" ca="1" si="233"/>
        <v>9.4375501050600443E-12</v>
      </c>
      <c r="L861" s="13">
        <f t="shared" ca="1" si="234"/>
        <v>156</v>
      </c>
      <c r="M861" s="7">
        <f t="shared" ca="1" si="235"/>
        <v>844</v>
      </c>
      <c r="N861" s="43">
        <f t="shared" ca="1" si="236"/>
        <v>7</v>
      </c>
      <c r="O861" s="92">
        <f t="shared" ca="1" si="237"/>
        <v>3.2214900588145507</v>
      </c>
      <c r="P861" s="92">
        <f t="shared" ca="1" si="238"/>
        <v>32.214900588145518</v>
      </c>
      <c r="Q861" s="92">
        <f t="shared" ca="1" si="239"/>
        <v>32.214900588145518</v>
      </c>
      <c r="R861" s="92">
        <f t="shared" ca="1" si="240"/>
        <v>3.2214900588145516</v>
      </c>
      <c r="S861" s="92">
        <f t="shared" ca="1" si="241"/>
        <v>3.2214900588145507</v>
      </c>
      <c r="T861" s="4">
        <f t="shared" ca="1" si="242"/>
        <v>3.0402973843015153E-11</v>
      </c>
      <c r="U861" s="99">
        <f t="shared" ca="1" si="243"/>
        <v>1311.9757603899629</v>
      </c>
      <c r="V861" s="4">
        <f t="shared" ca="1" si="244"/>
        <v>1.2381836975304527E-8</v>
      </c>
      <c r="W861" s="13">
        <f t="shared" ca="1" si="245"/>
        <v>12162.38533125</v>
      </c>
      <c r="X861" s="4">
        <f t="shared" ca="1" si="246"/>
        <v>1.1478312096071917E-7</v>
      </c>
    </row>
    <row r="862" spans="1:24">
      <c r="A862">
        <v>2</v>
      </c>
      <c r="B862">
        <v>1</v>
      </c>
      <c r="C862">
        <f t="shared" ca="1" si="228"/>
        <v>7</v>
      </c>
      <c r="D862">
        <f t="shared" ca="1" si="229"/>
        <v>5</v>
      </c>
      <c r="E862">
        <f t="shared" ca="1" si="230"/>
        <v>2</v>
      </c>
      <c r="F862" s="100">
        <f t="shared" ca="1" si="231"/>
        <v>1.9258341200000001E-2</v>
      </c>
      <c r="G862">
        <v>0</v>
      </c>
      <c r="H862">
        <v>1</v>
      </c>
      <c r="I862">
        <v>0</v>
      </c>
      <c r="J862" s="1">
        <f t="shared" ca="1" si="232"/>
        <v>9.9000000000000548E-13</v>
      </c>
      <c r="K862" s="1">
        <f t="shared" ca="1" si="233"/>
        <v>1.9065757788000108E-14</v>
      </c>
      <c r="L862" s="13">
        <f t="shared" ca="1" si="234"/>
        <v>134</v>
      </c>
      <c r="M862" s="7">
        <f t="shared" ca="1" si="235"/>
        <v>866</v>
      </c>
      <c r="N862" s="43">
        <f t="shared" ca="1" si="236"/>
        <v>7</v>
      </c>
      <c r="O862" s="92">
        <f t="shared" ca="1" si="237"/>
        <v>3.2214900588145507</v>
      </c>
      <c r="P862" s="92">
        <f t="shared" ca="1" si="238"/>
        <v>32.214900588145518</v>
      </c>
      <c r="Q862" s="92">
        <f t="shared" ca="1" si="239"/>
        <v>32.214900588145518</v>
      </c>
      <c r="R862" s="92">
        <f t="shared" ca="1" si="240"/>
        <v>3.2214900588145516</v>
      </c>
      <c r="S862" s="92">
        <f t="shared" ca="1" si="241"/>
        <v>3.2214900588145507</v>
      </c>
      <c r="T862" s="4">
        <f t="shared" ca="1" si="242"/>
        <v>6.142014917780845E-14</v>
      </c>
      <c r="U862" s="99">
        <f t="shared" ca="1" si="243"/>
        <v>1289.9757603899629</v>
      </c>
      <c r="V862" s="4">
        <f t="shared" ca="1" si="244"/>
        <v>2.4594365399986295E-11</v>
      </c>
      <c r="W862" s="13">
        <f t="shared" ca="1" si="245"/>
        <v>6145.3132124999993</v>
      </c>
      <c r="X862" s="4">
        <f t="shared" ca="1" si="246"/>
        <v>1.1716505324092184E-10</v>
      </c>
    </row>
    <row r="863" spans="1:24">
      <c r="A863">
        <v>2</v>
      </c>
      <c r="B863">
        <v>1</v>
      </c>
      <c r="C863">
        <f t="shared" ca="1" si="228"/>
        <v>7</v>
      </c>
      <c r="D863">
        <f t="shared" ca="1" si="229"/>
        <v>5</v>
      </c>
      <c r="E863">
        <f t="shared" ca="1" si="230"/>
        <v>2</v>
      </c>
      <c r="F863" s="100">
        <f t="shared" ca="1" si="231"/>
        <v>1.9258341200000001E-2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3">
        <f t="shared" ca="1" si="236"/>
        <v>7</v>
      </c>
      <c r="O863" s="92">
        <f t="shared" ca="1" si="237"/>
        <v>3.2214900588145507</v>
      </c>
      <c r="P863" s="92">
        <f t="shared" ca="1" si="238"/>
        <v>32.214900588145518</v>
      </c>
      <c r="Q863" s="92">
        <f t="shared" ca="1" si="239"/>
        <v>32.214900588145518</v>
      </c>
      <c r="R863" s="92">
        <f t="shared" ca="1" si="240"/>
        <v>3.2214900588145516</v>
      </c>
      <c r="S863" s="92">
        <f t="shared" ca="1" si="241"/>
        <v>3.2214900588145507</v>
      </c>
      <c r="T863" s="4">
        <f t="shared" ca="1" si="242"/>
        <v>0</v>
      </c>
      <c r="U863" s="99">
        <f t="shared" ca="1" si="243"/>
        <v>1309.9757603899629</v>
      </c>
      <c r="V863" s="4">
        <f t="shared" ca="1" si="244"/>
        <v>0</v>
      </c>
      <c r="W863" s="13">
        <f t="shared" ca="1" si="245"/>
        <v>42119.50483125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ca="1" si="228"/>
        <v>7</v>
      </c>
      <c r="D864">
        <f t="shared" ca="1" si="229"/>
        <v>5</v>
      </c>
      <c r="E864">
        <f t="shared" ca="1" si="230"/>
        <v>2</v>
      </c>
      <c r="F864" s="100">
        <f t="shared" ca="1" si="231"/>
        <v>1.9258341200000001E-2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132</v>
      </c>
      <c r="M864" s="7">
        <f t="shared" ca="1" si="235"/>
        <v>868</v>
      </c>
      <c r="N864" s="43">
        <f t="shared" ca="1" si="236"/>
        <v>7</v>
      </c>
      <c r="O864" s="92">
        <f t="shared" ca="1" si="237"/>
        <v>3.2214900588145507</v>
      </c>
      <c r="P864" s="92">
        <f t="shared" ca="1" si="238"/>
        <v>32.214900588145518</v>
      </c>
      <c r="Q864" s="92">
        <f t="shared" ca="1" si="239"/>
        <v>32.214900588145518</v>
      </c>
      <c r="R864" s="92">
        <f t="shared" ca="1" si="240"/>
        <v>3.2214900588145516</v>
      </c>
      <c r="S864" s="92">
        <f t="shared" ca="1" si="241"/>
        <v>3.2214900588145507</v>
      </c>
      <c r="T864" s="4">
        <f t="shared" ca="1" si="242"/>
        <v>0</v>
      </c>
      <c r="U864" s="99">
        <f t="shared" ca="1" si="243"/>
        <v>1287.9757603899629</v>
      </c>
      <c r="V864" s="4">
        <f t="shared" ca="1" si="244"/>
        <v>0</v>
      </c>
      <c r="W864" s="13">
        <f t="shared" ca="1" si="245"/>
        <v>36102.432712499998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ca="1" si="228"/>
        <v>7</v>
      </c>
      <c r="D865">
        <f t="shared" ca="1" si="229"/>
        <v>5</v>
      </c>
      <c r="E865">
        <f t="shared" ca="1" si="230"/>
        <v>2</v>
      </c>
      <c r="F865" s="100">
        <f t="shared" ca="1" si="231"/>
        <v>1.9258341200000001E-2</v>
      </c>
      <c r="G865">
        <v>0</v>
      </c>
      <c r="H865">
        <v>0</v>
      </c>
      <c r="I865">
        <v>5</v>
      </c>
      <c r="J865" s="1">
        <f t="shared" ca="1" si="232"/>
        <v>9.5099004990000158E-5</v>
      </c>
      <c r="K865" s="1">
        <f t="shared" ca="1" si="233"/>
        <v>1.8314490858779257E-6</v>
      </c>
      <c r="L865" s="13">
        <f t="shared" ca="1" si="234"/>
        <v>110</v>
      </c>
      <c r="M865" s="7">
        <f t="shared" ca="1" si="235"/>
        <v>890</v>
      </c>
      <c r="N865" s="43">
        <f t="shared" ca="1" si="236"/>
        <v>8</v>
      </c>
      <c r="O865" s="92">
        <f t="shared" ca="1" si="237"/>
        <v>3.5531918581169131</v>
      </c>
      <c r="P865" s="92">
        <f t="shared" ca="1" si="238"/>
        <v>35.531918581169137</v>
      </c>
      <c r="Q865" s="92">
        <f t="shared" ca="1" si="239"/>
        <v>33.541707785354966</v>
      </c>
      <c r="R865" s="92">
        <f t="shared" ca="1" si="240"/>
        <v>3.4536813183262054</v>
      </c>
      <c r="S865" s="92">
        <f t="shared" ca="1" si="241"/>
        <v>3.5462261203315633</v>
      </c>
      <c r="T865" s="4">
        <f t="shared" ca="1" si="242"/>
        <v>6.4947325863976643E-6</v>
      </c>
      <c r="U865" s="99">
        <f t="shared" ca="1" si="243"/>
        <v>1366.7817087343356</v>
      </c>
      <c r="V865" s="4">
        <f t="shared" ca="1" si="244"/>
        <v>2.5031911110561683E-3</v>
      </c>
      <c r="W865" s="13">
        <f t="shared" ca="1" si="245"/>
        <v>30085.360593749996</v>
      </c>
      <c r="X865" s="4">
        <f t="shared" ca="1" si="246"/>
        <v>5.5099806157731197E-2</v>
      </c>
    </row>
    <row r="866" spans="1:24">
      <c r="A866">
        <v>2</v>
      </c>
      <c r="B866">
        <v>1</v>
      </c>
      <c r="C866">
        <f t="shared" ca="1" si="228"/>
        <v>7</v>
      </c>
      <c r="D866">
        <f t="shared" ca="1" si="229"/>
        <v>5</v>
      </c>
      <c r="E866">
        <f t="shared" ca="1" si="230"/>
        <v>2</v>
      </c>
      <c r="F866" s="100">
        <f t="shared" ca="1" si="231"/>
        <v>1.9258341200000001E-2</v>
      </c>
      <c r="G866">
        <v>0</v>
      </c>
      <c r="H866">
        <v>0</v>
      </c>
      <c r="I866">
        <v>4</v>
      </c>
      <c r="J866" s="1">
        <f t="shared" ca="1" si="232"/>
        <v>4.8029800500000126E-6</v>
      </c>
      <c r="K866" s="1">
        <f t="shared" ca="1" si="233"/>
        <v>9.249742857969331E-8</v>
      </c>
      <c r="L866" s="13">
        <f t="shared" ca="1" si="234"/>
        <v>100</v>
      </c>
      <c r="M866" s="7">
        <f t="shared" ca="1" si="235"/>
        <v>900</v>
      </c>
      <c r="N866" s="43">
        <f t="shared" ca="1" si="236"/>
        <v>8</v>
      </c>
      <c r="O866" s="92">
        <f t="shared" ca="1" si="237"/>
        <v>3.5531918581169131</v>
      </c>
      <c r="P866" s="92">
        <f t="shared" ca="1" si="238"/>
        <v>35.531918581169137</v>
      </c>
      <c r="Q866" s="92">
        <f t="shared" ca="1" si="239"/>
        <v>35.531918581169137</v>
      </c>
      <c r="R866" s="92">
        <f t="shared" ca="1" si="240"/>
        <v>3.5531918581169135</v>
      </c>
      <c r="S866" s="92">
        <f t="shared" ca="1" si="241"/>
        <v>3.5531918581169126</v>
      </c>
      <c r="T866" s="4">
        <f t="shared" ca="1" si="242"/>
        <v>3.2866111012611689E-7</v>
      </c>
      <c r="U866" s="99">
        <f t="shared" ca="1" si="243"/>
        <v>1358.9440426620492</v>
      </c>
      <c r="V866" s="4">
        <f t="shared" ca="1" si="244"/>
        <v>1.2569882952993261E-4</v>
      </c>
      <c r="W866" s="13">
        <f t="shared" ca="1" si="245"/>
        <v>24068.288474999998</v>
      </c>
      <c r="X866" s="4">
        <f t="shared" ca="1" si="246"/>
        <v>2.2262547942517681E-3</v>
      </c>
    </row>
    <row r="867" spans="1:24">
      <c r="A867">
        <v>2</v>
      </c>
      <c r="B867">
        <v>1</v>
      </c>
      <c r="C867">
        <f t="shared" ca="1" si="228"/>
        <v>7</v>
      </c>
      <c r="D867">
        <f t="shared" ca="1" si="229"/>
        <v>5</v>
      </c>
      <c r="E867">
        <f t="shared" ca="1" si="230"/>
        <v>2</v>
      </c>
      <c r="F867" s="100">
        <f t="shared" ca="1" si="231"/>
        <v>1.9258341200000001E-2</v>
      </c>
      <c r="G867">
        <v>0</v>
      </c>
      <c r="H867">
        <v>0</v>
      </c>
      <c r="I867">
        <v>3</v>
      </c>
      <c r="J867" s="1">
        <f t="shared" ca="1" si="232"/>
        <v>9.7029900000000341E-8</v>
      </c>
      <c r="K867" s="1">
        <f t="shared" ca="1" si="233"/>
        <v>1.8686349208018867E-9</v>
      </c>
      <c r="L867" s="13">
        <f t="shared" ca="1" si="234"/>
        <v>100</v>
      </c>
      <c r="M867" s="7">
        <f t="shared" ca="1" si="235"/>
        <v>900</v>
      </c>
      <c r="N867" s="43">
        <f t="shared" ca="1" si="236"/>
        <v>8</v>
      </c>
      <c r="O867" s="92">
        <f t="shared" ca="1" si="237"/>
        <v>3.5531918581169131</v>
      </c>
      <c r="P867" s="92">
        <f t="shared" ca="1" si="238"/>
        <v>35.531918581169137</v>
      </c>
      <c r="Q867" s="92">
        <f t="shared" ca="1" si="239"/>
        <v>35.531918581169137</v>
      </c>
      <c r="R867" s="92">
        <f t="shared" ca="1" si="240"/>
        <v>3.5531918581169135</v>
      </c>
      <c r="S867" s="92">
        <f t="shared" ca="1" si="241"/>
        <v>3.5531918581169126</v>
      </c>
      <c r="T867" s="4">
        <f t="shared" ca="1" si="242"/>
        <v>6.6396183863862054E-9</v>
      </c>
      <c r="U867" s="99">
        <f t="shared" ca="1" si="243"/>
        <v>1358.9440426620492</v>
      </c>
      <c r="V867" s="4">
        <f t="shared" ca="1" si="244"/>
        <v>2.539370293533994E-6</v>
      </c>
      <c r="W867" s="13">
        <f t="shared" ca="1" si="245"/>
        <v>18051.216356249999</v>
      </c>
      <c r="X867" s="4">
        <f t="shared" ca="1" si="246"/>
        <v>3.3731133246238939E-5</v>
      </c>
    </row>
    <row r="868" spans="1:24">
      <c r="A868">
        <v>2</v>
      </c>
      <c r="B868">
        <v>1</v>
      </c>
      <c r="C868">
        <f t="shared" ca="1" si="228"/>
        <v>7</v>
      </c>
      <c r="D868">
        <f t="shared" ca="1" si="229"/>
        <v>5</v>
      </c>
      <c r="E868">
        <f t="shared" ca="1" si="230"/>
        <v>2</v>
      </c>
      <c r="F868" s="100">
        <f t="shared" ca="1" si="231"/>
        <v>1.9258341200000001E-2</v>
      </c>
      <c r="G868">
        <v>0</v>
      </c>
      <c r="H868">
        <v>0</v>
      </c>
      <c r="I868">
        <v>2</v>
      </c>
      <c r="J868" s="1">
        <f t="shared" ca="1" si="232"/>
        <v>9.801000000000045E-10</v>
      </c>
      <c r="K868" s="1">
        <f t="shared" ca="1" si="233"/>
        <v>1.8875100210120089E-11</v>
      </c>
      <c r="L868" s="13">
        <f t="shared" ca="1" si="234"/>
        <v>100</v>
      </c>
      <c r="M868" s="7">
        <f t="shared" ca="1" si="235"/>
        <v>900</v>
      </c>
      <c r="N868" s="43">
        <f t="shared" ca="1" si="236"/>
        <v>8</v>
      </c>
      <c r="O868" s="92">
        <f t="shared" ca="1" si="237"/>
        <v>3.5531918581169131</v>
      </c>
      <c r="P868" s="92">
        <f t="shared" ca="1" si="238"/>
        <v>35.531918581169137</v>
      </c>
      <c r="Q868" s="92">
        <f t="shared" ca="1" si="239"/>
        <v>35.531918581169137</v>
      </c>
      <c r="R868" s="92">
        <f t="shared" ca="1" si="240"/>
        <v>3.5531918581169135</v>
      </c>
      <c r="S868" s="92">
        <f t="shared" ca="1" si="241"/>
        <v>3.5531918581169126</v>
      </c>
      <c r="T868" s="4">
        <f t="shared" ca="1" si="242"/>
        <v>6.7066852387739529E-11</v>
      </c>
      <c r="U868" s="99">
        <f t="shared" ca="1" si="243"/>
        <v>1358.9440426620492</v>
      </c>
      <c r="V868" s="4">
        <f t="shared" ca="1" si="244"/>
        <v>2.5650204985191889E-8</v>
      </c>
      <c r="W868" s="13">
        <f t="shared" ca="1" si="245"/>
        <v>12034.144237499999</v>
      </c>
      <c r="X868" s="4">
        <f t="shared" ca="1" si="246"/>
        <v>2.2714567842585168E-7</v>
      </c>
    </row>
    <row r="869" spans="1:24">
      <c r="A869">
        <v>2</v>
      </c>
      <c r="B869">
        <v>1</v>
      </c>
      <c r="C869">
        <f t="shared" ca="1" si="228"/>
        <v>7</v>
      </c>
      <c r="D869">
        <f t="shared" ca="1" si="229"/>
        <v>5</v>
      </c>
      <c r="E869">
        <f t="shared" ca="1" si="230"/>
        <v>2</v>
      </c>
      <c r="F869" s="100">
        <f t="shared" ca="1" si="231"/>
        <v>1.9258341200000001E-2</v>
      </c>
      <c r="G869">
        <v>0</v>
      </c>
      <c r="H869">
        <v>0</v>
      </c>
      <c r="I869">
        <v>1</v>
      </c>
      <c r="J869" s="1">
        <f t="shared" ca="1" si="232"/>
        <v>4.9500000000000272E-12</v>
      </c>
      <c r="K869" s="1">
        <f t="shared" ca="1" si="233"/>
        <v>9.5328788940000533E-14</v>
      </c>
      <c r="L869" s="13">
        <f t="shared" ca="1" si="234"/>
        <v>100</v>
      </c>
      <c r="M869" s="7">
        <f t="shared" ca="1" si="235"/>
        <v>900</v>
      </c>
      <c r="N869" s="43">
        <f t="shared" ca="1" si="236"/>
        <v>8</v>
      </c>
      <c r="O869" s="92">
        <f t="shared" ca="1" si="237"/>
        <v>3.5531918581169131</v>
      </c>
      <c r="P869" s="92">
        <f t="shared" ca="1" si="238"/>
        <v>35.531918581169137</v>
      </c>
      <c r="Q869" s="92">
        <f t="shared" ca="1" si="239"/>
        <v>35.531918581169137</v>
      </c>
      <c r="R869" s="92">
        <f t="shared" ca="1" si="240"/>
        <v>3.5531918581169135</v>
      </c>
      <c r="S869" s="92">
        <f t="shared" ca="1" si="241"/>
        <v>3.5531918581169126</v>
      </c>
      <c r="T869" s="4">
        <f t="shared" ca="1" si="242"/>
        <v>3.3872147670575546E-13</v>
      </c>
      <c r="U869" s="99">
        <f t="shared" ca="1" si="243"/>
        <v>1358.9440426620492</v>
      </c>
      <c r="V869" s="4">
        <f t="shared" ca="1" si="244"/>
        <v>1.2954648982420156E-10</v>
      </c>
      <c r="W869" s="13">
        <f t="shared" ca="1" si="245"/>
        <v>6017.0721187499994</v>
      </c>
      <c r="X869" s="4">
        <f t="shared" ca="1" si="246"/>
        <v>5.7360019804508055E-10</v>
      </c>
    </row>
    <row r="870" spans="1:24">
      <c r="A870">
        <v>2</v>
      </c>
      <c r="B870">
        <v>1</v>
      </c>
      <c r="C870">
        <f t="shared" ca="1" si="228"/>
        <v>7</v>
      </c>
      <c r="D870">
        <f t="shared" ca="1" si="229"/>
        <v>5</v>
      </c>
      <c r="E870">
        <f t="shared" ca="1" si="230"/>
        <v>2</v>
      </c>
      <c r="F870" s="100">
        <f t="shared" ca="1" si="231"/>
        <v>1.9258341200000001E-2</v>
      </c>
      <c r="G870">
        <v>0</v>
      </c>
      <c r="H870">
        <v>0</v>
      </c>
      <c r="I870">
        <v>0</v>
      </c>
      <c r="J870" s="1">
        <f t="shared" ca="1" si="232"/>
        <v>1.0000000000000063E-14</v>
      </c>
      <c r="K870" s="1">
        <f t="shared" ca="1" si="233"/>
        <v>1.9258341200000122E-16</v>
      </c>
      <c r="L870" s="13">
        <f t="shared" ca="1" si="234"/>
        <v>100</v>
      </c>
      <c r="M870" s="7">
        <f t="shared" ca="1" si="235"/>
        <v>900</v>
      </c>
      <c r="N870" s="43">
        <f t="shared" ca="1" si="236"/>
        <v>8</v>
      </c>
      <c r="O870" s="92">
        <f t="shared" ca="1" si="237"/>
        <v>3.5531918581169131</v>
      </c>
      <c r="P870" s="92">
        <f t="shared" ca="1" si="238"/>
        <v>35.531918581169137</v>
      </c>
      <c r="Q870" s="92">
        <f t="shared" ca="1" si="239"/>
        <v>35.531918581169137</v>
      </c>
      <c r="R870" s="92">
        <f t="shared" ca="1" si="240"/>
        <v>3.5531918581169135</v>
      </c>
      <c r="S870" s="92">
        <f t="shared" ca="1" si="241"/>
        <v>3.5531918581169126</v>
      </c>
      <c r="T870" s="4">
        <f t="shared" ca="1" si="242"/>
        <v>6.8428581152677923E-16</v>
      </c>
      <c r="U870" s="99">
        <f t="shared" ca="1" si="243"/>
        <v>1358.9440426620492</v>
      </c>
      <c r="V870" s="4">
        <f t="shared" ca="1" si="244"/>
        <v>2.6171008045293267E-13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ca="1" si="247">MIN(8, 1+$B$543+$B$542+A871+B871)</f>
        <v>8</v>
      </c>
      <c r="D871">
        <f t="shared" ref="D871:D934" ca="1" si="248">C871-(1+$B$543)</f>
        <v>6</v>
      </c>
      <c r="E871">
        <f t="shared" ref="E871:E934" ca="1" si="249">MIN(A871, C871-(1+$B$543+$B$542))</f>
        <v>2</v>
      </c>
      <c r="F871" s="100">
        <f t="shared" ref="F871:F934" ca="1" si="250">IF(A871=3, $E$538, IF(A871=2, (1-$E$538)*$E$537 + (1-$E$538)*(1-$E$537)*(1-$E$536)*Set2AM3*Set2AM33, IF(A871=1, (1-$E$538)*(1-$E$537)*$E$536 + (1-$E$538)*(1-$E$537)*(1-$E$536)*Set2AM3*Set2AM32, (1-$E$538)*(1-$E$537)*(1-$E$536)*(1-Set2AM3)))) * IF($B$542+$B$543&gt;0, IF(B871=3, $E$538, IF(B871=2, (1-$E$538)*$E$537, IF(B871=1, (1-$E$538)*(1-$E$537)*$E$536, (1-$E$538)*(1-$E$537)*(1-$E$536)))), IF(B871=0, 1, 0))</f>
        <v>1.8441640000000002E-2</v>
      </c>
      <c r="G871">
        <v>1</v>
      </c>
      <c r="H871">
        <v>1</v>
      </c>
      <c r="I871">
        <v>7</v>
      </c>
      <c r="J871" s="1">
        <f t="shared" ref="J871:J934" ca="1" si="251">IF($B$541&lt;100%, POWER($B$541,G871)*POWER(1-$B$541, 1-G871), 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422</v>
      </c>
      <c r="M871" s="7">
        <f t="shared" ref="M871:M934" ca="1" si="254">MAX(Set2MinTP-(L871+Set2Regain), 0)</f>
        <v>578</v>
      </c>
      <c r="N871" s="43">
        <f t="shared" ref="N871:N934" ca="1" si="255">CEILING(M871/Set2MeleeTP, 1)</f>
        <v>5</v>
      </c>
      <c r="O871" s="92">
        <f t="shared" ref="O871:O934" ca="1" si="256">VLOOKUP(N871, AvgRoundsSet2, 2)</f>
        <v>2.4432565128993144</v>
      </c>
      <c r="P871" s="92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24.432565128993144</v>
      </c>
      <c r="Q871" s="92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24.432565128993144</v>
      </c>
      <c r="R871" s="92">
        <f t="shared" ref="R871:R934" ca="1" si="259">(P871+Q871)/20</f>
        <v>2.4432565128993144</v>
      </c>
      <c r="S871" s="92">
        <f t="shared" ref="S871:S934" ca="1" si="260">R871*Set2ConserveTP + O871*(1-Set2ConserveTP)</f>
        <v>2.4432565128993144</v>
      </c>
      <c r="T871" s="4">
        <f t="shared" ref="T871:T934" ca="1" si="261">K871*S871</f>
        <v>0</v>
      </c>
      <c r="U871" s="99">
        <f t="shared" ref="U871:U934" ca="1" si="262">MIN(L871+(S871+Set2OverTP)*AvgHitsPerRound2*Set2MeleeTP + Set2Regain + 10.5*Set2ConserveTP, 3000)</f>
        <v>1336.3931955743851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54281.8901625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ca="1" si="247"/>
        <v>8</v>
      </c>
      <c r="D872">
        <f t="shared" ca="1" si="248"/>
        <v>6</v>
      </c>
      <c r="E872">
        <f t="shared" ca="1" si="249"/>
        <v>2</v>
      </c>
      <c r="F872" s="100">
        <f t="shared" ca="1" si="250"/>
        <v>1.8441640000000002E-2</v>
      </c>
      <c r="G872">
        <v>1</v>
      </c>
      <c r="H872">
        <v>1</v>
      </c>
      <c r="I872">
        <v>6</v>
      </c>
      <c r="J872" s="1">
        <f t="shared" ca="1" si="251"/>
        <v>0.92274469442791995</v>
      </c>
      <c r="K872" s="1">
        <f t="shared" ca="1" si="252"/>
        <v>1.7016925466549707E-2</v>
      </c>
      <c r="L872" s="13">
        <f t="shared" ca="1" si="253"/>
        <v>400</v>
      </c>
      <c r="M872" s="7">
        <f t="shared" ca="1" si="254"/>
        <v>600</v>
      </c>
      <c r="N872" s="43">
        <f t="shared" ca="1" si="255"/>
        <v>5</v>
      </c>
      <c r="O872" s="92">
        <f t="shared" ca="1" si="256"/>
        <v>2.4432565128993144</v>
      </c>
      <c r="P872" s="92">
        <f t="shared" ca="1" si="257"/>
        <v>24.432565128993144</v>
      </c>
      <c r="Q872" s="92">
        <f t="shared" ca="1" si="258"/>
        <v>24.432565128993144</v>
      </c>
      <c r="R872" s="92">
        <f t="shared" ca="1" si="259"/>
        <v>2.4432565128993144</v>
      </c>
      <c r="S872" s="92">
        <f t="shared" ca="1" si="260"/>
        <v>2.4432565128993144</v>
      </c>
      <c r="T872" s="4">
        <f t="shared" ca="1" si="261"/>
        <v>4.1576713975669775E-2</v>
      </c>
      <c r="U872" s="99">
        <f t="shared" ca="1" si="262"/>
        <v>1314.3931955743851</v>
      </c>
      <c r="V872" s="4">
        <f t="shared" ca="1" si="263"/>
        <v>22.366931042829403</v>
      </c>
      <c r="W872" s="13">
        <f t="shared" ca="1" si="264"/>
        <v>48264.818043749998</v>
      </c>
      <c r="X872" s="4">
        <f t="shared" ca="1" si="265"/>
        <v>821.31881130707711</v>
      </c>
    </row>
    <row r="873" spans="1:24">
      <c r="A873">
        <v>2</v>
      </c>
      <c r="B873">
        <v>2</v>
      </c>
      <c r="C873">
        <f t="shared" ca="1" si="247"/>
        <v>8</v>
      </c>
      <c r="D873">
        <f t="shared" ca="1" si="248"/>
        <v>6</v>
      </c>
      <c r="E873">
        <f t="shared" ca="1" si="249"/>
        <v>2</v>
      </c>
      <c r="F873" s="100">
        <f t="shared" ca="1" si="250"/>
        <v>1.8441640000000002E-2</v>
      </c>
      <c r="G873">
        <v>1</v>
      </c>
      <c r="H873">
        <v>1</v>
      </c>
      <c r="I873">
        <v>5</v>
      </c>
      <c r="J873" s="1">
        <f t="shared" ca="1" si="251"/>
        <v>5.5923920874419442E-2</v>
      </c>
      <c r="K873" s="1">
        <f t="shared" ca="1" si="252"/>
        <v>1.0313288161545287E-3</v>
      </c>
      <c r="L873" s="13">
        <f t="shared" ca="1" si="253"/>
        <v>378</v>
      </c>
      <c r="M873" s="7">
        <f t="shared" ca="1" si="254"/>
        <v>622</v>
      </c>
      <c r="N873" s="43">
        <f t="shared" ca="1" si="255"/>
        <v>5</v>
      </c>
      <c r="O873" s="92">
        <f t="shared" ca="1" si="256"/>
        <v>2.4432565128993144</v>
      </c>
      <c r="P873" s="92">
        <f t="shared" ca="1" si="257"/>
        <v>24.432565128993144</v>
      </c>
      <c r="Q873" s="92">
        <f t="shared" ca="1" si="258"/>
        <v>24.432565128993144</v>
      </c>
      <c r="R873" s="92">
        <f t="shared" ca="1" si="259"/>
        <v>2.4432565128993144</v>
      </c>
      <c r="S873" s="92">
        <f t="shared" ca="1" si="260"/>
        <v>2.4432565128993144</v>
      </c>
      <c r="T873" s="4">
        <f t="shared" ca="1" si="261"/>
        <v>2.5198008470102918E-3</v>
      </c>
      <c r="U873" s="99">
        <f t="shared" ca="1" si="262"/>
        <v>1292.3931955743851</v>
      </c>
      <c r="V873" s="4">
        <f t="shared" ca="1" si="263"/>
        <v>1.332882344397899</v>
      </c>
      <c r="W873" s="13">
        <f t="shared" ca="1" si="264"/>
        <v>42247.745924999996</v>
      </c>
      <c r="X873" s="4">
        <f t="shared" ca="1" si="265"/>
        <v>43.571317790027557</v>
      </c>
    </row>
    <row r="874" spans="1:24">
      <c r="A874">
        <v>2</v>
      </c>
      <c r="B874">
        <v>2</v>
      </c>
      <c r="C874">
        <f t="shared" ca="1" si="247"/>
        <v>8</v>
      </c>
      <c r="D874">
        <f t="shared" ca="1" si="248"/>
        <v>6</v>
      </c>
      <c r="E874">
        <f t="shared" ca="1" si="249"/>
        <v>2</v>
      </c>
      <c r="F874" s="100">
        <f t="shared" ca="1" si="250"/>
        <v>1.8441640000000002E-2</v>
      </c>
      <c r="G874">
        <v>1</v>
      </c>
      <c r="H874">
        <v>1</v>
      </c>
      <c r="I874">
        <v>4</v>
      </c>
      <c r="J874" s="1">
        <f t="shared" ca="1" si="251"/>
        <v>1.4122202241015026E-3</v>
      </c>
      <c r="K874" s="1">
        <f t="shared" ca="1" si="252"/>
        <v>2.6043656973599238E-5</v>
      </c>
      <c r="L874" s="13">
        <f t="shared" ca="1" si="253"/>
        <v>356</v>
      </c>
      <c r="M874" s="7">
        <f t="shared" ca="1" si="254"/>
        <v>644</v>
      </c>
      <c r="N874" s="43">
        <f t="shared" ca="1" si="255"/>
        <v>6</v>
      </c>
      <c r="O874" s="92">
        <f t="shared" ca="1" si="256"/>
        <v>2.7275117780454798</v>
      </c>
      <c r="P874" s="92">
        <f t="shared" ca="1" si="257"/>
        <v>27.275117780454792</v>
      </c>
      <c r="Q874" s="92">
        <f t="shared" ca="1" si="258"/>
        <v>26.706607250162463</v>
      </c>
      <c r="R874" s="92">
        <f t="shared" ca="1" si="259"/>
        <v>2.6990862515308627</v>
      </c>
      <c r="S874" s="92">
        <f t="shared" ca="1" si="260"/>
        <v>2.7255219911894564</v>
      </c>
      <c r="T874" s="4">
        <f t="shared" ca="1" si="261"/>
        <v>7.0982559812539362E-5</v>
      </c>
      <c r="U874" s="99">
        <f t="shared" ca="1" si="262"/>
        <v>1358.0152449734937</v>
      </c>
      <c r="V874" s="4">
        <f t="shared" ca="1" si="263"/>
        <v>3.5367683205008008E-2</v>
      </c>
      <c r="W874" s="13">
        <f t="shared" ca="1" si="264"/>
        <v>36230.673806249994</v>
      </c>
      <c r="X874" s="4">
        <f t="shared" ca="1" si="265"/>
        <v>0.94357924053234188</v>
      </c>
    </row>
    <row r="875" spans="1:24">
      <c r="A875">
        <v>2</v>
      </c>
      <c r="B875">
        <v>2</v>
      </c>
      <c r="C875">
        <f t="shared" ca="1" si="247"/>
        <v>8</v>
      </c>
      <c r="D875">
        <f t="shared" ca="1" si="248"/>
        <v>6</v>
      </c>
      <c r="E875">
        <f t="shared" ca="1" si="249"/>
        <v>2</v>
      </c>
      <c r="F875" s="100">
        <f t="shared" ca="1" si="250"/>
        <v>1.8441640000000002E-2</v>
      </c>
      <c r="G875">
        <v>1</v>
      </c>
      <c r="H875">
        <v>1</v>
      </c>
      <c r="I875">
        <v>3</v>
      </c>
      <c r="J875" s="1">
        <f t="shared" ca="1" si="251"/>
        <v>1.9019800998000047E-5</v>
      </c>
      <c r="K875" s="1">
        <f t="shared" ca="1" si="252"/>
        <v>3.5075632287675761E-7</v>
      </c>
      <c r="L875" s="13">
        <f t="shared" ca="1" si="253"/>
        <v>334</v>
      </c>
      <c r="M875" s="7">
        <f t="shared" ca="1" si="254"/>
        <v>666</v>
      </c>
      <c r="N875" s="43">
        <f t="shared" ca="1" si="255"/>
        <v>6</v>
      </c>
      <c r="O875" s="92">
        <f t="shared" ca="1" si="256"/>
        <v>2.7275117780454798</v>
      </c>
      <c r="P875" s="92">
        <f t="shared" ca="1" si="257"/>
        <v>27.275117780454792</v>
      </c>
      <c r="Q875" s="92">
        <f t="shared" ca="1" si="258"/>
        <v>27.275117780454792</v>
      </c>
      <c r="R875" s="92">
        <f t="shared" ca="1" si="259"/>
        <v>2.7275117780454794</v>
      </c>
      <c r="S875" s="92">
        <f t="shared" ca="1" si="260"/>
        <v>2.7275117780454794</v>
      </c>
      <c r="T875" s="4">
        <f t="shared" ca="1" si="261"/>
        <v>9.5669200187027932E-7</v>
      </c>
      <c r="U875" s="99">
        <f t="shared" ca="1" si="262"/>
        <v>1336.6329230659346</v>
      </c>
      <c r="V875" s="4">
        <f t="shared" ca="1" si="263"/>
        <v>4.6883244913061928E-4</v>
      </c>
      <c r="W875" s="13">
        <f t="shared" ca="1" si="264"/>
        <v>30213.601687499999</v>
      </c>
      <c r="X875" s="4">
        <f t="shared" ca="1" si="265"/>
        <v>1.0597611828770498E-2</v>
      </c>
    </row>
    <row r="876" spans="1:24">
      <c r="A876">
        <v>2</v>
      </c>
      <c r="B876">
        <v>2</v>
      </c>
      <c r="C876">
        <f t="shared" ca="1" si="247"/>
        <v>8</v>
      </c>
      <c r="D876">
        <f t="shared" ca="1" si="248"/>
        <v>6</v>
      </c>
      <c r="E876">
        <f t="shared" ca="1" si="249"/>
        <v>2</v>
      </c>
      <c r="F876" s="100">
        <f t="shared" ca="1" si="250"/>
        <v>1.8441640000000002E-2</v>
      </c>
      <c r="G876">
        <v>1</v>
      </c>
      <c r="H876">
        <v>1</v>
      </c>
      <c r="I876">
        <v>2</v>
      </c>
      <c r="J876" s="1">
        <f t="shared" ca="1" si="251"/>
        <v>1.4408940150000054E-7</v>
      </c>
      <c r="K876" s="1">
        <f t="shared" ca="1" si="252"/>
        <v>2.6572448702784701E-9</v>
      </c>
      <c r="L876" s="13">
        <f t="shared" ca="1" si="253"/>
        <v>312</v>
      </c>
      <c r="M876" s="7">
        <f t="shared" ca="1" si="254"/>
        <v>688</v>
      </c>
      <c r="N876" s="43">
        <f t="shared" ca="1" si="255"/>
        <v>6</v>
      </c>
      <c r="O876" s="92">
        <f t="shared" ca="1" si="256"/>
        <v>2.7275117780454798</v>
      </c>
      <c r="P876" s="92">
        <f t="shared" ca="1" si="257"/>
        <v>27.275117780454792</v>
      </c>
      <c r="Q876" s="92">
        <f t="shared" ca="1" si="258"/>
        <v>27.275117780454792</v>
      </c>
      <c r="R876" s="92">
        <f t="shared" ca="1" si="259"/>
        <v>2.7275117780454794</v>
      </c>
      <c r="S876" s="92">
        <f t="shared" ca="1" si="260"/>
        <v>2.7275117780454794</v>
      </c>
      <c r="T876" s="4">
        <f t="shared" ca="1" si="261"/>
        <v>7.2476666808354596E-9</v>
      </c>
      <c r="U876" s="99">
        <f t="shared" ca="1" si="262"/>
        <v>1314.6329230659346</v>
      </c>
      <c r="V876" s="4">
        <f t="shared" ca="1" si="263"/>
        <v>3.4933015911161456E-6</v>
      </c>
      <c r="W876" s="13">
        <f t="shared" ca="1" si="264"/>
        <v>24196.529568749997</v>
      </c>
      <c r="X876" s="4">
        <f t="shared" ca="1" si="265"/>
        <v>6.4296104075102251E-5</v>
      </c>
    </row>
    <row r="877" spans="1:24">
      <c r="A877">
        <v>2</v>
      </c>
      <c r="B877">
        <v>2</v>
      </c>
      <c r="C877">
        <f t="shared" ca="1" si="247"/>
        <v>8</v>
      </c>
      <c r="D877">
        <f t="shared" ca="1" si="248"/>
        <v>6</v>
      </c>
      <c r="E877">
        <f t="shared" ca="1" si="249"/>
        <v>2</v>
      </c>
      <c r="F877" s="100">
        <f t="shared" ca="1" si="250"/>
        <v>1.8441640000000002E-2</v>
      </c>
      <c r="G877">
        <v>1</v>
      </c>
      <c r="H877">
        <v>1</v>
      </c>
      <c r="I877">
        <v>1</v>
      </c>
      <c r="J877" s="1">
        <f t="shared" ca="1" si="251"/>
        <v>5.8217940000000265E-10</v>
      </c>
      <c r="K877" s="1">
        <f t="shared" ca="1" si="252"/>
        <v>1.0736342910216051E-11</v>
      </c>
      <c r="L877" s="13">
        <f t="shared" ca="1" si="253"/>
        <v>290</v>
      </c>
      <c r="M877" s="7">
        <f t="shared" ca="1" si="254"/>
        <v>710</v>
      </c>
      <c r="N877" s="43">
        <f t="shared" ca="1" si="255"/>
        <v>6</v>
      </c>
      <c r="O877" s="92">
        <f t="shared" ca="1" si="256"/>
        <v>2.7275117780454798</v>
      </c>
      <c r="P877" s="92">
        <f t="shared" ca="1" si="257"/>
        <v>27.275117780454792</v>
      </c>
      <c r="Q877" s="92">
        <f t="shared" ca="1" si="258"/>
        <v>27.275117780454792</v>
      </c>
      <c r="R877" s="92">
        <f t="shared" ca="1" si="259"/>
        <v>2.7275117780454794</v>
      </c>
      <c r="S877" s="92">
        <f t="shared" ca="1" si="260"/>
        <v>2.7275117780454794</v>
      </c>
      <c r="T877" s="4">
        <f t="shared" ca="1" si="261"/>
        <v>2.9283501740749356E-11</v>
      </c>
      <c r="U877" s="99">
        <f t="shared" ca="1" si="262"/>
        <v>1292.6329230659346</v>
      </c>
      <c r="V877" s="4">
        <f t="shared" ca="1" si="263"/>
        <v>1.3878150319070796E-8</v>
      </c>
      <c r="W877" s="13">
        <f t="shared" ca="1" si="264"/>
        <v>18179.457449999998</v>
      </c>
      <c r="X877" s="4">
        <f t="shared" ca="1" si="265"/>
        <v>1.9518088910488184E-7</v>
      </c>
    </row>
    <row r="878" spans="1:24">
      <c r="A878">
        <v>2</v>
      </c>
      <c r="B878">
        <v>2</v>
      </c>
      <c r="C878">
        <f t="shared" ca="1" si="247"/>
        <v>8</v>
      </c>
      <c r="D878">
        <f t="shared" ca="1" si="248"/>
        <v>6</v>
      </c>
      <c r="E878">
        <f t="shared" ca="1" si="249"/>
        <v>2</v>
      </c>
      <c r="F878" s="100">
        <f t="shared" ca="1" si="250"/>
        <v>1.8441640000000002E-2</v>
      </c>
      <c r="G878">
        <v>1</v>
      </c>
      <c r="H878">
        <v>1</v>
      </c>
      <c r="I878">
        <v>0</v>
      </c>
      <c r="J878" s="1">
        <f t="shared" ca="1" si="251"/>
        <v>9.8010000000000529E-13</v>
      </c>
      <c r="K878" s="1">
        <f t="shared" ca="1" si="252"/>
        <v>1.80746513640001E-14</v>
      </c>
      <c r="L878" s="13">
        <f t="shared" ca="1" si="253"/>
        <v>268</v>
      </c>
      <c r="M878" s="7">
        <f t="shared" ca="1" si="254"/>
        <v>732</v>
      </c>
      <c r="N878" s="43">
        <f t="shared" ca="1" si="255"/>
        <v>6</v>
      </c>
      <c r="O878" s="92">
        <f t="shared" ca="1" si="256"/>
        <v>2.7275117780454798</v>
      </c>
      <c r="P878" s="92">
        <f t="shared" ca="1" si="257"/>
        <v>27.275117780454792</v>
      </c>
      <c r="Q878" s="92">
        <f t="shared" ca="1" si="258"/>
        <v>27.275117780454792</v>
      </c>
      <c r="R878" s="92">
        <f t="shared" ca="1" si="259"/>
        <v>2.7275117780454794</v>
      </c>
      <c r="S878" s="92">
        <f t="shared" ca="1" si="260"/>
        <v>2.7275117780454794</v>
      </c>
      <c r="T878" s="4">
        <f t="shared" ca="1" si="261"/>
        <v>4.9298824479376061E-14</v>
      </c>
      <c r="U878" s="99">
        <f t="shared" ca="1" si="262"/>
        <v>1270.6329230659346</v>
      </c>
      <c r="V878" s="4">
        <f t="shared" ca="1" si="263"/>
        <v>2.2966247096037131E-11</v>
      </c>
      <c r="W878" s="13">
        <f t="shared" ca="1" si="264"/>
        <v>12162.38533125</v>
      </c>
      <c r="X878" s="4">
        <f t="shared" ca="1" si="265"/>
        <v>2.1983087461697262E-10</v>
      </c>
    </row>
    <row r="879" spans="1:24">
      <c r="A879">
        <v>2</v>
      </c>
      <c r="B879">
        <v>2</v>
      </c>
      <c r="C879">
        <f t="shared" ca="1" si="247"/>
        <v>8</v>
      </c>
      <c r="D879">
        <f t="shared" ca="1" si="248"/>
        <v>6</v>
      </c>
      <c r="E879">
        <f t="shared" ca="1" si="249"/>
        <v>2</v>
      </c>
      <c r="F879" s="100">
        <f t="shared" ca="1" si="250"/>
        <v>1.8441640000000002E-2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288</v>
      </c>
      <c r="M879" s="7">
        <f t="shared" ca="1" si="254"/>
        <v>712</v>
      </c>
      <c r="N879" s="43">
        <f t="shared" ca="1" si="255"/>
        <v>6</v>
      </c>
      <c r="O879" s="92">
        <f t="shared" ca="1" si="256"/>
        <v>2.7275117780454798</v>
      </c>
      <c r="P879" s="92">
        <f t="shared" ca="1" si="257"/>
        <v>27.275117780454792</v>
      </c>
      <c r="Q879" s="92">
        <f t="shared" ca="1" si="258"/>
        <v>27.275117780454792</v>
      </c>
      <c r="R879" s="92">
        <f t="shared" ca="1" si="259"/>
        <v>2.7275117780454794</v>
      </c>
      <c r="S879" s="92">
        <f t="shared" ca="1" si="260"/>
        <v>2.7275117780454794</v>
      </c>
      <c r="T879" s="4">
        <f t="shared" ca="1" si="261"/>
        <v>0</v>
      </c>
      <c r="U879" s="99">
        <f t="shared" ca="1" si="262"/>
        <v>1290.6329230659346</v>
      </c>
      <c r="V879" s="4">
        <f t="shared" ca="1" si="263"/>
        <v>0</v>
      </c>
      <c r="W879" s="13">
        <f t="shared" ca="1" si="264"/>
        <v>48136.576950000002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ca="1" si="247"/>
        <v>8</v>
      </c>
      <c r="D880">
        <f t="shared" ca="1" si="248"/>
        <v>6</v>
      </c>
      <c r="E880">
        <f t="shared" ca="1" si="249"/>
        <v>2</v>
      </c>
      <c r="F880" s="100">
        <f t="shared" ca="1" si="250"/>
        <v>1.8441640000000002E-2</v>
      </c>
      <c r="G880">
        <v>1</v>
      </c>
      <c r="H880">
        <v>0</v>
      </c>
      <c r="I880">
        <v>6</v>
      </c>
      <c r="J880" s="1">
        <f t="shared" ca="1" si="251"/>
        <v>9.3206534790699087E-3</v>
      </c>
      <c r="K880" s="1">
        <f t="shared" ca="1" si="252"/>
        <v>1.7188813602575482E-4</v>
      </c>
      <c r="L880" s="13">
        <f t="shared" ca="1" si="253"/>
        <v>266</v>
      </c>
      <c r="M880" s="7">
        <f t="shared" ca="1" si="254"/>
        <v>734</v>
      </c>
      <c r="N880" s="43">
        <f t="shared" ca="1" si="255"/>
        <v>6</v>
      </c>
      <c r="O880" s="92">
        <f t="shared" ca="1" si="256"/>
        <v>2.7275117780454798</v>
      </c>
      <c r="P880" s="92">
        <f t="shared" ca="1" si="257"/>
        <v>27.275117780454792</v>
      </c>
      <c r="Q880" s="92">
        <f t="shared" ca="1" si="258"/>
        <v>27.275117780454792</v>
      </c>
      <c r="R880" s="92">
        <f t="shared" ca="1" si="259"/>
        <v>2.7275117780454794</v>
      </c>
      <c r="S880" s="92">
        <f t="shared" ca="1" si="260"/>
        <v>2.7275117780454794</v>
      </c>
      <c r="T880" s="4">
        <f t="shared" ca="1" si="261"/>
        <v>4.6882691551652976E-4</v>
      </c>
      <c r="U880" s="99">
        <f t="shared" ca="1" si="262"/>
        <v>1268.6329230659346</v>
      </c>
      <c r="V880" s="4">
        <f t="shared" ca="1" si="263"/>
        <v>0.21806294844670832</v>
      </c>
      <c r="W880" s="13">
        <f t="shared" ca="1" si="264"/>
        <v>42119.50483125</v>
      </c>
      <c r="X880" s="4">
        <f t="shared" ca="1" si="265"/>
        <v>7.2398431757713375</v>
      </c>
    </row>
    <row r="881" spans="1:24">
      <c r="A881">
        <v>2</v>
      </c>
      <c r="B881">
        <v>2</v>
      </c>
      <c r="C881">
        <f t="shared" ca="1" si="247"/>
        <v>8</v>
      </c>
      <c r="D881">
        <f t="shared" ca="1" si="248"/>
        <v>6</v>
      </c>
      <c r="E881">
        <f t="shared" ca="1" si="249"/>
        <v>2</v>
      </c>
      <c r="F881" s="100">
        <f t="shared" ca="1" si="250"/>
        <v>1.8441640000000002E-2</v>
      </c>
      <c r="G881">
        <v>1</v>
      </c>
      <c r="H881">
        <v>0</v>
      </c>
      <c r="I881">
        <v>5</v>
      </c>
      <c r="J881" s="1">
        <f t="shared" ca="1" si="251"/>
        <v>5.6488808964060098E-4</v>
      </c>
      <c r="K881" s="1">
        <f t="shared" ca="1" si="252"/>
        <v>1.0417462789439693E-5</v>
      </c>
      <c r="L881" s="13">
        <f t="shared" ca="1" si="253"/>
        <v>244</v>
      </c>
      <c r="M881" s="7">
        <f t="shared" ca="1" si="254"/>
        <v>756</v>
      </c>
      <c r="N881" s="43">
        <f t="shared" ca="1" si="255"/>
        <v>7</v>
      </c>
      <c r="O881" s="92">
        <f t="shared" ca="1" si="256"/>
        <v>3.2214900588145507</v>
      </c>
      <c r="P881" s="92">
        <f t="shared" ca="1" si="257"/>
        <v>29.745009184300148</v>
      </c>
      <c r="Q881" s="92">
        <f t="shared" ca="1" si="258"/>
        <v>27.275117780454792</v>
      </c>
      <c r="R881" s="92">
        <f t="shared" ca="1" si="259"/>
        <v>2.851006348237747</v>
      </c>
      <c r="S881" s="92">
        <f t="shared" ca="1" si="260"/>
        <v>3.1955561990741743</v>
      </c>
      <c r="T881" s="4">
        <f t="shared" ca="1" si="261"/>
        <v>3.3289587795418552E-5</v>
      </c>
      <c r="U881" s="99">
        <f t="shared" ca="1" si="262"/>
        <v>1391.9252614304514</v>
      </c>
      <c r="V881" s="4">
        <f t="shared" ca="1" si="263"/>
        <v>1.4500329616632845E-2</v>
      </c>
      <c r="W881" s="13">
        <f t="shared" ca="1" si="264"/>
        <v>36102.432712499998</v>
      </c>
      <c r="X881" s="4">
        <f t="shared" ca="1" si="265"/>
        <v>0.37609574939071905</v>
      </c>
    </row>
    <row r="882" spans="1:24">
      <c r="A882">
        <v>2</v>
      </c>
      <c r="B882">
        <v>2</v>
      </c>
      <c r="C882">
        <f t="shared" ca="1" si="247"/>
        <v>8</v>
      </c>
      <c r="D882">
        <f t="shared" ca="1" si="248"/>
        <v>6</v>
      </c>
      <c r="E882">
        <f t="shared" ca="1" si="249"/>
        <v>2</v>
      </c>
      <c r="F882" s="100">
        <f t="shared" ca="1" si="250"/>
        <v>1.8441640000000002E-2</v>
      </c>
      <c r="G882">
        <v>1</v>
      </c>
      <c r="H882">
        <v>0</v>
      </c>
      <c r="I882">
        <v>4</v>
      </c>
      <c r="J882" s="1">
        <f t="shared" ca="1" si="251"/>
        <v>1.426485074850004E-5</v>
      </c>
      <c r="K882" s="1">
        <f t="shared" ca="1" si="252"/>
        <v>2.6306724215756829E-7</v>
      </c>
      <c r="L882" s="13">
        <f t="shared" ca="1" si="253"/>
        <v>222</v>
      </c>
      <c r="M882" s="7">
        <f t="shared" ca="1" si="254"/>
        <v>778</v>
      </c>
      <c r="N882" s="43">
        <f t="shared" ca="1" si="255"/>
        <v>7</v>
      </c>
      <c r="O882" s="92">
        <f t="shared" ca="1" si="256"/>
        <v>3.2214900588145507</v>
      </c>
      <c r="P882" s="92">
        <f t="shared" ca="1" si="257"/>
        <v>32.214900588145518</v>
      </c>
      <c r="Q882" s="92">
        <f t="shared" ca="1" si="258"/>
        <v>32.214900588145518</v>
      </c>
      <c r="R882" s="92">
        <f t="shared" ca="1" si="259"/>
        <v>3.2214900588145516</v>
      </c>
      <c r="S882" s="92">
        <f t="shared" ca="1" si="260"/>
        <v>3.2214900588145507</v>
      </c>
      <c r="T882" s="4">
        <f t="shared" ca="1" si="261"/>
        <v>8.4746850541036632E-7</v>
      </c>
      <c r="U882" s="99">
        <f t="shared" ca="1" si="262"/>
        <v>1377.9757603899629</v>
      </c>
      <c r="V882" s="4">
        <f t="shared" ca="1" si="263"/>
        <v>3.6250028304576567E-4</v>
      </c>
      <c r="W882" s="13">
        <f t="shared" ca="1" si="264"/>
        <v>30085.360593749996</v>
      </c>
      <c r="X882" s="4">
        <f t="shared" ca="1" si="265"/>
        <v>7.9144728407137925E-3</v>
      </c>
    </row>
    <row r="883" spans="1:24">
      <c r="A883">
        <v>2</v>
      </c>
      <c r="B883">
        <v>2</v>
      </c>
      <c r="C883">
        <f t="shared" ca="1" si="247"/>
        <v>8</v>
      </c>
      <c r="D883">
        <f t="shared" ca="1" si="248"/>
        <v>6</v>
      </c>
      <c r="E883">
        <f t="shared" ca="1" si="249"/>
        <v>2</v>
      </c>
      <c r="F883" s="100">
        <f t="shared" ca="1" si="250"/>
        <v>1.8441640000000002E-2</v>
      </c>
      <c r="G883">
        <v>1</v>
      </c>
      <c r="H883">
        <v>0</v>
      </c>
      <c r="I883">
        <v>3</v>
      </c>
      <c r="J883" s="1">
        <f t="shared" ca="1" si="251"/>
        <v>1.9211920200000068E-7</v>
      </c>
      <c r="K883" s="1">
        <f t="shared" ca="1" si="252"/>
        <v>3.5429931603712928E-9</v>
      </c>
      <c r="L883" s="13">
        <f t="shared" ca="1" si="253"/>
        <v>200</v>
      </c>
      <c r="M883" s="7">
        <f t="shared" ca="1" si="254"/>
        <v>800</v>
      </c>
      <c r="N883" s="43">
        <f t="shared" ca="1" si="255"/>
        <v>7</v>
      </c>
      <c r="O883" s="92">
        <f t="shared" ca="1" si="256"/>
        <v>3.2214900588145507</v>
      </c>
      <c r="P883" s="92">
        <f t="shared" ca="1" si="257"/>
        <v>32.214900588145518</v>
      </c>
      <c r="Q883" s="92">
        <f t="shared" ca="1" si="258"/>
        <v>32.214900588145518</v>
      </c>
      <c r="R883" s="92">
        <f t="shared" ca="1" si="259"/>
        <v>3.2214900588145516</v>
      </c>
      <c r="S883" s="92">
        <f t="shared" ca="1" si="260"/>
        <v>3.2214900588145507</v>
      </c>
      <c r="T883" s="4">
        <f t="shared" ca="1" si="261"/>
        <v>1.1413717244584067E-8</v>
      </c>
      <c r="U883" s="99">
        <f t="shared" ca="1" si="262"/>
        <v>1355.9757603899629</v>
      </c>
      <c r="V883" s="4">
        <f t="shared" ca="1" si="263"/>
        <v>4.804212844690902E-6</v>
      </c>
      <c r="W883" s="13">
        <f t="shared" ca="1" si="264"/>
        <v>24068.288474999998</v>
      </c>
      <c r="X883" s="4">
        <f t="shared" ca="1" si="265"/>
        <v>8.5273781448768211E-5</v>
      </c>
    </row>
    <row r="884" spans="1:24">
      <c r="A884">
        <v>2</v>
      </c>
      <c r="B884">
        <v>2</v>
      </c>
      <c r="C884">
        <f t="shared" ca="1" si="247"/>
        <v>8</v>
      </c>
      <c r="D884">
        <f t="shared" ca="1" si="248"/>
        <v>6</v>
      </c>
      <c r="E884">
        <f t="shared" ca="1" si="249"/>
        <v>2</v>
      </c>
      <c r="F884" s="100">
        <f t="shared" ca="1" si="250"/>
        <v>1.8441640000000002E-2</v>
      </c>
      <c r="G884">
        <v>1</v>
      </c>
      <c r="H884">
        <v>0</v>
      </c>
      <c r="I884">
        <v>2</v>
      </c>
      <c r="J884" s="1">
        <f t="shared" ca="1" si="251"/>
        <v>1.4554485000000069E-9</v>
      </c>
      <c r="K884" s="1">
        <f t="shared" ca="1" si="252"/>
        <v>2.6840857275540132E-11</v>
      </c>
      <c r="L884" s="13">
        <f t="shared" ca="1" si="253"/>
        <v>178</v>
      </c>
      <c r="M884" s="7">
        <f t="shared" ca="1" si="254"/>
        <v>822</v>
      </c>
      <c r="N884" s="43">
        <f t="shared" ca="1" si="255"/>
        <v>7</v>
      </c>
      <c r="O884" s="92">
        <f t="shared" ca="1" si="256"/>
        <v>3.2214900588145507</v>
      </c>
      <c r="P884" s="92">
        <f t="shared" ca="1" si="257"/>
        <v>32.214900588145518</v>
      </c>
      <c r="Q884" s="92">
        <f t="shared" ca="1" si="258"/>
        <v>32.214900588145518</v>
      </c>
      <c r="R884" s="92">
        <f t="shared" ca="1" si="259"/>
        <v>3.2214900588145516</v>
      </c>
      <c r="S884" s="92">
        <f t="shared" ca="1" si="260"/>
        <v>3.2214900588145507</v>
      </c>
      <c r="T884" s="4">
        <f t="shared" ca="1" si="261"/>
        <v>8.6467554883212738E-11</v>
      </c>
      <c r="U884" s="99">
        <f t="shared" ca="1" si="262"/>
        <v>1333.9757603899629</v>
      </c>
      <c r="V884" s="4">
        <f t="shared" ca="1" si="263"/>
        <v>3.5805052993657115E-8</v>
      </c>
      <c r="W884" s="13">
        <f t="shared" ca="1" si="264"/>
        <v>18051.216356249999</v>
      </c>
      <c r="X884" s="4">
        <f t="shared" ca="1" si="265"/>
        <v>4.8451012186800183E-7</v>
      </c>
    </row>
    <row r="885" spans="1:24">
      <c r="A885">
        <v>2</v>
      </c>
      <c r="B885">
        <v>2</v>
      </c>
      <c r="C885">
        <f t="shared" ca="1" si="247"/>
        <v>8</v>
      </c>
      <c r="D885">
        <f t="shared" ca="1" si="248"/>
        <v>6</v>
      </c>
      <c r="E885">
        <f t="shared" ca="1" si="249"/>
        <v>2</v>
      </c>
      <c r="F885" s="100">
        <f t="shared" ca="1" si="250"/>
        <v>1.8441640000000002E-2</v>
      </c>
      <c r="G885">
        <v>1</v>
      </c>
      <c r="H885">
        <v>0</v>
      </c>
      <c r="I885">
        <v>1</v>
      </c>
      <c r="J885" s="1">
        <f t="shared" ca="1" si="251"/>
        <v>5.8806000000000321E-12</v>
      </c>
      <c r="K885" s="1">
        <f t="shared" ca="1" si="252"/>
        <v>1.084479081840006E-13</v>
      </c>
      <c r="L885" s="13">
        <f t="shared" ca="1" si="253"/>
        <v>156</v>
      </c>
      <c r="M885" s="7">
        <f t="shared" ca="1" si="254"/>
        <v>844</v>
      </c>
      <c r="N885" s="43">
        <f t="shared" ca="1" si="255"/>
        <v>7</v>
      </c>
      <c r="O885" s="92">
        <f t="shared" ca="1" si="256"/>
        <v>3.2214900588145507</v>
      </c>
      <c r="P885" s="92">
        <f t="shared" ca="1" si="257"/>
        <v>32.214900588145518</v>
      </c>
      <c r="Q885" s="92">
        <f t="shared" ca="1" si="258"/>
        <v>32.214900588145518</v>
      </c>
      <c r="R885" s="92">
        <f t="shared" ca="1" si="259"/>
        <v>3.2214900588145516</v>
      </c>
      <c r="S885" s="92">
        <f t="shared" ca="1" si="260"/>
        <v>3.2214900588145507</v>
      </c>
      <c r="T885" s="4">
        <f t="shared" ca="1" si="261"/>
        <v>3.4936385811399107E-13</v>
      </c>
      <c r="U885" s="99">
        <f t="shared" ca="1" si="262"/>
        <v>1311.9757603899629</v>
      </c>
      <c r="V885" s="4">
        <f t="shared" ca="1" si="263"/>
        <v>1.4228102680240506E-10</v>
      </c>
      <c r="W885" s="13">
        <f t="shared" ca="1" si="264"/>
        <v>12034.144237499999</v>
      </c>
      <c r="X885" s="4">
        <f t="shared" ca="1" si="265"/>
        <v>1.3050777693414197E-9</v>
      </c>
    </row>
    <row r="886" spans="1:24">
      <c r="A886">
        <v>2</v>
      </c>
      <c r="B886">
        <v>2</v>
      </c>
      <c r="C886">
        <f t="shared" ca="1" si="247"/>
        <v>8</v>
      </c>
      <c r="D886">
        <f t="shared" ca="1" si="248"/>
        <v>6</v>
      </c>
      <c r="E886">
        <f t="shared" ca="1" si="249"/>
        <v>2</v>
      </c>
      <c r="F886" s="100">
        <f t="shared" ca="1" si="250"/>
        <v>1.8441640000000002E-2</v>
      </c>
      <c r="G886">
        <v>1</v>
      </c>
      <c r="H886">
        <v>0</v>
      </c>
      <c r="I886">
        <v>0</v>
      </c>
      <c r="J886" s="1">
        <f t="shared" ca="1" si="251"/>
        <v>9.9000000000000638E-15</v>
      </c>
      <c r="K886" s="1">
        <f t="shared" ca="1" si="252"/>
        <v>1.825722360000012E-16</v>
      </c>
      <c r="L886" s="13">
        <f t="shared" ca="1" si="253"/>
        <v>134</v>
      </c>
      <c r="M886" s="7">
        <f t="shared" ca="1" si="254"/>
        <v>866</v>
      </c>
      <c r="N886" s="43">
        <f t="shared" ca="1" si="255"/>
        <v>7</v>
      </c>
      <c r="O886" s="92">
        <f t="shared" ca="1" si="256"/>
        <v>3.2214900588145507</v>
      </c>
      <c r="P886" s="92">
        <f t="shared" ca="1" si="257"/>
        <v>32.214900588145518</v>
      </c>
      <c r="Q886" s="92">
        <f t="shared" ca="1" si="258"/>
        <v>32.214900588145518</v>
      </c>
      <c r="R886" s="92">
        <f t="shared" ca="1" si="259"/>
        <v>3.2214900588145516</v>
      </c>
      <c r="S886" s="92">
        <f t="shared" ca="1" si="260"/>
        <v>3.2214900588145507</v>
      </c>
      <c r="T886" s="4">
        <f t="shared" ca="1" si="261"/>
        <v>5.8815464328954786E-16</v>
      </c>
      <c r="U886" s="99">
        <f t="shared" ca="1" si="262"/>
        <v>1289.9757603899629</v>
      </c>
      <c r="V886" s="4">
        <f t="shared" ca="1" si="263"/>
        <v>2.3551375896019732E-13</v>
      </c>
      <c r="W886" s="13">
        <f t="shared" ca="1" si="264"/>
        <v>6017.0721187499994</v>
      </c>
      <c r="X886" s="4">
        <f t="shared" ca="1" si="265"/>
        <v>1.0985503108934521E-12</v>
      </c>
    </row>
    <row r="887" spans="1:24">
      <c r="A887">
        <v>2</v>
      </c>
      <c r="B887">
        <v>2</v>
      </c>
      <c r="C887">
        <f t="shared" ca="1" si="247"/>
        <v>8</v>
      </c>
      <c r="D887">
        <f t="shared" ca="1" si="248"/>
        <v>6</v>
      </c>
      <c r="E887">
        <f t="shared" ca="1" si="249"/>
        <v>2</v>
      </c>
      <c r="F887" s="100">
        <f t="shared" ca="1" si="250"/>
        <v>1.8441640000000002E-2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288</v>
      </c>
      <c r="M887" s="7">
        <f t="shared" ca="1" si="254"/>
        <v>712</v>
      </c>
      <c r="N887" s="43">
        <f t="shared" ca="1" si="255"/>
        <v>6</v>
      </c>
      <c r="O887" s="92">
        <f t="shared" ca="1" si="256"/>
        <v>2.7275117780454798</v>
      </c>
      <c r="P887" s="92">
        <f t="shared" ca="1" si="257"/>
        <v>27.275117780454792</v>
      </c>
      <c r="Q887" s="92">
        <f t="shared" ca="1" si="258"/>
        <v>27.275117780454792</v>
      </c>
      <c r="R887" s="92">
        <f t="shared" ca="1" si="259"/>
        <v>2.7275117780454794</v>
      </c>
      <c r="S887" s="92">
        <f t="shared" ca="1" si="260"/>
        <v>2.7275117780454794</v>
      </c>
      <c r="T887" s="4">
        <f t="shared" ca="1" si="261"/>
        <v>0</v>
      </c>
      <c r="U887" s="99">
        <f t="shared" ca="1" si="262"/>
        <v>1290.6329230659346</v>
      </c>
      <c r="V887" s="4">
        <f t="shared" ca="1" si="263"/>
        <v>0</v>
      </c>
      <c r="W887" s="13">
        <f t="shared" ca="1" si="264"/>
        <v>48264.818043749998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ca="1" si="247"/>
        <v>8</v>
      </c>
      <c r="D888">
        <f t="shared" ca="1" si="248"/>
        <v>6</v>
      </c>
      <c r="E888">
        <f t="shared" ca="1" si="249"/>
        <v>2</v>
      </c>
      <c r="F888" s="100">
        <f t="shared" ca="1" si="250"/>
        <v>1.8441640000000002E-2</v>
      </c>
      <c r="G888">
        <v>0</v>
      </c>
      <c r="H888">
        <v>1</v>
      </c>
      <c r="I888">
        <v>6</v>
      </c>
      <c r="J888" s="1">
        <f t="shared" ca="1" si="251"/>
        <v>9.3206534790699087E-3</v>
      </c>
      <c r="K888" s="1">
        <f t="shared" ca="1" si="252"/>
        <v>1.7188813602575482E-4</v>
      </c>
      <c r="L888" s="13">
        <f t="shared" ca="1" si="253"/>
        <v>266</v>
      </c>
      <c r="M888" s="7">
        <f t="shared" ca="1" si="254"/>
        <v>734</v>
      </c>
      <c r="N888" s="43">
        <f t="shared" ca="1" si="255"/>
        <v>6</v>
      </c>
      <c r="O888" s="92">
        <f t="shared" ca="1" si="256"/>
        <v>2.7275117780454798</v>
      </c>
      <c r="P888" s="92">
        <f t="shared" ca="1" si="257"/>
        <v>27.275117780454792</v>
      </c>
      <c r="Q888" s="92">
        <f t="shared" ca="1" si="258"/>
        <v>27.275117780454792</v>
      </c>
      <c r="R888" s="92">
        <f t="shared" ca="1" si="259"/>
        <v>2.7275117780454794</v>
      </c>
      <c r="S888" s="92">
        <f t="shared" ca="1" si="260"/>
        <v>2.7275117780454794</v>
      </c>
      <c r="T888" s="4">
        <f t="shared" ca="1" si="261"/>
        <v>4.6882691551652976E-4</v>
      </c>
      <c r="U888" s="99">
        <f t="shared" ca="1" si="262"/>
        <v>1268.6329230659346</v>
      </c>
      <c r="V888" s="4">
        <f t="shared" ca="1" si="263"/>
        <v>0.21806294844670832</v>
      </c>
      <c r="W888" s="13">
        <f t="shared" ca="1" si="264"/>
        <v>42247.745924999996</v>
      </c>
      <c r="X888" s="4">
        <f t="shared" ca="1" si="265"/>
        <v>7.2618862983379282</v>
      </c>
    </row>
    <row r="889" spans="1:24">
      <c r="A889">
        <v>2</v>
      </c>
      <c r="B889">
        <v>2</v>
      </c>
      <c r="C889">
        <f t="shared" ca="1" si="247"/>
        <v>8</v>
      </c>
      <c r="D889">
        <f t="shared" ca="1" si="248"/>
        <v>6</v>
      </c>
      <c r="E889">
        <f t="shared" ca="1" si="249"/>
        <v>2</v>
      </c>
      <c r="F889" s="100">
        <f t="shared" ca="1" si="250"/>
        <v>1.8441640000000002E-2</v>
      </c>
      <c r="G889">
        <v>0</v>
      </c>
      <c r="H889">
        <v>1</v>
      </c>
      <c r="I889">
        <v>5</v>
      </c>
      <c r="J889" s="1">
        <f t="shared" ca="1" si="251"/>
        <v>5.6488808964060098E-4</v>
      </c>
      <c r="K889" s="1">
        <f t="shared" ca="1" si="252"/>
        <v>1.0417462789439693E-5</v>
      </c>
      <c r="L889" s="13">
        <f t="shared" ca="1" si="253"/>
        <v>244</v>
      </c>
      <c r="M889" s="7">
        <f t="shared" ca="1" si="254"/>
        <v>756</v>
      </c>
      <c r="N889" s="43">
        <f t="shared" ca="1" si="255"/>
        <v>7</v>
      </c>
      <c r="O889" s="92">
        <f t="shared" ca="1" si="256"/>
        <v>3.2214900588145507</v>
      </c>
      <c r="P889" s="92">
        <f t="shared" ca="1" si="257"/>
        <v>29.745009184300148</v>
      </c>
      <c r="Q889" s="92">
        <f t="shared" ca="1" si="258"/>
        <v>27.275117780454792</v>
      </c>
      <c r="R889" s="92">
        <f t="shared" ca="1" si="259"/>
        <v>2.851006348237747</v>
      </c>
      <c r="S889" s="92">
        <f t="shared" ca="1" si="260"/>
        <v>3.1955561990741743</v>
      </c>
      <c r="T889" s="4">
        <f t="shared" ca="1" si="261"/>
        <v>3.3289587795418552E-5</v>
      </c>
      <c r="U889" s="99">
        <f t="shared" ca="1" si="262"/>
        <v>1391.9252614304514</v>
      </c>
      <c r="V889" s="4">
        <f t="shared" ca="1" si="263"/>
        <v>1.4500329616632845E-2</v>
      </c>
      <c r="W889" s="13">
        <f t="shared" ca="1" si="264"/>
        <v>36230.673806249994</v>
      </c>
      <c r="X889" s="4">
        <f t="shared" ca="1" si="265"/>
        <v>0.37743169621293671</v>
      </c>
    </row>
    <row r="890" spans="1:24">
      <c r="A890">
        <v>2</v>
      </c>
      <c r="B890">
        <v>2</v>
      </c>
      <c r="C890">
        <f t="shared" ca="1" si="247"/>
        <v>8</v>
      </c>
      <c r="D890">
        <f t="shared" ca="1" si="248"/>
        <v>6</v>
      </c>
      <c r="E890">
        <f t="shared" ca="1" si="249"/>
        <v>2</v>
      </c>
      <c r="F890" s="100">
        <f t="shared" ca="1" si="250"/>
        <v>1.8441640000000002E-2</v>
      </c>
      <c r="G890">
        <v>0</v>
      </c>
      <c r="H890">
        <v>1</v>
      </c>
      <c r="I890">
        <v>4</v>
      </c>
      <c r="J890" s="1">
        <f t="shared" ca="1" si="251"/>
        <v>1.426485074850004E-5</v>
      </c>
      <c r="K890" s="1">
        <f t="shared" ca="1" si="252"/>
        <v>2.6306724215756829E-7</v>
      </c>
      <c r="L890" s="13">
        <f t="shared" ca="1" si="253"/>
        <v>222</v>
      </c>
      <c r="M890" s="7">
        <f t="shared" ca="1" si="254"/>
        <v>778</v>
      </c>
      <c r="N890" s="43">
        <f t="shared" ca="1" si="255"/>
        <v>7</v>
      </c>
      <c r="O890" s="92">
        <f t="shared" ca="1" si="256"/>
        <v>3.2214900588145507</v>
      </c>
      <c r="P890" s="92">
        <f t="shared" ca="1" si="257"/>
        <v>32.214900588145518</v>
      </c>
      <c r="Q890" s="92">
        <f t="shared" ca="1" si="258"/>
        <v>32.214900588145518</v>
      </c>
      <c r="R890" s="92">
        <f t="shared" ca="1" si="259"/>
        <v>3.2214900588145516</v>
      </c>
      <c r="S890" s="92">
        <f t="shared" ca="1" si="260"/>
        <v>3.2214900588145507</v>
      </c>
      <c r="T890" s="4">
        <f t="shared" ca="1" si="261"/>
        <v>8.4746850541036632E-7</v>
      </c>
      <c r="U890" s="99">
        <f t="shared" ca="1" si="262"/>
        <v>1377.9757603899629</v>
      </c>
      <c r="V890" s="4">
        <f t="shared" ca="1" si="263"/>
        <v>3.6250028304576567E-4</v>
      </c>
      <c r="W890" s="13">
        <f t="shared" ca="1" si="264"/>
        <v>30213.601687499999</v>
      </c>
      <c r="X890" s="4">
        <f t="shared" ca="1" si="265"/>
        <v>7.9482088715778759E-3</v>
      </c>
    </row>
    <row r="891" spans="1:24">
      <c r="A891">
        <v>2</v>
      </c>
      <c r="B891">
        <v>2</v>
      </c>
      <c r="C891">
        <f t="shared" ca="1" si="247"/>
        <v>8</v>
      </c>
      <c r="D891">
        <f t="shared" ca="1" si="248"/>
        <v>6</v>
      </c>
      <c r="E891">
        <f t="shared" ca="1" si="249"/>
        <v>2</v>
      </c>
      <c r="F891" s="100">
        <f t="shared" ca="1" si="250"/>
        <v>1.8441640000000002E-2</v>
      </c>
      <c r="G891">
        <v>0</v>
      </c>
      <c r="H891">
        <v>1</v>
      </c>
      <c r="I891">
        <v>3</v>
      </c>
      <c r="J891" s="1">
        <f t="shared" ca="1" si="251"/>
        <v>1.9211920200000068E-7</v>
      </c>
      <c r="K891" s="1">
        <f t="shared" ca="1" si="252"/>
        <v>3.5429931603712928E-9</v>
      </c>
      <c r="L891" s="13">
        <f t="shared" ca="1" si="253"/>
        <v>200</v>
      </c>
      <c r="M891" s="7">
        <f t="shared" ca="1" si="254"/>
        <v>800</v>
      </c>
      <c r="N891" s="43">
        <f t="shared" ca="1" si="255"/>
        <v>7</v>
      </c>
      <c r="O891" s="92">
        <f t="shared" ca="1" si="256"/>
        <v>3.2214900588145507</v>
      </c>
      <c r="P891" s="92">
        <f t="shared" ca="1" si="257"/>
        <v>32.214900588145518</v>
      </c>
      <c r="Q891" s="92">
        <f t="shared" ca="1" si="258"/>
        <v>32.214900588145518</v>
      </c>
      <c r="R891" s="92">
        <f t="shared" ca="1" si="259"/>
        <v>3.2214900588145516</v>
      </c>
      <c r="S891" s="92">
        <f t="shared" ca="1" si="260"/>
        <v>3.2214900588145507</v>
      </c>
      <c r="T891" s="4">
        <f t="shared" ca="1" si="261"/>
        <v>1.1413717244584067E-8</v>
      </c>
      <c r="U891" s="99">
        <f t="shared" ca="1" si="262"/>
        <v>1355.9757603899629</v>
      </c>
      <c r="V891" s="4">
        <f t="shared" ca="1" si="263"/>
        <v>4.804212844690902E-6</v>
      </c>
      <c r="W891" s="13">
        <f t="shared" ca="1" si="264"/>
        <v>24196.529568749997</v>
      </c>
      <c r="X891" s="4">
        <f t="shared" ca="1" si="265"/>
        <v>8.5728138766802983E-5</v>
      </c>
    </row>
    <row r="892" spans="1:24">
      <c r="A892">
        <v>2</v>
      </c>
      <c r="B892">
        <v>2</v>
      </c>
      <c r="C892">
        <f t="shared" ca="1" si="247"/>
        <v>8</v>
      </c>
      <c r="D892">
        <f t="shared" ca="1" si="248"/>
        <v>6</v>
      </c>
      <c r="E892">
        <f t="shared" ca="1" si="249"/>
        <v>2</v>
      </c>
      <c r="F892" s="100">
        <f t="shared" ca="1" si="250"/>
        <v>1.8441640000000002E-2</v>
      </c>
      <c r="G892">
        <v>0</v>
      </c>
      <c r="H892">
        <v>1</v>
      </c>
      <c r="I892">
        <v>2</v>
      </c>
      <c r="J892" s="1">
        <f t="shared" ca="1" si="251"/>
        <v>1.4554485000000069E-9</v>
      </c>
      <c r="K892" s="1">
        <f t="shared" ca="1" si="252"/>
        <v>2.6840857275540132E-11</v>
      </c>
      <c r="L892" s="13">
        <f t="shared" ca="1" si="253"/>
        <v>178</v>
      </c>
      <c r="M892" s="7">
        <f t="shared" ca="1" si="254"/>
        <v>822</v>
      </c>
      <c r="N892" s="43">
        <f t="shared" ca="1" si="255"/>
        <v>7</v>
      </c>
      <c r="O892" s="92">
        <f t="shared" ca="1" si="256"/>
        <v>3.2214900588145507</v>
      </c>
      <c r="P892" s="92">
        <f t="shared" ca="1" si="257"/>
        <v>32.214900588145518</v>
      </c>
      <c r="Q892" s="92">
        <f t="shared" ca="1" si="258"/>
        <v>32.214900588145518</v>
      </c>
      <c r="R892" s="92">
        <f t="shared" ca="1" si="259"/>
        <v>3.2214900588145516</v>
      </c>
      <c r="S892" s="92">
        <f t="shared" ca="1" si="260"/>
        <v>3.2214900588145507</v>
      </c>
      <c r="T892" s="4">
        <f t="shared" ca="1" si="261"/>
        <v>8.6467554883212738E-11</v>
      </c>
      <c r="U892" s="99">
        <f t="shared" ca="1" si="262"/>
        <v>1333.9757603899629</v>
      </c>
      <c r="V892" s="4">
        <f t="shared" ca="1" si="263"/>
        <v>3.5805052993657115E-8</v>
      </c>
      <c r="W892" s="13">
        <f t="shared" ca="1" si="264"/>
        <v>18179.457449999998</v>
      </c>
      <c r="X892" s="4">
        <f t="shared" ca="1" si="265"/>
        <v>4.8795222276220475E-7</v>
      </c>
    </row>
    <row r="893" spans="1:24">
      <c r="A893">
        <v>2</v>
      </c>
      <c r="B893">
        <v>2</v>
      </c>
      <c r="C893">
        <f t="shared" ca="1" si="247"/>
        <v>8</v>
      </c>
      <c r="D893">
        <f t="shared" ca="1" si="248"/>
        <v>6</v>
      </c>
      <c r="E893">
        <f t="shared" ca="1" si="249"/>
        <v>2</v>
      </c>
      <c r="F893" s="100">
        <f t="shared" ca="1" si="250"/>
        <v>1.8441640000000002E-2</v>
      </c>
      <c r="G893">
        <v>0</v>
      </c>
      <c r="H893">
        <v>1</v>
      </c>
      <c r="I893">
        <v>1</v>
      </c>
      <c r="J893" s="1">
        <f t="shared" ca="1" si="251"/>
        <v>5.8806000000000321E-12</v>
      </c>
      <c r="K893" s="1">
        <f t="shared" ca="1" si="252"/>
        <v>1.084479081840006E-13</v>
      </c>
      <c r="L893" s="13">
        <f t="shared" ca="1" si="253"/>
        <v>156</v>
      </c>
      <c r="M893" s="7">
        <f t="shared" ca="1" si="254"/>
        <v>844</v>
      </c>
      <c r="N893" s="43">
        <f t="shared" ca="1" si="255"/>
        <v>7</v>
      </c>
      <c r="O893" s="92">
        <f t="shared" ca="1" si="256"/>
        <v>3.2214900588145507</v>
      </c>
      <c r="P893" s="92">
        <f t="shared" ca="1" si="257"/>
        <v>32.214900588145518</v>
      </c>
      <c r="Q893" s="92">
        <f t="shared" ca="1" si="258"/>
        <v>32.214900588145518</v>
      </c>
      <c r="R893" s="92">
        <f t="shared" ca="1" si="259"/>
        <v>3.2214900588145516</v>
      </c>
      <c r="S893" s="92">
        <f t="shared" ca="1" si="260"/>
        <v>3.2214900588145507</v>
      </c>
      <c r="T893" s="4">
        <f t="shared" ca="1" si="261"/>
        <v>3.4936385811399107E-13</v>
      </c>
      <c r="U893" s="99">
        <f t="shared" ca="1" si="262"/>
        <v>1311.9757603899629</v>
      </c>
      <c r="V893" s="4">
        <f t="shared" ca="1" si="263"/>
        <v>1.4228102680240506E-10</v>
      </c>
      <c r="W893" s="13">
        <f t="shared" ca="1" si="264"/>
        <v>12162.38533125</v>
      </c>
      <c r="X893" s="4">
        <f t="shared" ca="1" si="265"/>
        <v>1.3189852477018358E-9</v>
      </c>
    </row>
    <row r="894" spans="1:24">
      <c r="A894">
        <v>2</v>
      </c>
      <c r="B894">
        <v>2</v>
      </c>
      <c r="C894">
        <f t="shared" ca="1" si="247"/>
        <v>8</v>
      </c>
      <c r="D894">
        <f t="shared" ca="1" si="248"/>
        <v>6</v>
      </c>
      <c r="E894">
        <f t="shared" ca="1" si="249"/>
        <v>2</v>
      </c>
      <c r="F894" s="100">
        <f t="shared" ca="1" si="250"/>
        <v>1.8441640000000002E-2</v>
      </c>
      <c r="G894">
        <v>0</v>
      </c>
      <c r="H894">
        <v>1</v>
      </c>
      <c r="I894">
        <v>0</v>
      </c>
      <c r="J894" s="1">
        <f t="shared" ca="1" si="251"/>
        <v>9.9000000000000638E-15</v>
      </c>
      <c r="K894" s="1">
        <f t="shared" ca="1" si="252"/>
        <v>1.825722360000012E-16</v>
      </c>
      <c r="L894" s="13">
        <f t="shared" ca="1" si="253"/>
        <v>134</v>
      </c>
      <c r="M894" s="7">
        <f t="shared" ca="1" si="254"/>
        <v>866</v>
      </c>
      <c r="N894" s="43">
        <f t="shared" ca="1" si="255"/>
        <v>7</v>
      </c>
      <c r="O894" s="92">
        <f t="shared" ca="1" si="256"/>
        <v>3.2214900588145507</v>
      </c>
      <c r="P894" s="92">
        <f t="shared" ca="1" si="257"/>
        <v>32.214900588145518</v>
      </c>
      <c r="Q894" s="92">
        <f t="shared" ca="1" si="258"/>
        <v>32.214900588145518</v>
      </c>
      <c r="R894" s="92">
        <f t="shared" ca="1" si="259"/>
        <v>3.2214900588145516</v>
      </c>
      <c r="S894" s="92">
        <f t="shared" ca="1" si="260"/>
        <v>3.2214900588145507</v>
      </c>
      <c r="T894" s="4">
        <f t="shared" ca="1" si="261"/>
        <v>5.8815464328954786E-16</v>
      </c>
      <c r="U894" s="99">
        <f t="shared" ca="1" si="262"/>
        <v>1289.9757603899629</v>
      </c>
      <c r="V894" s="4">
        <f t="shared" ca="1" si="263"/>
        <v>2.3551375896019732E-13</v>
      </c>
      <c r="W894" s="13">
        <f t="shared" ca="1" si="264"/>
        <v>6145.3132124999993</v>
      </c>
      <c r="X894" s="4">
        <f t="shared" ca="1" si="265"/>
        <v>1.1219635741264753E-12</v>
      </c>
    </row>
    <row r="895" spans="1:24">
      <c r="A895">
        <v>2</v>
      </c>
      <c r="B895">
        <v>2</v>
      </c>
      <c r="C895">
        <f t="shared" ca="1" si="247"/>
        <v>8</v>
      </c>
      <c r="D895">
        <f t="shared" ca="1" si="248"/>
        <v>6</v>
      </c>
      <c r="E895">
        <f t="shared" ca="1" si="249"/>
        <v>2</v>
      </c>
      <c r="F895" s="100">
        <f t="shared" ca="1" si="250"/>
        <v>1.8441640000000002E-2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3">
        <f t="shared" ca="1" si="255"/>
        <v>7</v>
      </c>
      <c r="O895" s="92">
        <f t="shared" ca="1" si="256"/>
        <v>3.2214900588145507</v>
      </c>
      <c r="P895" s="92">
        <f t="shared" ca="1" si="257"/>
        <v>32.214900588145518</v>
      </c>
      <c r="Q895" s="92">
        <f t="shared" ca="1" si="258"/>
        <v>32.214900588145518</v>
      </c>
      <c r="R895" s="92">
        <f t="shared" ca="1" si="259"/>
        <v>3.2214900588145516</v>
      </c>
      <c r="S895" s="92">
        <f t="shared" ca="1" si="260"/>
        <v>3.2214900588145507</v>
      </c>
      <c r="T895" s="4">
        <f t="shared" ca="1" si="261"/>
        <v>0</v>
      </c>
      <c r="U895" s="99">
        <f t="shared" ca="1" si="262"/>
        <v>1309.9757603899629</v>
      </c>
      <c r="V895" s="4">
        <f t="shared" ca="1" si="263"/>
        <v>0</v>
      </c>
      <c r="W895" s="13">
        <f t="shared" ca="1" si="264"/>
        <v>42119.50483125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ca="1" si="247"/>
        <v>8</v>
      </c>
      <c r="D896">
        <f t="shared" ca="1" si="248"/>
        <v>6</v>
      </c>
      <c r="E896">
        <f t="shared" ca="1" si="249"/>
        <v>2</v>
      </c>
      <c r="F896" s="100">
        <f t="shared" ca="1" si="250"/>
        <v>1.8441640000000002E-2</v>
      </c>
      <c r="G896">
        <v>0</v>
      </c>
      <c r="H896">
        <v>0</v>
      </c>
      <c r="I896">
        <v>6</v>
      </c>
      <c r="J896" s="1">
        <f t="shared" ca="1" si="251"/>
        <v>9.4148014940100163E-5</v>
      </c>
      <c r="K896" s="1">
        <f t="shared" ca="1" si="252"/>
        <v>1.736243798239949E-6</v>
      </c>
      <c r="L896" s="13">
        <f t="shared" ca="1" si="253"/>
        <v>132</v>
      </c>
      <c r="M896" s="7">
        <f t="shared" ca="1" si="254"/>
        <v>868</v>
      </c>
      <c r="N896" s="43">
        <f t="shared" ca="1" si="255"/>
        <v>7</v>
      </c>
      <c r="O896" s="92">
        <f t="shared" ca="1" si="256"/>
        <v>3.2214900588145507</v>
      </c>
      <c r="P896" s="92">
        <f t="shared" ca="1" si="257"/>
        <v>32.214900588145518</v>
      </c>
      <c r="Q896" s="92">
        <f t="shared" ca="1" si="258"/>
        <v>32.214900588145518</v>
      </c>
      <c r="R896" s="92">
        <f t="shared" ca="1" si="259"/>
        <v>3.2214900588145516</v>
      </c>
      <c r="S896" s="92">
        <f t="shared" ca="1" si="260"/>
        <v>3.2214900588145507</v>
      </c>
      <c r="T896" s="4">
        <f t="shared" ca="1" si="261"/>
        <v>5.593292135708412E-6</v>
      </c>
      <c r="U896" s="99">
        <f t="shared" ca="1" si="262"/>
        <v>1287.9757603899629</v>
      </c>
      <c r="V896" s="4">
        <f t="shared" ca="1" si="263"/>
        <v>2.2362399262604556E-3</v>
      </c>
      <c r="W896" s="13">
        <f t="shared" ca="1" si="264"/>
        <v>36102.432712499998</v>
      </c>
      <c r="X896" s="4">
        <f t="shared" ca="1" si="265"/>
        <v>6.2682624898453179E-2</v>
      </c>
    </row>
    <row r="897" spans="1:24">
      <c r="A897">
        <v>2</v>
      </c>
      <c r="B897">
        <v>2</v>
      </c>
      <c r="C897">
        <f t="shared" ca="1" si="247"/>
        <v>8</v>
      </c>
      <c r="D897">
        <f t="shared" ca="1" si="248"/>
        <v>6</v>
      </c>
      <c r="E897">
        <f t="shared" ca="1" si="249"/>
        <v>2</v>
      </c>
      <c r="F897" s="100">
        <f t="shared" ca="1" si="250"/>
        <v>1.8441640000000002E-2</v>
      </c>
      <c r="G897">
        <v>0</v>
      </c>
      <c r="H897">
        <v>0</v>
      </c>
      <c r="I897">
        <v>5</v>
      </c>
      <c r="J897" s="1">
        <f t="shared" ca="1" si="251"/>
        <v>5.7059402994000143E-6</v>
      </c>
      <c r="K897" s="1">
        <f t="shared" ca="1" si="252"/>
        <v>1.052268968630273E-7</v>
      </c>
      <c r="L897" s="13">
        <f t="shared" ca="1" si="253"/>
        <v>110</v>
      </c>
      <c r="M897" s="7">
        <f t="shared" ca="1" si="254"/>
        <v>890</v>
      </c>
      <c r="N897" s="43">
        <f t="shared" ca="1" si="255"/>
        <v>8</v>
      </c>
      <c r="O897" s="92">
        <f t="shared" ca="1" si="256"/>
        <v>3.5531918581169131</v>
      </c>
      <c r="P897" s="92">
        <f t="shared" ca="1" si="257"/>
        <v>35.531918581169137</v>
      </c>
      <c r="Q897" s="92">
        <f t="shared" ca="1" si="258"/>
        <v>33.541707785354966</v>
      </c>
      <c r="R897" s="92">
        <f t="shared" ca="1" si="259"/>
        <v>3.4536813183262054</v>
      </c>
      <c r="S897" s="92">
        <f t="shared" ca="1" si="260"/>
        <v>3.5462261203315633</v>
      </c>
      <c r="T897" s="4">
        <f t="shared" ca="1" si="261"/>
        <v>3.7315837021710286E-7</v>
      </c>
      <c r="U897" s="99">
        <f t="shared" ca="1" si="262"/>
        <v>1366.7817087343356</v>
      </c>
      <c r="V897" s="4">
        <f t="shared" ca="1" si="263"/>
        <v>1.4382219789926015E-4</v>
      </c>
      <c r="W897" s="13">
        <f t="shared" ca="1" si="264"/>
        <v>30085.360593749996</v>
      </c>
      <c r="X897" s="4">
        <f t="shared" ca="1" si="265"/>
        <v>3.1657891362855167E-3</v>
      </c>
    </row>
    <row r="898" spans="1:24">
      <c r="A898">
        <v>2</v>
      </c>
      <c r="B898">
        <v>2</v>
      </c>
      <c r="C898">
        <f t="shared" ca="1" si="247"/>
        <v>8</v>
      </c>
      <c r="D898">
        <f t="shared" ca="1" si="248"/>
        <v>6</v>
      </c>
      <c r="E898">
        <f t="shared" ca="1" si="249"/>
        <v>2</v>
      </c>
      <c r="F898" s="100">
        <f t="shared" ca="1" si="250"/>
        <v>1.8441640000000002E-2</v>
      </c>
      <c r="G898">
        <v>0</v>
      </c>
      <c r="H898">
        <v>0</v>
      </c>
      <c r="I898">
        <v>4</v>
      </c>
      <c r="J898" s="1">
        <f t="shared" ca="1" si="251"/>
        <v>1.4408940150000052E-7</v>
      </c>
      <c r="K898" s="1">
        <f t="shared" ca="1" si="252"/>
        <v>2.6572448702784697E-9</v>
      </c>
      <c r="L898" s="13">
        <f t="shared" ca="1" si="253"/>
        <v>100</v>
      </c>
      <c r="M898" s="7">
        <f t="shared" ca="1" si="254"/>
        <v>900</v>
      </c>
      <c r="N898" s="43">
        <f t="shared" ca="1" si="255"/>
        <v>8</v>
      </c>
      <c r="O898" s="92">
        <f t="shared" ca="1" si="256"/>
        <v>3.5531918581169131</v>
      </c>
      <c r="P898" s="92">
        <f t="shared" ca="1" si="257"/>
        <v>35.531918581169137</v>
      </c>
      <c r="Q898" s="92">
        <f t="shared" ca="1" si="258"/>
        <v>35.531918581169137</v>
      </c>
      <c r="R898" s="92">
        <f t="shared" ca="1" si="259"/>
        <v>3.5531918581169135</v>
      </c>
      <c r="S898" s="92">
        <f t="shared" ca="1" si="260"/>
        <v>3.5531918581169126</v>
      </c>
      <c r="T898" s="4">
        <f t="shared" ca="1" si="261"/>
        <v>9.4417008380963904E-9</v>
      </c>
      <c r="U898" s="99">
        <f t="shared" ca="1" si="262"/>
        <v>1358.9440426620492</v>
      </c>
      <c r="V898" s="4">
        <f t="shared" ca="1" si="263"/>
        <v>3.6110470863592162E-6</v>
      </c>
      <c r="W898" s="13">
        <f t="shared" ca="1" si="264"/>
        <v>24068.288474999998</v>
      </c>
      <c r="X898" s="4">
        <f t="shared" ca="1" si="265"/>
        <v>6.3955336086576152E-5</v>
      </c>
    </row>
    <row r="899" spans="1:24">
      <c r="A899">
        <v>2</v>
      </c>
      <c r="B899">
        <v>2</v>
      </c>
      <c r="C899">
        <f t="shared" ca="1" si="247"/>
        <v>8</v>
      </c>
      <c r="D899">
        <f t="shared" ca="1" si="248"/>
        <v>6</v>
      </c>
      <c r="E899">
        <f t="shared" ca="1" si="249"/>
        <v>2</v>
      </c>
      <c r="F899" s="100">
        <f t="shared" ca="1" si="250"/>
        <v>1.8441640000000002E-2</v>
      </c>
      <c r="G899">
        <v>0</v>
      </c>
      <c r="H899">
        <v>0</v>
      </c>
      <c r="I899">
        <v>3</v>
      </c>
      <c r="J899" s="1">
        <f t="shared" ca="1" si="251"/>
        <v>1.9405980000000086E-9</v>
      </c>
      <c r="K899" s="1">
        <f t="shared" ca="1" si="252"/>
        <v>3.5787809700720163E-11</v>
      </c>
      <c r="L899" s="13">
        <f t="shared" ca="1" si="253"/>
        <v>100</v>
      </c>
      <c r="M899" s="7">
        <f t="shared" ca="1" si="254"/>
        <v>900</v>
      </c>
      <c r="N899" s="43">
        <f t="shared" ca="1" si="255"/>
        <v>8</v>
      </c>
      <c r="O899" s="92">
        <f t="shared" ca="1" si="256"/>
        <v>3.5531918581169131</v>
      </c>
      <c r="P899" s="92">
        <f t="shared" ca="1" si="257"/>
        <v>35.531918581169137</v>
      </c>
      <c r="Q899" s="92">
        <f t="shared" ca="1" si="258"/>
        <v>35.531918581169137</v>
      </c>
      <c r="R899" s="92">
        <f t="shared" ca="1" si="259"/>
        <v>3.5531918581169135</v>
      </c>
      <c r="S899" s="92">
        <f t="shared" ca="1" si="260"/>
        <v>3.5531918581169126</v>
      </c>
      <c r="T899" s="4">
        <f t="shared" ca="1" si="261"/>
        <v>1.2716095404843633E-10</v>
      </c>
      <c r="U899" s="99">
        <f t="shared" ca="1" si="262"/>
        <v>1358.9440426620492</v>
      </c>
      <c r="V899" s="4">
        <f t="shared" ca="1" si="263"/>
        <v>4.8633630792716759E-8</v>
      </c>
      <c r="W899" s="13">
        <f t="shared" ca="1" si="264"/>
        <v>18051.216356249999</v>
      </c>
      <c r="X899" s="4">
        <f t="shared" ca="1" si="265"/>
        <v>6.460134958240022E-7</v>
      </c>
    </row>
    <row r="900" spans="1:24">
      <c r="A900">
        <v>2</v>
      </c>
      <c r="B900">
        <v>2</v>
      </c>
      <c r="C900">
        <f t="shared" ca="1" si="247"/>
        <v>8</v>
      </c>
      <c r="D900">
        <f t="shared" ca="1" si="248"/>
        <v>6</v>
      </c>
      <c r="E900">
        <f t="shared" ca="1" si="249"/>
        <v>2</v>
      </c>
      <c r="F900" s="100">
        <f t="shared" ca="1" si="250"/>
        <v>1.8441640000000002E-2</v>
      </c>
      <c r="G900">
        <v>0</v>
      </c>
      <c r="H900">
        <v>0</v>
      </c>
      <c r="I900">
        <v>2</v>
      </c>
      <c r="J900" s="1">
        <f t="shared" ca="1" si="251"/>
        <v>1.4701500000000082E-11</v>
      </c>
      <c r="K900" s="1">
        <f t="shared" ca="1" si="252"/>
        <v>2.7111977046000157E-13</v>
      </c>
      <c r="L900" s="13">
        <f t="shared" ca="1" si="253"/>
        <v>100</v>
      </c>
      <c r="M900" s="7">
        <f t="shared" ca="1" si="254"/>
        <v>900</v>
      </c>
      <c r="N900" s="43">
        <f t="shared" ca="1" si="255"/>
        <v>8</v>
      </c>
      <c r="O900" s="92">
        <f t="shared" ca="1" si="256"/>
        <v>3.5531918581169131</v>
      </c>
      <c r="P900" s="92">
        <f t="shared" ca="1" si="257"/>
        <v>35.531918581169137</v>
      </c>
      <c r="Q900" s="92">
        <f t="shared" ca="1" si="258"/>
        <v>35.531918581169137</v>
      </c>
      <c r="R900" s="92">
        <f t="shared" ca="1" si="259"/>
        <v>3.5531918581169135</v>
      </c>
      <c r="S900" s="92">
        <f t="shared" ca="1" si="260"/>
        <v>3.5531918581169126</v>
      </c>
      <c r="T900" s="4">
        <f t="shared" ca="1" si="261"/>
        <v>9.6334056097300372E-13</v>
      </c>
      <c r="U900" s="99">
        <f t="shared" ca="1" si="262"/>
        <v>1358.9440426620492</v>
      </c>
      <c r="V900" s="4">
        <f t="shared" ca="1" si="263"/>
        <v>3.6843659691452137E-10</v>
      </c>
      <c r="W900" s="13">
        <f t="shared" ca="1" si="264"/>
        <v>12034.144237499999</v>
      </c>
      <c r="X900" s="4">
        <f t="shared" ca="1" si="265"/>
        <v>3.2626944233535501E-9</v>
      </c>
    </row>
    <row r="901" spans="1:24">
      <c r="A901">
        <v>2</v>
      </c>
      <c r="B901">
        <v>2</v>
      </c>
      <c r="C901">
        <f t="shared" ca="1" si="247"/>
        <v>8</v>
      </c>
      <c r="D901">
        <f t="shared" ca="1" si="248"/>
        <v>6</v>
      </c>
      <c r="E901">
        <f t="shared" ca="1" si="249"/>
        <v>2</v>
      </c>
      <c r="F901" s="100">
        <f t="shared" ca="1" si="250"/>
        <v>1.8441640000000002E-2</v>
      </c>
      <c r="G901">
        <v>0</v>
      </c>
      <c r="H901">
        <v>0</v>
      </c>
      <c r="I901">
        <v>1</v>
      </c>
      <c r="J901" s="1">
        <f t="shared" ca="1" si="251"/>
        <v>5.9400000000000383E-14</v>
      </c>
      <c r="K901" s="1">
        <f t="shared" ca="1" si="252"/>
        <v>1.0954334160000071E-15</v>
      </c>
      <c r="L901" s="13">
        <f t="shared" ca="1" si="253"/>
        <v>100</v>
      </c>
      <c r="M901" s="7">
        <f t="shared" ca="1" si="254"/>
        <v>900</v>
      </c>
      <c r="N901" s="43">
        <f t="shared" ca="1" si="255"/>
        <v>8</v>
      </c>
      <c r="O901" s="92">
        <f t="shared" ca="1" si="256"/>
        <v>3.5531918581169131</v>
      </c>
      <c r="P901" s="92">
        <f t="shared" ca="1" si="257"/>
        <v>35.531918581169137</v>
      </c>
      <c r="Q901" s="92">
        <f t="shared" ca="1" si="258"/>
        <v>35.531918581169137</v>
      </c>
      <c r="R901" s="92">
        <f t="shared" ca="1" si="259"/>
        <v>3.5531918581169135</v>
      </c>
      <c r="S901" s="92">
        <f t="shared" ca="1" si="260"/>
        <v>3.5531918581169126</v>
      </c>
      <c r="T901" s="4">
        <f t="shared" ca="1" si="261"/>
        <v>3.8922850948404222E-15</v>
      </c>
      <c r="U901" s="99">
        <f t="shared" ca="1" si="262"/>
        <v>1358.9440426620492</v>
      </c>
      <c r="V901" s="4">
        <f t="shared" ca="1" si="263"/>
        <v>1.4886327148061481E-12</v>
      </c>
      <c r="W901" s="13">
        <f t="shared" ca="1" si="264"/>
        <v>6017.0721187499994</v>
      </c>
      <c r="X901" s="4">
        <f t="shared" ca="1" si="265"/>
        <v>6.5913018653607127E-12</v>
      </c>
    </row>
    <row r="902" spans="1:24">
      <c r="A902">
        <v>2</v>
      </c>
      <c r="B902">
        <v>2</v>
      </c>
      <c r="C902">
        <f t="shared" ca="1" si="247"/>
        <v>8</v>
      </c>
      <c r="D902">
        <f t="shared" ca="1" si="248"/>
        <v>6</v>
      </c>
      <c r="E902">
        <f t="shared" ca="1" si="249"/>
        <v>2</v>
      </c>
      <c r="F902" s="100">
        <f t="shared" ca="1" si="250"/>
        <v>1.8441640000000002E-2</v>
      </c>
      <c r="G902">
        <v>0</v>
      </c>
      <c r="H902">
        <v>0</v>
      </c>
      <c r="I902">
        <v>0</v>
      </c>
      <c r="J902" s="1">
        <f t="shared" ca="1" si="251"/>
        <v>1.0000000000000073E-16</v>
      </c>
      <c r="K902" s="1">
        <f t="shared" ca="1" si="252"/>
        <v>1.8441640000000135E-18</v>
      </c>
      <c r="L902" s="13">
        <f t="shared" ca="1" si="253"/>
        <v>100</v>
      </c>
      <c r="M902" s="7">
        <f t="shared" ca="1" si="254"/>
        <v>900</v>
      </c>
      <c r="N902" s="43">
        <f t="shared" ca="1" si="255"/>
        <v>8</v>
      </c>
      <c r="O902" s="92">
        <f t="shared" ca="1" si="256"/>
        <v>3.5531918581169131</v>
      </c>
      <c r="P902" s="92">
        <f t="shared" ca="1" si="257"/>
        <v>35.531918581169137</v>
      </c>
      <c r="Q902" s="92">
        <f t="shared" ca="1" si="258"/>
        <v>35.531918581169137</v>
      </c>
      <c r="R902" s="92">
        <f t="shared" ca="1" si="259"/>
        <v>3.5531918581169135</v>
      </c>
      <c r="S902" s="92">
        <f t="shared" ca="1" si="260"/>
        <v>3.5531918581169126</v>
      </c>
      <c r="T902" s="4">
        <f t="shared" ca="1" si="261"/>
        <v>6.552668509832366E-18</v>
      </c>
      <c r="U902" s="99">
        <f t="shared" ca="1" si="262"/>
        <v>1358.9440426620492</v>
      </c>
      <c r="V902" s="4">
        <f t="shared" ca="1" si="263"/>
        <v>2.5061156814918336E-15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ca="1" si="247"/>
        <v>8</v>
      </c>
      <c r="D903">
        <f t="shared" ca="1" si="248"/>
        <v>6</v>
      </c>
      <c r="E903">
        <f t="shared" ca="1" si="249"/>
        <v>2</v>
      </c>
      <c r="F903" s="100">
        <f t="shared" ca="1" si="250"/>
        <v>4.0740000000000004E-3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422</v>
      </c>
      <c r="M903" s="7">
        <f t="shared" ca="1" si="254"/>
        <v>578</v>
      </c>
      <c r="N903" s="43">
        <f t="shared" ca="1" si="255"/>
        <v>5</v>
      </c>
      <c r="O903" s="92">
        <f t="shared" ca="1" si="256"/>
        <v>2.4432565128993144</v>
      </c>
      <c r="P903" s="92">
        <f t="shared" ca="1" si="257"/>
        <v>24.432565128993144</v>
      </c>
      <c r="Q903" s="92">
        <f t="shared" ca="1" si="258"/>
        <v>24.432565128993144</v>
      </c>
      <c r="R903" s="92">
        <f t="shared" ca="1" si="259"/>
        <v>2.4432565128993144</v>
      </c>
      <c r="S903" s="92">
        <f t="shared" ca="1" si="260"/>
        <v>2.4432565128993144</v>
      </c>
      <c r="T903" s="4">
        <f t="shared" ca="1" si="261"/>
        <v>0</v>
      </c>
      <c r="U903" s="99">
        <f t="shared" ca="1" si="262"/>
        <v>1336.3931955743851</v>
      </c>
      <c r="V903" s="4">
        <f t="shared" ca="1" si="263"/>
        <v>0</v>
      </c>
      <c r="W903" s="13">
        <f t="shared" ca="1" si="264"/>
        <v>54281.8901625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ca="1" si="247"/>
        <v>8</v>
      </c>
      <c r="D904">
        <f t="shared" ca="1" si="248"/>
        <v>6</v>
      </c>
      <c r="E904">
        <f t="shared" ca="1" si="249"/>
        <v>2</v>
      </c>
      <c r="F904" s="100">
        <f t="shared" ca="1" si="250"/>
        <v>4.0740000000000004E-3</v>
      </c>
      <c r="G904">
        <v>1</v>
      </c>
      <c r="H904">
        <v>1</v>
      </c>
      <c r="I904">
        <v>6</v>
      </c>
      <c r="J904" s="1">
        <f t="shared" ca="1" si="251"/>
        <v>0.92274469442791995</v>
      </c>
      <c r="K904" s="1">
        <f t="shared" ca="1" si="252"/>
        <v>3.7592618850993461E-3</v>
      </c>
      <c r="L904" s="13">
        <f t="shared" ca="1" si="253"/>
        <v>400</v>
      </c>
      <c r="M904" s="7">
        <f t="shared" ca="1" si="254"/>
        <v>600</v>
      </c>
      <c r="N904" s="43">
        <f t="shared" ca="1" si="255"/>
        <v>5</v>
      </c>
      <c r="O904" s="92">
        <f t="shared" ca="1" si="256"/>
        <v>2.4432565128993144</v>
      </c>
      <c r="P904" s="92">
        <f t="shared" ca="1" si="257"/>
        <v>24.432565128993144</v>
      </c>
      <c r="Q904" s="92">
        <f t="shared" ca="1" si="258"/>
        <v>24.432565128993144</v>
      </c>
      <c r="R904" s="92">
        <f t="shared" ca="1" si="259"/>
        <v>2.4432565128993144</v>
      </c>
      <c r="S904" s="92">
        <f t="shared" ca="1" si="260"/>
        <v>2.4432565128993144</v>
      </c>
      <c r="T904" s="4">
        <f t="shared" ca="1" si="261"/>
        <v>9.1848410844631318E-3</v>
      </c>
      <c r="U904" s="99">
        <f t="shared" ca="1" si="262"/>
        <v>1314.3931955743851</v>
      </c>
      <c r="V904" s="4">
        <f t="shared" ca="1" si="263"/>
        <v>4.9411482421567161</v>
      </c>
      <c r="W904" s="13">
        <f t="shared" ca="1" si="264"/>
        <v>48264.818043749998</v>
      </c>
      <c r="X904" s="4">
        <f t="shared" ca="1" si="265"/>
        <v>181.44009086312454</v>
      </c>
    </row>
    <row r="905" spans="1:24">
      <c r="A905">
        <v>2</v>
      </c>
      <c r="B905">
        <v>3</v>
      </c>
      <c r="C905">
        <f t="shared" ca="1" si="247"/>
        <v>8</v>
      </c>
      <c r="D905">
        <f t="shared" ca="1" si="248"/>
        <v>6</v>
      </c>
      <c r="E905">
        <f t="shared" ca="1" si="249"/>
        <v>2</v>
      </c>
      <c r="F905" s="100">
        <f t="shared" ca="1" si="250"/>
        <v>4.0740000000000004E-3</v>
      </c>
      <c r="G905">
        <v>1</v>
      </c>
      <c r="H905">
        <v>1</v>
      </c>
      <c r="I905">
        <v>5</v>
      </c>
      <c r="J905" s="1">
        <f t="shared" ca="1" si="251"/>
        <v>5.5923920874419442E-2</v>
      </c>
      <c r="K905" s="1">
        <f t="shared" ca="1" si="252"/>
        <v>2.2783405364238483E-4</v>
      </c>
      <c r="L905" s="13">
        <f t="shared" ca="1" si="253"/>
        <v>378</v>
      </c>
      <c r="M905" s="7">
        <f t="shared" ca="1" si="254"/>
        <v>622</v>
      </c>
      <c r="N905" s="43">
        <f t="shared" ca="1" si="255"/>
        <v>5</v>
      </c>
      <c r="O905" s="92">
        <f t="shared" ca="1" si="256"/>
        <v>2.4432565128993144</v>
      </c>
      <c r="P905" s="92">
        <f t="shared" ca="1" si="257"/>
        <v>24.432565128993144</v>
      </c>
      <c r="Q905" s="92">
        <f t="shared" ca="1" si="258"/>
        <v>24.432565128993144</v>
      </c>
      <c r="R905" s="92">
        <f t="shared" ca="1" si="259"/>
        <v>2.4432565128993144</v>
      </c>
      <c r="S905" s="92">
        <f t="shared" ca="1" si="260"/>
        <v>2.4432565128993144</v>
      </c>
      <c r="T905" s="4">
        <f t="shared" ca="1" si="261"/>
        <v>5.5665703542200854E-4</v>
      </c>
      <c r="U905" s="99">
        <f t="shared" ca="1" si="262"/>
        <v>1292.3931955743851</v>
      </c>
      <c r="V905" s="4">
        <f t="shared" ca="1" si="263"/>
        <v>0.29445118064754761</v>
      </c>
      <c r="W905" s="13">
        <f t="shared" ca="1" si="264"/>
        <v>42247.745924999996</v>
      </c>
      <c r="X905" s="4">
        <f t="shared" ca="1" si="265"/>
        <v>9.6254752113462949</v>
      </c>
    </row>
    <row r="906" spans="1:24">
      <c r="A906">
        <v>2</v>
      </c>
      <c r="B906">
        <v>3</v>
      </c>
      <c r="C906">
        <f t="shared" ca="1" si="247"/>
        <v>8</v>
      </c>
      <c r="D906">
        <f t="shared" ca="1" si="248"/>
        <v>6</v>
      </c>
      <c r="E906">
        <f t="shared" ca="1" si="249"/>
        <v>2</v>
      </c>
      <c r="F906" s="100">
        <f t="shared" ca="1" si="250"/>
        <v>4.0740000000000004E-3</v>
      </c>
      <c r="G906">
        <v>1</v>
      </c>
      <c r="H906">
        <v>1</v>
      </c>
      <c r="I906">
        <v>4</v>
      </c>
      <c r="J906" s="1">
        <f t="shared" ca="1" si="251"/>
        <v>1.4122202241015026E-3</v>
      </c>
      <c r="K906" s="1">
        <f t="shared" ca="1" si="252"/>
        <v>5.753385192989522E-6</v>
      </c>
      <c r="L906" s="13">
        <f t="shared" ca="1" si="253"/>
        <v>356</v>
      </c>
      <c r="M906" s="7">
        <f t="shared" ca="1" si="254"/>
        <v>644</v>
      </c>
      <c r="N906" s="43">
        <f t="shared" ca="1" si="255"/>
        <v>6</v>
      </c>
      <c r="O906" s="92">
        <f t="shared" ca="1" si="256"/>
        <v>2.7275117780454798</v>
      </c>
      <c r="P906" s="92">
        <f t="shared" ca="1" si="257"/>
        <v>27.275117780454792</v>
      </c>
      <c r="Q906" s="92">
        <f t="shared" ca="1" si="258"/>
        <v>26.706607250162463</v>
      </c>
      <c r="R906" s="92">
        <f t="shared" ca="1" si="259"/>
        <v>2.6990862515308627</v>
      </c>
      <c r="S906" s="92">
        <f t="shared" ca="1" si="260"/>
        <v>2.7255219911894564</v>
      </c>
      <c r="T906" s="4">
        <f t="shared" ca="1" si="261"/>
        <v>1.5680977867276738E-5</v>
      </c>
      <c r="U906" s="99">
        <f t="shared" ca="1" si="262"/>
        <v>1358.0152449734937</v>
      </c>
      <c r="V906" s="4">
        <f t="shared" ca="1" si="263"/>
        <v>7.8131848022845365E-3</v>
      </c>
      <c r="W906" s="13">
        <f t="shared" ca="1" si="264"/>
        <v>36230.673806249994</v>
      </c>
      <c r="X906" s="4">
        <f t="shared" ca="1" si="265"/>
        <v>0.20844902220891204</v>
      </c>
    </row>
    <row r="907" spans="1:24">
      <c r="A907">
        <v>2</v>
      </c>
      <c r="B907">
        <v>3</v>
      </c>
      <c r="C907">
        <f t="shared" ca="1" si="247"/>
        <v>8</v>
      </c>
      <c r="D907">
        <f t="shared" ca="1" si="248"/>
        <v>6</v>
      </c>
      <c r="E907">
        <f t="shared" ca="1" si="249"/>
        <v>2</v>
      </c>
      <c r="F907" s="100">
        <f t="shared" ca="1" si="250"/>
        <v>4.0740000000000004E-3</v>
      </c>
      <c r="G907">
        <v>1</v>
      </c>
      <c r="H907">
        <v>1</v>
      </c>
      <c r="I907">
        <v>3</v>
      </c>
      <c r="J907" s="1">
        <f t="shared" ca="1" si="251"/>
        <v>1.9019800998000047E-5</v>
      </c>
      <c r="K907" s="1">
        <f t="shared" ca="1" si="252"/>
        <v>7.7486669265852197E-8</v>
      </c>
      <c r="L907" s="13">
        <f t="shared" ca="1" si="253"/>
        <v>334</v>
      </c>
      <c r="M907" s="7">
        <f t="shared" ca="1" si="254"/>
        <v>666</v>
      </c>
      <c r="N907" s="43">
        <f t="shared" ca="1" si="255"/>
        <v>6</v>
      </c>
      <c r="O907" s="92">
        <f t="shared" ca="1" si="256"/>
        <v>2.7275117780454798</v>
      </c>
      <c r="P907" s="92">
        <f t="shared" ca="1" si="257"/>
        <v>27.275117780454792</v>
      </c>
      <c r="Q907" s="92">
        <f t="shared" ca="1" si="258"/>
        <v>27.275117780454792</v>
      </c>
      <c r="R907" s="92">
        <f t="shared" ca="1" si="259"/>
        <v>2.7275117780454794</v>
      </c>
      <c r="S907" s="92">
        <f t="shared" ca="1" si="260"/>
        <v>2.7275117780454794</v>
      </c>
      <c r="T907" s="4">
        <f t="shared" ca="1" si="261"/>
        <v>2.1134580306412653E-7</v>
      </c>
      <c r="U907" s="99">
        <f t="shared" ca="1" si="262"/>
        <v>1336.6329230659346</v>
      </c>
      <c r="V907" s="4">
        <f t="shared" ca="1" si="263"/>
        <v>1.0357123323945934E-4</v>
      </c>
      <c r="W907" s="13">
        <f t="shared" ca="1" si="264"/>
        <v>30213.601687499999</v>
      </c>
      <c r="X907" s="4">
        <f t="shared" ca="1" si="265"/>
        <v>2.3411513612895062E-3</v>
      </c>
    </row>
    <row r="908" spans="1:24">
      <c r="A908">
        <v>2</v>
      </c>
      <c r="B908">
        <v>3</v>
      </c>
      <c r="C908">
        <f t="shared" ca="1" si="247"/>
        <v>8</v>
      </c>
      <c r="D908">
        <f t="shared" ca="1" si="248"/>
        <v>6</v>
      </c>
      <c r="E908">
        <f t="shared" ca="1" si="249"/>
        <v>2</v>
      </c>
      <c r="F908" s="100">
        <f t="shared" ca="1" si="250"/>
        <v>4.0740000000000004E-3</v>
      </c>
      <c r="G908">
        <v>1</v>
      </c>
      <c r="H908">
        <v>1</v>
      </c>
      <c r="I908">
        <v>2</v>
      </c>
      <c r="J908" s="1">
        <f t="shared" ca="1" si="251"/>
        <v>1.4408940150000054E-7</v>
      </c>
      <c r="K908" s="1">
        <f t="shared" ca="1" si="252"/>
        <v>5.8702022171100227E-10</v>
      </c>
      <c r="L908" s="13">
        <f t="shared" ca="1" si="253"/>
        <v>312</v>
      </c>
      <c r="M908" s="7">
        <f t="shared" ca="1" si="254"/>
        <v>688</v>
      </c>
      <c r="N908" s="43">
        <f t="shared" ca="1" si="255"/>
        <v>6</v>
      </c>
      <c r="O908" s="92">
        <f t="shared" ca="1" si="256"/>
        <v>2.7275117780454798</v>
      </c>
      <c r="P908" s="92">
        <f t="shared" ca="1" si="257"/>
        <v>27.275117780454792</v>
      </c>
      <c r="Q908" s="92">
        <f t="shared" ca="1" si="258"/>
        <v>27.275117780454792</v>
      </c>
      <c r="R908" s="92">
        <f t="shared" ca="1" si="259"/>
        <v>2.7275117780454794</v>
      </c>
      <c r="S908" s="92">
        <f t="shared" ca="1" si="260"/>
        <v>2.7275117780454794</v>
      </c>
      <c r="T908" s="4">
        <f t="shared" ca="1" si="261"/>
        <v>1.6011045686676274E-9</v>
      </c>
      <c r="U908" s="99">
        <f t="shared" ca="1" si="262"/>
        <v>1314.6329230659346</v>
      </c>
      <c r="V908" s="4">
        <f t="shared" ca="1" si="263"/>
        <v>7.7171610996674798E-7</v>
      </c>
      <c r="W908" s="13">
        <f t="shared" ca="1" si="264"/>
        <v>24196.529568749997</v>
      </c>
      <c r="X908" s="4">
        <f t="shared" ca="1" si="265"/>
        <v>1.4203852152084446E-5</v>
      </c>
    </row>
    <row r="909" spans="1:24">
      <c r="A909">
        <v>2</v>
      </c>
      <c r="B909">
        <v>3</v>
      </c>
      <c r="C909">
        <f t="shared" ca="1" si="247"/>
        <v>8</v>
      </c>
      <c r="D909">
        <f t="shared" ca="1" si="248"/>
        <v>6</v>
      </c>
      <c r="E909">
        <f t="shared" ca="1" si="249"/>
        <v>2</v>
      </c>
      <c r="F909" s="100">
        <f t="shared" ca="1" si="250"/>
        <v>4.0740000000000004E-3</v>
      </c>
      <c r="G909">
        <v>1</v>
      </c>
      <c r="H909">
        <v>1</v>
      </c>
      <c r="I909">
        <v>1</v>
      </c>
      <c r="J909" s="1">
        <f t="shared" ca="1" si="251"/>
        <v>5.8217940000000265E-10</v>
      </c>
      <c r="K909" s="1">
        <f t="shared" ca="1" si="252"/>
        <v>2.3717988756000111E-12</v>
      </c>
      <c r="L909" s="13">
        <f t="shared" ca="1" si="253"/>
        <v>290</v>
      </c>
      <c r="M909" s="7">
        <f t="shared" ca="1" si="254"/>
        <v>710</v>
      </c>
      <c r="N909" s="43">
        <f t="shared" ca="1" si="255"/>
        <v>6</v>
      </c>
      <c r="O909" s="92">
        <f t="shared" ca="1" si="256"/>
        <v>2.7275117780454798</v>
      </c>
      <c r="P909" s="92">
        <f t="shared" ca="1" si="257"/>
        <v>27.275117780454792</v>
      </c>
      <c r="Q909" s="92">
        <f t="shared" ca="1" si="258"/>
        <v>27.275117780454792</v>
      </c>
      <c r="R909" s="92">
        <f t="shared" ca="1" si="259"/>
        <v>2.7275117780454794</v>
      </c>
      <c r="S909" s="92">
        <f t="shared" ca="1" si="260"/>
        <v>2.7275117780454794</v>
      </c>
      <c r="T909" s="4">
        <f t="shared" ca="1" si="261"/>
        <v>6.4691093683540547E-12</v>
      </c>
      <c r="U909" s="99">
        <f t="shared" ca="1" si="262"/>
        <v>1292.6329230659346</v>
      </c>
      <c r="V909" s="4">
        <f t="shared" ca="1" si="263"/>
        <v>3.0658653134913394E-9</v>
      </c>
      <c r="W909" s="13">
        <f t="shared" ca="1" si="264"/>
        <v>18179.457449999998</v>
      </c>
      <c r="X909" s="4">
        <f t="shared" ca="1" si="265"/>
        <v>4.3118016738928238E-8</v>
      </c>
    </row>
    <row r="910" spans="1:24">
      <c r="A910">
        <v>2</v>
      </c>
      <c r="B910">
        <v>3</v>
      </c>
      <c r="C910">
        <f t="shared" ca="1" si="247"/>
        <v>8</v>
      </c>
      <c r="D910">
        <f t="shared" ca="1" si="248"/>
        <v>6</v>
      </c>
      <c r="E910">
        <f t="shared" ca="1" si="249"/>
        <v>2</v>
      </c>
      <c r="F910" s="100">
        <f t="shared" ca="1" si="250"/>
        <v>4.0740000000000004E-3</v>
      </c>
      <c r="G910">
        <v>1</v>
      </c>
      <c r="H910">
        <v>1</v>
      </c>
      <c r="I910">
        <v>0</v>
      </c>
      <c r="J910" s="1">
        <f t="shared" ca="1" si="251"/>
        <v>9.8010000000000529E-13</v>
      </c>
      <c r="K910" s="1">
        <f t="shared" ca="1" si="252"/>
        <v>3.9929274000000217E-15</v>
      </c>
      <c r="L910" s="13">
        <f t="shared" ca="1" si="253"/>
        <v>268</v>
      </c>
      <c r="M910" s="7">
        <f t="shared" ca="1" si="254"/>
        <v>732</v>
      </c>
      <c r="N910" s="43">
        <f t="shared" ca="1" si="255"/>
        <v>6</v>
      </c>
      <c r="O910" s="92">
        <f t="shared" ca="1" si="256"/>
        <v>2.7275117780454798</v>
      </c>
      <c r="P910" s="92">
        <f t="shared" ca="1" si="257"/>
        <v>27.275117780454792</v>
      </c>
      <c r="Q910" s="92">
        <f t="shared" ca="1" si="258"/>
        <v>27.275117780454792</v>
      </c>
      <c r="R910" s="92">
        <f t="shared" ca="1" si="259"/>
        <v>2.7275117780454794</v>
      </c>
      <c r="S910" s="92">
        <f t="shared" ca="1" si="260"/>
        <v>2.7275117780454794</v>
      </c>
      <c r="T910" s="4">
        <f t="shared" ca="1" si="261"/>
        <v>1.0890756512380572E-14</v>
      </c>
      <c r="U910" s="99">
        <f t="shared" ca="1" si="262"/>
        <v>1270.6329230659346</v>
      </c>
      <c r="V910" s="4">
        <f t="shared" ca="1" si="263"/>
        <v>5.0735450138520896E-12</v>
      </c>
      <c r="W910" s="13">
        <f t="shared" ca="1" si="264"/>
        <v>12162.38533125</v>
      </c>
      <c r="X910" s="4">
        <f t="shared" ca="1" si="265"/>
        <v>4.8563521638506461E-11</v>
      </c>
    </row>
    <row r="911" spans="1:24">
      <c r="A911">
        <v>2</v>
      </c>
      <c r="B911">
        <v>3</v>
      </c>
      <c r="C911">
        <f t="shared" ca="1" si="247"/>
        <v>8</v>
      </c>
      <c r="D911">
        <f t="shared" ca="1" si="248"/>
        <v>6</v>
      </c>
      <c r="E911">
        <f t="shared" ca="1" si="249"/>
        <v>2</v>
      </c>
      <c r="F911" s="100">
        <f t="shared" ca="1" si="250"/>
        <v>4.0740000000000004E-3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288</v>
      </c>
      <c r="M911" s="7">
        <f t="shared" ca="1" si="254"/>
        <v>712</v>
      </c>
      <c r="N911" s="43">
        <f t="shared" ca="1" si="255"/>
        <v>6</v>
      </c>
      <c r="O911" s="92">
        <f t="shared" ca="1" si="256"/>
        <v>2.7275117780454798</v>
      </c>
      <c r="P911" s="92">
        <f t="shared" ca="1" si="257"/>
        <v>27.275117780454792</v>
      </c>
      <c r="Q911" s="92">
        <f t="shared" ca="1" si="258"/>
        <v>27.275117780454792</v>
      </c>
      <c r="R911" s="92">
        <f t="shared" ca="1" si="259"/>
        <v>2.7275117780454794</v>
      </c>
      <c r="S911" s="92">
        <f t="shared" ca="1" si="260"/>
        <v>2.7275117780454794</v>
      </c>
      <c r="T911" s="4">
        <f t="shared" ca="1" si="261"/>
        <v>0</v>
      </c>
      <c r="U911" s="99">
        <f t="shared" ca="1" si="262"/>
        <v>1290.6329230659346</v>
      </c>
      <c r="V911" s="4">
        <f t="shared" ca="1" si="263"/>
        <v>0</v>
      </c>
      <c r="W911" s="13">
        <f t="shared" ca="1" si="264"/>
        <v>48136.576950000002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ca="1" si="247"/>
        <v>8</v>
      </c>
      <c r="D912">
        <f t="shared" ca="1" si="248"/>
        <v>6</v>
      </c>
      <c r="E912">
        <f t="shared" ca="1" si="249"/>
        <v>2</v>
      </c>
      <c r="F912" s="100">
        <f t="shared" ca="1" si="250"/>
        <v>4.0740000000000004E-3</v>
      </c>
      <c r="G912">
        <v>1</v>
      </c>
      <c r="H912">
        <v>0</v>
      </c>
      <c r="I912">
        <v>6</v>
      </c>
      <c r="J912" s="1">
        <f t="shared" ca="1" si="251"/>
        <v>9.3206534790699087E-3</v>
      </c>
      <c r="K912" s="1">
        <f t="shared" ca="1" si="252"/>
        <v>3.797234227373081E-5</v>
      </c>
      <c r="L912" s="13">
        <f t="shared" ca="1" si="253"/>
        <v>266</v>
      </c>
      <c r="M912" s="7">
        <f t="shared" ca="1" si="254"/>
        <v>734</v>
      </c>
      <c r="N912" s="43">
        <f t="shared" ca="1" si="255"/>
        <v>6</v>
      </c>
      <c r="O912" s="92">
        <f t="shared" ca="1" si="256"/>
        <v>2.7275117780454798</v>
      </c>
      <c r="P912" s="92">
        <f t="shared" ca="1" si="257"/>
        <v>27.275117780454792</v>
      </c>
      <c r="Q912" s="92">
        <f t="shared" ca="1" si="258"/>
        <v>27.275117780454792</v>
      </c>
      <c r="R912" s="92">
        <f t="shared" ca="1" si="259"/>
        <v>2.7275117780454794</v>
      </c>
      <c r="S912" s="92">
        <f t="shared" ca="1" si="260"/>
        <v>2.7275117780454794</v>
      </c>
      <c r="T912" s="4">
        <f t="shared" ca="1" si="261"/>
        <v>1.0357001079157504E-4</v>
      </c>
      <c r="U912" s="99">
        <f t="shared" ca="1" si="262"/>
        <v>1268.6329230659346</v>
      </c>
      <c r="V912" s="4">
        <f t="shared" ca="1" si="263"/>
        <v>4.8172963574383276E-2</v>
      </c>
      <c r="W912" s="13">
        <f t="shared" ca="1" si="264"/>
        <v>42119.50483125</v>
      </c>
      <c r="X912" s="4">
        <f t="shared" ca="1" si="265"/>
        <v>1.5993762538522835</v>
      </c>
    </row>
    <row r="913" spans="1:24">
      <c r="A913">
        <v>2</v>
      </c>
      <c r="B913">
        <v>3</v>
      </c>
      <c r="C913">
        <f t="shared" ca="1" si="247"/>
        <v>8</v>
      </c>
      <c r="D913">
        <f t="shared" ca="1" si="248"/>
        <v>6</v>
      </c>
      <c r="E913">
        <f t="shared" ca="1" si="249"/>
        <v>2</v>
      </c>
      <c r="F913" s="100">
        <f t="shared" ca="1" si="250"/>
        <v>4.0740000000000004E-3</v>
      </c>
      <c r="G913">
        <v>1</v>
      </c>
      <c r="H913">
        <v>0</v>
      </c>
      <c r="I913">
        <v>5</v>
      </c>
      <c r="J913" s="1">
        <f t="shared" ca="1" si="251"/>
        <v>5.6488808964060098E-4</v>
      </c>
      <c r="K913" s="1">
        <f t="shared" ca="1" si="252"/>
        <v>2.3013540771958085E-6</v>
      </c>
      <c r="L913" s="13">
        <f t="shared" ca="1" si="253"/>
        <v>244</v>
      </c>
      <c r="M913" s="7">
        <f t="shared" ca="1" si="254"/>
        <v>756</v>
      </c>
      <c r="N913" s="43">
        <f t="shared" ca="1" si="255"/>
        <v>7</v>
      </c>
      <c r="O913" s="92">
        <f t="shared" ca="1" si="256"/>
        <v>3.2214900588145507</v>
      </c>
      <c r="P913" s="92">
        <f t="shared" ca="1" si="257"/>
        <v>29.745009184300148</v>
      </c>
      <c r="Q913" s="92">
        <f t="shared" ca="1" si="258"/>
        <v>27.275117780454792</v>
      </c>
      <c r="R913" s="92">
        <f t="shared" ca="1" si="259"/>
        <v>2.851006348237747</v>
      </c>
      <c r="S913" s="92">
        <f t="shared" ca="1" si="260"/>
        <v>3.1955561990741743</v>
      </c>
      <c r="T913" s="4">
        <f t="shared" ca="1" si="261"/>
        <v>7.3541062876476914E-6</v>
      </c>
      <c r="U913" s="99">
        <f t="shared" ca="1" si="262"/>
        <v>1391.9252614304514</v>
      </c>
      <c r="V913" s="4">
        <f t="shared" ca="1" si="263"/>
        <v>3.203312875544811E-3</v>
      </c>
      <c r="W913" s="13">
        <f t="shared" ca="1" si="264"/>
        <v>36102.432712499998</v>
      </c>
      <c r="X913" s="4">
        <f t="shared" ca="1" si="265"/>
        <v>8.3084480719599202E-2</v>
      </c>
    </row>
    <row r="914" spans="1:24">
      <c r="A914">
        <v>2</v>
      </c>
      <c r="B914">
        <v>3</v>
      </c>
      <c r="C914">
        <f t="shared" ca="1" si="247"/>
        <v>8</v>
      </c>
      <c r="D914">
        <f t="shared" ca="1" si="248"/>
        <v>6</v>
      </c>
      <c r="E914">
        <f t="shared" ca="1" si="249"/>
        <v>2</v>
      </c>
      <c r="F914" s="100">
        <f t="shared" ca="1" si="250"/>
        <v>4.0740000000000004E-3</v>
      </c>
      <c r="G914">
        <v>1</v>
      </c>
      <c r="H914">
        <v>0</v>
      </c>
      <c r="I914">
        <v>4</v>
      </c>
      <c r="J914" s="1">
        <f t="shared" ca="1" si="251"/>
        <v>1.426485074850004E-5</v>
      </c>
      <c r="K914" s="1">
        <f t="shared" ca="1" si="252"/>
        <v>5.8115001949389168E-8</v>
      </c>
      <c r="L914" s="13">
        <f t="shared" ca="1" si="253"/>
        <v>222</v>
      </c>
      <c r="M914" s="7">
        <f t="shared" ca="1" si="254"/>
        <v>778</v>
      </c>
      <c r="N914" s="43">
        <f t="shared" ca="1" si="255"/>
        <v>7</v>
      </c>
      <c r="O914" s="92">
        <f t="shared" ca="1" si="256"/>
        <v>3.2214900588145507</v>
      </c>
      <c r="P914" s="92">
        <f t="shared" ca="1" si="257"/>
        <v>32.214900588145518</v>
      </c>
      <c r="Q914" s="92">
        <f t="shared" ca="1" si="258"/>
        <v>32.214900588145518</v>
      </c>
      <c r="R914" s="92">
        <f t="shared" ca="1" si="259"/>
        <v>3.2214900588145516</v>
      </c>
      <c r="S914" s="92">
        <f t="shared" ca="1" si="260"/>
        <v>3.2214900588145507</v>
      </c>
      <c r="T914" s="4">
        <f t="shared" ca="1" si="261"/>
        <v>1.8721690104794544E-7</v>
      </c>
      <c r="U914" s="99">
        <f t="shared" ca="1" si="262"/>
        <v>1377.9757603899629</v>
      </c>
      <c r="V914" s="4">
        <f t="shared" ca="1" si="263"/>
        <v>8.0081064001273717E-5</v>
      </c>
      <c r="W914" s="13">
        <f t="shared" ca="1" si="264"/>
        <v>30085.360593749996</v>
      </c>
      <c r="X914" s="4">
        <f t="shared" ca="1" si="265"/>
        <v>1.7484107895538571E-3</v>
      </c>
    </row>
    <row r="915" spans="1:24">
      <c r="A915">
        <v>2</v>
      </c>
      <c r="B915">
        <v>3</v>
      </c>
      <c r="C915">
        <f t="shared" ca="1" si="247"/>
        <v>8</v>
      </c>
      <c r="D915">
        <f t="shared" ca="1" si="248"/>
        <v>6</v>
      </c>
      <c r="E915">
        <f t="shared" ca="1" si="249"/>
        <v>2</v>
      </c>
      <c r="F915" s="100">
        <f t="shared" ca="1" si="250"/>
        <v>4.0740000000000004E-3</v>
      </c>
      <c r="G915">
        <v>1</v>
      </c>
      <c r="H915">
        <v>0</v>
      </c>
      <c r="I915">
        <v>3</v>
      </c>
      <c r="J915" s="1">
        <f t="shared" ca="1" si="251"/>
        <v>1.9211920200000068E-7</v>
      </c>
      <c r="K915" s="1">
        <f t="shared" ca="1" si="252"/>
        <v>7.8269362894800281E-10</v>
      </c>
      <c r="L915" s="13">
        <f t="shared" ca="1" si="253"/>
        <v>200</v>
      </c>
      <c r="M915" s="7">
        <f t="shared" ca="1" si="254"/>
        <v>800</v>
      </c>
      <c r="N915" s="43">
        <f t="shared" ca="1" si="255"/>
        <v>7</v>
      </c>
      <c r="O915" s="92">
        <f t="shared" ca="1" si="256"/>
        <v>3.2214900588145507</v>
      </c>
      <c r="P915" s="92">
        <f t="shared" ca="1" si="257"/>
        <v>32.214900588145518</v>
      </c>
      <c r="Q915" s="92">
        <f t="shared" ca="1" si="258"/>
        <v>32.214900588145518</v>
      </c>
      <c r="R915" s="92">
        <f t="shared" ca="1" si="259"/>
        <v>3.2214900588145516</v>
      </c>
      <c r="S915" s="92">
        <f t="shared" ca="1" si="260"/>
        <v>3.2214900588145507</v>
      </c>
      <c r="T915" s="4">
        <f t="shared" ca="1" si="261"/>
        <v>2.5214397447534757E-9</v>
      </c>
      <c r="U915" s="99">
        <f t="shared" ca="1" si="262"/>
        <v>1355.9757603899629</v>
      </c>
      <c r="V915" s="4">
        <f t="shared" ca="1" si="263"/>
        <v>1.0613135886651477E-6</v>
      </c>
      <c r="W915" s="13">
        <f t="shared" ca="1" si="264"/>
        <v>24068.288474999998</v>
      </c>
      <c r="X915" s="4">
        <f t="shared" ca="1" si="265"/>
        <v>1.883809604906514E-5</v>
      </c>
    </row>
    <row r="916" spans="1:24">
      <c r="A916">
        <v>2</v>
      </c>
      <c r="B916">
        <v>3</v>
      </c>
      <c r="C916">
        <f t="shared" ca="1" si="247"/>
        <v>8</v>
      </c>
      <c r="D916">
        <f t="shared" ca="1" si="248"/>
        <v>6</v>
      </c>
      <c r="E916">
        <f t="shared" ca="1" si="249"/>
        <v>2</v>
      </c>
      <c r="F916" s="100">
        <f t="shared" ca="1" si="250"/>
        <v>4.0740000000000004E-3</v>
      </c>
      <c r="G916">
        <v>1</v>
      </c>
      <c r="H916">
        <v>0</v>
      </c>
      <c r="I916">
        <v>2</v>
      </c>
      <c r="J916" s="1">
        <f t="shared" ca="1" si="251"/>
        <v>1.4554485000000069E-9</v>
      </c>
      <c r="K916" s="1">
        <f t="shared" ca="1" si="252"/>
        <v>5.9294971890000292E-12</v>
      </c>
      <c r="L916" s="13">
        <f t="shared" ca="1" si="253"/>
        <v>178</v>
      </c>
      <c r="M916" s="7">
        <f t="shared" ca="1" si="254"/>
        <v>822</v>
      </c>
      <c r="N916" s="43">
        <f t="shared" ca="1" si="255"/>
        <v>7</v>
      </c>
      <c r="O916" s="92">
        <f t="shared" ca="1" si="256"/>
        <v>3.2214900588145507</v>
      </c>
      <c r="P916" s="92">
        <f t="shared" ca="1" si="257"/>
        <v>32.214900588145518</v>
      </c>
      <c r="Q916" s="92">
        <f t="shared" ca="1" si="258"/>
        <v>32.214900588145518</v>
      </c>
      <c r="R916" s="92">
        <f t="shared" ca="1" si="259"/>
        <v>3.2214900588145516</v>
      </c>
      <c r="S916" s="92">
        <f t="shared" ca="1" si="260"/>
        <v>3.2214900588145507</v>
      </c>
      <c r="T916" s="4">
        <f t="shared" ca="1" si="261"/>
        <v>1.9101816248132417E-11</v>
      </c>
      <c r="U916" s="99">
        <f t="shared" ca="1" si="262"/>
        <v>1333.9757603899629</v>
      </c>
      <c r="V916" s="4">
        <f t="shared" ca="1" si="263"/>
        <v>7.9098055214264613E-9</v>
      </c>
      <c r="W916" s="13">
        <f t="shared" ca="1" si="264"/>
        <v>18051.216356249999</v>
      </c>
      <c r="X916" s="4">
        <f t="shared" ca="1" si="265"/>
        <v>1.0703463664241572E-7</v>
      </c>
    </row>
    <row r="917" spans="1:24">
      <c r="A917">
        <v>2</v>
      </c>
      <c r="B917">
        <v>3</v>
      </c>
      <c r="C917">
        <f t="shared" ca="1" si="247"/>
        <v>8</v>
      </c>
      <c r="D917">
        <f t="shared" ca="1" si="248"/>
        <v>6</v>
      </c>
      <c r="E917">
        <f t="shared" ca="1" si="249"/>
        <v>2</v>
      </c>
      <c r="F917" s="100">
        <f t="shared" ca="1" si="250"/>
        <v>4.0740000000000004E-3</v>
      </c>
      <c r="G917">
        <v>1</v>
      </c>
      <c r="H917">
        <v>0</v>
      </c>
      <c r="I917">
        <v>1</v>
      </c>
      <c r="J917" s="1">
        <f t="shared" ca="1" si="251"/>
        <v>5.8806000000000321E-12</v>
      </c>
      <c r="K917" s="1">
        <f t="shared" ca="1" si="252"/>
        <v>2.3957564400000132E-14</v>
      </c>
      <c r="L917" s="13">
        <f t="shared" ca="1" si="253"/>
        <v>156</v>
      </c>
      <c r="M917" s="7">
        <f t="shared" ca="1" si="254"/>
        <v>844</v>
      </c>
      <c r="N917" s="43">
        <f t="shared" ca="1" si="255"/>
        <v>7</v>
      </c>
      <c r="O917" s="92">
        <f t="shared" ca="1" si="256"/>
        <v>3.2214900588145507</v>
      </c>
      <c r="P917" s="92">
        <f t="shared" ca="1" si="257"/>
        <v>32.214900588145518</v>
      </c>
      <c r="Q917" s="92">
        <f t="shared" ca="1" si="258"/>
        <v>32.214900588145518</v>
      </c>
      <c r="R917" s="92">
        <f t="shared" ca="1" si="259"/>
        <v>3.2214900588145516</v>
      </c>
      <c r="S917" s="92">
        <f t="shared" ca="1" si="260"/>
        <v>3.2214900588145507</v>
      </c>
      <c r="T917" s="4">
        <f t="shared" ca="1" si="261"/>
        <v>7.7179055548009811E-14</v>
      </c>
      <c r="U917" s="99">
        <f t="shared" ca="1" si="262"/>
        <v>1311.9757603899629</v>
      </c>
      <c r="V917" s="4">
        <f t="shared" ca="1" si="263"/>
        <v>3.143174377078168E-11</v>
      </c>
      <c r="W917" s="13">
        <f t="shared" ca="1" si="264"/>
        <v>12034.144237499999</v>
      </c>
      <c r="X917" s="4">
        <f t="shared" ca="1" si="265"/>
        <v>2.8830878556879671E-10</v>
      </c>
    </row>
    <row r="918" spans="1:24">
      <c r="A918">
        <v>2</v>
      </c>
      <c r="B918">
        <v>3</v>
      </c>
      <c r="C918">
        <f t="shared" ca="1" si="247"/>
        <v>8</v>
      </c>
      <c r="D918">
        <f t="shared" ca="1" si="248"/>
        <v>6</v>
      </c>
      <c r="E918">
        <f t="shared" ca="1" si="249"/>
        <v>2</v>
      </c>
      <c r="F918" s="100">
        <f t="shared" ca="1" si="250"/>
        <v>4.0740000000000004E-3</v>
      </c>
      <c r="G918">
        <v>1</v>
      </c>
      <c r="H918">
        <v>0</v>
      </c>
      <c r="I918">
        <v>0</v>
      </c>
      <c r="J918" s="1">
        <f t="shared" ca="1" si="251"/>
        <v>9.9000000000000638E-15</v>
      </c>
      <c r="K918" s="1">
        <f t="shared" ca="1" si="252"/>
        <v>4.0332600000000266E-17</v>
      </c>
      <c r="L918" s="13">
        <f t="shared" ca="1" si="253"/>
        <v>134</v>
      </c>
      <c r="M918" s="7">
        <f t="shared" ca="1" si="254"/>
        <v>866</v>
      </c>
      <c r="N918" s="43">
        <f t="shared" ca="1" si="255"/>
        <v>7</v>
      </c>
      <c r="O918" s="92">
        <f t="shared" ca="1" si="256"/>
        <v>3.2214900588145507</v>
      </c>
      <c r="P918" s="92">
        <f t="shared" ca="1" si="257"/>
        <v>32.214900588145518</v>
      </c>
      <c r="Q918" s="92">
        <f t="shared" ca="1" si="258"/>
        <v>32.214900588145518</v>
      </c>
      <c r="R918" s="92">
        <f t="shared" ca="1" si="259"/>
        <v>3.2214900588145516</v>
      </c>
      <c r="S918" s="92">
        <f t="shared" ca="1" si="260"/>
        <v>3.2214900588145507</v>
      </c>
      <c r="T918" s="4">
        <f t="shared" ca="1" si="261"/>
        <v>1.2993106994614462E-16</v>
      </c>
      <c r="U918" s="99">
        <f t="shared" ca="1" si="262"/>
        <v>1289.9757603899629</v>
      </c>
      <c r="V918" s="4">
        <f t="shared" ca="1" si="263"/>
        <v>5.2028076353504563E-14</v>
      </c>
      <c r="W918" s="13">
        <f t="shared" ca="1" si="264"/>
        <v>6017.0721187499994</v>
      </c>
      <c r="X918" s="4">
        <f t="shared" ca="1" si="265"/>
        <v>2.4268416293669781E-13</v>
      </c>
    </row>
    <row r="919" spans="1:24">
      <c r="A919">
        <v>2</v>
      </c>
      <c r="B919">
        <v>3</v>
      </c>
      <c r="C919">
        <f t="shared" ca="1" si="247"/>
        <v>8</v>
      </c>
      <c r="D919">
        <f t="shared" ca="1" si="248"/>
        <v>6</v>
      </c>
      <c r="E919">
        <f t="shared" ca="1" si="249"/>
        <v>2</v>
      </c>
      <c r="F919" s="100">
        <f t="shared" ca="1" si="250"/>
        <v>4.0740000000000004E-3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288</v>
      </c>
      <c r="M919" s="7">
        <f t="shared" ca="1" si="254"/>
        <v>712</v>
      </c>
      <c r="N919" s="43">
        <f t="shared" ca="1" si="255"/>
        <v>6</v>
      </c>
      <c r="O919" s="92">
        <f t="shared" ca="1" si="256"/>
        <v>2.7275117780454798</v>
      </c>
      <c r="P919" s="92">
        <f t="shared" ca="1" si="257"/>
        <v>27.275117780454792</v>
      </c>
      <c r="Q919" s="92">
        <f t="shared" ca="1" si="258"/>
        <v>27.275117780454792</v>
      </c>
      <c r="R919" s="92">
        <f t="shared" ca="1" si="259"/>
        <v>2.7275117780454794</v>
      </c>
      <c r="S919" s="92">
        <f t="shared" ca="1" si="260"/>
        <v>2.7275117780454794</v>
      </c>
      <c r="T919" s="4">
        <f t="shared" ca="1" si="261"/>
        <v>0</v>
      </c>
      <c r="U919" s="99">
        <f t="shared" ca="1" si="262"/>
        <v>1290.6329230659346</v>
      </c>
      <c r="V919" s="4">
        <f t="shared" ca="1" si="263"/>
        <v>0</v>
      </c>
      <c r="W919" s="13">
        <f t="shared" ca="1" si="264"/>
        <v>48264.818043749998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ca="1" si="247"/>
        <v>8</v>
      </c>
      <c r="D920">
        <f t="shared" ca="1" si="248"/>
        <v>6</v>
      </c>
      <c r="E920">
        <f t="shared" ca="1" si="249"/>
        <v>2</v>
      </c>
      <c r="F920" s="100">
        <f t="shared" ca="1" si="250"/>
        <v>4.0740000000000004E-3</v>
      </c>
      <c r="G920">
        <v>0</v>
      </c>
      <c r="H920">
        <v>1</v>
      </c>
      <c r="I920">
        <v>6</v>
      </c>
      <c r="J920" s="1">
        <f t="shared" ca="1" si="251"/>
        <v>9.3206534790699087E-3</v>
      </c>
      <c r="K920" s="1">
        <f t="shared" ca="1" si="252"/>
        <v>3.797234227373081E-5</v>
      </c>
      <c r="L920" s="13">
        <f t="shared" ca="1" si="253"/>
        <v>266</v>
      </c>
      <c r="M920" s="7">
        <f t="shared" ca="1" si="254"/>
        <v>734</v>
      </c>
      <c r="N920" s="43">
        <f t="shared" ca="1" si="255"/>
        <v>6</v>
      </c>
      <c r="O920" s="92">
        <f t="shared" ca="1" si="256"/>
        <v>2.7275117780454798</v>
      </c>
      <c r="P920" s="92">
        <f t="shared" ca="1" si="257"/>
        <v>27.275117780454792</v>
      </c>
      <c r="Q920" s="92">
        <f t="shared" ca="1" si="258"/>
        <v>27.275117780454792</v>
      </c>
      <c r="R920" s="92">
        <f t="shared" ca="1" si="259"/>
        <v>2.7275117780454794</v>
      </c>
      <c r="S920" s="92">
        <f t="shared" ca="1" si="260"/>
        <v>2.7275117780454794</v>
      </c>
      <c r="T920" s="4">
        <f t="shared" ca="1" si="261"/>
        <v>1.0357001079157504E-4</v>
      </c>
      <c r="U920" s="99">
        <f t="shared" ca="1" si="262"/>
        <v>1268.6329230659346</v>
      </c>
      <c r="V920" s="4">
        <f t="shared" ca="1" si="263"/>
        <v>4.8172963574383276E-2</v>
      </c>
      <c r="W920" s="13">
        <f t="shared" ca="1" si="264"/>
        <v>42247.745924999996</v>
      </c>
      <c r="X920" s="4">
        <f t="shared" ca="1" si="265"/>
        <v>1.6042458685577159</v>
      </c>
    </row>
    <row r="921" spans="1:24">
      <c r="A921">
        <v>2</v>
      </c>
      <c r="B921">
        <v>3</v>
      </c>
      <c r="C921">
        <f t="shared" ca="1" si="247"/>
        <v>8</v>
      </c>
      <c r="D921">
        <f t="shared" ca="1" si="248"/>
        <v>6</v>
      </c>
      <c r="E921">
        <f t="shared" ca="1" si="249"/>
        <v>2</v>
      </c>
      <c r="F921" s="100">
        <f t="shared" ca="1" si="250"/>
        <v>4.0740000000000004E-3</v>
      </c>
      <c r="G921">
        <v>0</v>
      </c>
      <c r="H921">
        <v>1</v>
      </c>
      <c r="I921">
        <v>5</v>
      </c>
      <c r="J921" s="1">
        <f t="shared" ca="1" si="251"/>
        <v>5.6488808964060098E-4</v>
      </c>
      <c r="K921" s="1">
        <f t="shared" ca="1" si="252"/>
        <v>2.3013540771958085E-6</v>
      </c>
      <c r="L921" s="13">
        <f t="shared" ca="1" si="253"/>
        <v>244</v>
      </c>
      <c r="M921" s="7">
        <f t="shared" ca="1" si="254"/>
        <v>756</v>
      </c>
      <c r="N921" s="43">
        <f t="shared" ca="1" si="255"/>
        <v>7</v>
      </c>
      <c r="O921" s="92">
        <f t="shared" ca="1" si="256"/>
        <v>3.2214900588145507</v>
      </c>
      <c r="P921" s="92">
        <f t="shared" ca="1" si="257"/>
        <v>29.745009184300148</v>
      </c>
      <c r="Q921" s="92">
        <f t="shared" ca="1" si="258"/>
        <v>27.275117780454792</v>
      </c>
      <c r="R921" s="92">
        <f t="shared" ca="1" si="259"/>
        <v>2.851006348237747</v>
      </c>
      <c r="S921" s="92">
        <f t="shared" ca="1" si="260"/>
        <v>3.1955561990741743</v>
      </c>
      <c r="T921" s="4">
        <f t="shared" ca="1" si="261"/>
        <v>7.3541062876476914E-6</v>
      </c>
      <c r="U921" s="99">
        <f t="shared" ca="1" si="262"/>
        <v>1391.9252614304514</v>
      </c>
      <c r="V921" s="4">
        <f t="shared" ca="1" si="263"/>
        <v>3.203312875544811E-3</v>
      </c>
      <c r="W921" s="13">
        <f t="shared" ca="1" si="264"/>
        <v>36230.673806249994</v>
      </c>
      <c r="X921" s="4">
        <f t="shared" ca="1" si="265"/>
        <v>8.3379608883564799E-2</v>
      </c>
    </row>
    <row r="922" spans="1:24">
      <c r="A922">
        <v>2</v>
      </c>
      <c r="B922">
        <v>3</v>
      </c>
      <c r="C922">
        <f t="shared" ca="1" si="247"/>
        <v>8</v>
      </c>
      <c r="D922">
        <f t="shared" ca="1" si="248"/>
        <v>6</v>
      </c>
      <c r="E922">
        <f t="shared" ca="1" si="249"/>
        <v>2</v>
      </c>
      <c r="F922" s="100">
        <f t="shared" ca="1" si="250"/>
        <v>4.0740000000000004E-3</v>
      </c>
      <c r="G922">
        <v>0</v>
      </c>
      <c r="H922">
        <v>1</v>
      </c>
      <c r="I922">
        <v>4</v>
      </c>
      <c r="J922" s="1">
        <f t="shared" ca="1" si="251"/>
        <v>1.426485074850004E-5</v>
      </c>
      <c r="K922" s="1">
        <f t="shared" ca="1" si="252"/>
        <v>5.8115001949389168E-8</v>
      </c>
      <c r="L922" s="13">
        <f t="shared" ca="1" si="253"/>
        <v>222</v>
      </c>
      <c r="M922" s="7">
        <f t="shared" ca="1" si="254"/>
        <v>778</v>
      </c>
      <c r="N922" s="43">
        <f t="shared" ca="1" si="255"/>
        <v>7</v>
      </c>
      <c r="O922" s="92">
        <f t="shared" ca="1" si="256"/>
        <v>3.2214900588145507</v>
      </c>
      <c r="P922" s="92">
        <f t="shared" ca="1" si="257"/>
        <v>32.214900588145518</v>
      </c>
      <c r="Q922" s="92">
        <f t="shared" ca="1" si="258"/>
        <v>32.214900588145518</v>
      </c>
      <c r="R922" s="92">
        <f t="shared" ca="1" si="259"/>
        <v>3.2214900588145516</v>
      </c>
      <c r="S922" s="92">
        <f t="shared" ca="1" si="260"/>
        <v>3.2214900588145507</v>
      </c>
      <c r="T922" s="4">
        <f t="shared" ca="1" si="261"/>
        <v>1.8721690104794544E-7</v>
      </c>
      <c r="U922" s="99">
        <f t="shared" ca="1" si="262"/>
        <v>1377.9757603899629</v>
      </c>
      <c r="V922" s="4">
        <f t="shared" ca="1" si="263"/>
        <v>8.0081064001273717E-5</v>
      </c>
      <c r="W922" s="13">
        <f t="shared" ca="1" si="264"/>
        <v>30213.601687499999</v>
      </c>
      <c r="X922" s="4">
        <f t="shared" ca="1" si="265"/>
        <v>1.7558635209671302E-3</v>
      </c>
    </row>
    <row r="923" spans="1:24">
      <c r="A923">
        <v>2</v>
      </c>
      <c r="B923">
        <v>3</v>
      </c>
      <c r="C923">
        <f t="shared" ca="1" si="247"/>
        <v>8</v>
      </c>
      <c r="D923">
        <f t="shared" ca="1" si="248"/>
        <v>6</v>
      </c>
      <c r="E923">
        <f t="shared" ca="1" si="249"/>
        <v>2</v>
      </c>
      <c r="F923" s="100">
        <f t="shared" ca="1" si="250"/>
        <v>4.0740000000000004E-3</v>
      </c>
      <c r="G923">
        <v>0</v>
      </c>
      <c r="H923">
        <v>1</v>
      </c>
      <c r="I923">
        <v>3</v>
      </c>
      <c r="J923" s="1">
        <f t="shared" ca="1" si="251"/>
        <v>1.9211920200000068E-7</v>
      </c>
      <c r="K923" s="1">
        <f t="shared" ca="1" si="252"/>
        <v>7.8269362894800281E-10</v>
      </c>
      <c r="L923" s="13">
        <f t="shared" ca="1" si="253"/>
        <v>200</v>
      </c>
      <c r="M923" s="7">
        <f t="shared" ca="1" si="254"/>
        <v>800</v>
      </c>
      <c r="N923" s="43">
        <f t="shared" ca="1" si="255"/>
        <v>7</v>
      </c>
      <c r="O923" s="92">
        <f t="shared" ca="1" si="256"/>
        <v>3.2214900588145507</v>
      </c>
      <c r="P923" s="92">
        <f t="shared" ca="1" si="257"/>
        <v>32.214900588145518</v>
      </c>
      <c r="Q923" s="92">
        <f t="shared" ca="1" si="258"/>
        <v>32.214900588145518</v>
      </c>
      <c r="R923" s="92">
        <f t="shared" ca="1" si="259"/>
        <v>3.2214900588145516</v>
      </c>
      <c r="S923" s="92">
        <f t="shared" ca="1" si="260"/>
        <v>3.2214900588145507</v>
      </c>
      <c r="T923" s="4">
        <f t="shared" ca="1" si="261"/>
        <v>2.5214397447534757E-9</v>
      </c>
      <c r="U923" s="99">
        <f t="shared" ca="1" si="262"/>
        <v>1355.9757603899629</v>
      </c>
      <c r="V923" s="4">
        <f t="shared" ca="1" si="263"/>
        <v>1.0613135886651477E-6</v>
      </c>
      <c r="W923" s="13">
        <f t="shared" ca="1" si="264"/>
        <v>24196.529568749997</v>
      </c>
      <c r="X923" s="4">
        <f t="shared" ca="1" si="265"/>
        <v>1.8938469536112587E-5</v>
      </c>
    </row>
    <row r="924" spans="1:24">
      <c r="A924">
        <v>2</v>
      </c>
      <c r="B924">
        <v>3</v>
      </c>
      <c r="C924">
        <f t="shared" ca="1" si="247"/>
        <v>8</v>
      </c>
      <c r="D924">
        <f t="shared" ca="1" si="248"/>
        <v>6</v>
      </c>
      <c r="E924">
        <f t="shared" ca="1" si="249"/>
        <v>2</v>
      </c>
      <c r="F924" s="100">
        <f t="shared" ca="1" si="250"/>
        <v>4.0740000000000004E-3</v>
      </c>
      <c r="G924">
        <v>0</v>
      </c>
      <c r="H924">
        <v>1</v>
      </c>
      <c r="I924">
        <v>2</v>
      </c>
      <c r="J924" s="1">
        <f t="shared" ca="1" si="251"/>
        <v>1.4554485000000069E-9</v>
      </c>
      <c r="K924" s="1">
        <f t="shared" ca="1" si="252"/>
        <v>5.9294971890000292E-12</v>
      </c>
      <c r="L924" s="13">
        <f t="shared" ca="1" si="253"/>
        <v>178</v>
      </c>
      <c r="M924" s="7">
        <f t="shared" ca="1" si="254"/>
        <v>822</v>
      </c>
      <c r="N924" s="43">
        <f t="shared" ca="1" si="255"/>
        <v>7</v>
      </c>
      <c r="O924" s="92">
        <f t="shared" ca="1" si="256"/>
        <v>3.2214900588145507</v>
      </c>
      <c r="P924" s="92">
        <f t="shared" ca="1" si="257"/>
        <v>32.214900588145518</v>
      </c>
      <c r="Q924" s="92">
        <f t="shared" ca="1" si="258"/>
        <v>32.214900588145518</v>
      </c>
      <c r="R924" s="92">
        <f t="shared" ca="1" si="259"/>
        <v>3.2214900588145516</v>
      </c>
      <c r="S924" s="92">
        <f t="shared" ca="1" si="260"/>
        <v>3.2214900588145507</v>
      </c>
      <c r="T924" s="4">
        <f t="shared" ca="1" si="261"/>
        <v>1.9101816248132417E-11</v>
      </c>
      <c r="U924" s="99">
        <f t="shared" ca="1" si="262"/>
        <v>1333.9757603899629</v>
      </c>
      <c r="V924" s="4">
        <f t="shared" ca="1" si="263"/>
        <v>7.9098055214264613E-9</v>
      </c>
      <c r="W924" s="13">
        <f t="shared" ca="1" si="264"/>
        <v>18179.457449999998</v>
      </c>
      <c r="X924" s="4">
        <f t="shared" ca="1" si="265"/>
        <v>1.0779504184732063E-7</v>
      </c>
    </row>
    <row r="925" spans="1:24">
      <c r="A925">
        <v>2</v>
      </c>
      <c r="B925">
        <v>3</v>
      </c>
      <c r="C925">
        <f t="shared" ca="1" si="247"/>
        <v>8</v>
      </c>
      <c r="D925">
        <f t="shared" ca="1" si="248"/>
        <v>6</v>
      </c>
      <c r="E925">
        <f t="shared" ca="1" si="249"/>
        <v>2</v>
      </c>
      <c r="F925" s="100">
        <f t="shared" ca="1" si="250"/>
        <v>4.0740000000000004E-3</v>
      </c>
      <c r="G925">
        <v>0</v>
      </c>
      <c r="H925">
        <v>1</v>
      </c>
      <c r="I925">
        <v>1</v>
      </c>
      <c r="J925" s="1">
        <f t="shared" ca="1" si="251"/>
        <v>5.8806000000000321E-12</v>
      </c>
      <c r="K925" s="1">
        <f t="shared" ca="1" si="252"/>
        <v>2.3957564400000132E-14</v>
      </c>
      <c r="L925" s="13">
        <f t="shared" ca="1" si="253"/>
        <v>156</v>
      </c>
      <c r="M925" s="7">
        <f t="shared" ca="1" si="254"/>
        <v>844</v>
      </c>
      <c r="N925" s="43">
        <f t="shared" ca="1" si="255"/>
        <v>7</v>
      </c>
      <c r="O925" s="92">
        <f t="shared" ca="1" si="256"/>
        <v>3.2214900588145507</v>
      </c>
      <c r="P925" s="92">
        <f t="shared" ca="1" si="257"/>
        <v>32.214900588145518</v>
      </c>
      <c r="Q925" s="92">
        <f t="shared" ca="1" si="258"/>
        <v>32.214900588145518</v>
      </c>
      <c r="R925" s="92">
        <f t="shared" ca="1" si="259"/>
        <v>3.2214900588145516</v>
      </c>
      <c r="S925" s="92">
        <f t="shared" ca="1" si="260"/>
        <v>3.2214900588145507</v>
      </c>
      <c r="T925" s="4">
        <f t="shared" ca="1" si="261"/>
        <v>7.7179055548009811E-14</v>
      </c>
      <c r="U925" s="99">
        <f t="shared" ca="1" si="262"/>
        <v>1311.9757603899629</v>
      </c>
      <c r="V925" s="4">
        <f t="shared" ca="1" si="263"/>
        <v>3.143174377078168E-11</v>
      </c>
      <c r="W925" s="13">
        <f t="shared" ca="1" si="264"/>
        <v>12162.38533125</v>
      </c>
      <c r="X925" s="4">
        <f t="shared" ca="1" si="265"/>
        <v>2.9138112983103879E-10</v>
      </c>
    </row>
    <row r="926" spans="1:24">
      <c r="A926">
        <v>2</v>
      </c>
      <c r="B926">
        <v>3</v>
      </c>
      <c r="C926">
        <f t="shared" ca="1" si="247"/>
        <v>8</v>
      </c>
      <c r="D926">
        <f t="shared" ca="1" si="248"/>
        <v>6</v>
      </c>
      <c r="E926">
        <f t="shared" ca="1" si="249"/>
        <v>2</v>
      </c>
      <c r="F926" s="100">
        <f t="shared" ca="1" si="250"/>
        <v>4.0740000000000004E-3</v>
      </c>
      <c r="G926">
        <v>0</v>
      </c>
      <c r="H926">
        <v>1</v>
      </c>
      <c r="I926">
        <v>0</v>
      </c>
      <c r="J926" s="1">
        <f t="shared" ca="1" si="251"/>
        <v>9.9000000000000638E-15</v>
      </c>
      <c r="K926" s="1">
        <f t="shared" ca="1" si="252"/>
        <v>4.0332600000000266E-17</v>
      </c>
      <c r="L926" s="13">
        <f t="shared" ca="1" si="253"/>
        <v>134</v>
      </c>
      <c r="M926" s="7">
        <f t="shared" ca="1" si="254"/>
        <v>866</v>
      </c>
      <c r="N926" s="43">
        <f t="shared" ca="1" si="255"/>
        <v>7</v>
      </c>
      <c r="O926" s="92">
        <f t="shared" ca="1" si="256"/>
        <v>3.2214900588145507</v>
      </c>
      <c r="P926" s="92">
        <f t="shared" ca="1" si="257"/>
        <v>32.214900588145518</v>
      </c>
      <c r="Q926" s="92">
        <f t="shared" ca="1" si="258"/>
        <v>32.214900588145518</v>
      </c>
      <c r="R926" s="92">
        <f t="shared" ca="1" si="259"/>
        <v>3.2214900588145516</v>
      </c>
      <c r="S926" s="92">
        <f t="shared" ca="1" si="260"/>
        <v>3.2214900588145507</v>
      </c>
      <c r="T926" s="4">
        <f t="shared" ca="1" si="261"/>
        <v>1.2993106994614462E-16</v>
      </c>
      <c r="U926" s="99">
        <f t="shared" ca="1" si="262"/>
        <v>1289.9757603899629</v>
      </c>
      <c r="V926" s="4">
        <f t="shared" ca="1" si="263"/>
        <v>5.2028076353504563E-14</v>
      </c>
      <c r="W926" s="13">
        <f t="shared" ca="1" si="264"/>
        <v>6145.3132124999993</v>
      </c>
      <c r="X926" s="4">
        <f t="shared" ca="1" si="265"/>
        <v>2.4785645967447911E-13</v>
      </c>
    </row>
    <row r="927" spans="1:24">
      <c r="A927">
        <v>2</v>
      </c>
      <c r="B927">
        <v>3</v>
      </c>
      <c r="C927">
        <f t="shared" ca="1" si="247"/>
        <v>8</v>
      </c>
      <c r="D927">
        <f t="shared" ca="1" si="248"/>
        <v>6</v>
      </c>
      <c r="E927">
        <f t="shared" ca="1" si="249"/>
        <v>2</v>
      </c>
      <c r="F927" s="100">
        <f t="shared" ca="1" si="250"/>
        <v>4.0740000000000004E-3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3">
        <f t="shared" ca="1" si="255"/>
        <v>7</v>
      </c>
      <c r="O927" s="92">
        <f t="shared" ca="1" si="256"/>
        <v>3.2214900588145507</v>
      </c>
      <c r="P927" s="92">
        <f t="shared" ca="1" si="257"/>
        <v>32.214900588145518</v>
      </c>
      <c r="Q927" s="92">
        <f t="shared" ca="1" si="258"/>
        <v>32.214900588145518</v>
      </c>
      <c r="R927" s="92">
        <f t="shared" ca="1" si="259"/>
        <v>3.2214900588145516</v>
      </c>
      <c r="S927" s="92">
        <f t="shared" ca="1" si="260"/>
        <v>3.2214900588145507</v>
      </c>
      <c r="T927" s="4">
        <f t="shared" ca="1" si="261"/>
        <v>0</v>
      </c>
      <c r="U927" s="99">
        <f t="shared" ca="1" si="262"/>
        <v>1309.9757603899629</v>
      </c>
      <c r="V927" s="4">
        <f t="shared" ca="1" si="263"/>
        <v>0</v>
      </c>
      <c r="W927" s="13">
        <f t="shared" ca="1" si="264"/>
        <v>42119.50483125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ca="1" si="247"/>
        <v>8</v>
      </c>
      <c r="D928">
        <f t="shared" ca="1" si="248"/>
        <v>6</v>
      </c>
      <c r="E928">
        <f t="shared" ca="1" si="249"/>
        <v>2</v>
      </c>
      <c r="F928" s="100">
        <f t="shared" ca="1" si="250"/>
        <v>4.0740000000000004E-3</v>
      </c>
      <c r="G928">
        <v>0</v>
      </c>
      <c r="H928">
        <v>0</v>
      </c>
      <c r="I928">
        <v>6</v>
      </c>
      <c r="J928" s="1">
        <f t="shared" ca="1" si="251"/>
        <v>9.4148014940100163E-5</v>
      </c>
      <c r="K928" s="1">
        <f t="shared" ca="1" si="252"/>
        <v>3.8355901286596809E-7</v>
      </c>
      <c r="L928" s="13">
        <f t="shared" ca="1" si="253"/>
        <v>132</v>
      </c>
      <c r="M928" s="7">
        <f t="shared" ca="1" si="254"/>
        <v>868</v>
      </c>
      <c r="N928" s="43">
        <f t="shared" ca="1" si="255"/>
        <v>7</v>
      </c>
      <c r="O928" s="92">
        <f t="shared" ca="1" si="256"/>
        <v>3.2214900588145507</v>
      </c>
      <c r="P928" s="92">
        <f t="shared" ca="1" si="257"/>
        <v>32.214900588145518</v>
      </c>
      <c r="Q928" s="92">
        <f t="shared" ca="1" si="258"/>
        <v>32.214900588145518</v>
      </c>
      <c r="R928" s="92">
        <f t="shared" ca="1" si="259"/>
        <v>3.2214900588145516</v>
      </c>
      <c r="S928" s="92">
        <f t="shared" ca="1" si="260"/>
        <v>3.2214900588145507</v>
      </c>
      <c r="T928" s="4">
        <f t="shared" ca="1" si="261"/>
        <v>1.2356315469164386E-6</v>
      </c>
      <c r="U928" s="99">
        <f t="shared" ca="1" si="262"/>
        <v>1287.9757603899629</v>
      </c>
      <c r="V928" s="4">
        <f t="shared" ca="1" si="263"/>
        <v>4.9401471125046887E-4</v>
      </c>
      <c r="W928" s="13">
        <f t="shared" ca="1" si="264"/>
        <v>36102.432712499998</v>
      </c>
      <c r="X928" s="4">
        <f t="shared" ca="1" si="265"/>
        <v>1.3847413453266535E-2</v>
      </c>
    </row>
    <row r="929" spans="1:24">
      <c r="A929">
        <v>2</v>
      </c>
      <c r="B929">
        <v>3</v>
      </c>
      <c r="C929">
        <f t="shared" ca="1" si="247"/>
        <v>8</v>
      </c>
      <c r="D929">
        <f t="shared" ca="1" si="248"/>
        <v>6</v>
      </c>
      <c r="E929">
        <f t="shared" ca="1" si="249"/>
        <v>2</v>
      </c>
      <c r="F929" s="100">
        <f t="shared" ca="1" si="250"/>
        <v>4.0740000000000004E-3</v>
      </c>
      <c r="G929">
        <v>0</v>
      </c>
      <c r="H929">
        <v>0</v>
      </c>
      <c r="I929">
        <v>5</v>
      </c>
      <c r="J929" s="1">
        <f t="shared" ca="1" si="251"/>
        <v>5.7059402994000143E-6</v>
      </c>
      <c r="K929" s="1">
        <f t="shared" ca="1" si="252"/>
        <v>2.324600077975566E-8</v>
      </c>
      <c r="L929" s="13">
        <f t="shared" ca="1" si="253"/>
        <v>110</v>
      </c>
      <c r="M929" s="7">
        <f t="shared" ca="1" si="254"/>
        <v>890</v>
      </c>
      <c r="N929" s="43">
        <f t="shared" ca="1" si="255"/>
        <v>8</v>
      </c>
      <c r="O929" s="92">
        <f t="shared" ca="1" si="256"/>
        <v>3.5531918581169131</v>
      </c>
      <c r="P929" s="92">
        <f t="shared" ca="1" si="257"/>
        <v>35.531918581169137</v>
      </c>
      <c r="Q929" s="92">
        <f t="shared" ca="1" si="258"/>
        <v>33.541707785354966</v>
      </c>
      <c r="R929" s="92">
        <f t="shared" ca="1" si="259"/>
        <v>3.4536813183262054</v>
      </c>
      <c r="S929" s="92">
        <f t="shared" ca="1" si="260"/>
        <v>3.5462261203315633</v>
      </c>
      <c r="T929" s="4">
        <f t="shared" ca="1" si="261"/>
        <v>8.2435575158417414E-8</v>
      </c>
      <c r="U929" s="99">
        <f t="shared" ca="1" si="262"/>
        <v>1366.7817087343356</v>
      </c>
      <c r="V929" s="4">
        <f t="shared" ca="1" si="263"/>
        <v>3.1772208666994138E-5</v>
      </c>
      <c r="W929" s="13">
        <f t="shared" ca="1" si="264"/>
        <v>30085.360593749996</v>
      </c>
      <c r="X929" s="4">
        <f t="shared" ca="1" si="265"/>
        <v>6.9936431582154259E-4</v>
      </c>
    </row>
    <row r="930" spans="1:24">
      <c r="A930">
        <v>2</v>
      </c>
      <c r="B930">
        <v>3</v>
      </c>
      <c r="C930">
        <f t="shared" ca="1" si="247"/>
        <v>8</v>
      </c>
      <c r="D930">
        <f t="shared" ca="1" si="248"/>
        <v>6</v>
      </c>
      <c r="E930">
        <f t="shared" ca="1" si="249"/>
        <v>2</v>
      </c>
      <c r="F930" s="100">
        <f t="shared" ca="1" si="250"/>
        <v>4.0740000000000004E-3</v>
      </c>
      <c r="G930">
        <v>0</v>
      </c>
      <c r="H930">
        <v>0</v>
      </c>
      <c r="I930">
        <v>4</v>
      </c>
      <c r="J930" s="1">
        <f t="shared" ca="1" si="251"/>
        <v>1.4408940150000052E-7</v>
      </c>
      <c r="K930" s="1">
        <f t="shared" ca="1" si="252"/>
        <v>5.8702022171100216E-10</v>
      </c>
      <c r="L930" s="13">
        <f t="shared" ca="1" si="253"/>
        <v>100</v>
      </c>
      <c r="M930" s="7">
        <f t="shared" ca="1" si="254"/>
        <v>900</v>
      </c>
      <c r="N930" s="43">
        <f t="shared" ca="1" si="255"/>
        <v>8</v>
      </c>
      <c r="O930" s="92">
        <f t="shared" ca="1" si="256"/>
        <v>3.5531918581169131</v>
      </c>
      <c r="P930" s="92">
        <f t="shared" ca="1" si="257"/>
        <v>35.531918581169137</v>
      </c>
      <c r="Q930" s="92">
        <f t="shared" ca="1" si="258"/>
        <v>35.531918581169137</v>
      </c>
      <c r="R930" s="92">
        <f t="shared" ca="1" si="259"/>
        <v>3.5531918581169135</v>
      </c>
      <c r="S930" s="92">
        <f t="shared" ca="1" si="260"/>
        <v>3.5531918581169126</v>
      </c>
      <c r="T930" s="4">
        <f t="shared" ca="1" si="261"/>
        <v>2.0857954723335177E-9</v>
      </c>
      <c r="U930" s="99">
        <f t="shared" ca="1" si="262"/>
        <v>1358.9440426620492</v>
      </c>
      <c r="V930" s="4">
        <f t="shared" ca="1" si="263"/>
        <v>7.9772763321632171E-7</v>
      </c>
      <c r="W930" s="13">
        <f t="shared" ca="1" si="264"/>
        <v>24068.288474999998</v>
      </c>
      <c r="X930" s="4">
        <f t="shared" ca="1" si="265"/>
        <v>1.4128572036798857E-5</v>
      </c>
    </row>
    <row r="931" spans="1:24">
      <c r="A931">
        <v>2</v>
      </c>
      <c r="B931">
        <v>3</v>
      </c>
      <c r="C931">
        <f t="shared" ca="1" si="247"/>
        <v>8</v>
      </c>
      <c r="D931">
        <f t="shared" ca="1" si="248"/>
        <v>6</v>
      </c>
      <c r="E931">
        <f t="shared" ca="1" si="249"/>
        <v>2</v>
      </c>
      <c r="F931" s="100">
        <f t="shared" ca="1" si="250"/>
        <v>4.0740000000000004E-3</v>
      </c>
      <c r="G931">
        <v>0</v>
      </c>
      <c r="H931">
        <v>0</v>
      </c>
      <c r="I931">
        <v>3</v>
      </c>
      <c r="J931" s="1">
        <f t="shared" ca="1" si="251"/>
        <v>1.9405980000000086E-9</v>
      </c>
      <c r="K931" s="1">
        <f t="shared" ca="1" si="252"/>
        <v>7.9059962520000362E-12</v>
      </c>
      <c r="L931" s="13">
        <f t="shared" ca="1" si="253"/>
        <v>100</v>
      </c>
      <c r="M931" s="7">
        <f t="shared" ca="1" si="254"/>
        <v>900</v>
      </c>
      <c r="N931" s="43">
        <f t="shared" ca="1" si="255"/>
        <v>8</v>
      </c>
      <c r="O931" s="92">
        <f t="shared" ca="1" si="256"/>
        <v>3.5531918581169131</v>
      </c>
      <c r="P931" s="92">
        <f t="shared" ca="1" si="257"/>
        <v>35.531918581169137</v>
      </c>
      <c r="Q931" s="92">
        <f t="shared" ca="1" si="258"/>
        <v>35.531918581169137</v>
      </c>
      <c r="R931" s="92">
        <f t="shared" ca="1" si="259"/>
        <v>3.5531918581169135</v>
      </c>
      <c r="S931" s="92">
        <f t="shared" ca="1" si="260"/>
        <v>3.5531918581169126</v>
      </c>
      <c r="T931" s="4">
        <f t="shared" ca="1" si="261"/>
        <v>2.8091521512909355E-11</v>
      </c>
      <c r="U931" s="99">
        <f t="shared" ca="1" si="262"/>
        <v>1358.9440426620492</v>
      </c>
      <c r="V931" s="4">
        <f t="shared" ca="1" si="263"/>
        <v>1.0743806507963939E-8</v>
      </c>
      <c r="W931" s="13">
        <f t="shared" ca="1" si="264"/>
        <v>18051.216356249999</v>
      </c>
      <c r="X931" s="4">
        <f t="shared" ca="1" si="265"/>
        <v>1.4271284885655425E-7</v>
      </c>
    </row>
    <row r="932" spans="1:24">
      <c r="A932">
        <v>2</v>
      </c>
      <c r="B932">
        <v>3</v>
      </c>
      <c r="C932">
        <f t="shared" ca="1" si="247"/>
        <v>8</v>
      </c>
      <c r="D932">
        <f t="shared" ca="1" si="248"/>
        <v>6</v>
      </c>
      <c r="E932">
        <f t="shared" ca="1" si="249"/>
        <v>2</v>
      </c>
      <c r="F932" s="100">
        <f t="shared" ca="1" si="250"/>
        <v>4.0740000000000004E-3</v>
      </c>
      <c r="G932">
        <v>0</v>
      </c>
      <c r="H932">
        <v>0</v>
      </c>
      <c r="I932">
        <v>2</v>
      </c>
      <c r="J932" s="1">
        <f t="shared" ca="1" si="251"/>
        <v>1.4701500000000082E-11</v>
      </c>
      <c r="K932" s="1">
        <f t="shared" ca="1" si="252"/>
        <v>5.9893911000000335E-14</v>
      </c>
      <c r="L932" s="13">
        <f t="shared" ca="1" si="253"/>
        <v>100</v>
      </c>
      <c r="M932" s="7">
        <f t="shared" ca="1" si="254"/>
        <v>900</v>
      </c>
      <c r="N932" s="43">
        <f t="shared" ca="1" si="255"/>
        <v>8</v>
      </c>
      <c r="O932" s="92">
        <f t="shared" ca="1" si="256"/>
        <v>3.5531918581169131</v>
      </c>
      <c r="P932" s="92">
        <f t="shared" ca="1" si="257"/>
        <v>35.531918581169137</v>
      </c>
      <c r="Q932" s="92">
        <f t="shared" ca="1" si="258"/>
        <v>35.531918581169137</v>
      </c>
      <c r="R932" s="92">
        <f t="shared" ca="1" si="259"/>
        <v>3.5531918581169135</v>
      </c>
      <c r="S932" s="92">
        <f t="shared" ca="1" si="260"/>
        <v>3.5531918581169126</v>
      </c>
      <c r="T932" s="4">
        <f t="shared" ca="1" si="261"/>
        <v>2.1281455691598019E-13</v>
      </c>
      <c r="U932" s="99">
        <f t="shared" ca="1" si="262"/>
        <v>1358.9440426620492</v>
      </c>
      <c r="V932" s="4">
        <f t="shared" ca="1" si="263"/>
        <v>8.1392473545181431E-11</v>
      </c>
      <c r="W932" s="13">
        <f t="shared" ca="1" si="264"/>
        <v>12034.144237499999</v>
      </c>
      <c r="X932" s="4">
        <f t="shared" ca="1" si="265"/>
        <v>7.2077196392199181E-10</v>
      </c>
    </row>
    <row r="933" spans="1:24">
      <c r="A933">
        <v>2</v>
      </c>
      <c r="B933">
        <v>3</v>
      </c>
      <c r="C933">
        <f t="shared" ca="1" si="247"/>
        <v>8</v>
      </c>
      <c r="D933">
        <f t="shared" ca="1" si="248"/>
        <v>6</v>
      </c>
      <c r="E933">
        <f t="shared" ca="1" si="249"/>
        <v>2</v>
      </c>
      <c r="F933" s="100">
        <f t="shared" ca="1" si="250"/>
        <v>4.0740000000000004E-3</v>
      </c>
      <c r="G933">
        <v>0</v>
      </c>
      <c r="H933">
        <v>0</v>
      </c>
      <c r="I933">
        <v>1</v>
      </c>
      <c r="J933" s="1">
        <f t="shared" ca="1" si="251"/>
        <v>5.9400000000000383E-14</v>
      </c>
      <c r="K933" s="1">
        <f t="shared" ca="1" si="252"/>
        <v>2.4199560000000157E-16</v>
      </c>
      <c r="L933" s="13">
        <f t="shared" ca="1" si="253"/>
        <v>100</v>
      </c>
      <c r="M933" s="7">
        <f t="shared" ca="1" si="254"/>
        <v>900</v>
      </c>
      <c r="N933" s="43">
        <f t="shared" ca="1" si="255"/>
        <v>8</v>
      </c>
      <c r="O933" s="92">
        <f t="shared" ca="1" si="256"/>
        <v>3.5531918581169131</v>
      </c>
      <c r="P933" s="92">
        <f t="shared" ca="1" si="257"/>
        <v>35.531918581169137</v>
      </c>
      <c r="Q933" s="92">
        <f t="shared" ca="1" si="258"/>
        <v>35.531918581169137</v>
      </c>
      <c r="R933" s="92">
        <f t="shared" ca="1" si="259"/>
        <v>3.5531918581169135</v>
      </c>
      <c r="S933" s="92">
        <f t="shared" ca="1" si="260"/>
        <v>3.5531918581169126</v>
      </c>
      <c r="T933" s="4">
        <f t="shared" ca="1" si="261"/>
        <v>8.5985679562012269E-16</v>
      </c>
      <c r="U933" s="99">
        <f t="shared" ca="1" si="262"/>
        <v>1358.9440426620492</v>
      </c>
      <c r="V933" s="4">
        <f t="shared" ca="1" si="263"/>
        <v>3.2885847897043034E-13</v>
      </c>
      <c r="W933" s="13">
        <f t="shared" ca="1" si="264"/>
        <v>6017.0721187499994</v>
      </c>
      <c r="X933" s="4">
        <f t="shared" ca="1" si="265"/>
        <v>1.4561049776201867E-12</v>
      </c>
    </row>
    <row r="934" spans="1:24">
      <c r="A934">
        <v>2</v>
      </c>
      <c r="B934">
        <v>3</v>
      </c>
      <c r="C934">
        <f t="shared" ca="1" si="247"/>
        <v>8</v>
      </c>
      <c r="D934">
        <f t="shared" ca="1" si="248"/>
        <v>6</v>
      </c>
      <c r="E934">
        <f t="shared" ca="1" si="249"/>
        <v>2</v>
      </c>
      <c r="F934" s="100">
        <f t="shared" ca="1" si="250"/>
        <v>4.0740000000000004E-3</v>
      </c>
      <c r="G934">
        <v>0</v>
      </c>
      <c r="H934">
        <v>0</v>
      </c>
      <c r="I934">
        <v>0</v>
      </c>
      <c r="J934" s="1">
        <f t="shared" ca="1" si="251"/>
        <v>1.0000000000000073E-16</v>
      </c>
      <c r="K934" s="1">
        <f t="shared" ca="1" si="252"/>
        <v>4.0740000000000298E-19</v>
      </c>
      <c r="L934" s="13">
        <f t="shared" ca="1" si="253"/>
        <v>100</v>
      </c>
      <c r="M934" s="7">
        <f t="shared" ca="1" si="254"/>
        <v>900</v>
      </c>
      <c r="N934" s="43">
        <f t="shared" ca="1" si="255"/>
        <v>8</v>
      </c>
      <c r="O934" s="92">
        <f t="shared" ca="1" si="256"/>
        <v>3.5531918581169131</v>
      </c>
      <c r="P934" s="92">
        <f t="shared" ca="1" si="257"/>
        <v>35.531918581169137</v>
      </c>
      <c r="Q934" s="92">
        <f t="shared" ca="1" si="258"/>
        <v>35.531918581169137</v>
      </c>
      <c r="R934" s="92">
        <f t="shared" ca="1" si="259"/>
        <v>3.5531918581169135</v>
      </c>
      <c r="S934" s="92">
        <f t="shared" ca="1" si="260"/>
        <v>3.5531918581169126</v>
      </c>
      <c r="T934" s="4">
        <f t="shared" ca="1" si="261"/>
        <v>1.4475703629968409E-18</v>
      </c>
      <c r="U934" s="99">
        <f t="shared" ca="1" si="262"/>
        <v>1358.9440426620492</v>
      </c>
      <c r="V934" s="4">
        <f t="shared" ca="1" si="263"/>
        <v>5.5363380298052288E-16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ca="1" si="266">MIN(8, 1+$B$543+$B$542+A935+B935)</f>
        <v>7</v>
      </c>
      <c r="D935">
        <f t="shared" ref="D935:D998" ca="1" si="267">C935-(1+$B$543)</f>
        <v>5</v>
      </c>
      <c r="E935">
        <f t="shared" ref="E935:E998" ca="1" si="268">MIN(A935, C935-(1+$B$543+$B$542))</f>
        <v>3</v>
      </c>
      <c r="F935" s="100">
        <f t="shared" ref="F935:F998" ca="1" si="269">IF(A935=3, $E$538, IF(A935=2, (1-$E$538)*$E$537 + (1-$E$538)*(1-$E$537)*(1-$E$536)*Set2AM3*Set2AM33, IF(A935=1, (1-$E$538)*(1-$E$537)*$E$536 + (1-$E$538)*(1-$E$537)*(1-$E$536)*Set2AM3*Set2AM32, (1-$E$538)*(1-$E$537)*(1-$E$536)*(1-Set2AM3)))) * IF($B$542+$B$543&gt;0, IF(B935=3, $E$538, IF(B935=2, (1-$E$538)*$E$537, IF(B935=1, (1-$E$538)*(1-$E$537)*$E$536, (1-$E$538)*(1-$E$537)*(1-$E$536)))), IF(B935=0, 1, 0))</f>
        <v>2.0771579999999998E-2</v>
      </c>
      <c r="G935">
        <v>1</v>
      </c>
      <c r="H935">
        <v>1</v>
      </c>
      <c r="I935">
        <v>7</v>
      </c>
      <c r="J935" s="1">
        <f t="shared" ref="J935:J998" ca="1" si="270">IF($B$541&lt;100%, POWER($B$541,G935)*POWER(1-$B$541, 1-G935), 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422</v>
      </c>
      <c r="M935" s="7">
        <f t="shared" ref="M935:M998" ca="1" si="273">MAX(Set2MinTP-(L935+Set2Regain), 0)</f>
        <v>578</v>
      </c>
      <c r="N935" s="43">
        <f t="shared" ref="N935:N998" ca="1" si="274">CEILING(M935/Set2MeleeTP, 1)</f>
        <v>5</v>
      </c>
      <c r="O935" s="92">
        <f t="shared" ref="O935:O998" ca="1" si="275">VLOOKUP(N935, AvgRoundsSet2, 2)</f>
        <v>2.4432565128993144</v>
      </c>
      <c r="P935" s="92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24.432565128993144</v>
      </c>
      <c r="Q935" s="92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24.432565128993144</v>
      </c>
      <c r="R935" s="92">
        <f t="shared" ref="R935:R998" ca="1" si="278">(P935+Q935)/20</f>
        <v>2.4432565128993144</v>
      </c>
      <c r="S935" s="92">
        <f t="shared" ref="S935:S998" ca="1" si="279">R935*Set2ConserveTP + O935*(1-Set2ConserveTP)</f>
        <v>2.4432565128993144</v>
      </c>
      <c r="T935" s="4">
        <f t="shared" ref="T935:T998" ca="1" si="280">K935*S935</f>
        <v>0</v>
      </c>
      <c r="U935" s="99">
        <f t="shared" ref="U935:U998" ca="1" si="281">MIN(L935+(S935+Set2OverTP)*AvgHitsPerRound2*Set2MeleeTP + Set2Regain + 10.5*Set2ConserveTP, 3000)</f>
        <v>1336.3931955743851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54281.8901625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ca="1" si="266"/>
        <v>7</v>
      </c>
      <c r="D936">
        <f t="shared" ca="1" si="267"/>
        <v>5</v>
      </c>
      <c r="E936">
        <f t="shared" ca="1" si="268"/>
        <v>3</v>
      </c>
      <c r="F936" s="100">
        <f t="shared" ca="1" si="269"/>
        <v>2.0771579999999998E-2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400</v>
      </c>
      <c r="M936" s="7">
        <f t="shared" ca="1" si="273"/>
        <v>600</v>
      </c>
      <c r="N936" s="43">
        <f t="shared" ca="1" si="274"/>
        <v>5</v>
      </c>
      <c r="O936" s="92">
        <f t="shared" ca="1" si="275"/>
        <v>2.4432565128993144</v>
      </c>
      <c r="P936" s="92">
        <f t="shared" ca="1" si="276"/>
        <v>24.432565128993144</v>
      </c>
      <c r="Q936" s="92">
        <f t="shared" ca="1" si="277"/>
        <v>24.432565128993144</v>
      </c>
      <c r="R936" s="92">
        <f t="shared" ca="1" si="278"/>
        <v>2.4432565128993144</v>
      </c>
      <c r="S936" s="92">
        <f t="shared" ca="1" si="279"/>
        <v>2.4432565128993144</v>
      </c>
      <c r="T936" s="4">
        <f t="shared" ca="1" si="280"/>
        <v>0</v>
      </c>
      <c r="U936" s="99">
        <f t="shared" ca="1" si="281"/>
        <v>1314.3931955743851</v>
      </c>
      <c r="V936" s="4">
        <f t="shared" ca="1" si="282"/>
        <v>0</v>
      </c>
      <c r="W936" s="13">
        <f t="shared" ca="1" si="283"/>
        <v>48264.818043749998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ca="1" si="266"/>
        <v>7</v>
      </c>
      <c r="D937">
        <f t="shared" ca="1" si="267"/>
        <v>5</v>
      </c>
      <c r="E937">
        <f t="shared" ca="1" si="268"/>
        <v>3</v>
      </c>
      <c r="F937" s="100">
        <f t="shared" ca="1" si="269"/>
        <v>2.0771579999999998E-2</v>
      </c>
      <c r="G937">
        <v>1</v>
      </c>
      <c r="H937">
        <v>1</v>
      </c>
      <c r="I937">
        <v>5</v>
      </c>
      <c r="J937" s="1">
        <f t="shared" ca="1" si="270"/>
        <v>0.93206534790698992</v>
      </c>
      <c r="K937" s="1">
        <f t="shared" ca="1" si="271"/>
        <v>1.9360469939277872E-2</v>
      </c>
      <c r="L937" s="13">
        <f t="shared" ca="1" si="272"/>
        <v>378</v>
      </c>
      <c r="M937" s="7">
        <f t="shared" ca="1" si="273"/>
        <v>622</v>
      </c>
      <c r="N937" s="43">
        <f t="shared" ca="1" si="274"/>
        <v>5</v>
      </c>
      <c r="O937" s="92">
        <f t="shared" ca="1" si="275"/>
        <v>2.4432565128993144</v>
      </c>
      <c r="P937" s="92">
        <f t="shared" ca="1" si="276"/>
        <v>24.432565128993144</v>
      </c>
      <c r="Q937" s="92">
        <f t="shared" ca="1" si="277"/>
        <v>24.432565128993144</v>
      </c>
      <c r="R937" s="92">
        <f t="shared" ca="1" si="278"/>
        <v>2.4432565128993144</v>
      </c>
      <c r="S937" s="92">
        <f t="shared" ca="1" si="279"/>
        <v>2.4432565128993144</v>
      </c>
      <c r="T937" s="4">
        <f t="shared" ca="1" si="280"/>
        <v>4.7302594271932057E-2</v>
      </c>
      <c r="U937" s="99">
        <f t="shared" ca="1" si="281"/>
        <v>1292.3931955743851</v>
      </c>
      <c r="V937" s="4">
        <f t="shared" ca="1" si="282"/>
        <v>25.02133961264515</v>
      </c>
      <c r="W937" s="13">
        <f t="shared" ca="1" si="283"/>
        <v>42247.745924999996</v>
      </c>
      <c r="X937" s="4">
        <f t="shared" ca="1" si="284"/>
        <v>817.9362149832117</v>
      </c>
    </row>
    <row r="938" spans="1:24">
      <c r="A938">
        <v>3</v>
      </c>
      <c r="B938">
        <v>0</v>
      </c>
      <c r="C938">
        <f t="shared" ca="1" si="266"/>
        <v>7</v>
      </c>
      <c r="D938">
        <f t="shared" ca="1" si="267"/>
        <v>5</v>
      </c>
      <c r="E938">
        <f t="shared" ca="1" si="268"/>
        <v>3</v>
      </c>
      <c r="F938" s="100">
        <f t="shared" ca="1" si="269"/>
        <v>2.0771579999999998E-2</v>
      </c>
      <c r="G938">
        <v>1</v>
      </c>
      <c r="H938">
        <v>1</v>
      </c>
      <c r="I938">
        <v>4</v>
      </c>
      <c r="J938" s="1">
        <f t="shared" ca="1" si="270"/>
        <v>4.7074007470050035E-2</v>
      </c>
      <c r="K938" s="1">
        <f t="shared" ca="1" si="271"/>
        <v>9.7780151208474173E-4</v>
      </c>
      <c r="L938" s="13">
        <f t="shared" ca="1" si="272"/>
        <v>356</v>
      </c>
      <c r="M938" s="7">
        <f t="shared" ca="1" si="273"/>
        <v>644</v>
      </c>
      <c r="N938" s="43">
        <f t="shared" ca="1" si="274"/>
        <v>6</v>
      </c>
      <c r="O938" s="92">
        <f t="shared" ca="1" si="275"/>
        <v>2.7275117780454798</v>
      </c>
      <c r="P938" s="92">
        <f t="shared" ca="1" si="276"/>
        <v>27.275117780454792</v>
      </c>
      <c r="Q938" s="92">
        <f t="shared" ca="1" si="277"/>
        <v>26.706607250162463</v>
      </c>
      <c r="R938" s="92">
        <f t="shared" ca="1" si="278"/>
        <v>2.6990862515308627</v>
      </c>
      <c r="S938" s="92">
        <f t="shared" ca="1" si="279"/>
        <v>2.7255219911894564</v>
      </c>
      <c r="T938" s="4">
        <f t="shared" ca="1" si="280"/>
        <v>2.6650195242052667E-3</v>
      </c>
      <c r="U938" s="99">
        <f t="shared" ca="1" si="281"/>
        <v>1358.0152449734937</v>
      </c>
      <c r="V938" s="4">
        <f t="shared" ca="1" si="282"/>
        <v>1.3278693599692131</v>
      </c>
      <c r="W938" s="13">
        <f t="shared" ca="1" si="283"/>
        <v>36230.673806249994</v>
      </c>
      <c r="X938" s="4">
        <f t="shared" ca="1" si="284"/>
        <v>35.426407631600291</v>
      </c>
    </row>
    <row r="939" spans="1:24">
      <c r="A939">
        <v>3</v>
      </c>
      <c r="B939">
        <v>0</v>
      </c>
      <c r="C939">
        <f t="shared" ca="1" si="266"/>
        <v>7</v>
      </c>
      <c r="D939">
        <f t="shared" ca="1" si="267"/>
        <v>5</v>
      </c>
      <c r="E939">
        <f t="shared" ca="1" si="268"/>
        <v>3</v>
      </c>
      <c r="F939" s="100">
        <f t="shared" ca="1" si="269"/>
        <v>2.0771579999999998E-2</v>
      </c>
      <c r="G939">
        <v>1</v>
      </c>
      <c r="H939">
        <v>1</v>
      </c>
      <c r="I939">
        <v>3</v>
      </c>
      <c r="J939" s="1">
        <f t="shared" ca="1" si="270"/>
        <v>9.5099004990000164E-4</v>
      </c>
      <c r="K939" s="1">
        <f t="shared" ca="1" si="271"/>
        <v>1.9753565900701874E-5</v>
      </c>
      <c r="L939" s="13">
        <f t="shared" ca="1" si="272"/>
        <v>334</v>
      </c>
      <c r="M939" s="7">
        <f t="shared" ca="1" si="273"/>
        <v>666</v>
      </c>
      <c r="N939" s="43">
        <f t="shared" ca="1" si="274"/>
        <v>6</v>
      </c>
      <c r="O939" s="92">
        <f t="shared" ca="1" si="275"/>
        <v>2.7275117780454798</v>
      </c>
      <c r="P939" s="92">
        <f t="shared" ca="1" si="276"/>
        <v>27.275117780454792</v>
      </c>
      <c r="Q939" s="92">
        <f t="shared" ca="1" si="277"/>
        <v>27.275117780454792</v>
      </c>
      <c r="R939" s="92">
        <f t="shared" ca="1" si="278"/>
        <v>2.7275117780454794</v>
      </c>
      <c r="S939" s="92">
        <f t="shared" ca="1" si="279"/>
        <v>2.7275117780454794</v>
      </c>
      <c r="T939" s="4">
        <f t="shared" ca="1" si="280"/>
        <v>5.3878083652561923E-5</v>
      </c>
      <c r="U939" s="99">
        <f t="shared" ca="1" si="281"/>
        <v>1336.6329230659346</v>
      </c>
      <c r="V939" s="4">
        <f t="shared" ca="1" si="282"/>
        <v>2.6403266530830718E-2</v>
      </c>
      <c r="W939" s="13">
        <f t="shared" ca="1" si="283"/>
        <v>30213.601687499999</v>
      </c>
      <c r="X939" s="4">
        <f t="shared" ca="1" si="284"/>
        <v>0.59682637203158861</v>
      </c>
    </row>
    <row r="940" spans="1:24">
      <c r="A940">
        <v>3</v>
      </c>
      <c r="B940">
        <v>0</v>
      </c>
      <c r="C940">
        <f t="shared" ca="1" si="266"/>
        <v>7</v>
      </c>
      <c r="D940">
        <f t="shared" ca="1" si="267"/>
        <v>5</v>
      </c>
      <c r="E940">
        <f t="shared" ca="1" si="268"/>
        <v>3</v>
      </c>
      <c r="F940" s="100">
        <f t="shared" ca="1" si="269"/>
        <v>2.0771579999999998E-2</v>
      </c>
      <c r="G940">
        <v>1</v>
      </c>
      <c r="H940">
        <v>1</v>
      </c>
      <c r="I940">
        <v>2</v>
      </c>
      <c r="J940" s="1">
        <f t="shared" ca="1" si="270"/>
        <v>9.6059601000000268E-6</v>
      </c>
      <c r="K940" s="1">
        <f t="shared" ca="1" si="271"/>
        <v>1.9953096869395853E-7</v>
      </c>
      <c r="L940" s="13">
        <f t="shared" ca="1" si="272"/>
        <v>312</v>
      </c>
      <c r="M940" s="7">
        <f t="shared" ca="1" si="273"/>
        <v>688</v>
      </c>
      <c r="N940" s="43">
        <f t="shared" ca="1" si="274"/>
        <v>6</v>
      </c>
      <c r="O940" s="92">
        <f t="shared" ca="1" si="275"/>
        <v>2.7275117780454798</v>
      </c>
      <c r="P940" s="92">
        <f t="shared" ca="1" si="276"/>
        <v>27.275117780454792</v>
      </c>
      <c r="Q940" s="92">
        <f t="shared" ca="1" si="277"/>
        <v>27.275117780454792</v>
      </c>
      <c r="R940" s="92">
        <f t="shared" ca="1" si="278"/>
        <v>2.7275117780454794</v>
      </c>
      <c r="S940" s="92">
        <f t="shared" ca="1" si="279"/>
        <v>2.7275117780454794</v>
      </c>
      <c r="T940" s="4">
        <f t="shared" ca="1" si="280"/>
        <v>5.4422306719759568E-7</v>
      </c>
      <c r="U940" s="99">
        <f t="shared" ca="1" si="281"/>
        <v>1314.6329230659346</v>
      </c>
      <c r="V940" s="4">
        <f t="shared" ca="1" si="282"/>
        <v>2.6230998061631619E-4</v>
      </c>
      <c r="W940" s="13">
        <f t="shared" ca="1" si="283"/>
        <v>24196.529568749997</v>
      </c>
      <c r="X940" s="4">
        <f t="shared" ca="1" si="284"/>
        <v>4.8279569838846972E-3</v>
      </c>
    </row>
    <row r="941" spans="1:24">
      <c r="A941">
        <v>3</v>
      </c>
      <c r="B941">
        <v>0</v>
      </c>
      <c r="C941">
        <f t="shared" ca="1" si="266"/>
        <v>7</v>
      </c>
      <c r="D941">
        <f t="shared" ca="1" si="267"/>
        <v>5</v>
      </c>
      <c r="E941">
        <f t="shared" ca="1" si="268"/>
        <v>3</v>
      </c>
      <c r="F941" s="100">
        <f t="shared" ca="1" si="269"/>
        <v>2.0771579999999998E-2</v>
      </c>
      <c r="G941">
        <v>1</v>
      </c>
      <c r="H941">
        <v>1</v>
      </c>
      <c r="I941">
        <v>1</v>
      </c>
      <c r="J941" s="1">
        <f t="shared" ca="1" si="270"/>
        <v>4.8514950000000171E-8</v>
      </c>
      <c r="K941" s="1">
        <f t="shared" ca="1" si="271"/>
        <v>1.0077321651210035E-9</v>
      </c>
      <c r="L941" s="13">
        <f t="shared" ca="1" si="272"/>
        <v>290</v>
      </c>
      <c r="M941" s="7">
        <f t="shared" ca="1" si="273"/>
        <v>710</v>
      </c>
      <c r="N941" s="43">
        <f t="shared" ca="1" si="274"/>
        <v>6</v>
      </c>
      <c r="O941" s="92">
        <f t="shared" ca="1" si="275"/>
        <v>2.7275117780454798</v>
      </c>
      <c r="P941" s="92">
        <f t="shared" ca="1" si="276"/>
        <v>27.275117780454792</v>
      </c>
      <c r="Q941" s="92">
        <f t="shared" ca="1" si="277"/>
        <v>27.275117780454792</v>
      </c>
      <c r="R941" s="92">
        <f t="shared" ca="1" si="278"/>
        <v>2.7275117780454794</v>
      </c>
      <c r="S941" s="92">
        <f t="shared" ca="1" si="279"/>
        <v>2.7275117780454794</v>
      </c>
      <c r="T941" s="4">
        <f t="shared" ca="1" si="280"/>
        <v>2.7486013494828089E-9</v>
      </c>
      <c r="U941" s="99">
        <f t="shared" ca="1" si="281"/>
        <v>1292.6329230659346</v>
      </c>
      <c r="V941" s="4">
        <f t="shared" ca="1" si="282"/>
        <v>1.3026277742679258E-6</v>
      </c>
      <c r="W941" s="13">
        <f t="shared" ca="1" si="283"/>
        <v>18179.457449999998</v>
      </c>
      <c r="X941" s="4">
        <f t="shared" ca="1" si="284"/>
        <v>1.8320024016813655E-5</v>
      </c>
    </row>
    <row r="942" spans="1:24">
      <c r="A942">
        <v>3</v>
      </c>
      <c r="B942">
        <v>0</v>
      </c>
      <c r="C942">
        <f t="shared" ca="1" si="266"/>
        <v>7</v>
      </c>
      <c r="D942">
        <f t="shared" ca="1" si="267"/>
        <v>5</v>
      </c>
      <c r="E942">
        <f t="shared" ca="1" si="268"/>
        <v>3</v>
      </c>
      <c r="F942" s="100">
        <f t="shared" ca="1" si="269"/>
        <v>2.0771579999999998E-2</v>
      </c>
      <c r="G942">
        <v>1</v>
      </c>
      <c r="H942">
        <v>1</v>
      </c>
      <c r="I942">
        <v>0</v>
      </c>
      <c r="J942" s="1">
        <f t="shared" ca="1" si="270"/>
        <v>9.8010000000000445E-11</v>
      </c>
      <c r="K942" s="1">
        <f t="shared" ca="1" si="271"/>
        <v>2.0358225558000091E-12</v>
      </c>
      <c r="L942" s="13">
        <f t="shared" ca="1" si="272"/>
        <v>268</v>
      </c>
      <c r="M942" s="7">
        <f t="shared" ca="1" si="273"/>
        <v>732</v>
      </c>
      <c r="N942" s="43">
        <f t="shared" ca="1" si="274"/>
        <v>6</v>
      </c>
      <c r="O942" s="92">
        <f t="shared" ca="1" si="275"/>
        <v>2.7275117780454798</v>
      </c>
      <c r="P942" s="92">
        <f t="shared" ca="1" si="276"/>
        <v>27.275117780454792</v>
      </c>
      <c r="Q942" s="92">
        <f t="shared" ca="1" si="277"/>
        <v>27.275117780454792</v>
      </c>
      <c r="R942" s="92">
        <f t="shared" ca="1" si="278"/>
        <v>2.7275117780454794</v>
      </c>
      <c r="S942" s="92">
        <f t="shared" ca="1" si="279"/>
        <v>2.7275117780454794</v>
      </c>
      <c r="T942" s="4">
        <f t="shared" ca="1" si="280"/>
        <v>5.5527299989551751E-12</v>
      </c>
      <c r="U942" s="99">
        <f t="shared" ca="1" si="281"/>
        <v>1270.6329230659346</v>
      </c>
      <c r="V942" s="4">
        <f t="shared" ca="1" si="282"/>
        <v>2.5867831649197275E-9</v>
      </c>
      <c r="W942" s="13">
        <f t="shared" ca="1" si="283"/>
        <v>12162.38533125</v>
      </c>
      <c r="X942" s="4">
        <f t="shared" ca="1" si="284"/>
        <v>2.4760458389689914E-8</v>
      </c>
    </row>
    <row r="943" spans="1:24">
      <c r="A943">
        <v>3</v>
      </c>
      <c r="B943">
        <v>0</v>
      </c>
      <c r="C943">
        <f t="shared" ca="1" si="266"/>
        <v>7</v>
      </c>
      <c r="D943">
        <f t="shared" ca="1" si="267"/>
        <v>5</v>
      </c>
      <c r="E943">
        <f t="shared" ca="1" si="268"/>
        <v>3</v>
      </c>
      <c r="F943" s="100">
        <f t="shared" ca="1" si="269"/>
        <v>2.0771579999999998E-2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288</v>
      </c>
      <c r="M943" s="7">
        <f t="shared" ca="1" si="273"/>
        <v>712</v>
      </c>
      <c r="N943" s="43">
        <f t="shared" ca="1" si="274"/>
        <v>6</v>
      </c>
      <c r="O943" s="92">
        <f t="shared" ca="1" si="275"/>
        <v>2.7275117780454798</v>
      </c>
      <c r="P943" s="92">
        <f t="shared" ca="1" si="276"/>
        <v>27.275117780454792</v>
      </c>
      <c r="Q943" s="92">
        <f t="shared" ca="1" si="277"/>
        <v>27.275117780454792</v>
      </c>
      <c r="R943" s="92">
        <f t="shared" ca="1" si="278"/>
        <v>2.7275117780454794</v>
      </c>
      <c r="S943" s="92">
        <f t="shared" ca="1" si="279"/>
        <v>2.7275117780454794</v>
      </c>
      <c r="T943" s="4">
        <f t="shared" ca="1" si="280"/>
        <v>0</v>
      </c>
      <c r="U943" s="99">
        <f t="shared" ca="1" si="281"/>
        <v>1290.6329230659346</v>
      </c>
      <c r="V943" s="4">
        <f t="shared" ca="1" si="282"/>
        <v>0</v>
      </c>
      <c r="W943" s="13">
        <f t="shared" ca="1" si="283"/>
        <v>48136.576950000002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ca="1" si="266"/>
        <v>7</v>
      </c>
      <c r="D944">
        <f t="shared" ca="1" si="267"/>
        <v>5</v>
      </c>
      <c r="E944">
        <f t="shared" ca="1" si="268"/>
        <v>3</v>
      </c>
      <c r="F944" s="100">
        <f t="shared" ca="1" si="269"/>
        <v>2.0771579999999998E-2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266</v>
      </c>
      <c r="M944" s="7">
        <f t="shared" ca="1" si="273"/>
        <v>734</v>
      </c>
      <c r="N944" s="43">
        <f t="shared" ca="1" si="274"/>
        <v>6</v>
      </c>
      <c r="O944" s="92">
        <f t="shared" ca="1" si="275"/>
        <v>2.7275117780454798</v>
      </c>
      <c r="P944" s="92">
        <f t="shared" ca="1" si="276"/>
        <v>27.275117780454792</v>
      </c>
      <c r="Q944" s="92">
        <f t="shared" ca="1" si="277"/>
        <v>27.275117780454792</v>
      </c>
      <c r="R944" s="92">
        <f t="shared" ca="1" si="278"/>
        <v>2.7275117780454794</v>
      </c>
      <c r="S944" s="92">
        <f t="shared" ca="1" si="279"/>
        <v>2.7275117780454794</v>
      </c>
      <c r="T944" s="4">
        <f t="shared" ca="1" si="280"/>
        <v>0</v>
      </c>
      <c r="U944" s="99">
        <f t="shared" ca="1" si="281"/>
        <v>1268.6329230659346</v>
      </c>
      <c r="V944" s="4">
        <f t="shared" ca="1" si="282"/>
        <v>0</v>
      </c>
      <c r="W944" s="13">
        <f t="shared" ca="1" si="283"/>
        <v>42119.50483125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ca="1" si="266"/>
        <v>7</v>
      </c>
      <c r="D945">
        <f t="shared" ca="1" si="267"/>
        <v>5</v>
      </c>
      <c r="E945">
        <f t="shared" ca="1" si="268"/>
        <v>3</v>
      </c>
      <c r="F945" s="100">
        <f t="shared" ca="1" si="269"/>
        <v>2.0771579999999998E-2</v>
      </c>
      <c r="G945">
        <v>1</v>
      </c>
      <c r="H945">
        <v>0</v>
      </c>
      <c r="I945">
        <v>5</v>
      </c>
      <c r="J945" s="1">
        <f t="shared" ca="1" si="270"/>
        <v>9.4148014940100087E-3</v>
      </c>
      <c r="K945" s="1">
        <f t="shared" ca="1" si="271"/>
        <v>1.9556030241694839E-4</v>
      </c>
      <c r="L945" s="13">
        <f t="shared" ca="1" si="272"/>
        <v>244</v>
      </c>
      <c r="M945" s="7">
        <f t="shared" ca="1" si="273"/>
        <v>756</v>
      </c>
      <c r="N945" s="43">
        <f t="shared" ca="1" si="274"/>
        <v>7</v>
      </c>
      <c r="O945" s="92">
        <f t="shared" ca="1" si="275"/>
        <v>3.2214900588145507</v>
      </c>
      <c r="P945" s="92">
        <f t="shared" ca="1" si="276"/>
        <v>29.745009184300148</v>
      </c>
      <c r="Q945" s="92">
        <f t="shared" ca="1" si="277"/>
        <v>27.275117780454792</v>
      </c>
      <c r="R945" s="92">
        <f t="shared" ca="1" si="278"/>
        <v>2.851006348237747</v>
      </c>
      <c r="S945" s="92">
        <f t="shared" ca="1" si="279"/>
        <v>3.1955561990741743</v>
      </c>
      <c r="T945" s="4">
        <f t="shared" ca="1" si="280"/>
        <v>6.2492393668129968E-4</v>
      </c>
      <c r="U945" s="99">
        <f t="shared" ca="1" si="281"/>
        <v>1391.9252614304514</v>
      </c>
      <c r="V945" s="4">
        <f t="shared" ca="1" si="282"/>
        <v>0.27220532506712902</v>
      </c>
      <c r="W945" s="13">
        <f t="shared" ca="1" si="283"/>
        <v>36102.432712499998</v>
      </c>
      <c r="X945" s="4">
        <f t="shared" ca="1" si="284"/>
        <v>7.0602026592440303</v>
      </c>
    </row>
    <row r="946" spans="1:24">
      <c r="A946">
        <v>3</v>
      </c>
      <c r="B946">
        <v>0</v>
      </c>
      <c r="C946">
        <f t="shared" ca="1" si="266"/>
        <v>7</v>
      </c>
      <c r="D946">
        <f t="shared" ca="1" si="267"/>
        <v>5</v>
      </c>
      <c r="E946">
        <f t="shared" ca="1" si="268"/>
        <v>3</v>
      </c>
      <c r="F946" s="100">
        <f t="shared" ca="1" si="269"/>
        <v>2.0771579999999998E-2</v>
      </c>
      <c r="G946">
        <v>1</v>
      </c>
      <c r="H946">
        <v>0</v>
      </c>
      <c r="I946">
        <v>4</v>
      </c>
      <c r="J946" s="1">
        <f t="shared" ca="1" si="270"/>
        <v>4.7549502495000082E-4</v>
      </c>
      <c r="K946" s="1">
        <f t="shared" ca="1" si="271"/>
        <v>9.876782950350937E-6</v>
      </c>
      <c r="L946" s="13">
        <f t="shared" ca="1" si="272"/>
        <v>222</v>
      </c>
      <c r="M946" s="7">
        <f t="shared" ca="1" si="273"/>
        <v>778</v>
      </c>
      <c r="N946" s="43">
        <f t="shared" ca="1" si="274"/>
        <v>7</v>
      </c>
      <c r="O946" s="92">
        <f t="shared" ca="1" si="275"/>
        <v>3.2214900588145507</v>
      </c>
      <c r="P946" s="92">
        <f t="shared" ca="1" si="276"/>
        <v>32.214900588145518</v>
      </c>
      <c r="Q946" s="92">
        <f t="shared" ca="1" si="277"/>
        <v>32.214900588145518</v>
      </c>
      <c r="R946" s="92">
        <f t="shared" ca="1" si="278"/>
        <v>3.2214900588145516</v>
      </c>
      <c r="S946" s="92">
        <f t="shared" ca="1" si="279"/>
        <v>3.2214900588145507</v>
      </c>
      <c r="T946" s="4">
        <f t="shared" ca="1" si="280"/>
        <v>3.1817958087624594E-5</v>
      </c>
      <c r="U946" s="99">
        <f t="shared" ca="1" si="281"/>
        <v>1377.9757603899629</v>
      </c>
      <c r="V946" s="4">
        <f t="shared" ca="1" si="282"/>
        <v>1.3609967496216454E-2</v>
      </c>
      <c r="W946" s="13">
        <f t="shared" ca="1" si="283"/>
        <v>30085.360593749996</v>
      </c>
      <c r="X946" s="4">
        <f t="shared" ca="1" si="284"/>
        <v>0.29714657656750992</v>
      </c>
    </row>
    <row r="947" spans="1:24">
      <c r="A947">
        <v>3</v>
      </c>
      <c r="B947">
        <v>0</v>
      </c>
      <c r="C947">
        <f t="shared" ca="1" si="266"/>
        <v>7</v>
      </c>
      <c r="D947">
        <f t="shared" ca="1" si="267"/>
        <v>5</v>
      </c>
      <c r="E947">
        <f t="shared" ca="1" si="268"/>
        <v>3</v>
      </c>
      <c r="F947" s="100">
        <f t="shared" ca="1" si="269"/>
        <v>2.0771579999999998E-2</v>
      </c>
      <c r="G947">
        <v>1</v>
      </c>
      <c r="H947">
        <v>0</v>
      </c>
      <c r="I947">
        <v>3</v>
      </c>
      <c r="J947" s="1">
        <f t="shared" ca="1" si="270"/>
        <v>9.6059601000000268E-6</v>
      </c>
      <c r="K947" s="1">
        <f t="shared" ca="1" si="271"/>
        <v>1.9953096869395853E-7</v>
      </c>
      <c r="L947" s="13">
        <f t="shared" ca="1" si="272"/>
        <v>200</v>
      </c>
      <c r="M947" s="7">
        <f t="shared" ca="1" si="273"/>
        <v>800</v>
      </c>
      <c r="N947" s="43">
        <f t="shared" ca="1" si="274"/>
        <v>7</v>
      </c>
      <c r="O947" s="92">
        <f t="shared" ca="1" si="275"/>
        <v>3.2214900588145507</v>
      </c>
      <c r="P947" s="92">
        <f t="shared" ca="1" si="276"/>
        <v>32.214900588145518</v>
      </c>
      <c r="Q947" s="92">
        <f t="shared" ca="1" si="277"/>
        <v>32.214900588145518</v>
      </c>
      <c r="R947" s="92">
        <f t="shared" ca="1" si="278"/>
        <v>3.2214900588145516</v>
      </c>
      <c r="S947" s="92">
        <f t="shared" ca="1" si="279"/>
        <v>3.2214900588145507</v>
      </c>
      <c r="T947" s="4">
        <f t="shared" ca="1" si="280"/>
        <v>6.4278703207322481E-7</v>
      </c>
      <c r="U947" s="99">
        <f t="shared" ca="1" si="281"/>
        <v>1355.9757603899629</v>
      </c>
      <c r="V947" s="4">
        <f t="shared" ca="1" si="282"/>
        <v>2.7055915699613633E-4</v>
      </c>
      <c r="W947" s="13">
        <f t="shared" ca="1" si="283"/>
        <v>24068.288474999998</v>
      </c>
      <c r="X947" s="4">
        <f t="shared" ca="1" si="284"/>
        <v>4.8023689142223875E-3</v>
      </c>
    </row>
    <row r="948" spans="1:24">
      <c r="A948">
        <v>3</v>
      </c>
      <c r="B948">
        <v>0</v>
      </c>
      <c r="C948">
        <f t="shared" ca="1" si="266"/>
        <v>7</v>
      </c>
      <c r="D948">
        <f t="shared" ca="1" si="267"/>
        <v>5</v>
      </c>
      <c r="E948">
        <f t="shared" ca="1" si="268"/>
        <v>3</v>
      </c>
      <c r="F948" s="100">
        <f t="shared" ca="1" si="269"/>
        <v>2.0771579999999998E-2</v>
      </c>
      <c r="G948">
        <v>1</v>
      </c>
      <c r="H948">
        <v>0</v>
      </c>
      <c r="I948">
        <v>2</v>
      </c>
      <c r="J948" s="1">
        <f t="shared" ca="1" si="270"/>
        <v>9.7029900000000355E-8</v>
      </c>
      <c r="K948" s="1">
        <f t="shared" ca="1" si="271"/>
        <v>2.015464330242007E-9</v>
      </c>
      <c r="L948" s="13">
        <f t="shared" ca="1" si="272"/>
        <v>178</v>
      </c>
      <c r="M948" s="7">
        <f t="shared" ca="1" si="273"/>
        <v>822</v>
      </c>
      <c r="N948" s="43">
        <f t="shared" ca="1" si="274"/>
        <v>7</v>
      </c>
      <c r="O948" s="92">
        <f t="shared" ca="1" si="275"/>
        <v>3.2214900588145507</v>
      </c>
      <c r="P948" s="92">
        <f t="shared" ca="1" si="276"/>
        <v>32.214900588145518</v>
      </c>
      <c r="Q948" s="92">
        <f t="shared" ca="1" si="277"/>
        <v>32.214900588145518</v>
      </c>
      <c r="R948" s="92">
        <f t="shared" ca="1" si="278"/>
        <v>3.2214900588145516</v>
      </c>
      <c r="S948" s="92">
        <f t="shared" ca="1" si="279"/>
        <v>3.2214900588145507</v>
      </c>
      <c r="T948" s="4">
        <f t="shared" ca="1" si="280"/>
        <v>6.4927983037699526E-9</v>
      </c>
      <c r="U948" s="99">
        <f t="shared" ca="1" si="281"/>
        <v>1333.9757603899629</v>
      </c>
      <c r="V948" s="4">
        <f t="shared" ca="1" si="282"/>
        <v>2.6885805624734287E-6</v>
      </c>
      <c r="W948" s="13">
        <f t="shared" ca="1" si="283"/>
        <v>18051.216356249999</v>
      </c>
      <c r="X948" s="4">
        <f t="shared" ca="1" si="284"/>
        <v>3.6381582683502966E-5</v>
      </c>
    </row>
    <row r="949" spans="1:24">
      <c r="A949">
        <v>3</v>
      </c>
      <c r="B949">
        <v>0</v>
      </c>
      <c r="C949">
        <f t="shared" ca="1" si="266"/>
        <v>7</v>
      </c>
      <c r="D949">
        <f t="shared" ca="1" si="267"/>
        <v>5</v>
      </c>
      <c r="E949">
        <f t="shared" ca="1" si="268"/>
        <v>3</v>
      </c>
      <c r="F949" s="100">
        <f t="shared" ca="1" si="269"/>
        <v>2.0771579999999998E-2</v>
      </c>
      <c r="G949">
        <v>1</v>
      </c>
      <c r="H949">
        <v>0</v>
      </c>
      <c r="I949">
        <v>1</v>
      </c>
      <c r="J949" s="1">
        <f t="shared" ca="1" si="270"/>
        <v>4.9005000000000225E-10</v>
      </c>
      <c r="K949" s="1">
        <f t="shared" ca="1" si="271"/>
        <v>1.0179112779000045E-11</v>
      </c>
      <c r="L949" s="13">
        <f t="shared" ca="1" si="272"/>
        <v>156</v>
      </c>
      <c r="M949" s="7">
        <f t="shared" ca="1" si="273"/>
        <v>844</v>
      </c>
      <c r="N949" s="43">
        <f t="shared" ca="1" si="274"/>
        <v>7</v>
      </c>
      <c r="O949" s="92">
        <f t="shared" ca="1" si="275"/>
        <v>3.2214900588145507</v>
      </c>
      <c r="P949" s="92">
        <f t="shared" ca="1" si="276"/>
        <v>32.214900588145518</v>
      </c>
      <c r="Q949" s="92">
        <f t="shared" ca="1" si="277"/>
        <v>32.214900588145518</v>
      </c>
      <c r="R949" s="92">
        <f t="shared" ca="1" si="278"/>
        <v>3.2214900588145516</v>
      </c>
      <c r="S949" s="92">
        <f t="shared" ca="1" si="279"/>
        <v>3.2214900588145507</v>
      </c>
      <c r="T949" s="4">
        <f t="shared" ca="1" si="280"/>
        <v>3.2791910625100797E-11</v>
      </c>
      <c r="U949" s="99">
        <f t="shared" ca="1" si="281"/>
        <v>1311.9757603899629</v>
      </c>
      <c r="V949" s="4">
        <f t="shared" ca="1" si="282"/>
        <v>1.3354749228323773E-8</v>
      </c>
      <c r="W949" s="13">
        <f t="shared" ca="1" si="283"/>
        <v>12034.144237499999</v>
      </c>
      <c r="X949" s="4">
        <f t="shared" ca="1" si="284"/>
        <v>1.22496911392266E-7</v>
      </c>
    </row>
    <row r="950" spans="1:24">
      <c r="A950">
        <v>3</v>
      </c>
      <c r="B950">
        <v>0</v>
      </c>
      <c r="C950">
        <f t="shared" ca="1" si="266"/>
        <v>7</v>
      </c>
      <c r="D950">
        <f t="shared" ca="1" si="267"/>
        <v>5</v>
      </c>
      <c r="E950">
        <f t="shared" ca="1" si="268"/>
        <v>3</v>
      </c>
      <c r="F950" s="100">
        <f t="shared" ca="1" si="269"/>
        <v>2.0771579999999998E-2</v>
      </c>
      <c r="G950">
        <v>1</v>
      </c>
      <c r="H950">
        <v>0</v>
      </c>
      <c r="I950">
        <v>0</v>
      </c>
      <c r="J950" s="1">
        <f t="shared" ca="1" si="270"/>
        <v>9.9000000000000548E-13</v>
      </c>
      <c r="K950" s="1">
        <f t="shared" ca="1" si="271"/>
        <v>2.0563864200000112E-14</v>
      </c>
      <c r="L950" s="13">
        <f t="shared" ca="1" si="272"/>
        <v>134</v>
      </c>
      <c r="M950" s="7">
        <f t="shared" ca="1" si="273"/>
        <v>866</v>
      </c>
      <c r="N950" s="43">
        <f t="shared" ca="1" si="274"/>
        <v>7</v>
      </c>
      <c r="O950" s="92">
        <f t="shared" ca="1" si="275"/>
        <v>3.2214900588145507</v>
      </c>
      <c r="P950" s="92">
        <f t="shared" ca="1" si="276"/>
        <v>32.214900588145518</v>
      </c>
      <c r="Q950" s="92">
        <f t="shared" ca="1" si="277"/>
        <v>32.214900588145518</v>
      </c>
      <c r="R950" s="92">
        <f t="shared" ca="1" si="278"/>
        <v>3.2214900588145516</v>
      </c>
      <c r="S950" s="92">
        <f t="shared" ca="1" si="279"/>
        <v>3.2214900588145507</v>
      </c>
      <c r="T950" s="4">
        <f t="shared" ca="1" si="280"/>
        <v>6.6246284091112799E-14</v>
      </c>
      <c r="U950" s="99">
        <f t="shared" ca="1" si="281"/>
        <v>1289.9757603899629</v>
      </c>
      <c r="V950" s="4">
        <f t="shared" ca="1" si="282"/>
        <v>2.6526886357951082E-11</v>
      </c>
      <c r="W950" s="13">
        <f t="shared" ca="1" si="283"/>
        <v>6017.0721187499994</v>
      </c>
      <c r="X950" s="4">
        <f t="shared" ca="1" si="284"/>
        <v>1.2373425393158194E-10</v>
      </c>
    </row>
    <row r="951" spans="1:24">
      <c r="A951">
        <v>3</v>
      </c>
      <c r="B951">
        <v>0</v>
      </c>
      <c r="C951">
        <f t="shared" ca="1" si="266"/>
        <v>7</v>
      </c>
      <c r="D951">
        <f t="shared" ca="1" si="267"/>
        <v>5</v>
      </c>
      <c r="E951">
        <f t="shared" ca="1" si="268"/>
        <v>3</v>
      </c>
      <c r="F951" s="100">
        <f t="shared" ca="1" si="269"/>
        <v>2.0771579999999998E-2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288</v>
      </c>
      <c r="M951" s="7">
        <f t="shared" ca="1" si="273"/>
        <v>712</v>
      </c>
      <c r="N951" s="43">
        <f t="shared" ca="1" si="274"/>
        <v>6</v>
      </c>
      <c r="O951" s="92">
        <f t="shared" ca="1" si="275"/>
        <v>2.7275117780454798</v>
      </c>
      <c r="P951" s="92">
        <f t="shared" ca="1" si="276"/>
        <v>27.275117780454792</v>
      </c>
      <c r="Q951" s="92">
        <f t="shared" ca="1" si="277"/>
        <v>27.275117780454792</v>
      </c>
      <c r="R951" s="92">
        <f t="shared" ca="1" si="278"/>
        <v>2.7275117780454794</v>
      </c>
      <c r="S951" s="92">
        <f t="shared" ca="1" si="279"/>
        <v>2.7275117780454794</v>
      </c>
      <c r="T951" s="4">
        <f t="shared" ca="1" si="280"/>
        <v>0</v>
      </c>
      <c r="U951" s="99">
        <f t="shared" ca="1" si="281"/>
        <v>1290.6329230659346</v>
      </c>
      <c r="V951" s="4">
        <f t="shared" ca="1" si="282"/>
        <v>0</v>
      </c>
      <c r="W951" s="13">
        <f t="shared" ca="1" si="283"/>
        <v>48264.818043749998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ca="1" si="266"/>
        <v>7</v>
      </c>
      <c r="D952">
        <f t="shared" ca="1" si="267"/>
        <v>5</v>
      </c>
      <c r="E952">
        <f t="shared" ca="1" si="268"/>
        <v>3</v>
      </c>
      <c r="F952" s="100">
        <f t="shared" ca="1" si="269"/>
        <v>2.0771579999999998E-2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266</v>
      </c>
      <c r="M952" s="7">
        <f t="shared" ca="1" si="273"/>
        <v>734</v>
      </c>
      <c r="N952" s="43">
        <f t="shared" ca="1" si="274"/>
        <v>6</v>
      </c>
      <c r="O952" s="92">
        <f t="shared" ca="1" si="275"/>
        <v>2.7275117780454798</v>
      </c>
      <c r="P952" s="92">
        <f t="shared" ca="1" si="276"/>
        <v>27.275117780454792</v>
      </c>
      <c r="Q952" s="92">
        <f t="shared" ca="1" si="277"/>
        <v>27.275117780454792</v>
      </c>
      <c r="R952" s="92">
        <f t="shared" ca="1" si="278"/>
        <v>2.7275117780454794</v>
      </c>
      <c r="S952" s="92">
        <f t="shared" ca="1" si="279"/>
        <v>2.7275117780454794</v>
      </c>
      <c r="T952" s="4">
        <f t="shared" ca="1" si="280"/>
        <v>0</v>
      </c>
      <c r="U952" s="99">
        <f t="shared" ca="1" si="281"/>
        <v>1268.6329230659346</v>
      </c>
      <c r="V952" s="4">
        <f t="shared" ca="1" si="282"/>
        <v>0</v>
      </c>
      <c r="W952" s="13">
        <f t="shared" ca="1" si="283"/>
        <v>42247.745924999996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ca="1" si="266"/>
        <v>7</v>
      </c>
      <c r="D953">
        <f t="shared" ca="1" si="267"/>
        <v>5</v>
      </c>
      <c r="E953">
        <f t="shared" ca="1" si="268"/>
        <v>3</v>
      </c>
      <c r="F953" s="100">
        <f t="shared" ca="1" si="269"/>
        <v>2.0771579999999998E-2</v>
      </c>
      <c r="G953">
        <v>0</v>
      </c>
      <c r="H953">
        <v>1</v>
      </c>
      <c r="I953">
        <v>5</v>
      </c>
      <c r="J953" s="1">
        <f t="shared" ca="1" si="270"/>
        <v>9.4148014940100087E-3</v>
      </c>
      <c r="K953" s="1">
        <f t="shared" ca="1" si="271"/>
        <v>1.9556030241694839E-4</v>
      </c>
      <c r="L953" s="13">
        <f t="shared" ca="1" si="272"/>
        <v>244</v>
      </c>
      <c r="M953" s="7">
        <f t="shared" ca="1" si="273"/>
        <v>756</v>
      </c>
      <c r="N953" s="43">
        <f t="shared" ca="1" si="274"/>
        <v>7</v>
      </c>
      <c r="O953" s="92">
        <f t="shared" ca="1" si="275"/>
        <v>3.2214900588145507</v>
      </c>
      <c r="P953" s="92">
        <f t="shared" ca="1" si="276"/>
        <v>29.745009184300148</v>
      </c>
      <c r="Q953" s="92">
        <f t="shared" ca="1" si="277"/>
        <v>27.275117780454792</v>
      </c>
      <c r="R953" s="92">
        <f t="shared" ca="1" si="278"/>
        <v>2.851006348237747</v>
      </c>
      <c r="S953" s="92">
        <f t="shared" ca="1" si="279"/>
        <v>3.1955561990741743</v>
      </c>
      <c r="T953" s="4">
        <f t="shared" ca="1" si="280"/>
        <v>6.2492393668129968E-4</v>
      </c>
      <c r="U953" s="99">
        <f t="shared" ca="1" si="281"/>
        <v>1391.9252614304514</v>
      </c>
      <c r="V953" s="4">
        <f t="shared" ca="1" si="282"/>
        <v>0.27220532506712902</v>
      </c>
      <c r="W953" s="13">
        <f t="shared" ca="1" si="283"/>
        <v>36230.673806249994</v>
      </c>
      <c r="X953" s="4">
        <f t="shared" ca="1" si="284"/>
        <v>7.0852815263200597</v>
      </c>
    </row>
    <row r="954" spans="1:24">
      <c r="A954">
        <v>3</v>
      </c>
      <c r="B954">
        <v>0</v>
      </c>
      <c r="C954">
        <f t="shared" ca="1" si="266"/>
        <v>7</v>
      </c>
      <c r="D954">
        <f t="shared" ca="1" si="267"/>
        <v>5</v>
      </c>
      <c r="E954">
        <f t="shared" ca="1" si="268"/>
        <v>3</v>
      </c>
      <c r="F954" s="100">
        <f t="shared" ca="1" si="269"/>
        <v>2.0771579999999998E-2</v>
      </c>
      <c r="G954">
        <v>0</v>
      </c>
      <c r="H954">
        <v>1</v>
      </c>
      <c r="I954">
        <v>4</v>
      </c>
      <c r="J954" s="1">
        <f t="shared" ca="1" si="270"/>
        <v>4.7549502495000082E-4</v>
      </c>
      <c r="K954" s="1">
        <f t="shared" ca="1" si="271"/>
        <v>9.876782950350937E-6</v>
      </c>
      <c r="L954" s="13">
        <f t="shared" ca="1" si="272"/>
        <v>222</v>
      </c>
      <c r="M954" s="7">
        <f t="shared" ca="1" si="273"/>
        <v>778</v>
      </c>
      <c r="N954" s="43">
        <f t="shared" ca="1" si="274"/>
        <v>7</v>
      </c>
      <c r="O954" s="92">
        <f t="shared" ca="1" si="275"/>
        <v>3.2214900588145507</v>
      </c>
      <c r="P954" s="92">
        <f t="shared" ca="1" si="276"/>
        <v>32.214900588145518</v>
      </c>
      <c r="Q954" s="92">
        <f t="shared" ca="1" si="277"/>
        <v>32.214900588145518</v>
      </c>
      <c r="R954" s="92">
        <f t="shared" ca="1" si="278"/>
        <v>3.2214900588145516</v>
      </c>
      <c r="S954" s="92">
        <f t="shared" ca="1" si="279"/>
        <v>3.2214900588145507</v>
      </c>
      <c r="T954" s="4">
        <f t="shared" ca="1" si="280"/>
        <v>3.1817958087624594E-5</v>
      </c>
      <c r="U954" s="99">
        <f t="shared" ca="1" si="281"/>
        <v>1377.9757603899629</v>
      </c>
      <c r="V954" s="4">
        <f t="shared" ca="1" si="282"/>
        <v>1.3609967496216454E-2</v>
      </c>
      <c r="W954" s="13">
        <f t="shared" ca="1" si="283"/>
        <v>30213.601687499999</v>
      </c>
      <c r="X954" s="4">
        <f t="shared" ca="1" si="284"/>
        <v>0.29841318601579431</v>
      </c>
    </row>
    <row r="955" spans="1:24">
      <c r="A955">
        <v>3</v>
      </c>
      <c r="B955">
        <v>0</v>
      </c>
      <c r="C955">
        <f t="shared" ca="1" si="266"/>
        <v>7</v>
      </c>
      <c r="D955">
        <f t="shared" ca="1" si="267"/>
        <v>5</v>
      </c>
      <c r="E955">
        <f t="shared" ca="1" si="268"/>
        <v>3</v>
      </c>
      <c r="F955" s="100">
        <f t="shared" ca="1" si="269"/>
        <v>2.0771579999999998E-2</v>
      </c>
      <c r="G955">
        <v>0</v>
      </c>
      <c r="H955">
        <v>1</v>
      </c>
      <c r="I955">
        <v>3</v>
      </c>
      <c r="J955" s="1">
        <f t="shared" ca="1" si="270"/>
        <v>9.6059601000000268E-6</v>
      </c>
      <c r="K955" s="1">
        <f t="shared" ca="1" si="271"/>
        <v>1.9953096869395853E-7</v>
      </c>
      <c r="L955" s="13">
        <f t="shared" ca="1" si="272"/>
        <v>200</v>
      </c>
      <c r="M955" s="7">
        <f t="shared" ca="1" si="273"/>
        <v>800</v>
      </c>
      <c r="N955" s="43">
        <f t="shared" ca="1" si="274"/>
        <v>7</v>
      </c>
      <c r="O955" s="92">
        <f t="shared" ca="1" si="275"/>
        <v>3.2214900588145507</v>
      </c>
      <c r="P955" s="92">
        <f t="shared" ca="1" si="276"/>
        <v>32.214900588145518</v>
      </c>
      <c r="Q955" s="92">
        <f t="shared" ca="1" si="277"/>
        <v>32.214900588145518</v>
      </c>
      <c r="R955" s="92">
        <f t="shared" ca="1" si="278"/>
        <v>3.2214900588145516</v>
      </c>
      <c r="S955" s="92">
        <f t="shared" ca="1" si="279"/>
        <v>3.2214900588145507</v>
      </c>
      <c r="T955" s="4">
        <f t="shared" ca="1" si="280"/>
        <v>6.4278703207322481E-7</v>
      </c>
      <c r="U955" s="99">
        <f t="shared" ca="1" si="281"/>
        <v>1355.9757603899629</v>
      </c>
      <c r="V955" s="4">
        <f t="shared" ca="1" si="282"/>
        <v>2.7055915699613633E-4</v>
      </c>
      <c r="W955" s="13">
        <f t="shared" ca="1" si="283"/>
        <v>24196.529568749997</v>
      </c>
      <c r="X955" s="4">
        <f t="shared" ca="1" si="284"/>
        <v>4.8279569838846972E-3</v>
      </c>
    </row>
    <row r="956" spans="1:24">
      <c r="A956">
        <v>3</v>
      </c>
      <c r="B956">
        <v>0</v>
      </c>
      <c r="C956">
        <f t="shared" ca="1" si="266"/>
        <v>7</v>
      </c>
      <c r="D956">
        <f t="shared" ca="1" si="267"/>
        <v>5</v>
      </c>
      <c r="E956">
        <f t="shared" ca="1" si="268"/>
        <v>3</v>
      </c>
      <c r="F956" s="100">
        <f t="shared" ca="1" si="269"/>
        <v>2.0771579999999998E-2</v>
      </c>
      <c r="G956">
        <v>0</v>
      </c>
      <c r="H956">
        <v>1</v>
      </c>
      <c r="I956">
        <v>2</v>
      </c>
      <c r="J956" s="1">
        <f t="shared" ca="1" si="270"/>
        <v>9.7029900000000355E-8</v>
      </c>
      <c r="K956" s="1">
        <f t="shared" ca="1" si="271"/>
        <v>2.015464330242007E-9</v>
      </c>
      <c r="L956" s="13">
        <f t="shared" ca="1" si="272"/>
        <v>178</v>
      </c>
      <c r="M956" s="7">
        <f t="shared" ca="1" si="273"/>
        <v>822</v>
      </c>
      <c r="N956" s="43">
        <f t="shared" ca="1" si="274"/>
        <v>7</v>
      </c>
      <c r="O956" s="92">
        <f t="shared" ca="1" si="275"/>
        <v>3.2214900588145507</v>
      </c>
      <c r="P956" s="92">
        <f t="shared" ca="1" si="276"/>
        <v>32.214900588145518</v>
      </c>
      <c r="Q956" s="92">
        <f t="shared" ca="1" si="277"/>
        <v>32.214900588145518</v>
      </c>
      <c r="R956" s="92">
        <f t="shared" ca="1" si="278"/>
        <v>3.2214900588145516</v>
      </c>
      <c r="S956" s="92">
        <f t="shared" ca="1" si="279"/>
        <v>3.2214900588145507</v>
      </c>
      <c r="T956" s="4">
        <f t="shared" ca="1" si="280"/>
        <v>6.4927983037699526E-9</v>
      </c>
      <c r="U956" s="99">
        <f t="shared" ca="1" si="281"/>
        <v>1333.9757603899629</v>
      </c>
      <c r="V956" s="4">
        <f t="shared" ca="1" si="282"/>
        <v>2.6885805624734287E-6</v>
      </c>
      <c r="W956" s="13">
        <f t="shared" ca="1" si="283"/>
        <v>18179.457449999998</v>
      </c>
      <c r="X956" s="4">
        <f t="shared" ca="1" si="284"/>
        <v>3.6640048033627309E-5</v>
      </c>
    </row>
    <row r="957" spans="1:24">
      <c r="A957">
        <v>3</v>
      </c>
      <c r="B957">
        <v>0</v>
      </c>
      <c r="C957">
        <f t="shared" ca="1" si="266"/>
        <v>7</v>
      </c>
      <c r="D957">
        <f t="shared" ca="1" si="267"/>
        <v>5</v>
      </c>
      <c r="E957">
        <f t="shared" ca="1" si="268"/>
        <v>3</v>
      </c>
      <c r="F957" s="100">
        <f t="shared" ca="1" si="269"/>
        <v>2.0771579999999998E-2</v>
      </c>
      <c r="G957">
        <v>0</v>
      </c>
      <c r="H957">
        <v>1</v>
      </c>
      <c r="I957">
        <v>1</v>
      </c>
      <c r="J957" s="1">
        <f t="shared" ca="1" si="270"/>
        <v>4.9005000000000225E-10</v>
      </c>
      <c r="K957" s="1">
        <f t="shared" ca="1" si="271"/>
        <v>1.0179112779000045E-11</v>
      </c>
      <c r="L957" s="13">
        <f t="shared" ca="1" si="272"/>
        <v>156</v>
      </c>
      <c r="M957" s="7">
        <f t="shared" ca="1" si="273"/>
        <v>844</v>
      </c>
      <c r="N957" s="43">
        <f t="shared" ca="1" si="274"/>
        <v>7</v>
      </c>
      <c r="O957" s="92">
        <f t="shared" ca="1" si="275"/>
        <v>3.2214900588145507</v>
      </c>
      <c r="P957" s="92">
        <f t="shared" ca="1" si="276"/>
        <v>32.214900588145518</v>
      </c>
      <c r="Q957" s="92">
        <f t="shared" ca="1" si="277"/>
        <v>32.214900588145518</v>
      </c>
      <c r="R957" s="92">
        <f t="shared" ca="1" si="278"/>
        <v>3.2214900588145516</v>
      </c>
      <c r="S957" s="92">
        <f t="shared" ca="1" si="279"/>
        <v>3.2214900588145507</v>
      </c>
      <c r="T957" s="4">
        <f t="shared" ca="1" si="280"/>
        <v>3.2791910625100797E-11</v>
      </c>
      <c r="U957" s="99">
        <f t="shared" ca="1" si="281"/>
        <v>1311.9757603899629</v>
      </c>
      <c r="V957" s="4">
        <f t="shared" ca="1" si="282"/>
        <v>1.3354749228323773E-8</v>
      </c>
      <c r="W957" s="13">
        <f t="shared" ca="1" si="283"/>
        <v>12162.38533125</v>
      </c>
      <c r="X957" s="4">
        <f t="shared" ca="1" si="284"/>
        <v>1.2380229194844956E-7</v>
      </c>
    </row>
    <row r="958" spans="1:24">
      <c r="A958">
        <v>3</v>
      </c>
      <c r="B958">
        <v>0</v>
      </c>
      <c r="C958">
        <f t="shared" ca="1" si="266"/>
        <v>7</v>
      </c>
      <c r="D958">
        <f t="shared" ca="1" si="267"/>
        <v>5</v>
      </c>
      <c r="E958">
        <f t="shared" ca="1" si="268"/>
        <v>3</v>
      </c>
      <c r="F958" s="100">
        <f t="shared" ca="1" si="269"/>
        <v>2.0771579999999998E-2</v>
      </c>
      <c r="G958">
        <v>0</v>
      </c>
      <c r="H958">
        <v>1</v>
      </c>
      <c r="I958">
        <v>0</v>
      </c>
      <c r="J958" s="1">
        <f t="shared" ca="1" si="270"/>
        <v>9.9000000000000548E-13</v>
      </c>
      <c r="K958" s="1">
        <f t="shared" ca="1" si="271"/>
        <v>2.0563864200000112E-14</v>
      </c>
      <c r="L958" s="13">
        <f t="shared" ca="1" si="272"/>
        <v>134</v>
      </c>
      <c r="M958" s="7">
        <f t="shared" ca="1" si="273"/>
        <v>866</v>
      </c>
      <c r="N958" s="43">
        <f t="shared" ca="1" si="274"/>
        <v>7</v>
      </c>
      <c r="O958" s="92">
        <f t="shared" ca="1" si="275"/>
        <v>3.2214900588145507</v>
      </c>
      <c r="P958" s="92">
        <f t="shared" ca="1" si="276"/>
        <v>32.214900588145518</v>
      </c>
      <c r="Q958" s="92">
        <f t="shared" ca="1" si="277"/>
        <v>32.214900588145518</v>
      </c>
      <c r="R958" s="92">
        <f t="shared" ca="1" si="278"/>
        <v>3.2214900588145516</v>
      </c>
      <c r="S958" s="92">
        <f t="shared" ca="1" si="279"/>
        <v>3.2214900588145507</v>
      </c>
      <c r="T958" s="4">
        <f t="shared" ca="1" si="280"/>
        <v>6.6246284091112799E-14</v>
      </c>
      <c r="U958" s="99">
        <f t="shared" ca="1" si="281"/>
        <v>1289.9757603899629</v>
      </c>
      <c r="V958" s="4">
        <f t="shared" ca="1" si="282"/>
        <v>2.6526886357951082E-11</v>
      </c>
      <c r="W958" s="13">
        <f t="shared" ca="1" si="283"/>
        <v>6145.3132124999993</v>
      </c>
      <c r="X958" s="4">
        <f t="shared" ca="1" si="284"/>
        <v>1.2637138636831642E-10</v>
      </c>
    </row>
    <row r="959" spans="1:24">
      <c r="A959">
        <v>3</v>
      </c>
      <c r="B959">
        <v>0</v>
      </c>
      <c r="C959">
        <f t="shared" ca="1" si="266"/>
        <v>7</v>
      </c>
      <c r="D959">
        <f t="shared" ca="1" si="267"/>
        <v>5</v>
      </c>
      <c r="E959">
        <f t="shared" ca="1" si="268"/>
        <v>3</v>
      </c>
      <c r="F959" s="100">
        <f t="shared" ca="1" si="269"/>
        <v>2.0771579999999998E-2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3">
        <f t="shared" ca="1" si="274"/>
        <v>7</v>
      </c>
      <c r="O959" s="92">
        <f t="shared" ca="1" si="275"/>
        <v>3.2214900588145507</v>
      </c>
      <c r="P959" s="92">
        <f t="shared" ca="1" si="276"/>
        <v>32.214900588145518</v>
      </c>
      <c r="Q959" s="92">
        <f t="shared" ca="1" si="277"/>
        <v>32.214900588145518</v>
      </c>
      <c r="R959" s="92">
        <f t="shared" ca="1" si="278"/>
        <v>3.2214900588145516</v>
      </c>
      <c r="S959" s="92">
        <f t="shared" ca="1" si="279"/>
        <v>3.2214900588145507</v>
      </c>
      <c r="T959" s="4">
        <f t="shared" ca="1" si="280"/>
        <v>0</v>
      </c>
      <c r="U959" s="99">
        <f t="shared" ca="1" si="281"/>
        <v>1309.9757603899629</v>
      </c>
      <c r="V959" s="4">
        <f t="shared" ca="1" si="282"/>
        <v>0</v>
      </c>
      <c r="W959" s="13">
        <f t="shared" ca="1" si="283"/>
        <v>42119.50483125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ca="1" si="266"/>
        <v>7</v>
      </c>
      <c r="D960">
        <f t="shared" ca="1" si="267"/>
        <v>5</v>
      </c>
      <c r="E960">
        <f t="shared" ca="1" si="268"/>
        <v>3</v>
      </c>
      <c r="F960" s="100">
        <f t="shared" ca="1" si="269"/>
        <v>2.0771579999999998E-2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3">
        <f t="shared" ca="1" si="274"/>
        <v>7</v>
      </c>
      <c r="O960" s="92">
        <f t="shared" ca="1" si="275"/>
        <v>3.2214900588145507</v>
      </c>
      <c r="P960" s="92">
        <f t="shared" ca="1" si="276"/>
        <v>32.214900588145518</v>
      </c>
      <c r="Q960" s="92">
        <f t="shared" ca="1" si="277"/>
        <v>32.214900588145518</v>
      </c>
      <c r="R960" s="92">
        <f t="shared" ca="1" si="278"/>
        <v>3.2214900588145516</v>
      </c>
      <c r="S960" s="92">
        <f t="shared" ca="1" si="279"/>
        <v>3.2214900588145507</v>
      </c>
      <c r="T960" s="4">
        <f t="shared" ca="1" si="280"/>
        <v>0</v>
      </c>
      <c r="U960" s="99">
        <f t="shared" ca="1" si="281"/>
        <v>1287.9757603899629</v>
      </c>
      <c r="V960" s="4">
        <f t="shared" ca="1" si="282"/>
        <v>0</v>
      </c>
      <c r="W960" s="13">
        <f t="shared" ca="1" si="283"/>
        <v>36102.432712499998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ca="1" si="266"/>
        <v>7</v>
      </c>
      <c r="D961">
        <f t="shared" ca="1" si="267"/>
        <v>5</v>
      </c>
      <c r="E961">
        <f t="shared" ca="1" si="268"/>
        <v>3</v>
      </c>
      <c r="F961" s="100">
        <f t="shared" ca="1" si="269"/>
        <v>2.0771579999999998E-2</v>
      </c>
      <c r="G961">
        <v>0</v>
      </c>
      <c r="H961">
        <v>0</v>
      </c>
      <c r="I961">
        <v>5</v>
      </c>
      <c r="J961" s="1">
        <f t="shared" ca="1" si="270"/>
        <v>9.5099004990000158E-5</v>
      </c>
      <c r="K961" s="1">
        <f t="shared" ca="1" si="271"/>
        <v>1.9753565900701873E-6</v>
      </c>
      <c r="L961" s="13">
        <f t="shared" ca="1" si="272"/>
        <v>110</v>
      </c>
      <c r="M961" s="7">
        <f t="shared" ca="1" si="273"/>
        <v>890</v>
      </c>
      <c r="N961" s="43">
        <f t="shared" ca="1" si="274"/>
        <v>8</v>
      </c>
      <c r="O961" s="92">
        <f t="shared" ca="1" si="275"/>
        <v>3.5531918581169131</v>
      </c>
      <c r="P961" s="92">
        <f t="shared" ca="1" si="276"/>
        <v>35.531918581169137</v>
      </c>
      <c r="Q961" s="92">
        <f t="shared" ca="1" si="277"/>
        <v>33.541707785354966</v>
      </c>
      <c r="R961" s="92">
        <f t="shared" ca="1" si="278"/>
        <v>3.4536813183262054</v>
      </c>
      <c r="S961" s="92">
        <f t="shared" ca="1" si="279"/>
        <v>3.5462261203315633</v>
      </c>
      <c r="T961" s="4">
        <f t="shared" ca="1" si="280"/>
        <v>7.0050611366759862E-6</v>
      </c>
      <c r="U961" s="99">
        <f t="shared" ca="1" si="281"/>
        <v>1366.7817087343356</v>
      </c>
      <c r="V961" s="4">
        <f t="shared" ca="1" si="282"/>
        <v>2.6998812555357608E-3</v>
      </c>
      <c r="W961" s="13">
        <f t="shared" ca="1" si="283"/>
        <v>30085.360593749996</v>
      </c>
      <c r="X961" s="4">
        <f t="shared" ca="1" si="284"/>
        <v>5.9429315313501978E-2</v>
      </c>
    </row>
    <row r="962" spans="1:24">
      <c r="A962">
        <v>3</v>
      </c>
      <c r="B962">
        <v>0</v>
      </c>
      <c r="C962">
        <f t="shared" ca="1" si="266"/>
        <v>7</v>
      </c>
      <c r="D962">
        <f t="shared" ca="1" si="267"/>
        <v>5</v>
      </c>
      <c r="E962">
        <f t="shared" ca="1" si="268"/>
        <v>3</v>
      </c>
      <c r="F962" s="100">
        <f t="shared" ca="1" si="269"/>
        <v>2.0771579999999998E-2</v>
      </c>
      <c r="G962">
        <v>0</v>
      </c>
      <c r="H962">
        <v>0</v>
      </c>
      <c r="I962">
        <v>4</v>
      </c>
      <c r="J962" s="1">
        <f t="shared" ca="1" si="270"/>
        <v>4.8029800500000126E-6</v>
      </c>
      <c r="K962" s="1">
        <f t="shared" ca="1" si="271"/>
        <v>9.9765484346979254E-8</v>
      </c>
      <c r="L962" s="13">
        <f t="shared" ca="1" si="272"/>
        <v>100</v>
      </c>
      <c r="M962" s="7">
        <f t="shared" ca="1" si="273"/>
        <v>900</v>
      </c>
      <c r="N962" s="43">
        <f t="shared" ca="1" si="274"/>
        <v>8</v>
      </c>
      <c r="O962" s="92">
        <f t="shared" ca="1" si="275"/>
        <v>3.5531918581169131</v>
      </c>
      <c r="P962" s="92">
        <f t="shared" ca="1" si="276"/>
        <v>35.531918581169137</v>
      </c>
      <c r="Q962" s="92">
        <f t="shared" ca="1" si="277"/>
        <v>35.531918581169137</v>
      </c>
      <c r="R962" s="92">
        <f t="shared" ca="1" si="278"/>
        <v>3.5531918581169135</v>
      </c>
      <c r="S962" s="92">
        <f t="shared" ca="1" si="279"/>
        <v>3.5531918581169126</v>
      </c>
      <c r="T962" s="4">
        <f t="shared" ca="1" si="280"/>
        <v>3.5448590670277695E-7</v>
      </c>
      <c r="U962" s="99">
        <f t="shared" ca="1" si="281"/>
        <v>1358.9440426620492</v>
      </c>
      <c r="V962" s="4">
        <f t="shared" ca="1" si="282"/>
        <v>1.3557571061662138E-4</v>
      </c>
      <c r="W962" s="13">
        <f t="shared" ca="1" si="283"/>
        <v>24068.288474999998</v>
      </c>
      <c r="X962" s="4">
        <f t="shared" ca="1" si="284"/>
        <v>2.4011844571111933E-3</v>
      </c>
    </row>
    <row r="963" spans="1:24">
      <c r="A963">
        <v>3</v>
      </c>
      <c r="B963">
        <v>0</v>
      </c>
      <c r="C963">
        <f t="shared" ca="1" si="266"/>
        <v>7</v>
      </c>
      <c r="D963">
        <f t="shared" ca="1" si="267"/>
        <v>5</v>
      </c>
      <c r="E963">
        <f t="shared" ca="1" si="268"/>
        <v>3</v>
      </c>
      <c r="F963" s="100">
        <f t="shared" ca="1" si="269"/>
        <v>2.0771579999999998E-2</v>
      </c>
      <c r="G963">
        <v>0</v>
      </c>
      <c r="H963">
        <v>0</v>
      </c>
      <c r="I963">
        <v>3</v>
      </c>
      <c r="J963" s="1">
        <f t="shared" ca="1" si="270"/>
        <v>9.7029900000000341E-8</v>
      </c>
      <c r="K963" s="1">
        <f t="shared" ca="1" si="271"/>
        <v>2.015464330242007E-9</v>
      </c>
      <c r="L963" s="13">
        <f t="shared" ca="1" si="272"/>
        <v>100</v>
      </c>
      <c r="M963" s="7">
        <f t="shared" ca="1" si="273"/>
        <v>900</v>
      </c>
      <c r="N963" s="43">
        <f t="shared" ca="1" si="274"/>
        <v>8</v>
      </c>
      <c r="O963" s="92">
        <f t="shared" ca="1" si="275"/>
        <v>3.5531918581169131</v>
      </c>
      <c r="P963" s="92">
        <f t="shared" ca="1" si="276"/>
        <v>35.531918581169137</v>
      </c>
      <c r="Q963" s="92">
        <f t="shared" ca="1" si="277"/>
        <v>35.531918581169137</v>
      </c>
      <c r="R963" s="92">
        <f t="shared" ca="1" si="278"/>
        <v>3.5531918581169135</v>
      </c>
      <c r="S963" s="92">
        <f t="shared" ca="1" si="279"/>
        <v>3.5531918581169126</v>
      </c>
      <c r="T963" s="4">
        <f t="shared" ca="1" si="280"/>
        <v>7.1613314485409561E-9</v>
      </c>
      <c r="U963" s="99">
        <f t="shared" ca="1" si="281"/>
        <v>1358.9440426620492</v>
      </c>
      <c r="V963" s="4">
        <f t="shared" ca="1" si="282"/>
        <v>2.7389032447802326E-6</v>
      </c>
      <c r="W963" s="13">
        <f t="shared" ca="1" si="283"/>
        <v>18051.216356249999</v>
      </c>
      <c r="X963" s="4">
        <f t="shared" ca="1" si="284"/>
        <v>3.6381582683502966E-5</v>
      </c>
    </row>
    <row r="964" spans="1:24">
      <c r="A964">
        <v>3</v>
      </c>
      <c r="B964">
        <v>0</v>
      </c>
      <c r="C964">
        <f t="shared" ca="1" si="266"/>
        <v>7</v>
      </c>
      <c r="D964">
        <f t="shared" ca="1" si="267"/>
        <v>5</v>
      </c>
      <c r="E964">
        <f t="shared" ca="1" si="268"/>
        <v>3</v>
      </c>
      <c r="F964" s="100">
        <f t="shared" ca="1" si="269"/>
        <v>2.0771579999999998E-2</v>
      </c>
      <c r="G964">
        <v>0</v>
      </c>
      <c r="H964">
        <v>0</v>
      </c>
      <c r="I964">
        <v>2</v>
      </c>
      <c r="J964" s="1">
        <f t="shared" ca="1" si="270"/>
        <v>9.801000000000045E-10</v>
      </c>
      <c r="K964" s="1">
        <f t="shared" ca="1" si="271"/>
        <v>2.035822555800009E-11</v>
      </c>
      <c r="L964" s="13">
        <f t="shared" ca="1" si="272"/>
        <v>100</v>
      </c>
      <c r="M964" s="7">
        <f t="shared" ca="1" si="273"/>
        <v>900</v>
      </c>
      <c r="N964" s="43">
        <f t="shared" ca="1" si="274"/>
        <v>8</v>
      </c>
      <c r="O964" s="92">
        <f t="shared" ca="1" si="275"/>
        <v>3.5531918581169131</v>
      </c>
      <c r="P964" s="92">
        <f t="shared" ca="1" si="276"/>
        <v>35.531918581169137</v>
      </c>
      <c r="Q964" s="92">
        <f t="shared" ca="1" si="277"/>
        <v>35.531918581169137</v>
      </c>
      <c r="R964" s="92">
        <f t="shared" ca="1" si="278"/>
        <v>3.5531918581169135</v>
      </c>
      <c r="S964" s="92">
        <f t="shared" ca="1" si="279"/>
        <v>3.5531918581169126</v>
      </c>
      <c r="T964" s="4">
        <f t="shared" ca="1" si="280"/>
        <v>7.2336681298393563E-11</v>
      </c>
      <c r="U964" s="99">
        <f t="shared" ca="1" si="281"/>
        <v>1358.9440426620492</v>
      </c>
      <c r="V964" s="4">
        <f t="shared" ca="1" si="282"/>
        <v>2.7665689341214495E-8</v>
      </c>
      <c r="W964" s="13">
        <f t="shared" ca="1" si="283"/>
        <v>12034.144237499999</v>
      </c>
      <c r="X964" s="4">
        <f t="shared" ca="1" si="284"/>
        <v>2.4499382278453199E-7</v>
      </c>
    </row>
    <row r="965" spans="1:24">
      <c r="A965">
        <v>3</v>
      </c>
      <c r="B965">
        <v>0</v>
      </c>
      <c r="C965">
        <f t="shared" ca="1" si="266"/>
        <v>7</v>
      </c>
      <c r="D965">
        <f t="shared" ca="1" si="267"/>
        <v>5</v>
      </c>
      <c r="E965">
        <f t="shared" ca="1" si="268"/>
        <v>3</v>
      </c>
      <c r="F965" s="100">
        <f t="shared" ca="1" si="269"/>
        <v>2.0771579999999998E-2</v>
      </c>
      <c r="G965">
        <v>0</v>
      </c>
      <c r="H965">
        <v>0</v>
      </c>
      <c r="I965">
        <v>1</v>
      </c>
      <c r="J965" s="1">
        <f t="shared" ca="1" si="270"/>
        <v>4.9500000000000272E-12</v>
      </c>
      <c r="K965" s="1">
        <f t="shared" ca="1" si="271"/>
        <v>1.0281932100000056E-13</v>
      </c>
      <c r="L965" s="13">
        <f t="shared" ca="1" si="272"/>
        <v>100</v>
      </c>
      <c r="M965" s="7">
        <f t="shared" ca="1" si="273"/>
        <v>900</v>
      </c>
      <c r="N965" s="43">
        <f t="shared" ca="1" si="274"/>
        <v>8</v>
      </c>
      <c r="O965" s="92">
        <f t="shared" ca="1" si="275"/>
        <v>3.5531918581169131</v>
      </c>
      <c r="P965" s="92">
        <f t="shared" ca="1" si="276"/>
        <v>35.531918581169137</v>
      </c>
      <c r="Q965" s="92">
        <f t="shared" ca="1" si="277"/>
        <v>35.531918581169137</v>
      </c>
      <c r="R965" s="92">
        <f t="shared" ca="1" si="278"/>
        <v>3.5531918581169135</v>
      </c>
      <c r="S965" s="92">
        <f t="shared" ca="1" si="279"/>
        <v>3.5531918581169126</v>
      </c>
      <c r="T965" s="4">
        <f t="shared" ca="1" si="280"/>
        <v>3.6533677423431125E-13</v>
      </c>
      <c r="U965" s="99">
        <f t="shared" ca="1" si="281"/>
        <v>1358.9440426620492</v>
      </c>
      <c r="V965" s="4">
        <f t="shared" ca="1" si="282"/>
        <v>1.397257037435077E-10</v>
      </c>
      <c r="W965" s="13">
        <f t="shared" ca="1" si="283"/>
        <v>6017.0721187499994</v>
      </c>
      <c r="X965" s="4">
        <f t="shared" ca="1" si="284"/>
        <v>6.186712696579096E-10</v>
      </c>
    </row>
    <row r="966" spans="1:24">
      <c r="A966">
        <v>3</v>
      </c>
      <c r="B966">
        <v>0</v>
      </c>
      <c r="C966">
        <f t="shared" ca="1" si="266"/>
        <v>7</v>
      </c>
      <c r="D966">
        <f t="shared" ca="1" si="267"/>
        <v>5</v>
      </c>
      <c r="E966">
        <f t="shared" ca="1" si="268"/>
        <v>3</v>
      </c>
      <c r="F966" s="100">
        <f t="shared" ca="1" si="269"/>
        <v>2.0771579999999998E-2</v>
      </c>
      <c r="G966">
        <v>0</v>
      </c>
      <c r="H966">
        <v>0</v>
      </c>
      <c r="I966">
        <v>0</v>
      </c>
      <c r="J966" s="1">
        <f t="shared" ca="1" si="270"/>
        <v>1.0000000000000063E-14</v>
      </c>
      <c r="K966" s="1">
        <f t="shared" ca="1" si="271"/>
        <v>2.077158000000013E-16</v>
      </c>
      <c r="L966" s="13">
        <f t="shared" ca="1" si="272"/>
        <v>100</v>
      </c>
      <c r="M966" s="7">
        <f t="shared" ca="1" si="273"/>
        <v>900</v>
      </c>
      <c r="N966" s="43">
        <f t="shared" ca="1" si="274"/>
        <v>8</v>
      </c>
      <c r="O966" s="92">
        <f t="shared" ca="1" si="275"/>
        <v>3.5531918581169131</v>
      </c>
      <c r="P966" s="92">
        <f t="shared" ca="1" si="276"/>
        <v>35.531918581169137</v>
      </c>
      <c r="Q966" s="92">
        <f t="shared" ca="1" si="277"/>
        <v>35.531918581169137</v>
      </c>
      <c r="R966" s="92">
        <f t="shared" ca="1" si="278"/>
        <v>3.5531918581169135</v>
      </c>
      <c r="S966" s="92">
        <f t="shared" ca="1" si="279"/>
        <v>3.5531918581169126</v>
      </c>
      <c r="T966" s="4">
        <f t="shared" ca="1" si="280"/>
        <v>7.3805408936224558E-16</v>
      </c>
      <c r="U966" s="99">
        <f t="shared" ca="1" si="281"/>
        <v>1358.9440426620492</v>
      </c>
      <c r="V966" s="4">
        <f t="shared" ca="1" si="282"/>
        <v>2.8227414897678343E-13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ca="1" si="266"/>
        <v>8</v>
      </c>
      <c r="D967">
        <f t="shared" ca="1" si="267"/>
        <v>6</v>
      </c>
      <c r="E967">
        <f t="shared" ca="1" si="268"/>
        <v>3</v>
      </c>
      <c r="F967" s="100">
        <f t="shared" ca="1" si="269"/>
        <v>4.2544200000000001E-3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422</v>
      </c>
      <c r="M967" s="7">
        <f t="shared" ca="1" si="273"/>
        <v>578</v>
      </c>
      <c r="N967" s="43">
        <f t="shared" ca="1" si="274"/>
        <v>5</v>
      </c>
      <c r="O967" s="92">
        <f t="shared" ca="1" si="275"/>
        <v>2.4432565128993144</v>
      </c>
      <c r="P967" s="92">
        <f t="shared" ca="1" si="276"/>
        <v>24.432565128993144</v>
      </c>
      <c r="Q967" s="92">
        <f t="shared" ca="1" si="277"/>
        <v>24.432565128993144</v>
      </c>
      <c r="R967" s="92">
        <f t="shared" ca="1" si="278"/>
        <v>2.4432565128993144</v>
      </c>
      <c r="S967" s="92">
        <f t="shared" ca="1" si="279"/>
        <v>2.4432565128993144</v>
      </c>
      <c r="T967" s="4">
        <f t="shared" ca="1" si="280"/>
        <v>0</v>
      </c>
      <c r="U967" s="99">
        <f t="shared" ca="1" si="281"/>
        <v>1336.3931955743851</v>
      </c>
      <c r="V967" s="4">
        <f t="shared" ca="1" si="282"/>
        <v>0</v>
      </c>
      <c r="W967" s="13">
        <f t="shared" ca="1" si="283"/>
        <v>54281.8901625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ca="1" si="266"/>
        <v>8</v>
      </c>
      <c r="D968">
        <f t="shared" ca="1" si="267"/>
        <v>6</v>
      </c>
      <c r="E968">
        <f t="shared" ca="1" si="268"/>
        <v>3</v>
      </c>
      <c r="F968" s="100">
        <f t="shared" ca="1" si="269"/>
        <v>4.2544200000000001E-3</v>
      </c>
      <c r="G968">
        <v>1</v>
      </c>
      <c r="H968">
        <v>1</v>
      </c>
      <c r="I968">
        <v>6</v>
      </c>
      <c r="J968" s="1">
        <f t="shared" ca="1" si="270"/>
        <v>0.92274469442791995</v>
      </c>
      <c r="K968" s="1">
        <f t="shared" ca="1" si="271"/>
        <v>3.9257434828680309E-3</v>
      </c>
      <c r="L968" s="13">
        <f t="shared" ca="1" si="272"/>
        <v>400</v>
      </c>
      <c r="M968" s="7">
        <f t="shared" ca="1" si="273"/>
        <v>600</v>
      </c>
      <c r="N968" s="43">
        <f t="shared" ca="1" si="274"/>
        <v>5</v>
      </c>
      <c r="O968" s="92">
        <f t="shared" ca="1" si="275"/>
        <v>2.4432565128993144</v>
      </c>
      <c r="P968" s="92">
        <f t="shared" ca="1" si="276"/>
        <v>24.432565128993144</v>
      </c>
      <c r="Q968" s="92">
        <f t="shared" ca="1" si="277"/>
        <v>24.432565128993144</v>
      </c>
      <c r="R968" s="92">
        <f t="shared" ca="1" si="278"/>
        <v>2.4432565128993144</v>
      </c>
      <c r="S968" s="92">
        <f t="shared" ca="1" si="279"/>
        <v>2.4432565128993144</v>
      </c>
      <c r="T968" s="4">
        <f t="shared" ca="1" si="280"/>
        <v>9.5915983324893553E-3</v>
      </c>
      <c r="U968" s="99">
        <f t="shared" ca="1" si="281"/>
        <v>1314.3931955743851</v>
      </c>
      <c r="V968" s="4">
        <f t="shared" ca="1" si="282"/>
        <v>5.1599705214522276</v>
      </c>
      <c r="W968" s="13">
        <f t="shared" ca="1" si="283"/>
        <v>48264.818043749998</v>
      </c>
      <c r="X968" s="4">
        <f t="shared" ca="1" si="284"/>
        <v>189.47529488706289</v>
      </c>
    </row>
    <row r="969" spans="1:24">
      <c r="A969">
        <v>3</v>
      </c>
      <c r="B969">
        <v>1</v>
      </c>
      <c r="C969">
        <f t="shared" ca="1" si="266"/>
        <v>8</v>
      </c>
      <c r="D969">
        <f t="shared" ca="1" si="267"/>
        <v>6</v>
      </c>
      <c r="E969">
        <f t="shared" ca="1" si="268"/>
        <v>3</v>
      </c>
      <c r="F969" s="100">
        <f t="shared" ca="1" si="269"/>
        <v>4.2544200000000001E-3</v>
      </c>
      <c r="G969">
        <v>1</v>
      </c>
      <c r="H969">
        <v>1</v>
      </c>
      <c r="I969">
        <v>5</v>
      </c>
      <c r="J969" s="1">
        <f t="shared" ca="1" si="270"/>
        <v>5.5923920874419442E-2</v>
      </c>
      <c r="K969" s="1">
        <f t="shared" ca="1" si="271"/>
        <v>2.3792384744654755E-4</v>
      </c>
      <c r="L969" s="13">
        <f t="shared" ca="1" si="272"/>
        <v>378</v>
      </c>
      <c r="M969" s="7">
        <f t="shared" ca="1" si="273"/>
        <v>622</v>
      </c>
      <c r="N969" s="43">
        <f t="shared" ca="1" si="274"/>
        <v>5</v>
      </c>
      <c r="O969" s="92">
        <f t="shared" ca="1" si="275"/>
        <v>2.4432565128993144</v>
      </c>
      <c r="P969" s="92">
        <f t="shared" ca="1" si="276"/>
        <v>24.432565128993144</v>
      </c>
      <c r="Q969" s="92">
        <f t="shared" ca="1" si="277"/>
        <v>24.432565128993144</v>
      </c>
      <c r="R969" s="92">
        <f t="shared" ca="1" si="278"/>
        <v>2.4432565128993144</v>
      </c>
      <c r="S969" s="92">
        <f t="shared" ca="1" si="279"/>
        <v>2.4432565128993144</v>
      </c>
      <c r="T969" s="4">
        <f t="shared" ca="1" si="280"/>
        <v>5.8130898984784019E-4</v>
      </c>
      <c r="U969" s="99">
        <f t="shared" ca="1" si="281"/>
        <v>1292.3931955743851</v>
      </c>
      <c r="V969" s="4">
        <f t="shared" ca="1" si="282"/>
        <v>0.30749116150479611</v>
      </c>
      <c r="W969" s="13">
        <f t="shared" ca="1" si="283"/>
        <v>42247.745924999996</v>
      </c>
      <c r="X969" s="4">
        <f t="shared" ca="1" si="284"/>
        <v>10.0517462564202</v>
      </c>
    </row>
    <row r="970" spans="1:24">
      <c r="A970">
        <v>3</v>
      </c>
      <c r="B970">
        <v>1</v>
      </c>
      <c r="C970">
        <f t="shared" ca="1" si="266"/>
        <v>8</v>
      </c>
      <c r="D970">
        <f t="shared" ca="1" si="267"/>
        <v>6</v>
      </c>
      <c r="E970">
        <f t="shared" ca="1" si="268"/>
        <v>3</v>
      </c>
      <c r="F970" s="100">
        <f t="shared" ca="1" si="269"/>
        <v>4.2544200000000001E-3</v>
      </c>
      <c r="G970">
        <v>1</v>
      </c>
      <c r="H970">
        <v>1</v>
      </c>
      <c r="I970">
        <v>4</v>
      </c>
      <c r="J970" s="1">
        <f t="shared" ca="1" si="270"/>
        <v>1.4122202241015026E-3</v>
      </c>
      <c r="K970" s="1">
        <f t="shared" ca="1" si="271"/>
        <v>6.008177965821915E-6</v>
      </c>
      <c r="L970" s="13">
        <f t="shared" ca="1" si="272"/>
        <v>356</v>
      </c>
      <c r="M970" s="7">
        <f t="shared" ca="1" si="273"/>
        <v>644</v>
      </c>
      <c r="N970" s="43">
        <f t="shared" ca="1" si="274"/>
        <v>6</v>
      </c>
      <c r="O970" s="92">
        <f t="shared" ca="1" si="275"/>
        <v>2.7275117780454798</v>
      </c>
      <c r="P970" s="92">
        <f t="shared" ca="1" si="276"/>
        <v>27.275117780454792</v>
      </c>
      <c r="Q970" s="92">
        <f t="shared" ca="1" si="277"/>
        <v>26.706607250162463</v>
      </c>
      <c r="R970" s="92">
        <f t="shared" ca="1" si="278"/>
        <v>2.6990862515308627</v>
      </c>
      <c r="S970" s="92">
        <f t="shared" ca="1" si="279"/>
        <v>2.7255219911894564</v>
      </c>
      <c r="T970" s="4">
        <f t="shared" ca="1" si="280"/>
        <v>1.6375421172827562E-5</v>
      </c>
      <c r="U970" s="99">
        <f t="shared" ca="1" si="281"/>
        <v>1358.0152449734937</v>
      </c>
      <c r="V970" s="4">
        <f t="shared" ca="1" si="282"/>
        <v>8.1591972720999953E-3</v>
      </c>
      <c r="W970" s="13">
        <f t="shared" ca="1" si="283"/>
        <v>36230.673806249994</v>
      </c>
      <c r="X970" s="4">
        <f t="shared" ca="1" si="284"/>
        <v>0.21768033604959242</v>
      </c>
    </row>
    <row r="971" spans="1:24">
      <c r="A971">
        <v>3</v>
      </c>
      <c r="B971">
        <v>1</v>
      </c>
      <c r="C971">
        <f t="shared" ca="1" si="266"/>
        <v>8</v>
      </c>
      <c r="D971">
        <f t="shared" ca="1" si="267"/>
        <v>6</v>
      </c>
      <c r="E971">
        <f t="shared" ca="1" si="268"/>
        <v>3</v>
      </c>
      <c r="F971" s="100">
        <f t="shared" ca="1" si="269"/>
        <v>4.2544200000000001E-3</v>
      </c>
      <c r="G971">
        <v>1</v>
      </c>
      <c r="H971">
        <v>1</v>
      </c>
      <c r="I971">
        <v>3</v>
      </c>
      <c r="J971" s="1">
        <f t="shared" ca="1" si="270"/>
        <v>1.9019800998000047E-5</v>
      </c>
      <c r="K971" s="1">
        <f t="shared" ca="1" si="271"/>
        <v>8.0918221761911355E-8</v>
      </c>
      <c r="L971" s="13">
        <f t="shared" ca="1" si="272"/>
        <v>334</v>
      </c>
      <c r="M971" s="7">
        <f t="shared" ca="1" si="273"/>
        <v>666</v>
      </c>
      <c r="N971" s="43">
        <f t="shared" ca="1" si="274"/>
        <v>6</v>
      </c>
      <c r="O971" s="92">
        <f t="shared" ca="1" si="275"/>
        <v>2.7275117780454798</v>
      </c>
      <c r="P971" s="92">
        <f t="shared" ca="1" si="276"/>
        <v>27.275117780454792</v>
      </c>
      <c r="Q971" s="92">
        <f t="shared" ca="1" si="277"/>
        <v>27.275117780454792</v>
      </c>
      <c r="R971" s="92">
        <f t="shared" ca="1" si="278"/>
        <v>2.7275117780454794</v>
      </c>
      <c r="S971" s="92">
        <f t="shared" ca="1" si="279"/>
        <v>2.7275117780454794</v>
      </c>
      <c r="T971" s="4">
        <f t="shared" ca="1" si="280"/>
        <v>2.2070540291410924E-7</v>
      </c>
      <c r="U971" s="99">
        <f t="shared" ca="1" si="281"/>
        <v>1336.6329230659346</v>
      </c>
      <c r="V971" s="4">
        <f t="shared" ca="1" si="282"/>
        <v>1.081579592829211E-4</v>
      </c>
      <c r="W971" s="13">
        <f t="shared" ca="1" si="283"/>
        <v>30213.601687499999</v>
      </c>
      <c r="X971" s="4">
        <f t="shared" ca="1" si="284"/>
        <v>2.4448309215751841E-3</v>
      </c>
    </row>
    <row r="972" spans="1:24">
      <c r="A972">
        <v>3</v>
      </c>
      <c r="B972">
        <v>1</v>
      </c>
      <c r="C972">
        <f t="shared" ca="1" si="266"/>
        <v>8</v>
      </c>
      <c r="D972">
        <f t="shared" ca="1" si="267"/>
        <v>6</v>
      </c>
      <c r="E972">
        <f t="shared" ca="1" si="268"/>
        <v>3</v>
      </c>
      <c r="F972" s="100">
        <f t="shared" ca="1" si="269"/>
        <v>4.2544200000000001E-3</v>
      </c>
      <c r="G972">
        <v>1</v>
      </c>
      <c r="H972">
        <v>1</v>
      </c>
      <c r="I972">
        <v>2</v>
      </c>
      <c r="J972" s="1">
        <f t="shared" ca="1" si="270"/>
        <v>1.4408940150000054E-7</v>
      </c>
      <c r="K972" s="1">
        <f t="shared" ca="1" si="271"/>
        <v>6.1301683152963227E-10</v>
      </c>
      <c r="L972" s="13">
        <f t="shared" ca="1" si="272"/>
        <v>312</v>
      </c>
      <c r="M972" s="7">
        <f t="shared" ca="1" si="273"/>
        <v>688</v>
      </c>
      <c r="N972" s="43">
        <f t="shared" ca="1" si="274"/>
        <v>6</v>
      </c>
      <c r="O972" s="92">
        <f t="shared" ca="1" si="275"/>
        <v>2.7275117780454798</v>
      </c>
      <c r="P972" s="92">
        <f t="shared" ca="1" si="276"/>
        <v>27.275117780454792</v>
      </c>
      <c r="Q972" s="92">
        <f t="shared" ca="1" si="277"/>
        <v>27.275117780454792</v>
      </c>
      <c r="R972" s="92">
        <f t="shared" ca="1" si="278"/>
        <v>2.7275117780454794</v>
      </c>
      <c r="S972" s="92">
        <f t="shared" ca="1" si="279"/>
        <v>2.7275117780454794</v>
      </c>
      <c r="T972" s="4">
        <f t="shared" ca="1" si="280"/>
        <v>1.6720106281371934E-9</v>
      </c>
      <c r="U972" s="99">
        <f t="shared" ca="1" si="281"/>
        <v>1314.6329230659346</v>
      </c>
      <c r="V972" s="4">
        <f t="shared" ca="1" si="282"/>
        <v>8.0589210912241802E-7</v>
      </c>
      <c r="W972" s="13">
        <f t="shared" ca="1" si="283"/>
        <v>24196.529568749997</v>
      </c>
      <c r="X972" s="4">
        <f t="shared" ca="1" si="284"/>
        <v>1.4832879890248183E-5</v>
      </c>
    </row>
    <row r="973" spans="1:24">
      <c r="A973">
        <v>3</v>
      </c>
      <c r="B973">
        <v>1</v>
      </c>
      <c r="C973">
        <f t="shared" ca="1" si="266"/>
        <v>8</v>
      </c>
      <c r="D973">
        <f t="shared" ca="1" si="267"/>
        <v>6</v>
      </c>
      <c r="E973">
        <f t="shared" ca="1" si="268"/>
        <v>3</v>
      </c>
      <c r="F973" s="100">
        <f t="shared" ca="1" si="269"/>
        <v>4.2544200000000001E-3</v>
      </c>
      <c r="G973">
        <v>1</v>
      </c>
      <c r="H973">
        <v>1</v>
      </c>
      <c r="I973">
        <v>1</v>
      </c>
      <c r="J973" s="1">
        <f t="shared" ca="1" si="270"/>
        <v>5.8217940000000265E-10</v>
      </c>
      <c r="K973" s="1">
        <f t="shared" ca="1" si="271"/>
        <v>2.4768356829480115E-12</v>
      </c>
      <c r="L973" s="13">
        <f t="shared" ca="1" si="272"/>
        <v>290</v>
      </c>
      <c r="M973" s="7">
        <f t="shared" ca="1" si="273"/>
        <v>710</v>
      </c>
      <c r="N973" s="43">
        <f t="shared" ca="1" si="274"/>
        <v>6</v>
      </c>
      <c r="O973" s="92">
        <f t="shared" ca="1" si="275"/>
        <v>2.7275117780454798</v>
      </c>
      <c r="P973" s="92">
        <f t="shared" ca="1" si="276"/>
        <v>27.275117780454792</v>
      </c>
      <c r="Q973" s="92">
        <f t="shared" ca="1" si="277"/>
        <v>27.275117780454792</v>
      </c>
      <c r="R973" s="92">
        <f t="shared" ca="1" si="278"/>
        <v>2.7275117780454794</v>
      </c>
      <c r="S973" s="92">
        <f t="shared" ca="1" si="279"/>
        <v>2.7275117780454794</v>
      </c>
      <c r="T973" s="4">
        <f t="shared" ca="1" si="280"/>
        <v>6.7555984975240198E-12</v>
      </c>
      <c r="U973" s="99">
        <f t="shared" ca="1" si="281"/>
        <v>1292.6329230659346</v>
      </c>
      <c r="V973" s="4">
        <f t="shared" ca="1" si="282"/>
        <v>3.2016393488030985E-9</v>
      </c>
      <c r="W973" s="13">
        <f t="shared" ca="1" si="283"/>
        <v>18179.457449999998</v>
      </c>
      <c r="X973" s="4">
        <f t="shared" ca="1" si="284"/>
        <v>4.5027528908795062E-8</v>
      </c>
    </row>
    <row r="974" spans="1:24">
      <c r="A974">
        <v>3</v>
      </c>
      <c r="B974">
        <v>1</v>
      </c>
      <c r="C974">
        <f t="shared" ca="1" si="266"/>
        <v>8</v>
      </c>
      <c r="D974">
        <f t="shared" ca="1" si="267"/>
        <v>6</v>
      </c>
      <c r="E974">
        <f t="shared" ca="1" si="268"/>
        <v>3</v>
      </c>
      <c r="F974" s="100">
        <f t="shared" ca="1" si="269"/>
        <v>4.2544200000000001E-3</v>
      </c>
      <c r="G974">
        <v>1</v>
      </c>
      <c r="H974">
        <v>1</v>
      </c>
      <c r="I974">
        <v>0</v>
      </c>
      <c r="J974" s="1">
        <f t="shared" ca="1" si="270"/>
        <v>9.8010000000000529E-13</v>
      </c>
      <c r="K974" s="1">
        <f t="shared" ca="1" si="271"/>
        <v>4.1697570420000226E-15</v>
      </c>
      <c r="L974" s="13">
        <f t="shared" ca="1" si="272"/>
        <v>268</v>
      </c>
      <c r="M974" s="7">
        <f t="shared" ca="1" si="273"/>
        <v>732</v>
      </c>
      <c r="N974" s="43">
        <f t="shared" ca="1" si="274"/>
        <v>6</v>
      </c>
      <c r="O974" s="92">
        <f t="shared" ca="1" si="275"/>
        <v>2.7275117780454798</v>
      </c>
      <c r="P974" s="92">
        <f t="shared" ca="1" si="276"/>
        <v>27.275117780454792</v>
      </c>
      <c r="Q974" s="92">
        <f t="shared" ca="1" si="277"/>
        <v>27.275117780454792</v>
      </c>
      <c r="R974" s="92">
        <f t="shared" ca="1" si="278"/>
        <v>2.7275117780454794</v>
      </c>
      <c r="S974" s="92">
        <f t="shared" ca="1" si="279"/>
        <v>2.7275117780454794</v>
      </c>
      <c r="T974" s="4">
        <f t="shared" ca="1" si="280"/>
        <v>1.137306144364314E-14</v>
      </c>
      <c r="U974" s="99">
        <f t="shared" ca="1" si="281"/>
        <v>1270.6329230659346</v>
      </c>
      <c r="V974" s="4">
        <f t="shared" ca="1" si="282"/>
        <v>5.2982305787512536E-12</v>
      </c>
      <c r="W974" s="13">
        <f t="shared" ca="1" si="283"/>
        <v>12162.38533125</v>
      </c>
      <c r="X974" s="4">
        <f t="shared" ca="1" si="284"/>
        <v>5.0714191882497464E-11</v>
      </c>
    </row>
    <row r="975" spans="1:24">
      <c r="A975">
        <v>3</v>
      </c>
      <c r="B975">
        <v>1</v>
      </c>
      <c r="C975">
        <f t="shared" ca="1" si="266"/>
        <v>8</v>
      </c>
      <c r="D975">
        <f t="shared" ca="1" si="267"/>
        <v>6</v>
      </c>
      <c r="E975">
        <f t="shared" ca="1" si="268"/>
        <v>3</v>
      </c>
      <c r="F975" s="100">
        <f t="shared" ca="1" si="269"/>
        <v>4.2544200000000001E-3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288</v>
      </c>
      <c r="M975" s="7">
        <f t="shared" ca="1" si="273"/>
        <v>712</v>
      </c>
      <c r="N975" s="43">
        <f t="shared" ca="1" si="274"/>
        <v>6</v>
      </c>
      <c r="O975" s="92">
        <f t="shared" ca="1" si="275"/>
        <v>2.7275117780454798</v>
      </c>
      <c r="P975" s="92">
        <f t="shared" ca="1" si="276"/>
        <v>27.275117780454792</v>
      </c>
      <c r="Q975" s="92">
        <f t="shared" ca="1" si="277"/>
        <v>27.275117780454792</v>
      </c>
      <c r="R975" s="92">
        <f t="shared" ca="1" si="278"/>
        <v>2.7275117780454794</v>
      </c>
      <c r="S975" s="92">
        <f t="shared" ca="1" si="279"/>
        <v>2.7275117780454794</v>
      </c>
      <c r="T975" s="4">
        <f t="shared" ca="1" si="280"/>
        <v>0</v>
      </c>
      <c r="U975" s="99">
        <f t="shared" ca="1" si="281"/>
        <v>1290.6329230659346</v>
      </c>
      <c r="V975" s="4">
        <f t="shared" ca="1" si="282"/>
        <v>0</v>
      </c>
      <c r="W975" s="13">
        <f t="shared" ca="1" si="283"/>
        <v>48136.576950000002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ca="1" si="266"/>
        <v>8</v>
      </c>
      <c r="D976">
        <f t="shared" ca="1" si="267"/>
        <v>6</v>
      </c>
      <c r="E976">
        <f t="shared" ca="1" si="268"/>
        <v>3</v>
      </c>
      <c r="F976" s="100">
        <f t="shared" ca="1" si="269"/>
        <v>4.2544200000000001E-3</v>
      </c>
      <c r="G976">
        <v>1</v>
      </c>
      <c r="H976">
        <v>0</v>
      </c>
      <c r="I976">
        <v>6</v>
      </c>
      <c r="J976" s="1">
        <f t="shared" ca="1" si="270"/>
        <v>9.3206534790699087E-3</v>
      </c>
      <c r="K976" s="1">
        <f t="shared" ca="1" si="271"/>
        <v>3.9653974574424601E-5</v>
      </c>
      <c r="L976" s="13">
        <f t="shared" ca="1" si="272"/>
        <v>266</v>
      </c>
      <c r="M976" s="7">
        <f t="shared" ca="1" si="273"/>
        <v>734</v>
      </c>
      <c r="N976" s="43">
        <f t="shared" ca="1" si="274"/>
        <v>6</v>
      </c>
      <c r="O976" s="92">
        <f t="shared" ca="1" si="275"/>
        <v>2.7275117780454798</v>
      </c>
      <c r="P976" s="92">
        <f t="shared" ca="1" si="276"/>
        <v>27.275117780454792</v>
      </c>
      <c r="Q976" s="92">
        <f t="shared" ca="1" si="277"/>
        <v>27.275117780454792</v>
      </c>
      <c r="R976" s="92">
        <f t="shared" ca="1" si="278"/>
        <v>2.7275117780454794</v>
      </c>
      <c r="S976" s="92">
        <f t="shared" ca="1" si="279"/>
        <v>2.7275117780454794</v>
      </c>
      <c r="T976" s="4">
        <f t="shared" ca="1" si="280"/>
        <v>1.0815668269805908E-4</v>
      </c>
      <c r="U976" s="99">
        <f t="shared" ca="1" si="281"/>
        <v>1268.6329230659346</v>
      </c>
      <c r="V976" s="4">
        <f t="shared" ca="1" si="282"/>
        <v>5.0306337675534531E-2</v>
      </c>
      <c r="W976" s="13">
        <f t="shared" ca="1" si="283"/>
        <v>42119.50483125</v>
      </c>
      <c r="X976" s="4">
        <f t="shared" ca="1" si="284"/>
        <v>1.6702057736657416</v>
      </c>
    </row>
    <row r="977" spans="1:24">
      <c r="A977">
        <v>3</v>
      </c>
      <c r="B977">
        <v>1</v>
      </c>
      <c r="C977">
        <f t="shared" ca="1" si="266"/>
        <v>8</v>
      </c>
      <c r="D977">
        <f t="shared" ca="1" si="267"/>
        <v>6</v>
      </c>
      <c r="E977">
        <f t="shared" ca="1" si="268"/>
        <v>3</v>
      </c>
      <c r="F977" s="100">
        <f t="shared" ca="1" si="269"/>
        <v>4.2544200000000001E-3</v>
      </c>
      <c r="G977">
        <v>1</v>
      </c>
      <c r="H977">
        <v>0</v>
      </c>
      <c r="I977">
        <v>5</v>
      </c>
      <c r="J977" s="1">
        <f t="shared" ca="1" si="270"/>
        <v>5.6488808964060098E-4</v>
      </c>
      <c r="K977" s="1">
        <f t="shared" ca="1" si="271"/>
        <v>2.4032711863287655E-6</v>
      </c>
      <c r="L977" s="13">
        <f t="shared" ca="1" si="272"/>
        <v>244</v>
      </c>
      <c r="M977" s="7">
        <f t="shared" ca="1" si="273"/>
        <v>756</v>
      </c>
      <c r="N977" s="43">
        <f t="shared" ca="1" si="274"/>
        <v>7</v>
      </c>
      <c r="O977" s="92">
        <f t="shared" ca="1" si="275"/>
        <v>3.2214900588145507</v>
      </c>
      <c r="P977" s="92">
        <f t="shared" ca="1" si="276"/>
        <v>29.745009184300148</v>
      </c>
      <c r="Q977" s="92">
        <f t="shared" ca="1" si="277"/>
        <v>27.275117780454792</v>
      </c>
      <c r="R977" s="92">
        <f t="shared" ca="1" si="278"/>
        <v>2.851006348237747</v>
      </c>
      <c r="S977" s="92">
        <f t="shared" ca="1" si="279"/>
        <v>3.1955561990741743</v>
      </c>
      <c r="T977" s="4">
        <f t="shared" ca="1" si="280"/>
        <v>7.6797881375292323E-6</v>
      </c>
      <c r="U977" s="99">
        <f t="shared" ca="1" si="281"/>
        <v>1391.9252614304514</v>
      </c>
      <c r="V977" s="4">
        <f t="shared" ca="1" si="282"/>
        <v>3.3451738743189379E-3</v>
      </c>
      <c r="W977" s="13">
        <f t="shared" ca="1" si="283"/>
        <v>36102.432712499998</v>
      </c>
      <c r="X977" s="4">
        <f t="shared" ca="1" si="284"/>
        <v>8.6763936294324301E-2</v>
      </c>
    </row>
    <row r="978" spans="1:24">
      <c r="A978">
        <v>3</v>
      </c>
      <c r="B978">
        <v>1</v>
      </c>
      <c r="C978">
        <f t="shared" ca="1" si="266"/>
        <v>8</v>
      </c>
      <c r="D978">
        <f t="shared" ca="1" si="267"/>
        <v>6</v>
      </c>
      <c r="E978">
        <f t="shared" ca="1" si="268"/>
        <v>3</v>
      </c>
      <c r="F978" s="100">
        <f t="shared" ca="1" si="269"/>
        <v>4.2544200000000001E-3</v>
      </c>
      <c r="G978">
        <v>1</v>
      </c>
      <c r="H978">
        <v>0</v>
      </c>
      <c r="I978">
        <v>4</v>
      </c>
      <c r="J978" s="1">
        <f t="shared" ca="1" si="270"/>
        <v>1.426485074850004E-5</v>
      </c>
      <c r="K978" s="1">
        <f t="shared" ca="1" si="271"/>
        <v>6.0688666321433546E-8</v>
      </c>
      <c r="L978" s="13">
        <f t="shared" ca="1" si="272"/>
        <v>222</v>
      </c>
      <c r="M978" s="7">
        <f t="shared" ca="1" si="273"/>
        <v>778</v>
      </c>
      <c r="N978" s="43">
        <f t="shared" ca="1" si="274"/>
        <v>7</v>
      </c>
      <c r="O978" s="92">
        <f t="shared" ca="1" si="275"/>
        <v>3.2214900588145507</v>
      </c>
      <c r="P978" s="92">
        <f t="shared" ca="1" si="276"/>
        <v>32.214900588145518</v>
      </c>
      <c r="Q978" s="92">
        <f t="shared" ca="1" si="277"/>
        <v>32.214900588145518</v>
      </c>
      <c r="R978" s="92">
        <f t="shared" ca="1" si="278"/>
        <v>3.2214900588145516</v>
      </c>
      <c r="S978" s="92">
        <f t="shared" ca="1" si="279"/>
        <v>3.2214900588145507</v>
      </c>
      <c r="T978" s="4">
        <f t="shared" ca="1" si="280"/>
        <v>1.9550793523721161E-7</v>
      </c>
      <c r="U978" s="99">
        <f t="shared" ca="1" si="281"/>
        <v>1377.9757603899629</v>
      </c>
      <c r="V978" s="4">
        <f t="shared" ca="1" si="282"/>
        <v>8.3627511121330119E-5</v>
      </c>
      <c r="W978" s="13">
        <f t="shared" ca="1" si="283"/>
        <v>30085.360593749996</v>
      </c>
      <c r="X978" s="4">
        <f t="shared" ca="1" si="284"/>
        <v>1.8258404102340993E-3</v>
      </c>
    </row>
    <row r="979" spans="1:24">
      <c r="A979">
        <v>3</v>
      </c>
      <c r="B979">
        <v>1</v>
      </c>
      <c r="C979">
        <f t="shared" ca="1" si="266"/>
        <v>8</v>
      </c>
      <c r="D979">
        <f t="shared" ca="1" si="267"/>
        <v>6</v>
      </c>
      <c r="E979">
        <f t="shared" ca="1" si="268"/>
        <v>3</v>
      </c>
      <c r="F979" s="100">
        <f t="shared" ca="1" si="269"/>
        <v>4.2544200000000001E-3</v>
      </c>
      <c r="G979">
        <v>1</v>
      </c>
      <c r="H979">
        <v>0</v>
      </c>
      <c r="I979">
        <v>3</v>
      </c>
      <c r="J979" s="1">
        <f t="shared" ca="1" si="270"/>
        <v>1.9211920200000068E-7</v>
      </c>
      <c r="K979" s="1">
        <f t="shared" ca="1" si="271"/>
        <v>8.1735577537284293E-10</v>
      </c>
      <c r="L979" s="13">
        <f t="shared" ca="1" si="272"/>
        <v>200</v>
      </c>
      <c r="M979" s="7">
        <f t="shared" ca="1" si="273"/>
        <v>800</v>
      </c>
      <c r="N979" s="43">
        <f t="shared" ca="1" si="274"/>
        <v>7</v>
      </c>
      <c r="O979" s="92">
        <f t="shared" ca="1" si="275"/>
        <v>3.2214900588145507</v>
      </c>
      <c r="P979" s="92">
        <f t="shared" ca="1" si="276"/>
        <v>32.214900588145518</v>
      </c>
      <c r="Q979" s="92">
        <f t="shared" ca="1" si="277"/>
        <v>32.214900588145518</v>
      </c>
      <c r="R979" s="92">
        <f t="shared" ca="1" si="278"/>
        <v>3.2214900588145516</v>
      </c>
      <c r="S979" s="92">
        <f t="shared" ca="1" si="279"/>
        <v>3.2214900588145507</v>
      </c>
      <c r="T979" s="4">
        <f t="shared" ca="1" si="280"/>
        <v>2.6331035048782727E-9</v>
      </c>
      <c r="U979" s="99">
        <f t="shared" ca="1" si="281"/>
        <v>1355.9757603899629</v>
      </c>
      <c r="V979" s="4">
        <f t="shared" ca="1" si="282"/>
        <v>1.1083146190203184E-6</v>
      </c>
      <c r="W979" s="13">
        <f t="shared" ca="1" si="283"/>
        <v>24068.288474999998</v>
      </c>
      <c r="X979" s="4">
        <f t="shared" ca="1" si="284"/>
        <v>1.9672354588380882E-5</v>
      </c>
    </row>
    <row r="980" spans="1:24">
      <c r="A980">
        <v>3</v>
      </c>
      <c r="B980">
        <v>1</v>
      </c>
      <c r="C980">
        <f t="shared" ca="1" si="266"/>
        <v>8</v>
      </c>
      <c r="D980">
        <f t="shared" ca="1" si="267"/>
        <v>6</v>
      </c>
      <c r="E980">
        <f t="shared" ca="1" si="268"/>
        <v>3</v>
      </c>
      <c r="F980" s="100">
        <f t="shared" ca="1" si="269"/>
        <v>4.2544200000000001E-3</v>
      </c>
      <c r="G980">
        <v>1</v>
      </c>
      <c r="H980">
        <v>0</v>
      </c>
      <c r="I980">
        <v>2</v>
      </c>
      <c r="J980" s="1">
        <f t="shared" ca="1" si="270"/>
        <v>1.4554485000000069E-9</v>
      </c>
      <c r="K980" s="1">
        <f t="shared" ca="1" si="271"/>
        <v>6.1920892073700299E-12</v>
      </c>
      <c r="L980" s="13">
        <f t="shared" ca="1" si="272"/>
        <v>178</v>
      </c>
      <c r="M980" s="7">
        <f t="shared" ca="1" si="273"/>
        <v>822</v>
      </c>
      <c r="N980" s="43">
        <f t="shared" ca="1" si="274"/>
        <v>7</v>
      </c>
      <c r="O980" s="92">
        <f t="shared" ca="1" si="275"/>
        <v>3.2214900588145507</v>
      </c>
      <c r="P980" s="92">
        <f t="shared" ca="1" si="276"/>
        <v>32.214900588145518</v>
      </c>
      <c r="Q980" s="92">
        <f t="shared" ca="1" si="277"/>
        <v>32.214900588145518</v>
      </c>
      <c r="R980" s="92">
        <f t="shared" ca="1" si="278"/>
        <v>3.2214900588145516</v>
      </c>
      <c r="S980" s="92">
        <f t="shared" ca="1" si="279"/>
        <v>3.2214900588145507</v>
      </c>
      <c r="T980" s="4">
        <f t="shared" ca="1" si="280"/>
        <v>1.9947753824835421E-11</v>
      </c>
      <c r="U980" s="99">
        <f t="shared" ca="1" si="281"/>
        <v>1333.9757603899629</v>
      </c>
      <c r="V980" s="4">
        <f t="shared" ca="1" si="282"/>
        <v>8.2600969088039185E-9</v>
      </c>
      <c r="W980" s="13">
        <f t="shared" ca="1" si="283"/>
        <v>18051.216356249999</v>
      </c>
      <c r="X980" s="4">
        <f t="shared" ca="1" si="284"/>
        <v>1.1177474197943698E-7</v>
      </c>
    </row>
    <row r="981" spans="1:24">
      <c r="A981">
        <v>3</v>
      </c>
      <c r="B981">
        <v>1</v>
      </c>
      <c r="C981">
        <f t="shared" ca="1" si="266"/>
        <v>8</v>
      </c>
      <c r="D981">
        <f t="shared" ca="1" si="267"/>
        <v>6</v>
      </c>
      <c r="E981">
        <f t="shared" ca="1" si="268"/>
        <v>3</v>
      </c>
      <c r="F981" s="100">
        <f t="shared" ca="1" si="269"/>
        <v>4.2544200000000001E-3</v>
      </c>
      <c r="G981">
        <v>1</v>
      </c>
      <c r="H981">
        <v>0</v>
      </c>
      <c r="I981">
        <v>1</v>
      </c>
      <c r="J981" s="1">
        <f t="shared" ca="1" si="270"/>
        <v>5.8806000000000321E-12</v>
      </c>
      <c r="K981" s="1">
        <f t="shared" ca="1" si="271"/>
        <v>2.5018542252000137E-14</v>
      </c>
      <c r="L981" s="13">
        <f t="shared" ca="1" si="272"/>
        <v>156</v>
      </c>
      <c r="M981" s="7">
        <f t="shared" ca="1" si="273"/>
        <v>844</v>
      </c>
      <c r="N981" s="43">
        <f t="shared" ca="1" si="274"/>
        <v>7</v>
      </c>
      <c r="O981" s="92">
        <f t="shared" ca="1" si="275"/>
        <v>3.2214900588145507</v>
      </c>
      <c r="P981" s="92">
        <f t="shared" ca="1" si="276"/>
        <v>32.214900588145518</v>
      </c>
      <c r="Q981" s="92">
        <f t="shared" ca="1" si="277"/>
        <v>32.214900588145518</v>
      </c>
      <c r="R981" s="92">
        <f t="shared" ca="1" si="278"/>
        <v>3.2214900588145516</v>
      </c>
      <c r="S981" s="92">
        <f t="shared" ca="1" si="279"/>
        <v>3.2214900588145507</v>
      </c>
      <c r="T981" s="4">
        <f t="shared" ca="1" si="280"/>
        <v>8.0596985150850247E-14</v>
      </c>
      <c r="U981" s="99">
        <f t="shared" ca="1" si="281"/>
        <v>1311.9757603899629</v>
      </c>
      <c r="V981" s="4">
        <f t="shared" ca="1" si="282"/>
        <v>3.2823720994916295E-11</v>
      </c>
      <c r="W981" s="13">
        <f t="shared" ca="1" si="283"/>
        <v>12034.144237499999</v>
      </c>
      <c r="X981" s="4">
        <f t="shared" ca="1" si="284"/>
        <v>3.0107674607255768E-10</v>
      </c>
    </row>
    <row r="982" spans="1:24">
      <c r="A982">
        <v>3</v>
      </c>
      <c r="B982">
        <v>1</v>
      </c>
      <c r="C982">
        <f t="shared" ca="1" si="266"/>
        <v>8</v>
      </c>
      <c r="D982">
        <f t="shared" ca="1" si="267"/>
        <v>6</v>
      </c>
      <c r="E982">
        <f t="shared" ca="1" si="268"/>
        <v>3</v>
      </c>
      <c r="F982" s="100">
        <f t="shared" ca="1" si="269"/>
        <v>4.2544200000000001E-3</v>
      </c>
      <c r="G982">
        <v>1</v>
      </c>
      <c r="H982">
        <v>0</v>
      </c>
      <c r="I982">
        <v>0</v>
      </c>
      <c r="J982" s="1">
        <f t="shared" ca="1" si="270"/>
        <v>9.9000000000000638E-15</v>
      </c>
      <c r="K982" s="1">
        <f t="shared" ca="1" si="271"/>
        <v>4.2118758000000271E-17</v>
      </c>
      <c r="L982" s="13">
        <f t="shared" ca="1" si="272"/>
        <v>134</v>
      </c>
      <c r="M982" s="7">
        <f t="shared" ca="1" si="273"/>
        <v>866</v>
      </c>
      <c r="N982" s="43">
        <f t="shared" ca="1" si="274"/>
        <v>7</v>
      </c>
      <c r="O982" s="92">
        <f t="shared" ca="1" si="275"/>
        <v>3.2214900588145507</v>
      </c>
      <c r="P982" s="92">
        <f t="shared" ca="1" si="276"/>
        <v>32.214900588145518</v>
      </c>
      <c r="Q982" s="92">
        <f t="shared" ca="1" si="277"/>
        <v>32.214900588145518</v>
      </c>
      <c r="R982" s="92">
        <f t="shared" ca="1" si="278"/>
        <v>3.2214900588145516</v>
      </c>
      <c r="S982" s="92">
        <f t="shared" ca="1" si="279"/>
        <v>3.2214900588145507</v>
      </c>
      <c r="T982" s="4">
        <f t="shared" ca="1" si="280"/>
        <v>1.3568516018661671E-16</v>
      </c>
      <c r="U982" s="99">
        <f t="shared" ca="1" si="281"/>
        <v>1289.9757603899629</v>
      </c>
      <c r="V982" s="4">
        <f t="shared" ca="1" si="282"/>
        <v>5.4332176877731185E-14</v>
      </c>
      <c r="W982" s="13">
        <f t="shared" ca="1" si="283"/>
        <v>6017.0721187499994</v>
      </c>
      <c r="X982" s="4">
        <f t="shared" ca="1" si="284"/>
        <v>2.534316044381801E-13</v>
      </c>
    </row>
    <row r="983" spans="1:24">
      <c r="A983">
        <v>3</v>
      </c>
      <c r="B983">
        <v>1</v>
      </c>
      <c r="C983">
        <f t="shared" ca="1" si="266"/>
        <v>8</v>
      </c>
      <c r="D983">
        <f t="shared" ca="1" si="267"/>
        <v>6</v>
      </c>
      <c r="E983">
        <f t="shared" ca="1" si="268"/>
        <v>3</v>
      </c>
      <c r="F983" s="100">
        <f t="shared" ca="1" si="269"/>
        <v>4.2544200000000001E-3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288</v>
      </c>
      <c r="M983" s="7">
        <f t="shared" ca="1" si="273"/>
        <v>712</v>
      </c>
      <c r="N983" s="43">
        <f t="shared" ca="1" si="274"/>
        <v>6</v>
      </c>
      <c r="O983" s="92">
        <f t="shared" ca="1" si="275"/>
        <v>2.7275117780454798</v>
      </c>
      <c r="P983" s="92">
        <f t="shared" ca="1" si="276"/>
        <v>27.275117780454792</v>
      </c>
      <c r="Q983" s="92">
        <f t="shared" ca="1" si="277"/>
        <v>27.275117780454792</v>
      </c>
      <c r="R983" s="92">
        <f t="shared" ca="1" si="278"/>
        <v>2.7275117780454794</v>
      </c>
      <c r="S983" s="92">
        <f t="shared" ca="1" si="279"/>
        <v>2.7275117780454794</v>
      </c>
      <c r="T983" s="4">
        <f t="shared" ca="1" si="280"/>
        <v>0</v>
      </c>
      <c r="U983" s="99">
        <f t="shared" ca="1" si="281"/>
        <v>1290.6329230659346</v>
      </c>
      <c r="V983" s="4">
        <f t="shared" ca="1" si="282"/>
        <v>0</v>
      </c>
      <c r="W983" s="13">
        <f t="shared" ca="1" si="283"/>
        <v>48264.818043749998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ca="1" si="266"/>
        <v>8</v>
      </c>
      <c r="D984">
        <f t="shared" ca="1" si="267"/>
        <v>6</v>
      </c>
      <c r="E984">
        <f t="shared" ca="1" si="268"/>
        <v>3</v>
      </c>
      <c r="F984" s="100">
        <f t="shared" ca="1" si="269"/>
        <v>4.2544200000000001E-3</v>
      </c>
      <c r="G984">
        <v>0</v>
      </c>
      <c r="H984">
        <v>1</v>
      </c>
      <c r="I984">
        <v>6</v>
      </c>
      <c r="J984" s="1">
        <f t="shared" ca="1" si="270"/>
        <v>9.3206534790699087E-3</v>
      </c>
      <c r="K984" s="1">
        <f t="shared" ca="1" si="271"/>
        <v>3.9653974574424601E-5</v>
      </c>
      <c r="L984" s="13">
        <f t="shared" ca="1" si="272"/>
        <v>266</v>
      </c>
      <c r="M984" s="7">
        <f t="shared" ca="1" si="273"/>
        <v>734</v>
      </c>
      <c r="N984" s="43">
        <f t="shared" ca="1" si="274"/>
        <v>6</v>
      </c>
      <c r="O984" s="92">
        <f t="shared" ca="1" si="275"/>
        <v>2.7275117780454798</v>
      </c>
      <c r="P984" s="92">
        <f t="shared" ca="1" si="276"/>
        <v>27.275117780454792</v>
      </c>
      <c r="Q984" s="92">
        <f t="shared" ca="1" si="277"/>
        <v>27.275117780454792</v>
      </c>
      <c r="R984" s="92">
        <f t="shared" ca="1" si="278"/>
        <v>2.7275117780454794</v>
      </c>
      <c r="S984" s="92">
        <f t="shared" ca="1" si="279"/>
        <v>2.7275117780454794</v>
      </c>
      <c r="T984" s="4">
        <f t="shared" ca="1" si="280"/>
        <v>1.0815668269805908E-4</v>
      </c>
      <c r="U984" s="99">
        <f t="shared" ca="1" si="281"/>
        <v>1268.6329230659346</v>
      </c>
      <c r="V984" s="4">
        <f t="shared" ca="1" si="282"/>
        <v>5.0306337675534531E-2</v>
      </c>
      <c r="W984" s="13">
        <f t="shared" ca="1" si="283"/>
        <v>42247.745924999996</v>
      </c>
      <c r="X984" s="4">
        <f t="shared" ca="1" si="284"/>
        <v>1.6752910427367005</v>
      </c>
    </row>
    <row r="985" spans="1:24">
      <c r="A985">
        <v>3</v>
      </c>
      <c r="B985">
        <v>1</v>
      </c>
      <c r="C985">
        <f t="shared" ca="1" si="266"/>
        <v>8</v>
      </c>
      <c r="D985">
        <f t="shared" ca="1" si="267"/>
        <v>6</v>
      </c>
      <c r="E985">
        <f t="shared" ca="1" si="268"/>
        <v>3</v>
      </c>
      <c r="F985" s="100">
        <f t="shared" ca="1" si="269"/>
        <v>4.2544200000000001E-3</v>
      </c>
      <c r="G985">
        <v>0</v>
      </c>
      <c r="H985">
        <v>1</v>
      </c>
      <c r="I985">
        <v>5</v>
      </c>
      <c r="J985" s="1">
        <f t="shared" ca="1" si="270"/>
        <v>5.6488808964060098E-4</v>
      </c>
      <c r="K985" s="1">
        <f t="shared" ca="1" si="271"/>
        <v>2.4032711863287655E-6</v>
      </c>
      <c r="L985" s="13">
        <f t="shared" ca="1" si="272"/>
        <v>244</v>
      </c>
      <c r="M985" s="7">
        <f t="shared" ca="1" si="273"/>
        <v>756</v>
      </c>
      <c r="N985" s="43">
        <f t="shared" ca="1" si="274"/>
        <v>7</v>
      </c>
      <c r="O985" s="92">
        <f t="shared" ca="1" si="275"/>
        <v>3.2214900588145507</v>
      </c>
      <c r="P985" s="92">
        <f t="shared" ca="1" si="276"/>
        <v>29.745009184300148</v>
      </c>
      <c r="Q985" s="92">
        <f t="shared" ca="1" si="277"/>
        <v>27.275117780454792</v>
      </c>
      <c r="R985" s="92">
        <f t="shared" ca="1" si="278"/>
        <v>2.851006348237747</v>
      </c>
      <c r="S985" s="92">
        <f t="shared" ca="1" si="279"/>
        <v>3.1955561990741743</v>
      </c>
      <c r="T985" s="4">
        <f t="shared" ca="1" si="280"/>
        <v>7.6797881375292323E-6</v>
      </c>
      <c r="U985" s="99">
        <f t="shared" ca="1" si="281"/>
        <v>1391.9252614304514</v>
      </c>
      <c r="V985" s="4">
        <f t="shared" ca="1" si="282"/>
        <v>3.3451738743189379E-3</v>
      </c>
      <c r="W985" s="13">
        <f t="shared" ca="1" si="283"/>
        <v>36230.673806249994</v>
      </c>
      <c r="X985" s="4">
        <f t="shared" ca="1" si="284"/>
        <v>8.7072134419836952E-2</v>
      </c>
    </row>
    <row r="986" spans="1:24">
      <c r="A986">
        <v>3</v>
      </c>
      <c r="B986">
        <v>1</v>
      </c>
      <c r="C986">
        <f t="shared" ca="1" si="266"/>
        <v>8</v>
      </c>
      <c r="D986">
        <f t="shared" ca="1" si="267"/>
        <v>6</v>
      </c>
      <c r="E986">
        <f t="shared" ca="1" si="268"/>
        <v>3</v>
      </c>
      <c r="F986" s="100">
        <f t="shared" ca="1" si="269"/>
        <v>4.2544200000000001E-3</v>
      </c>
      <c r="G986">
        <v>0</v>
      </c>
      <c r="H986">
        <v>1</v>
      </c>
      <c r="I986">
        <v>4</v>
      </c>
      <c r="J986" s="1">
        <f t="shared" ca="1" si="270"/>
        <v>1.426485074850004E-5</v>
      </c>
      <c r="K986" s="1">
        <f t="shared" ca="1" si="271"/>
        <v>6.0688666321433546E-8</v>
      </c>
      <c r="L986" s="13">
        <f t="shared" ca="1" si="272"/>
        <v>222</v>
      </c>
      <c r="M986" s="7">
        <f t="shared" ca="1" si="273"/>
        <v>778</v>
      </c>
      <c r="N986" s="43">
        <f t="shared" ca="1" si="274"/>
        <v>7</v>
      </c>
      <c r="O986" s="92">
        <f t="shared" ca="1" si="275"/>
        <v>3.2214900588145507</v>
      </c>
      <c r="P986" s="92">
        <f t="shared" ca="1" si="276"/>
        <v>32.214900588145518</v>
      </c>
      <c r="Q986" s="92">
        <f t="shared" ca="1" si="277"/>
        <v>32.214900588145518</v>
      </c>
      <c r="R986" s="92">
        <f t="shared" ca="1" si="278"/>
        <v>3.2214900588145516</v>
      </c>
      <c r="S986" s="92">
        <f t="shared" ca="1" si="279"/>
        <v>3.2214900588145507</v>
      </c>
      <c r="T986" s="4">
        <f t="shared" ca="1" si="280"/>
        <v>1.9550793523721161E-7</v>
      </c>
      <c r="U986" s="99">
        <f t="shared" ca="1" si="281"/>
        <v>1377.9757603899629</v>
      </c>
      <c r="V986" s="4">
        <f t="shared" ca="1" si="282"/>
        <v>8.3627511121330119E-5</v>
      </c>
      <c r="W986" s="13">
        <f t="shared" ca="1" si="283"/>
        <v>30213.601687499999</v>
      </c>
      <c r="X986" s="4">
        <f t="shared" ca="1" si="284"/>
        <v>1.833623191181389E-3</v>
      </c>
    </row>
    <row r="987" spans="1:24">
      <c r="A987">
        <v>3</v>
      </c>
      <c r="B987">
        <v>1</v>
      </c>
      <c r="C987">
        <f t="shared" ca="1" si="266"/>
        <v>8</v>
      </c>
      <c r="D987">
        <f t="shared" ca="1" si="267"/>
        <v>6</v>
      </c>
      <c r="E987">
        <f t="shared" ca="1" si="268"/>
        <v>3</v>
      </c>
      <c r="F987" s="100">
        <f t="shared" ca="1" si="269"/>
        <v>4.2544200000000001E-3</v>
      </c>
      <c r="G987">
        <v>0</v>
      </c>
      <c r="H987">
        <v>1</v>
      </c>
      <c r="I987">
        <v>3</v>
      </c>
      <c r="J987" s="1">
        <f t="shared" ca="1" si="270"/>
        <v>1.9211920200000068E-7</v>
      </c>
      <c r="K987" s="1">
        <f t="shared" ca="1" si="271"/>
        <v>8.1735577537284293E-10</v>
      </c>
      <c r="L987" s="13">
        <f t="shared" ca="1" si="272"/>
        <v>200</v>
      </c>
      <c r="M987" s="7">
        <f t="shared" ca="1" si="273"/>
        <v>800</v>
      </c>
      <c r="N987" s="43">
        <f t="shared" ca="1" si="274"/>
        <v>7</v>
      </c>
      <c r="O987" s="92">
        <f t="shared" ca="1" si="275"/>
        <v>3.2214900588145507</v>
      </c>
      <c r="P987" s="92">
        <f t="shared" ca="1" si="276"/>
        <v>32.214900588145518</v>
      </c>
      <c r="Q987" s="92">
        <f t="shared" ca="1" si="277"/>
        <v>32.214900588145518</v>
      </c>
      <c r="R987" s="92">
        <f t="shared" ca="1" si="278"/>
        <v>3.2214900588145516</v>
      </c>
      <c r="S987" s="92">
        <f t="shared" ca="1" si="279"/>
        <v>3.2214900588145507</v>
      </c>
      <c r="T987" s="4">
        <f t="shared" ca="1" si="280"/>
        <v>2.6331035048782727E-9</v>
      </c>
      <c r="U987" s="99">
        <f t="shared" ca="1" si="281"/>
        <v>1355.9757603899629</v>
      </c>
      <c r="V987" s="4">
        <f t="shared" ca="1" si="282"/>
        <v>1.1083146190203184E-6</v>
      </c>
      <c r="W987" s="13">
        <f t="shared" ca="1" si="283"/>
        <v>24196.529568749997</v>
      </c>
      <c r="X987" s="4">
        <f t="shared" ca="1" si="284"/>
        <v>1.9777173186997574E-5</v>
      </c>
    </row>
    <row r="988" spans="1:24">
      <c r="A988">
        <v>3</v>
      </c>
      <c r="B988">
        <v>1</v>
      </c>
      <c r="C988">
        <f t="shared" ca="1" si="266"/>
        <v>8</v>
      </c>
      <c r="D988">
        <f t="shared" ca="1" si="267"/>
        <v>6</v>
      </c>
      <c r="E988">
        <f t="shared" ca="1" si="268"/>
        <v>3</v>
      </c>
      <c r="F988" s="100">
        <f t="shared" ca="1" si="269"/>
        <v>4.2544200000000001E-3</v>
      </c>
      <c r="G988">
        <v>0</v>
      </c>
      <c r="H988">
        <v>1</v>
      </c>
      <c r="I988">
        <v>2</v>
      </c>
      <c r="J988" s="1">
        <f t="shared" ca="1" si="270"/>
        <v>1.4554485000000069E-9</v>
      </c>
      <c r="K988" s="1">
        <f t="shared" ca="1" si="271"/>
        <v>6.1920892073700299E-12</v>
      </c>
      <c r="L988" s="13">
        <f t="shared" ca="1" si="272"/>
        <v>178</v>
      </c>
      <c r="M988" s="7">
        <f t="shared" ca="1" si="273"/>
        <v>822</v>
      </c>
      <c r="N988" s="43">
        <f t="shared" ca="1" si="274"/>
        <v>7</v>
      </c>
      <c r="O988" s="92">
        <f t="shared" ca="1" si="275"/>
        <v>3.2214900588145507</v>
      </c>
      <c r="P988" s="92">
        <f t="shared" ca="1" si="276"/>
        <v>32.214900588145518</v>
      </c>
      <c r="Q988" s="92">
        <f t="shared" ca="1" si="277"/>
        <v>32.214900588145518</v>
      </c>
      <c r="R988" s="92">
        <f t="shared" ca="1" si="278"/>
        <v>3.2214900588145516</v>
      </c>
      <c r="S988" s="92">
        <f t="shared" ca="1" si="279"/>
        <v>3.2214900588145507</v>
      </c>
      <c r="T988" s="4">
        <f t="shared" ca="1" si="280"/>
        <v>1.9947753824835421E-11</v>
      </c>
      <c r="U988" s="99">
        <f t="shared" ca="1" si="281"/>
        <v>1333.9757603899629</v>
      </c>
      <c r="V988" s="4">
        <f t="shared" ca="1" si="282"/>
        <v>8.2600969088039185E-9</v>
      </c>
      <c r="W988" s="13">
        <f t="shared" ca="1" si="283"/>
        <v>18179.457449999998</v>
      </c>
      <c r="X988" s="4">
        <f t="shared" ca="1" si="284"/>
        <v>1.1256882227198768E-7</v>
      </c>
    </row>
    <row r="989" spans="1:24">
      <c r="A989">
        <v>3</v>
      </c>
      <c r="B989">
        <v>1</v>
      </c>
      <c r="C989">
        <f t="shared" ca="1" si="266"/>
        <v>8</v>
      </c>
      <c r="D989">
        <f t="shared" ca="1" si="267"/>
        <v>6</v>
      </c>
      <c r="E989">
        <f t="shared" ca="1" si="268"/>
        <v>3</v>
      </c>
      <c r="F989" s="100">
        <f t="shared" ca="1" si="269"/>
        <v>4.2544200000000001E-3</v>
      </c>
      <c r="G989">
        <v>0</v>
      </c>
      <c r="H989">
        <v>1</v>
      </c>
      <c r="I989">
        <v>1</v>
      </c>
      <c r="J989" s="1">
        <f t="shared" ca="1" si="270"/>
        <v>5.8806000000000321E-12</v>
      </c>
      <c r="K989" s="1">
        <f t="shared" ca="1" si="271"/>
        <v>2.5018542252000137E-14</v>
      </c>
      <c r="L989" s="13">
        <f t="shared" ca="1" si="272"/>
        <v>156</v>
      </c>
      <c r="M989" s="7">
        <f t="shared" ca="1" si="273"/>
        <v>844</v>
      </c>
      <c r="N989" s="43">
        <f t="shared" ca="1" si="274"/>
        <v>7</v>
      </c>
      <c r="O989" s="92">
        <f t="shared" ca="1" si="275"/>
        <v>3.2214900588145507</v>
      </c>
      <c r="P989" s="92">
        <f t="shared" ca="1" si="276"/>
        <v>32.214900588145518</v>
      </c>
      <c r="Q989" s="92">
        <f t="shared" ca="1" si="277"/>
        <v>32.214900588145518</v>
      </c>
      <c r="R989" s="92">
        <f t="shared" ca="1" si="278"/>
        <v>3.2214900588145516</v>
      </c>
      <c r="S989" s="92">
        <f t="shared" ca="1" si="279"/>
        <v>3.2214900588145507</v>
      </c>
      <c r="T989" s="4">
        <f t="shared" ca="1" si="280"/>
        <v>8.0596985150850247E-14</v>
      </c>
      <c r="U989" s="99">
        <f t="shared" ca="1" si="281"/>
        <v>1311.9757603899629</v>
      </c>
      <c r="V989" s="4">
        <f t="shared" ca="1" si="282"/>
        <v>3.2823720994916295E-11</v>
      </c>
      <c r="W989" s="13">
        <f t="shared" ca="1" si="283"/>
        <v>12162.38533125</v>
      </c>
      <c r="X989" s="4">
        <f t="shared" ca="1" si="284"/>
        <v>3.042851512949848E-10</v>
      </c>
    </row>
    <row r="990" spans="1:24">
      <c r="A990">
        <v>3</v>
      </c>
      <c r="B990">
        <v>1</v>
      </c>
      <c r="C990">
        <f t="shared" ca="1" si="266"/>
        <v>8</v>
      </c>
      <c r="D990">
        <f t="shared" ca="1" si="267"/>
        <v>6</v>
      </c>
      <c r="E990">
        <f t="shared" ca="1" si="268"/>
        <v>3</v>
      </c>
      <c r="F990" s="100">
        <f t="shared" ca="1" si="269"/>
        <v>4.2544200000000001E-3</v>
      </c>
      <c r="G990">
        <v>0</v>
      </c>
      <c r="H990">
        <v>1</v>
      </c>
      <c r="I990">
        <v>0</v>
      </c>
      <c r="J990" s="1">
        <f t="shared" ca="1" si="270"/>
        <v>9.9000000000000638E-15</v>
      </c>
      <c r="K990" s="1">
        <f t="shared" ca="1" si="271"/>
        <v>4.2118758000000271E-17</v>
      </c>
      <c r="L990" s="13">
        <f t="shared" ca="1" si="272"/>
        <v>134</v>
      </c>
      <c r="M990" s="7">
        <f t="shared" ca="1" si="273"/>
        <v>866</v>
      </c>
      <c r="N990" s="43">
        <f t="shared" ca="1" si="274"/>
        <v>7</v>
      </c>
      <c r="O990" s="92">
        <f t="shared" ca="1" si="275"/>
        <v>3.2214900588145507</v>
      </c>
      <c r="P990" s="92">
        <f t="shared" ca="1" si="276"/>
        <v>32.214900588145518</v>
      </c>
      <c r="Q990" s="92">
        <f t="shared" ca="1" si="277"/>
        <v>32.214900588145518</v>
      </c>
      <c r="R990" s="92">
        <f t="shared" ca="1" si="278"/>
        <v>3.2214900588145516</v>
      </c>
      <c r="S990" s="92">
        <f t="shared" ca="1" si="279"/>
        <v>3.2214900588145507</v>
      </c>
      <c r="T990" s="4">
        <f t="shared" ca="1" si="280"/>
        <v>1.3568516018661671E-16</v>
      </c>
      <c r="U990" s="99">
        <f t="shared" ca="1" si="281"/>
        <v>1289.9757603899629</v>
      </c>
      <c r="V990" s="4">
        <f t="shared" ca="1" si="282"/>
        <v>5.4332176877731185E-14</v>
      </c>
      <c r="W990" s="13">
        <f t="shared" ca="1" si="283"/>
        <v>6145.3132124999993</v>
      </c>
      <c r="X990" s="4">
        <f t="shared" ca="1" si="284"/>
        <v>2.5883296003149172E-13</v>
      </c>
    </row>
    <row r="991" spans="1:24">
      <c r="A991">
        <v>3</v>
      </c>
      <c r="B991">
        <v>1</v>
      </c>
      <c r="C991">
        <f t="shared" ca="1" si="266"/>
        <v>8</v>
      </c>
      <c r="D991">
        <f t="shared" ca="1" si="267"/>
        <v>6</v>
      </c>
      <c r="E991">
        <f t="shared" ca="1" si="268"/>
        <v>3</v>
      </c>
      <c r="F991" s="100">
        <f t="shared" ca="1" si="269"/>
        <v>4.2544200000000001E-3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3">
        <f t="shared" ca="1" si="274"/>
        <v>7</v>
      </c>
      <c r="O991" s="92">
        <f t="shared" ca="1" si="275"/>
        <v>3.2214900588145507</v>
      </c>
      <c r="P991" s="92">
        <f t="shared" ca="1" si="276"/>
        <v>32.214900588145518</v>
      </c>
      <c r="Q991" s="92">
        <f t="shared" ca="1" si="277"/>
        <v>32.214900588145518</v>
      </c>
      <c r="R991" s="92">
        <f t="shared" ca="1" si="278"/>
        <v>3.2214900588145516</v>
      </c>
      <c r="S991" s="92">
        <f t="shared" ca="1" si="279"/>
        <v>3.2214900588145507</v>
      </c>
      <c r="T991" s="4">
        <f t="shared" ca="1" si="280"/>
        <v>0</v>
      </c>
      <c r="U991" s="99">
        <f t="shared" ca="1" si="281"/>
        <v>1309.9757603899629</v>
      </c>
      <c r="V991" s="4">
        <f t="shared" ca="1" si="282"/>
        <v>0</v>
      </c>
      <c r="W991" s="13">
        <f t="shared" ca="1" si="283"/>
        <v>42119.50483125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ca="1" si="266"/>
        <v>8</v>
      </c>
      <c r="D992">
        <f t="shared" ca="1" si="267"/>
        <v>6</v>
      </c>
      <c r="E992">
        <f t="shared" ca="1" si="268"/>
        <v>3</v>
      </c>
      <c r="F992" s="100">
        <f t="shared" ca="1" si="269"/>
        <v>4.2544200000000001E-3</v>
      </c>
      <c r="G992">
        <v>0</v>
      </c>
      <c r="H992">
        <v>0</v>
      </c>
      <c r="I992">
        <v>6</v>
      </c>
      <c r="J992" s="1">
        <f t="shared" ca="1" si="270"/>
        <v>9.4148014940100163E-5</v>
      </c>
      <c r="K992" s="1">
        <f t="shared" ca="1" si="271"/>
        <v>4.0054519772146097E-7</v>
      </c>
      <c r="L992" s="13">
        <f t="shared" ca="1" si="272"/>
        <v>132</v>
      </c>
      <c r="M992" s="7">
        <f t="shared" ca="1" si="273"/>
        <v>868</v>
      </c>
      <c r="N992" s="43">
        <f t="shared" ca="1" si="274"/>
        <v>7</v>
      </c>
      <c r="O992" s="92">
        <f t="shared" ca="1" si="275"/>
        <v>3.2214900588145507</v>
      </c>
      <c r="P992" s="92">
        <f t="shared" ca="1" si="276"/>
        <v>32.214900588145518</v>
      </c>
      <c r="Q992" s="92">
        <f t="shared" ca="1" si="277"/>
        <v>32.214900588145518</v>
      </c>
      <c r="R992" s="92">
        <f t="shared" ca="1" si="278"/>
        <v>3.2214900588145516</v>
      </c>
      <c r="S992" s="92">
        <f t="shared" ca="1" si="279"/>
        <v>3.2214900588145507</v>
      </c>
      <c r="T992" s="4">
        <f t="shared" ca="1" si="280"/>
        <v>1.2903523725655952E-6</v>
      </c>
      <c r="U992" s="99">
        <f t="shared" ca="1" si="281"/>
        <v>1287.9757603899629</v>
      </c>
      <c r="V992" s="4">
        <f t="shared" ca="1" si="282"/>
        <v>5.1589250560584669E-4</v>
      </c>
      <c r="W992" s="13">
        <f t="shared" ca="1" si="283"/>
        <v>36102.432712499998</v>
      </c>
      <c r="X992" s="4">
        <f t="shared" ca="1" si="284"/>
        <v>1.4460656049054051E-2</v>
      </c>
    </row>
    <row r="993" spans="1:24">
      <c r="A993">
        <v>3</v>
      </c>
      <c r="B993">
        <v>1</v>
      </c>
      <c r="C993">
        <f t="shared" ca="1" si="266"/>
        <v>8</v>
      </c>
      <c r="D993">
        <f t="shared" ca="1" si="267"/>
        <v>6</v>
      </c>
      <c r="E993">
        <f t="shared" ca="1" si="268"/>
        <v>3</v>
      </c>
      <c r="F993" s="100">
        <f t="shared" ca="1" si="269"/>
        <v>4.2544200000000001E-3</v>
      </c>
      <c r="G993">
        <v>0</v>
      </c>
      <c r="H993">
        <v>0</v>
      </c>
      <c r="I993">
        <v>5</v>
      </c>
      <c r="J993" s="1">
        <f t="shared" ca="1" si="270"/>
        <v>5.7059402994000143E-6</v>
      </c>
      <c r="K993" s="1">
        <f t="shared" ca="1" si="271"/>
        <v>2.4275466528573408E-8</v>
      </c>
      <c r="L993" s="13">
        <f t="shared" ca="1" si="272"/>
        <v>110</v>
      </c>
      <c r="M993" s="7">
        <f t="shared" ca="1" si="273"/>
        <v>890</v>
      </c>
      <c r="N993" s="43">
        <f t="shared" ca="1" si="274"/>
        <v>8</v>
      </c>
      <c r="O993" s="92">
        <f t="shared" ca="1" si="275"/>
        <v>3.5531918581169131</v>
      </c>
      <c r="P993" s="92">
        <f t="shared" ca="1" si="276"/>
        <v>35.531918581169137</v>
      </c>
      <c r="Q993" s="92">
        <f t="shared" ca="1" si="277"/>
        <v>33.541707785354966</v>
      </c>
      <c r="R993" s="92">
        <f t="shared" ca="1" si="278"/>
        <v>3.4536813183262054</v>
      </c>
      <c r="S993" s="92">
        <f t="shared" ca="1" si="279"/>
        <v>3.5462261203315633</v>
      </c>
      <c r="T993" s="4">
        <f t="shared" ca="1" si="280"/>
        <v>8.6086293486861593E-8</v>
      </c>
      <c r="U993" s="99">
        <f t="shared" ca="1" si="281"/>
        <v>1366.7817087343356</v>
      </c>
      <c r="V993" s="4">
        <f t="shared" ca="1" si="282"/>
        <v>3.3179263622246728E-5</v>
      </c>
      <c r="W993" s="13">
        <f t="shared" ca="1" si="283"/>
        <v>30085.360593749996</v>
      </c>
      <c r="X993" s="4">
        <f t="shared" ca="1" si="284"/>
        <v>7.3033616409363944E-4</v>
      </c>
    </row>
    <row r="994" spans="1:24">
      <c r="A994">
        <v>3</v>
      </c>
      <c r="B994">
        <v>1</v>
      </c>
      <c r="C994">
        <f t="shared" ca="1" si="266"/>
        <v>8</v>
      </c>
      <c r="D994">
        <f t="shared" ca="1" si="267"/>
        <v>6</v>
      </c>
      <c r="E994">
        <f t="shared" ca="1" si="268"/>
        <v>3</v>
      </c>
      <c r="F994" s="100">
        <f t="shared" ca="1" si="269"/>
        <v>4.2544200000000001E-3</v>
      </c>
      <c r="G994">
        <v>0</v>
      </c>
      <c r="H994">
        <v>0</v>
      </c>
      <c r="I994">
        <v>4</v>
      </c>
      <c r="J994" s="1">
        <f t="shared" ca="1" si="270"/>
        <v>1.4408940150000052E-7</v>
      </c>
      <c r="K994" s="1">
        <f t="shared" ca="1" si="271"/>
        <v>6.1301683152963217E-10</v>
      </c>
      <c r="L994" s="13">
        <f t="shared" ca="1" si="272"/>
        <v>100</v>
      </c>
      <c r="M994" s="7">
        <f t="shared" ca="1" si="273"/>
        <v>900</v>
      </c>
      <c r="N994" s="43">
        <f t="shared" ca="1" si="274"/>
        <v>8</v>
      </c>
      <c r="O994" s="92">
        <f t="shared" ca="1" si="275"/>
        <v>3.5531918581169131</v>
      </c>
      <c r="P994" s="92">
        <f t="shared" ca="1" si="276"/>
        <v>35.531918581169137</v>
      </c>
      <c r="Q994" s="92">
        <f t="shared" ca="1" si="277"/>
        <v>35.531918581169137</v>
      </c>
      <c r="R994" s="92">
        <f t="shared" ca="1" si="278"/>
        <v>3.5531918581169135</v>
      </c>
      <c r="S994" s="92">
        <f t="shared" ca="1" si="279"/>
        <v>3.5531918581169126</v>
      </c>
      <c r="T994" s="4">
        <f t="shared" ca="1" si="280"/>
        <v>2.1781664146797161E-9</v>
      </c>
      <c r="U994" s="99">
        <f t="shared" ca="1" si="281"/>
        <v>1358.9440426620492</v>
      </c>
      <c r="V994" s="4">
        <f t="shared" ca="1" si="282"/>
        <v>8.3305557125875872E-7</v>
      </c>
      <c r="W994" s="13">
        <f t="shared" ca="1" si="283"/>
        <v>24068.288474999998</v>
      </c>
      <c r="X994" s="4">
        <f t="shared" ca="1" si="284"/>
        <v>1.4754265941285661E-5</v>
      </c>
    </row>
    <row r="995" spans="1:24">
      <c r="A995">
        <v>3</v>
      </c>
      <c r="B995">
        <v>1</v>
      </c>
      <c r="C995">
        <f t="shared" ca="1" si="266"/>
        <v>8</v>
      </c>
      <c r="D995">
        <f t="shared" ca="1" si="267"/>
        <v>6</v>
      </c>
      <c r="E995">
        <f t="shared" ca="1" si="268"/>
        <v>3</v>
      </c>
      <c r="F995" s="100">
        <f t="shared" ca="1" si="269"/>
        <v>4.2544200000000001E-3</v>
      </c>
      <c r="G995">
        <v>0</v>
      </c>
      <c r="H995">
        <v>0</v>
      </c>
      <c r="I995">
        <v>3</v>
      </c>
      <c r="J995" s="1">
        <f t="shared" ca="1" si="270"/>
        <v>1.9405980000000086E-9</v>
      </c>
      <c r="K995" s="1">
        <f t="shared" ca="1" si="271"/>
        <v>8.2561189431600366E-12</v>
      </c>
      <c r="L995" s="13">
        <f t="shared" ca="1" si="272"/>
        <v>100</v>
      </c>
      <c r="M995" s="7">
        <f t="shared" ca="1" si="273"/>
        <v>900</v>
      </c>
      <c r="N995" s="43">
        <f t="shared" ca="1" si="274"/>
        <v>8</v>
      </c>
      <c r="O995" s="92">
        <f t="shared" ca="1" si="275"/>
        <v>3.5531918581169131</v>
      </c>
      <c r="P995" s="92">
        <f t="shared" ca="1" si="276"/>
        <v>35.531918581169137</v>
      </c>
      <c r="Q995" s="92">
        <f t="shared" ca="1" si="277"/>
        <v>35.531918581169137</v>
      </c>
      <c r="R995" s="92">
        <f t="shared" ca="1" si="278"/>
        <v>3.5531918581169135</v>
      </c>
      <c r="S995" s="92">
        <f t="shared" ca="1" si="279"/>
        <v>3.5531918581169126</v>
      </c>
      <c r="T995" s="4">
        <f t="shared" ca="1" si="280"/>
        <v>2.9335574608481054E-11</v>
      </c>
      <c r="U995" s="99">
        <f t="shared" ca="1" si="281"/>
        <v>1358.9440426620492</v>
      </c>
      <c r="V995" s="4">
        <f t="shared" ca="1" si="282"/>
        <v>1.1219603653316626E-8</v>
      </c>
      <c r="W995" s="13">
        <f t="shared" ca="1" si="283"/>
        <v>18051.216356249999</v>
      </c>
      <c r="X995" s="4">
        <f t="shared" ca="1" si="284"/>
        <v>1.490329893059159E-7</v>
      </c>
    </row>
    <row r="996" spans="1:24">
      <c r="A996">
        <v>3</v>
      </c>
      <c r="B996">
        <v>1</v>
      </c>
      <c r="C996">
        <f t="shared" ca="1" si="266"/>
        <v>8</v>
      </c>
      <c r="D996">
        <f t="shared" ca="1" si="267"/>
        <v>6</v>
      </c>
      <c r="E996">
        <f t="shared" ca="1" si="268"/>
        <v>3</v>
      </c>
      <c r="F996" s="100">
        <f t="shared" ca="1" si="269"/>
        <v>4.2544200000000001E-3</v>
      </c>
      <c r="G996">
        <v>0</v>
      </c>
      <c r="H996">
        <v>0</v>
      </c>
      <c r="I996">
        <v>2</v>
      </c>
      <c r="J996" s="1">
        <f t="shared" ca="1" si="270"/>
        <v>1.4701500000000082E-11</v>
      </c>
      <c r="K996" s="1">
        <f t="shared" ca="1" si="271"/>
        <v>6.2546355630000351E-14</v>
      </c>
      <c r="L996" s="13">
        <f t="shared" ca="1" si="272"/>
        <v>100</v>
      </c>
      <c r="M996" s="7">
        <f t="shared" ca="1" si="273"/>
        <v>900</v>
      </c>
      <c r="N996" s="43">
        <f t="shared" ca="1" si="274"/>
        <v>8</v>
      </c>
      <c r="O996" s="92">
        <f t="shared" ca="1" si="275"/>
        <v>3.5531918581169131</v>
      </c>
      <c r="P996" s="92">
        <f t="shared" ca="1" si="276"/>
        <v>35.531918581169137</v>
      </c>
      <c r="Q996" s="92">
        <f t="shared" ca="1" si="277"/>
        <v>35.531918581169137</v>
      </c>
      <c r="R996" s="92">
        <f t="shared" ca="1" si="278"/>
        <v>3.5531918581169135</v>
      </c>
      <c r="S996" s="92">
        <f t="shared" ca="1" si="279"/>
        <v>3.5531918581169126</v>
      </c>
      <c r="T996" s="4">
        <f t="shared" ca="1" si="280"/>
        <v>2.2223920157940216E-13</v>
      </c>
      <c r="U996" s="99">
        <f t="shared" ca="1" si="281"/>
        <v>1358.9440426620492</v>
      </c>
      <c r="V996" s="4">
        <f t="shared" ca="1" si="282"/>
        <v>8.4996997373610905E-11</v>
      </c>
      <c r="W996" s="13">
        <f t="shared" ca="1" si="283"/>
        <v>12034.144237499999</v>
      </c>
      <c r="X996" s="4">
        <f t="shared" ca="1" si="284"/>
        <v>7.5269186518139435E-10</v>
      </c>
    </row>
    <row r="997" spans="1:24">
      <c r="A997">
        <v>3</v>
      </c>
      <c r="B997">
        <v>1</v>
      </c>
      <c r="C997">
        <f t="shared" ca="1" si="266"/>
        <v>8</v>
      </c>
      <c r="D997">
        <f t="shared" ca="1" si="267"/>
        <v>6</v>
      </c>
      <c r="E997">
        <f t="shared" ca="1" si="268"/>
        <v>3</v>
      </c>
      <c r="F997" s="100">
        <f t="shared" ca="1" si="269"/>
        <v>4.2544200000000001E-3</v>
      </c>
      <c r="G997">
        <v>0</v>
      </c>
      <c r="H997">
        <v>0</v>
      </c>
      <c r="I997">
        <v>1</v>
      </c>
      <c r="J997" s="1">
        <f t="shared" ca="1" si="270"/>
        <v>5.9400000000000383E-14</v>
      </c>
      <c r="K997" s="1">
        <f t="shared" ca="1" si="271"/>
        <v>2.5271254800000164E-16</v>
      </c>
      <c r="L997" s="13">
        <f t="shared" ca="1" si="272"/>
        <v>100</v>
      </c>
      <c r="M997" s="7">
        <f t="shared" ca="1" si="273"/>
        <v>900</v>
      </c>
      <c r="N997" s="43">
        <f t="shared" ca="1" si="274"/>
        <v>8</v>
      </c>
      <c r="O997" s="92">
        <f t="shared" ca="1" si="275"/>
        <v>3.5531918581169131</v>
      </c>
      <c r="P997" s="92">
        <f t="shared" ca="1" si="276"/>
        <v>35.531918581169137</v>
      </c>
      <c r="Q997" s="92">
        <f t="shared" ca="1" si="277"/>
        <v>35.531918581169137</v>
      </c>
      <c r="R997" s="92">
        <f t="shared" ca="1" si="278"/>
        <v>3.5531918581169135</v>
      </c>
      <c r="S997" s="92">
        <f t="shared" ca="1" si="279"/>
        <v>3.5531918581169126</v>
      </c>
      <c r="T997" s="4">
        <f t="shared" ca="1" si="280"/>
        <v>8.9793616799758531E-16</v>
      </c>
      <c r="U997" s="99">
        <f t="shared" ca="1" si="281"/>
        <v>1358.9440426620492</v>
      </c>
      <c r="V997" s="4">
        <f t="shared" ca="1" si="282"/>
        <v>3.4342221161054939E-13</v>
      </c>
      <c r="W997" s="13">
        <f t="shared" ca="1" si="283"/>
        <v>6017.0721187499994</v>
      </c>
      <c r="X997" s="4">
        <f t="shared" ca="1" si="284"/>
        <v>1.5205896266290808E-12</v>
      </c>
    </row>
    <row r="998" spans="1:24">
      <c r="A998">
        <v>3</v>
      </c>
      <c r="B998">
        <v>1</v>
      </c>
      <c r="C998">
        <f t="shared" ca="1" si="266"/>
        <v>8</v>
      </c>
      <c r="D998">
        <f t="shared" ca="1" si="267"/>
        <v>6</v>
      </c>
      <c r="E998">
        <f t="shared" ca="1" si="268"/>
        <v>3</v>
      </c>
      <c r="F998" s="100">
        <f t="shared" ca="1" si="269"/>
        <v>4.2544200000000001E-3</v>
      </c>
      <c r="G998">
        <v>0</v>
      </c>
      <c r="H998">
        <v>0</v>
      </c>
      <c r="I998">
        <v>0</v>
      </c>
      <c r="J998" s="1">
        <f t="shared" ca="1" si="270"/>
        <v>1.0000000000000073E-16</v>
      </c>
      <c r="K998" s="1">
        <f t="shared" ca="1" si="271"/>
        <v>4.254420000000031E-19</v>
      </c>
      <c r="L998" s="13">
        <f t="shared" ca="1" si="272"/>
        <v>100</v>
      </c>
      <c r="M998" s="7">
        <f t="shared" ca="1" si="273"/>
        <v>900</v>
      </c>
      <c r="N998" s="43">
        <f t="shared" ca="1" si="274"/>
        <v>8</v>
      </c>
      <c r="O998" s="92">
        <f t="shared" ca="1" si="275"/>
        <v>3.5531918581169131</v>
      </c>
      <c r="P998" s="92">
        <f t="shared" ca="1" si="276"/>
        <v>35.531918581169137</v>
      </c>
      <c r="Q998" s="92">
        <f t="shared" ca="1" si="277"/>
        <v>35.531918581169137</v>
      </c>
      <c r="R998" s="92">
        <f t="shared" ca="1" si="278"/>
        <v>3.5531918581169135</v>
      </c>
      <c r="S998" s="92">
        <f t="shared" ca="1" si="279"/>
        <v>3.5531918581169126</v>
      </c>
      <c r="T998" s="4">
        <f t="shared" ca="1" si="280"/>
        <v>1.5116770505009867E-18</v>
      </c>
      <c r="U998" s="99">
        <f t="shared" ca="1" si="281"/>
        <v>1358.9440426620492</v>
      </c>
      <c r="V998" s="4">
        <f t="shared" ca="1" si="282"/>
        <v>5.7815187139823179E-16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ca="1" si="285">MIN(8, 1+$B$543+$B$542+A999+B999)</f>
        <v>8</v>
      </c>
      <c r="D999">
        <f t="shared" ref="D999:D1062" ca="1" si="286">C999-(1+$B$543)</f>
        <v>6</v>
      </c>
      <c r="E999">
        <f t="shared" ref="E999:E1062" ca="1" si="287">MIN(A999, C999-(1+$B$543+$B$542))</f>
        <v>3</v>
      </c>
      <c r="F999" s="100">
        <f t="shared" ref="F999:F1062" ca="1" si="288">IF(A999=3, $E$538, IF(A999=2, (1-$E$538)*$E$537 + (1-$E$538)*(1-$E$537)*(1-$E$536)*Set2AM3*Set2AM33, IF(A999=1, (1-$E$538)*(1-$E$537)*$E$536 + (1-$E$538)*(1-$E$537)*(1-$E$536)*Set2AM3*Set2AM32, (1-$E$538)*(1-$E$537)*(1-$E$536)*(1-Set2AM3)))) * IF($B$542+$B$543&gt;0, IF(B999=3, $E$538, IF(B999=2, (1-$E$538)*$E$537, IF(B999=1, (1-$E$538)*(1-$E$537)*$E$536, (1-$E$538)*(1-$E$537)*(1-$E$536)))), IF(B999=0, 1, 0))</f>
        <v>4.0740000000000004E-3</v>
      </c>
      <c r="G999">
        <v>1</v>
      </c>
      <c r="H999">
        <v>1</v>
      </c>
      <c r="I999">
        <v>7</v>
      </c>
      <c r="J999" s="1">
        <f t="shared" ref="J999:J1062" ca="1" si="289">IF($B$541&lt;100%, POWER($B$541,G999)*POWER(1-$B$541, 1-G999), 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422</v>
      </c>
      <c r="M999" s="7">
        <f t="shared" ref="M999:M1062" ca="1" si="292">MAX(Set2MinTP-(L999+Set2Regain), 0)</f>
        <v>578</v>
      </c>
      <c r="N999" s="43">
        <f t="shared" ref="N999:N1062" ca="1" si="293">CEILING(M999/Set2MeleeTP, 1)</f>
        <v>5</v>
      </c>
      <c r="O999" s="92">
        <f t="shared" ref="O999:O1062" ca="1" si="294">VLOOKUP(N999, AvgRoundsSet2, 2)</f>
        <v>2.4432565128993144</v>
      </c>
      <c r="P999" s="92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24.432565128993144</v>
      </c>
      <c r="Q999" s="92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24.432565128993144</v>
      </c>
      <c r="R999" s="92">
        <f t="shared" ref="R999:R1062" ca="1" si="297">(P999+Q999)/20</f>
        <v>2.4432565128993144</v>
      </c>
      <c r="S999" s="92">
        <f t="shared" ref="S999:S1062" ca="1" si="298">R999*Set2ConserveTP + O999*(1-Set2ConserveTP)</f>
        <v>2.4432565128993144</v>
      </c>
      <c r="T999" s="4">
        <f t="shared" ref="T999:T1062" ca="1" si="299">K999*S999</f>
        <v>0</v>
      </c>
      <c r="U999" s="99">
        <f t="shared" ref="U999:U1062" ca="1" si="300">MIN(L999+(S999+Set2OverTP)*AvgHitsPerRound2*Set2MeleeTP + Set2Regain + 10.5*Set2ConserveTP, 3000)</f>
        <v>1336.3931955743851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54281.8901625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ca="1" si="285"/>
        <v>8</v>
      </c>
      <c r="D1000">
        <f t="shared" ca="1" si="286"/>
        <v>6</v>
      </c>
      <c r="E1000">
        <f t="shared" ca="1" si="287"/>
        <v>3</v>
      </c>
      <c r="F1000" s="100">
        <f t="shared" ca="1" si="288"/>
        <v>4.0740000000000004E-3</v>
      </c>
      <c r="G1000">
        <v>1</v>
      </c>
      <c r="H1000">
        <v>1</v>
      </c>
      <c r="I1000">
        <v>6</v>
      </c>
      <c r="J1000" s="1">
        <f t="shared" ca="1" si="289"/>
        <v>0.92274469442791995</v>
      </c>
      <c r="K1000" s="1">
        <f t="shared" ca="1" si="290"/>
        <v>3.7592618850993461E-3</v>
      </c>
      <c r="L1000" s="13">
        <f t="shared" ca="1" si="291"/>
        <v>400</v>
      </c>
      <c r="M1000" s="7">
        <f t="shared" ca="1" si="292"/>
        <v>600</v>
      </c>
      <c r="N1000" s="43">
        <f t="shared" ca="1" si="293"/>
        <v>5</v>
      </c>
      <c r="O1000" s="92">
        <f t="shared" ca="1" si="294"/>
        <v>2.4432565128993144</v>
      </c>
      <c r="P1000" s="92">
        <f t="shared" ca="1" si="295"/>
        <v>24.432565128993144</v>
      </c>
      <c r="Q1000" s="92">
        <f t="shared" ca="1" si="296"/>
        <v>24.432565128993144</v>
      </c>
      <c r="R1000" s="92">
        <f t="shared" ca="1" si="297"/>
        <v>2.4432565128993144</v>
      </c>
      <c r="S1000" s="92">
        <f t="shared" ca="1" si="298"/>
        <v>2.4432565128993144</v>
      </c>
      <c r="T1000" s="4">
        <f t="shared" ca="1" si="299"/>
        <v>9.1848410844631318E-3</v>
      </c>
      <c r="U1000" s="99">
        <f t="shared" ca="1" si="300"/>
        <v>1314.3931955743851</v>
      </c>
      <c r="V1000" s="4">
        <f t="shared" ca="1" si="301"/>
        <v>4.9411482421567161</v>
      </c>
      <c r="W1000" s="13">
        <f t="shared" ca="1" si="302"/>
        <v>48264.818043749998</v>
      </c>
      <c r="X1000" s="4">
        <f t="shared" ca="1" si="303"/>
        <v>181.44009086312454</v>
      </c>
    </row>
    <row r="1001" spans="1:24">
      <c r="A1001">
        <v>3</v>
      </c>
      <c r="B1001">
        <v>2</v>
      </c>
      <c r="C1001">
        <f t="shared" ca="1" si="285"/>
        <v>8</v>
      </c>
      <c r="D1001">
        <f t="shared" ca="1" si="286"/>
        <v>6</v>
      </c>
      <c r="E1001">
        <f t="shared" ca="1" si="287"/>
        <v>3</v>
      </c>
      <c r="F1001" s="100">
        <f t="shared" ca="1" si="288"/>
        <v>4.0740000000000004E-3</v>
      </c>
      <c r="G1001">
        <v>1</v>
      </c>
      <c r="H1001">
        <v>1</v>
      </c>
      <c r="I1001">
        <v>5</v>
      </c>
      <c r="J1001" s="1">
        <f t="shared" ca="1" si="289"/>
        <v>5.5923920874419442E-2</v>
      </c>
      <c r="K1001" s="1">
        <f t="shared" ca="1" si="290"/>
        <v>2.2783405364238483E-4</v>
      </c>
      <c r="L1001" s="13">
        <f t="shared" ca="1" si="291"/>
        <v>378</v>
      </c>
      <c r="M1001" s="7">
        <f t="shared" ca="1" si="292"/>
        <v>622</v>
      </c>
      <c r="N1001" s="43">
        <f t="shared" ca="1" si="293"/>
        <v>5</v>
      </c>
      <c r="O1001" s="92">
        <f t="shared" ca="1" si="294"/>
        <v>2.4432565128993144</v>
      </c>
      <c r="P1001" s="92">
        <f t="shared" ca="1" si="295"/>
        <v>24.432565128993144</v>
      </c>
      <c r="Q1001" s="92">
        <f t="shared" ca="1" si="296"/>
        <v>24.432565128993144</v>
      </c>
      <c r="R1001" s="92">
        <f t="shared" ca="1" si="297"/>
        <v>2.4432565128993144</v>
      </c>
      <c r="S1001" s="92">
        <f t="shared" ca="1" si="298"/>
        <v>2.4432565128993144</v>
      </c>
      <c r="T1001" s="4">
        <f t="shared" ca="1" si="299"/>
        <v>5.5665703542200854E-4</v>
      </c>
      <c r="U1001" s="99">
        <f t="shared" ca="1" si="300"/>
        <v>1292.3931955743851</v>
      </c>
      <c r="V1001" s="4">
        <f t="shared" ca="1" si="301"/>
        <v>0.29445118064754761</v>
      </c>
      <c r="W1001" s="13">
        <f t="shared" ca="1" si="302"/>
        <v>42247.745924999996</v>
      </c>
      <c r="X1001" s="4">
        <f t="shared" ca="1" si="303"/>
        <v>9.6254752113462949</v>
      </c>
    </row>
    <row r="1002" spans="1:24">
      <c r="A1002">
        <v>3</v>
      </c>
      <c r="B1002">
        <v>2</v>
      </c>
      <c r="C1002">
        <f t="shared" ca="1" si="285"/>
        <v>8</v>
      </c>
      <c r="D1002">
        <f t="shared" ca="1" si="286"/>
        <v>6</v>
      </c>
      <c r="E1002">
        <f t="shared" ca="1" si="287"/>
        <v>3</v>
      </c>
      <c r="F1002" s="100">
        <f t="shared" ca="1" si="288"/>
        <v>4.0740000000000004E-3</v>
      </c>
      <c r="G1002">
        <v>1</v>
      </c>
      <c r="H1002">
        <v>1</v>
      </c>
      <c r="I1002">
        <v>4</v>
      </c>
      <c r="J1002" s="1">
        <f t="shared" ca="1" si="289"/>
        <v>1.4122202241015026E-3</v>
      </c>
      <c r="K1002" s="1">
        <f t="shared" ca="1" si="290"/>
        <v>5.753385192989522E-6</v>
      </c>
      <c r="L1002" s="13">
        <f t="shared" ca="1" si="291"/>
        <v>356</v>
      </c>
      <c r="M1002" s="7">
        <f t="shared" ca="1" si="292"/>
        <v>644</v>
      </c>
      <c r="N1002" s="43">
        <f t="shared" ca="1" si="293"/>
        <v>6</v>
      </c>
      <c r="O1002" s="92">
        <f t="shared" ca="1" si="294"/>
        <v>2.7275117780454798</v>
      </c>
      <c r="P1002" s="92">
        <f t="shared" ca="1" si="295"/>
        <v>27.275117780454792</v>
      </c>
      <c r="Q1002" s="92">
        <f t="shared" ca="1" si="296"/>
        <v>26.706607250162463</v>
      </c>
      <c r="R1002" s="92">
        <f t="shared" ca="1" si="297"/>
        <v>2.6990862515308627</v>
      </c>
      <c r="S1002" s="92">
        <f t="shared" ca="1" si="298"/>
        <v>2.7255219911894564</v>
      </c>
      <c r="T1002" s="4">
        <f t="shared" ca="1" si="299"/>
        <v>1.5680977867276738E-5</v>
      </c>
      <c r="U1002" s="99">
        <f t="shared" ca="1" si="300"/>
        <v>1358.0152449734937</v>
      </c>
      <c r="V1002" s="4">
        <f t="shared" ca="1" si="301"/>
        <v>7.8131848022845365E-3</v>
      </c>
      <c r="W1002" s="13">
        <f t="shared" ca="1" si="302"/>
        <v>36230.673806249994</v>
      </c>
      <c r="X1002" s="4">
        <f t="shared" ca="1" si="303"/>
        <v>0.20844902220891204</v>
      </c>
    </row>
    <row r="1003" spans="1:24">
      <c r="A1003">
        <v>3</v>
      </c>
      <c r="B1003">
        <v>2</v>
      </c>
      <c r="C1003">
        <f t="shared" ca="1" si="285"/>
        <v>8</v>
      </c>
      <c r="D1003">
        <f t="shared" ca="1" si="286"/>
        <v>6</v>
      </c>
      <c r="E1003">
        <f t="shared" ca="1" si="287"/>
        <v>3</v>
      </c>
      <c r="F1003" s="100">
        <f t="shared" ca="1" si="288"/>
        <v>4.0740000000000004E-3</v>
      </c>
      <c r="G1003">
        <v>1</v>
      </c>
      <c r="H1003">
        <v>1</v>
      </c>
      <c r="I1003">
        <v>3</v>
      </c>
      <c r="J1003" s="1">
        <f t="shared" ca="1" si="289"/>
        <v>1.9019800998000047E-5</v>
      </c>
      <c r="K1003" s="1">
        <f t="shared" ca="1" si="290"/>
        <v>7.7486669265852197E-8</v>
      </c>
      <c r="L1003" s="13">
        <f t="shared" ca="1" si="291"/>
        <v>334</v>
      </c>
      <c r="M1003" s="7">
        <f t="shared" ca="1" si="292"/>
        <v>666</v>
      </c>
      <c r="N1003" s="43">
        <f t="shared" ca="1" si="293"/>
        <v>6</v>
      </c>
      <c r="O1003" s="92">
        <f t="shared" ca="1" si="294"/>
        <v>2.7275117780454798</v>
      </c>
      <c r="P1003" s="92">
        <f t="shared" ca="1" si="295"/>
        <v>27.275117780454792</v>
      </c>
      <c r="Q1003" s="92">
        <f t="shared" ca="1" si="296"/>
        <v>27.275117780454792</v>
      </c>
      <c r="R1003" s="92">
        <f t="shared" ca="1" si="297"/>
        <v>2.7275117780454794</v>
      </c>
      <c r="S1003" s="92">
        <f t="shared" ca="1" si="298"/>
        <v>2.7275117780454794</v>
      </c>
      <c r="T1003" s="4">
        <f t="shared" ca="1" si="299"/>
        <v>2.1134580306412653E-7</v>
      </c>
      <c r="U1003" s="99">
        <f t="shared" ca="1" si="300"/>
        <v>1336.6329230659346</v>
      </c>
      <c r="V1003" s="4">
        <f t="shared" ca="1" si="301"/>
        <v>1.0357123323945934E-4</v>
      </c>
      <c r="W1003" s="13">
        <f t="shared" ca="1" si="302"/>
        <v>30213.601687499999</v>
      </c>
      <c r="X1003" s="4">
        <f t="shared" ca="1" si="303"/>
        <v>2.3411513612895062E-3</v>
      </c>
    </row>
    <row r="1004" spans="1:24">
      <c r="A1004">
        <v>3</v>
      </c>
      <c r="B1004">
        <v>2</v>
      </c>
      <c r="C1004">
        <f t="shared" ca="1" si="285"/>
        <v>8</v>
      </c>
      <c r="D1004">
        <f t="shared" ca="1" si="286"/>
        <v>6</v>
      </c>
      <c r="E1004">
        <f t="shared" ca="1" si="287"/>
        <v>3</v>
      </c>
      <c r="F1004" s="100">
        <f t="shared" ca="1" si="288"/>
        <v>4.0740000000000004E-3</v>
      </c>
      <c r="G1004">
        <v>1</v>
      </c>
      <c r="H1004">
        <v>1</v>
      </c>
      <c r="I1004">
        <v>2</v>
      </c>
      <c r="J1004" s="1">
        <f t="shared" ca="1" si="289"/>
        <v>1.4408940150000054E-7</v>
      </c>
      <c r="K1004" s="1">
        <f t="shared" ca="1" si="290"/>
        <v>5.8702022171100227E-10</v>
      </c>
      <c r="L1004" s="13">
        <f t="shared" ca="1" si="291"/>
        <v>312</v>
      </c>
      <c r="M1004" s="7">
        <f t="shared" ca="1" si="292"/>
        <v>688</v>
      </c>
      <c r="N1004" s="43">
        <f t="shared" ca="1" si="293"/>
        <v>6</v>
      </c>
      <c r="O1004" s="92">
        <f t="shared" ca="1" si="294"/>
        <v>2.7275117780454798</v>
      </c>
      <c r="P1004" s="92">
        <f t="shared" ca="1" si="295"/>
        <v>27.275117780454792</v>
      </c>
      <c r="Q1004" s="92">
        <f t="shared" ca="1" si="296"/>
        <v>27.275117780454792</v>
      </c>
      <c r="R1004" s="92">
        <f t="shared" ca="1" si="297"/>
        <v>2.7275117780454794</v>
      </c>
      <c r="S1004" s="92">
        <f t="shared" ca="1" si="298"/>
        <v>2.7275117780454794</v>
      </c>
      <c r="T1004" s="4">
        <f t="shared" ca="1" si="299"/>
        <v>1.6011045686676274E-9</v>
      </c>
      <c r="U1004" s="99">
        <f t="shared" ca="1" si="300"/>
        <v>1314.6329230659346</v>
      </c>
      <c r="V1004" s="4">
        <f t="shared" ca="1" si="301"/>
        <v>7.7171610996674798E-7</v>
      </c>
      <c r="W1004" s="13">
        <f t="shared" ca="1" si="302"/>
        <v>24196.529568749997</v>
      </c>
      <c r="X1004" s="4">
        <f t="shared" ca="1" si="303"/>
        <v>1.4203852152084446E-5</v>
      </c>
    </row>
    <row r="1005" spans="1:24">
      <c r="A1005">
        <v>3</v>
      </c>
      <c r="B1005">
        <v>2</v>
      </c>
      <c r="C1005">
        <f t="shared" ca="1" si="285"/>
        <v>8</v>
      </c>
      <c r="D1005">
        <f t="shared" ca="1" si="286"/>
        <v>6</v>
      </c>
      <c r="E1005">
        <f t="shared" ca="1" si="287"/>
        <v>3</v>
      </c>
      <c r="F1005" s="100">
        <f t="shared" ca="1" si="288"/>
        <v>4.0740000000000004E-3</v>
      </c>
      <c r="G1005">
        <v>1</v>
      </c>
      <c r="H1005">
        <v>1</v>
      </c>
      <c r="I1005">
        <v>1</v>
      </c>
      <c r="J1005" s="1">
        <f t="shared" ca="1" si="289"/>
        <v>5.8217940000000265E-10</v>
      </c>
      <c r="K1005" s="1">
        <f t="shared" ca="1" si="290"/>
        <v>2.3717988756000111E-12</v>
      </c>
      <c r="L1005" s="13">
        <f t="shared" ca="1" si="291"/>
        <v>290</v>
      </c>
      <c r="M1005" s="7">
        <f t="shared" ca="1" si="292"/>
        <v>710</v>
      </c>
      <c r="N1005" s="43">
        <f t="shared" ca="1" si="293"/>
        <v>6</v>
      </c>
      <c r="O1005" s="92">
        <f t="shared" ca="1" si="294"/>
        <v>2.7275117780454798</v>
      </c>
      <c r="P1005" s="92">
        <f t="shared" ca="1" si="295"/>
        <v>27.275117780454792</v>
      </c>
      <c r="Q1005" s="92">
        <f t="shared" ca="1" si="296"/>
        <v>27.275117780454792</v>
      </c>
      <c r="R1005" s="92">
        <f t="shared" ca="1" si="297"/>
        <v>2.7275117780454794</v>
      </c>
      <c r="S1005" s="92">
        <f t="shared" ca="1" si="298"/>
        <v>2.7275117780454794</v>
      </c>
      <c r="T1005" s="4">
        <f t="shared" ca="1" si="299"/>
        <v>6.4691093683540547E-12</v>
      </c>
      <c r="U1005" s="99">
        <f t="shared" ca="1" si="300"/>
        <v>1292.6329230659346</v>
      </c>
      <c r="V1005" s="4">
        <f t="shared" ca="1" si="301"/>
        <v>3.0658653134913394E-9</v>
      </c>
      <c r="W1005" s="13">
        <f t="shared" ca="1" si="302"/>
        <v>18179.457449999998</v>
      </c>
      <c r="X1005" s="4">
        <f t="shared" ca="1" si="303"/>
        <v>4.3118016738928238E-8</v>
      </c>
    </row>
    <row r="1006" spans="1:24">
      <c r="A1006">
        <v>3</v>
      </c>
      <c r="B1006">
        <v>2</v>
      </c>
      <c r="C1006">
        <f t="shared" ca="1" si="285"/>
        <v>8</v>
      </c>
      <c r="D1006">
        <f t="shared" ca="1" si="286"/>
        <v>6</v>
      </c>
      <c r="E1006">
        <f t="shared" ca="1" si="287"/>
        <v>3</v>
      </c>
      <c r="F1006" s="100">
        <f t="shared" ca="1" si="288"/>
        <v>4.0740000000000004E-3</v>
      </c>
      <c r="G1006">
        <v>1</v>
      </c>
      <c r="H1006">
        <v>1</v>
      </c>
      <c r="I1006">
        <v>0</v>
      </c>
      <c r="J1006" s="1">
        <f t="shared" ca="1" si="289"/>
        <v>9.8010000000000529E-13</v>
      </c>
      <c r="K1006" s="1">
        <f t="shared" ca="1" si="290"/>
        <v>3.9929274000000217E-15</v>
      </c>
      <c r="L1006" s="13">
        <f t="shared" ca="1" si="291"/>
        <v>268</v>
      </c>
      <c r="M1006" s="7">
        <f t="shared" ca="1" si="292"/>
        <v>732</v>
      </c>
      <c r="N1006" s="43">
        <f t="shared" ca="1" si="293"/>
        <v>6</v>
      </c>
      <c r="O1006" s="92">
        <f t="shared" ca="1" si="294"/>
        <v>2.7275117780454798</v>
      </c>
      <c r="P1006" s="92">
        <f t="shared" ca="1" si="295"/>
        <v>27.275117780454792</v>
      </c>
      <c r="Q1006" s="92">
        <f t="shared" ca="1" si="296"/>
        <v>27.275117780454792</v>
      </c>
      <c r="R1006" s="92">
        <f t="shared" ca="1" si="297"/>
        <v>2.7275117780454794</v>
      </c>
      <c r="S1006" s="92">
        <f t="shared" ca="1" si="298"/>
        <v>2.7275117780454794</v>
      </c>
      <c r="T1006" s="4">
        <f t="shared" ca="1" si="299"/>
        <v>1.0890756512380572E-14</v>
      </c>
      <c r="U1006" s="99">
        <f t="shared" ca="1" si="300"/>
        <v>1270.6329230659346</v>
      </c>
      <c r="V1006" s="4">
        <f t="shared" ca="1" si="301"/>
        <v>5.0735450138520896E-12</v>
      </c>
      <c r="W1006" s="13">
        <f t="shared" ca="1" si="302"/>
        <v>12162.38533125</v>
      </c>
      <c r="X1006" s="4">
        <f t="shared" ca="1" si="303"/>
        <v>4.8563521638506461E-11</v>
      </c>
    </row>
    <row r="1007" spans="1:24">
      <c r="A1007">
        <v>3</v>
      </c>
      <c r="B1007">
        <v>2</v>
      </c>
      <c r="C1007">
        <f t="shared" ca="1" si="285"/>
        <v>8</v>
      </c>
      <c r="D1007">
        <f t="shared" ca="1" si="286"/>
        <v>6</v>
      </c>
      <c r="E1007">
        <f t="shared" ca="1" si="287"/>
        <v>3</v>
      </c>
      <c r="F1007" s="100">
        <f t="shared" ca="1" si="288"/>
        <v>4.0740000000000004E-3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288</v>
      </c>
      <c r="M1007" s="7">
        <f t="shared" ca="1" si="292"/>
        <v>712</v>
      </c>
      <c r="N1007" s="43">
        <f t="shared" ca="1" si="293"/>
        <v>6</v>
      </c>
      <c r="O1007" s="92">
        <f t="shared" ca="1" si="294"/>
        <v>2.7275117780454798</v>
      </c>
      <c r="P1007" s="92">
        <f t="shared" ca="1" si="295"/>
        <v>27.275117780454792</v>
      </c>
      <c r="Q1007" s="92">
        <f t="shared" ca="1" si="296"/>
        <v>27.275117780454792</v>
      </c>
      <c r="R1007" s="92">
        <f t="shared" ca="1" si="297"/>
        <v>2.7275117780454794</v>
      </c>
      <c r="S1007" s="92">
        <f t="shared" ca="1" si="298"/>
        <v>2.7275117780454794</v>
      </c>
      <c r="T1007" s="4">
        <f t="shared" ca="1" si="299"/>
        <v>0</v>
      </c>
      <c r="U1007" s="99">
        <f t="shared" ca="1" si="300"/>
        <v>1290.6329230659346</v>
      </c>
      <c r="V1007" s="4">
        <f t="shared" ca="1" si="301"/>
        <v>0</v>
      </c>
      <c r="W1007" s="13">
        <f t="shared" ca="1" si="302"/>
        <v>48136.576950000002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ca="1" si="285"/>
        <v>8</v>
      </c>
      <c r="D1008">
        <f t="shared" ca="1" si="286"/>
        <v>6</v>
      </c>
      <c r="E1008">
        <f t="shared" ca="1" si="287"/>
        <v>3</v>
      </c>
      <c r="F1008" s="100">
        <f t="shared" ca="1" si="288"/>
        <v>4.0740000000000004E-3</v>
      </c>
      <c r="G1008">
        <v>1</v>
      </c>
      <c r="H1008">
        <v>0</v>
      </c>
      <c r="I1008">
        <v>6</v>
      </c>
      <c r="J1008" s="1">
        <f t="shared" ca="1" si="289"/>
        <v>9.3206534790699087E-3</v>
      </c>
      <c r="K1008" s="1">
        <f t="shared" ca="1" si="290"/>
        <v>3.797234227373081E-5</v>
      </c>
      <c r="L1008" s="13">
        <f t="shared" ca="1" si="291"/>
        <v>266</v>
      </c>
      <c r="M1008" s="7">
        <f t="shared" ca="1" si="292"/>
        <v>734</v>
      </c>
      <c r="N1008" s="43">
        <f t="shared" ca="1" si="293"/>
        <v>6</v>
      </c>
      <c r="O1008" s="92">
        <f t="shared" ca="1" si="294"/>
        <v>2.7275117780454798</v>
      </c>
      <c r="P1008" s="92">
        <f t="shared" ca="1" si="295"/>
        <v>27.275117780454792</v>
      </c>
      <c r="Q1008" s="92">
        <f t="shared" ca="1" si="296"/>
        <v>27.275117780454792</v>
      </c>
      <c r="R1008" s="92">
        <f t="shared" ca="1" si="297"/>
        <v>2.7275117780454794</v>
      </c>
      <c r="S1008" s="92">
        <f t="shared" ca="1" si="298"/>
        <v>2.7275117780454794</v>
      </c>
      <c r="T1008" s="4">
        <f t="shared" ca="1" si="299"/>
        <v>1.0357001079157504E-4</v>
      </c>
      <c r="U1008" s="99">
        <f t="shared" ca="1" si="300"/>
        <v>1268.6329230659346</v>
      </c>
      <c r="V1008" s="4">
        <f t="shared" ca="1" si="301"/>
        <v>4.8172963574383276E-2</v>
      </c>
      <c r="W1008" s="13">
        <f t="shared" ca="1" si="302"/>
        <v>42119.50483125</v>
      </c>
      <c r="X1008" s="4">
        <f t="shared" ca="1" si="303"/>
        <v>1.5993762538522835</v>
      </c>
    </row>
    <row r="1009" spans="1:24">
      <c r="A1009">
        <v>3</v>
      </c>
      <c r="B1009">
        <v>2</v>
      </c>
      <c r="C1009">
        <f t="shared" ca="1" si="285"/>
        <v>8</v>
      </c>
      <c r="D1009">
        <f t="shared" ca="1" si="286"/>
        <v>6</v>
      </c>
      <c r="E1009">
        <f t="shared" ca="1" si="287"/>
        <v>3</v>
      </c>
      <c r="F1009" s="100">
        <f t="shared" ca="1" si="288"/>
        <v>4.0740000000000004E-3</v>
      </c>
      <c r="G1009">
        <v>1</v>
      </c>
      <c r="H1009">
        <v>0</v>
      </c>
      <c r="I1009">
        <v>5</v>
      </c>
      <c r="J1009" s="1">
        <f t="shared" ca="1" si="289"/>
        <v>5.6488808964060098E-4</v>
      </c>
      <c r="K1009" s="1">
        <f t="shared" ca="1" si="290"/>
        <v>2.3013540771958085E-6</v>
      </c>
      <c r="L1009" s="13">
        <f t="shared" ca="1" si="291"/>
        <v>244</v>
      </c>
      <c r="M1009" s="7">
        <f t="shared" ca="1" si="292"/>
        <v>756</v>
      </c>
      <c r="N1009" s="43">
        <f t="shared" ca="1" si="293"/>
        <v>7</v>
      </c>
      <c r="O1009" s="92">
        <f t="shared" ca="1" si="294"/>
        <v>3.2214900588145507</v>
      </c>
      <c r="P1009" s="92">
        <f t="shared" ca="1" si="295"/>
        <v>29.745009184300148</v>
      </c>
      <c r="Q1009" s="92">
        <f t="shared" ca="1" si="296"/>
        <v>27.275117780454792</v>
      </c>
      <c r="R1009" s="92">
        <f t="shared" ca="1" si="297"/>
        <v>2.851006348237747</v>
      </c>
      <c r="S1009" s="92">
        <f t="shared" ca="1" si="298"/>
        <v>3.1955561990741743</v>
      </c>
      <c r="T1009" s="4">
        <f t="shared" ca="1" si="299"/>
        <v>7.3541062876476914E-6</v>
      </c>
      <c r="U1009" s="99">
        <f t="shared" ca="1" si="300"/>
        <v>1391.9252614304514</v>
      </c>
      <c r="V1009" s="4">
        <f t="shared" ca="1" si="301"/>
        <v>3.203312875544811E-3</v>
      </c>
      <c r="W1009" s="13">
        <f t="shared" ca="1" si="302"/>
        <v>36102.432712499998</v>
      </c>
      <c r="X1009" s="4">
        <f t="shared" ca="1" si="303"/>
        <v>8.3084480719599202E-2</v>
      </c>
    </row>
    <row r="1010" spans="1:24">
      <c r="A1010">
        <v>3</v>
      </c>
      <c r="B1010">
        <v>2</v>
      </c>
      <c r="C1010">
        <f t="shared" ca="1" si="285"/>
        <v>8</v>
      </c>
      <c r="D1010">
        <f t="shared" ca="1" si="286"/>
        <v>6</v>
      </c>
      <c r="E1010">
        <f t="shared" ca="1" si="287"/>
        <v>3</v>
      </c>
      <c r="F1010" s="100">
        <f t="shared" ca="1" si="288"/>
        <v>4.0740000000000004E-3</v>
      </c>
      <c r="G1010">
        <v>1</v>
      </c>
      <c r="H1010">
        <v>0</v>
      </c>
      <c r="I1010">
        <v>4</v>
      </c>
      <c r="J1010" s="1">
        <f t="shared" ca="1" si="289"/>
        <v>1.426485074850004E-5</v>
      </c>
      <c r="K1010" s="1">
        <f t="shared" ca="1" si="290"/>
        <v>5.8115001949389168E-8</v>
      </c>
      <c r="L1010" s="13">
        <f t="shared" ca="1" si="291"/>
        <v>222</v>
      </c>
      <c r="M1010" s="7">
        <f t="shared" ca="1" si="292"/>
        <v>778</v>
      </c>
      <c r="N1010" s="43">
        <f t="shared" ca="1" si="293"/>
        <v>7</v>
      </c>
      <c r="O1010" s="92">
        <f t="shared" ca="1" si="294"/>
        <v>3.2214900588145507</v>
      </c>
      <c r="P1010" s="92">
        <f t="shared" ca="1" si="295"/>
        <v>32.214900588145518</v>
      </c>
      <c r="Q1010" s="92">
        <f t="shared" ca="1" si="296"/>
        <v>32.214900588145518</v>
      </c>
      <c r="R1010" s="92">
        <f t="shared" ca="1" si="297"/>
        <v>3.2214900588145516</v>
      </c>
      <c r="S1010" s="92">
        <f t="shared" ca="1" si="298"/>
        <v>3.2214900588145507</v>
      </c>
      <c r="T1010" s="4">
        <f t="shared" ca="1" si="299"/>
        <v>1.8721690104794544E-7</v>
      </c>
      <c r="U1010" s="99">
        <f t="shared" ca="1" si="300"/>
        <v>1377.9757603899629</v>
      </c>
      <c r="V1010" s="4">
        <f t="shared" ca="1" si="301"/>
        <v>8.0081064001273717E-5</v>
      </c>
      <c r="W1010" s="13">
        <f t="shared" ca="1" si="302"/>
        <v>30085.360593749996</v>
      </c>
      <c r="X1010" s="4">
        <f t="shared" ca="1" si="303"/>
        <v>1.7484107895538571E-3</v>
      </c>
    </row>
    <row r="1011" spans="1:24">
      <c r="A1011">
        <v>3</v>
      </c>
      <c r="B1011">
        <v>2</v>
      </c>
      <c r="C1011">
        <f t="shared" ca="1" si="285"/>
        <v>8</v>
      </c>
      <c r="D1011">
        <f t="shared" ca="1" si="286"/>
        <v>6</v>
      </c>
      <c r="E1011">
        <f t="shared" ca="1" si="287"/>
        <v>3</v>
      </c>
      <c r="F1011" s="100">
        <f t="shared" ca="1" si="288"/>
        <v>4.0740000000000004E-3</v>
      </c>
      <c r="G1011">
        <v>1</v>
      </c>
      <c r="H1011">
        <v>0</v>
      </c>
      <c r="I1011">
        <v>3</v>
      </c>
      <c r="J1011" s="1">
        <f t="shared" ca="1" si="289"/>
        <v>1.9211920200000068E-7</v>
      </c>
      <c r="K1011" s="1">
        <f t="shared" ca="1" si="290"/>
        <v>7.8269362894800281E-10</v>
      </c>
      <c r="L1011" s="13">
        <f t="shared" ca="1" si="291"/>
        <v>200</v>
      </c>
      <c r="M1011" s="7">
        <f t="shared" ca="1" si="292"/>
        <v>800</v>
      </c>
      <c r="N1011" s="43">
        <f t="shared" ca="1" si="293"/>
        <v>7</v>
      </c>
      <c r="O1011" s="92">
        <f t="shared" ca="1" si="294"/>
        <v>3.2214900588145507</v>
      </c>
      <c r="P1011" s="92">
        <f t="shared" ca="1" si="295"/>
        <v>32.214900588145518</v>
      </c>
      <c r="Q1011" s="92">
        <f t="shared" ca="1" si="296"/>
        <v>32.214900588145518</v>
      </c>
      <c r="R1011" s="92">
        <f t="shared" ca="1" si="297"/>
        <v>3.2214900588145516</v>
      </c>
      <c r="S1011" s="92">
        <f t="shared" ca="1" si="298"/>
        <v>3.2214900588145507</v>
      </c>
      <c r="T1011" s="4">
        <f t="shared" ca="1" si="299"/>
        <v>2.5214397447534757E-9</v>
      </c>
      <c r="U1011" s="99">
        <f t="shared" ca="1" si="300"/>
        <v>1355.9757603899629</v>
      </c>
      <c r="V1011" s="4">
        <f t="shared" ca="1" si="301"/>
        <v>1.0613135886651477E-6</v>
      </c>
      <c r="W1011" s="13">
        <f t="shared" ca="1" si="302"/>
        <v>24068.288474999998</v>
      </c>
      <c r="X1011" s="4">
        <f t="shared" ca="1" si="303"/>
        <v>1.883809604906514E-5</v>
      </c>
    </row>
    <row r="1012" spans="1:24">
      <c r="A1012">
        <v>3</v>
      </c>
      <c r="B1012">
        <v>2</v>
      </c>
      <c r="C1012">
        <f t="shared" ca="1" si="285"/>
        <v>8</v>
      </c>
      <c r="D1012">
        <f t="shared" ca="1" si="286"/>
        <v>6</v>
      </c>
      <c r="E1012">
        <f t="shared" ca="1" si="287"/>
        <v>3</v>
      </c>
      <c r="F1012" s="100">
        <f t="shared" ca="1" si="288"/>
        <v>4.0740000000000004E-3</v>
      </c>
      <c r="G1012">
        <v>1</v>
      </c>
      <c r="H1012">
        <v>0</v>
      </c>
      <c r="I1012">
        <v>2</v>
      </c>
      <c r="J1012" s="1">
        <f t="shared" ca="1" si="289"/>
        <v>1.4554485000000069E-9</v>
      </c>
      <c r="K1012" s="1">
        <f t="shared" ca="1" si="290"/>
        <v>5.9294971890000292E-12</v>
      </c>
      <c r="L1012" s="13">
        <f t="shared" ca="1" si="291"/>
        <v>178</v>
      </c>
      <c r="M1012" s="7">
        <f t="shared" ca="1" si="292"/>
        <v>822</v>
      </c>
      <c r="N1012" s="43">
        <f t="shared" ca="1" si="293"/>
        <v>7</v>
      </c>
      <c r="O1012" s="92">
        <f t="shared" ca="1" si="294"/>
        <v>3.2214900588145507</v>
      </c>
      <c r="P1012" s="92">
        <f t="shared" ca="1" si="295"/>
        <v>32.214900588145518</v>
      </c>
      <c r="Q1012" s="92">
        <f t="shared" ca="1" si="296"/>
        <v>32.214900588145518</v>
      </c>
      <c r="R1012" s="92">
        <f t="shared" ca="1" si="297"/>
        <v>3.2214900588145516</v>
      </c>
      <c r="S1012" s="92">
        <f t="shared" ca="1" si="298"/>
        <v>3.2214900588145507</v>
      </c>
      <c r="T1012" s="4">
        <f t="shared" ca="1" si="299"/>
        <v>1.9101816248132417E-11</v>
      </c>
      <c r="U1012" s="99">
        <f t="shared" ca="1" si="300"/>
        <v>1333.9757603899629</v>
      </c>
      <c r="V1012" s="4">
        <f t="shared" ca="1" si="301"/>
        <v>7.9098055214264613E-9</v>
      </c>
      <c r="W1012" s="13">
        <f t="shared" ca="1" si="302"/>
        <v>18051.216356249999</v>
      </c>
      <c r="X1012" s="4">
        <f t="shared" ca="1" si="303"/>
        <v>1.0703463664241572E-7</v>
      </c>
    </row>
    <row r="1013" spans="1:24">
      <c r="A1013">
        <v>3</v>
      </c>
      <c r="B1013">
        <v>2</v>
      </c>
      <c r="C1013">
        <f t="shared" ca="1" si="285"/>
        <v>8</v>
      </c>
      <c r="D1013">
        <f t="shared" ca="1" si="286"/>
        <v>6</v>
      </c>
      <c r="E1013">
        <f t="shared" ca="1" si="287"/>
        <v>3</v>
      </c>
      <c r="F1013" s="100">
        <f t="shared" ca="1" si="288"/>
        <v>4.0740000000000004E-3</v>
      </c>
      <c r="G1013">
        <v>1</v>
      </c>
      <c r="H1013">
        <v>0</v>
      </c>
      <c r="I1013">
        <v>1</v>
      </c>
      <c r="J1013" s="1">
        <f t="shared" ca="1" si="289"/>
        <v>5.8806000000000321E-12</v>
      </c>
      <c r="K1013" s="1">
        <f t="shared" ca="1" si="290"/>
        <v>2.3957564400000132E-14</v>
      </c>
      <c r="L1013" s="13">
        <f t="shared" ca="1" si="291"/>
        <v>156</v>
      </c>
      <c r="M1013" s="7">
        <f t="shared" ca="1" si="292"/>
        <v>844</v>
      </c>
      <c r="N1013" s="43">
        <f t="shared" ca="1" si="293"/>
        <v>7</v>
      </c>
      <c r="O1013" s="92">
        <f t="shared" ca="1" si="294"/>
        <v>3.2214900588145507</v>
      </c>
      <c r="P1013" s="92">
        <f t="shared" ca="1" si="295"/>
        <v>32.214900588145518</v>
      </c>
      <c r="Q1013" s="92">
        <f t="shared" ca="1" si="296"/>
        <v>32.214900588145518</v>
      </c>
      <c r="R1013" s="92">
        <f t="shared" ca="1" si="297"/>
        <v>3.2214900588145516</v>
      </c>
      <c r="S1013" s="92">
        <f t="shared" ca="1" si="298"/>
        <v>3.2214900588145507</v>
      </c>
      <c r="T1013" s="4">
        <f t="shared" ca="1" si="299"/>
        <v>7.7179055548009811E-14</v>
      </c>
      <c r="U1013" s="99">
        <f t="shared" ca="1" si="300"/>
        <v>1311.9757603899629</v>
      </c>
      <c r="V1013" s="4">
        <f t="shared" ca="1" si="301"/>
        <v>3.143174377078168E-11</v>
      </c>
      <c r="W1013" s="13">
        <f t="shared" ca="1" si="302"/>
        <v>12034.144237499999</v>
      </c>
      <c r="X1013" s="4">
        <f t="shared" ca="1" si="303"/>
        <v>2.8830878556879671E-10</v>
      </c>
    </row>
    <row r="1014" spans="1:24">
      <c r="A1014">
        <v>3</v>
      </c>
      <c r="B1014">
        <v>2</v>
      </c>
      <c r="C1014">
        <f t="shared" ca="1" si="285"/>
        <v>8</v>
      </c>
      <c r="D1014">
        <f t="shared" ca="1" si="286"/>
        <v>6</v>
      </c>
      <c r="E1014">
        <f t="shared" ca="1" si="287"/>
        <v>3</v>
      </c>
      <c r="F1014" s="100">
        <f t="shared" ca="1" si="288"/>
        <v>4.0740000000000004E-3</v>
      </c>
      <c r="G1014">
        <v>1</v>
      </c>
      <c r="H1014">
        <v>0</v>
      </c>
      <c r="I1014">
        <v>0</v>
      </c>
      <c r="J1014" s="1">
        <f t="shared" ca="1" si="289"/>
        <v>9.9000000000000638E-15</v>
      </c>
      <c r="K1014" s="1">
        <f t="shared" ca="1" si="290"/>
        <v>4.0332600000000266E-17</v>
      </c>
      <c r="L1014" s="13">
        <f t="shared" ca="1" si="291"/>
        <v>134</v>
      </c>
      <c r="M1014" s="7">
        <f t="shared" ca="1" si="292"/>
        <v>866</v>
      </c>
      <c r="N1014" s="43">
        <f t="shared" ca="1" si="293"/>
        <v>7</v>
      </c>
      <c r="O1014" s="92">
        <f t="shared" ca="1" si="294"/>
        <v>3.2214900588145507</v>
      </c>
      <c r="P1014" s="92">
        <f t="shared" ca="1" si="295"/>
        <v>32.214900588145518</v>
      </c>
      <c r="Q1014" s="92">
        <f t="shared" ca="1" si="296"/>
        <v>32.214900588145518</v>
      </c>
      <c r="R1014" s="92">
        <f t="shared" ca="1" si="297"/>
        <v>3.2214900588145516</v>
      </c>
      <c r="S1014" s="92">
        <f t="shared" ca="1" si="298"/>
        <v>3.2214900588145507</v>
      </c>
      <c r="T1014" s="4">
        <f t="shared" ca="1" si="299"/>
        <v>1.2993106994614462E-16</v>
      </c>
      <c r="U1014" s="99">
        <f t="shared" ca="1" si="300"/>
        <v>1289.9757603899629</v>
      </c>
      <c r="V1014" s="4">
        <f t="shared" ca="1" si="301"/>
        <v>5.2028076353504563E-14</v>
      </c>
      <c r="W1014" s="13">
        <f t="shared" ca="1" si="302"/>
        <v>6017.0721187499994</v>
      </c>
      <c r="X1014" s="4">
        <f t="shared" ca="1" si="303"/>
        <v>2.4268416293669781E-13</v>
      </c>
    </row>
    <row r="1015" spans="1:24">
      <c r="A1015">
        <v>3</v>
      </c>
      <c r="B1015">
        <v>2</v>
      </c>
      <c r="C1015">
        <f t="shared" ca="1" si="285"/>
        <v>8</v>
      </c>
      <c r="D1015">
        <f t="shared" ca="1" si="286"/>
        <v>6</v>
      </c>
      <c r="E1015">
        <f t="shared" ca="1" si="287"/>
        <v>3</v>
      </c>
      <c r="F1015" s="100">
        <f t="shared" ca="1" si="288"/>
        <v>4.0740000000000004E-3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288</v>
      </c>
      <c r="M1015" s="7">
        <f t="shared" ca="1" si="292"/>
        <v>712</v>
      </c>
      <c r="N1015" s="43">
        <f t="shared" ca="1" si="293"/>
        <v>6</v>
      </c>
      <c r="O1015" s="92">
        <f t="shared" ca="1" si="294"/>
        <v>2.7275117780454798</v>
      </c>
      <c r="P1015" s="92">
        <f t="shared" ca="1" si="295"/>
        <v>27.275117780454792</v>
      </c>
      <c r="Q1015" s="92">
        <f t="shared" ca="1" si="296"/>
        <v>27.275117780454792</v>
      </c>
      <c r="R1015" s="92">
        <f t="shared" ca="1" si="297"/>
        <v>2.7275117780454794</v>
      </c>
      <c r="S1015" s="92">
        <f t="shared" ca="1" si="298"/>
        <v>2.7275117780454794</v>
      </c>
      <c r="T1015" s="4">
        <f t="shared" ca="1" si="299"/>
        <v>0</v>
      </c>
      <c r="U1015" s="99">
        <f t="shared" ca="1" si="300"/>
        <v>1290.6329230659346</v>
      </c>
      <c r="V1015" s="4">
        <f t="shared" ca="1" si="301"/>
        <v>0</v>
      </c>
      <c r="W1015" s="13">
        <f t="shared" ca="1" si="302"/>
        <v>48264.818043749998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ca="1" si="285"/>
        <v>8</v>
      </c>
      <c r="D1016">
        <f t="shared" ca="1" si="286"/>
        <v>6</v>
      </c>
      <c r="E1016">
        <f t="shared" ca="1" si="287"/>
        <v>3</v>
      </c>
      <c r="F1016" s="100">
        <f t="shared" ca="1" si="288"/>
        <v>4.0740000000000004E-3</v>
      </c>
      <c r="G1016">
        <v>0</v>
      </c>
      <c r="H1016">
        <v>1</v>
      </c>
      <c r="I1016">
        <v>6</v>
      </c>
      <c r="J1016" s="1">
        <f t="shared" ca="1" si="289"/>
        <v>9.3206534790699087E-3</v>
      </c>
      <c r="K1016" s="1">
        <f t="shared" ca="1" si="290"/>
        <v>3.797234227373081E-5</v>
      </c>
      <c r="L1016" s="13">
        <f t="shared" ca="1" si="291"/>
        <v>266</v>
      </c>
      <c r="M1016" s="7">
        <f t="shared" ca="1" si="292"/>
        <v>734</v>
      </c>
      <c r="N1016" s="43">
        <f t="shared" ca="1" si="293"/>
        <v>6</v>
      </c>
      <c r="O1016" s="92">
        <f t="shared" ca="1" si="294"/>
        <v>2.7275117780454798</v>
      </c>
      <c r="P1016" s="92">
        <f t="shared" ca="1" si="295"/>
        <v>27.275117780454792</v>
      </c>
      <c r="Q1016" s="92">
        <f t="shared" ca="1" si="296"/>
        <v>27.275117780454792</v>
      </c>
      <c r="R1016" s="92">
        <f t="shared" ca="1" si="297"/>
        <v>2.7275117780454794</v>
      </c>
      <c r="S1016" s="92">
        <f t="shared" ca="1" si="298"/>
        <v>2.7275117780454794</v>
      </c>
      <c r="T1016" s="4">
        <f t="shared" ca="1" si="299"/>
        <v>1.0357001079157504E-4</v>
      </c>
      <c r="U1016" s="99">
        <f t="shared" ca="1" si="300"/>
        <v>1268.6329230659346</v>
      </c>
      <c r="V1016" s="4">
        <f t="shared" ca="1" si="301"/>
        <v>4.8172963574383276E-2</v>
      </c>
      <c r="W1016" s="13">
        <f t="shared" ca="1" si="302"/>
        <v>42247.745924999996</v>
      </c>
      <c r="X1016" s="4">
        <f t="shared" ca="1" si="303"/>
        <v>1.6042458685577159</v>
      </c>
    </row>
    <row r="1017" spans="1:24">
      <c r="A1017">
        <v>3</v>
      </c>
      <c r="B1017">
        <v>2</v>
      </c>
      <c r="C1017">
        <f t="shared" ca="1" si="285"/>
        <v>8</v>
      </c>
      <c r="D1017">
        <f t="shared" ca="1" si="286"/>
        <v>6</v>
      </c>
      <c r="E1017">
        <f t="shared" ca="1" si="287"/>
        <v>3</v>
      </c>
      <c r="F1017" s="100">
        <f t="shared" ca="1" si="288"/>
        <v>4.0740000000000004E-3</v>
      </c>
      <c r="G1017">
        <v>0</v>
      </c>
      <c r="H1017">
        <v>1</v>
      </c>
      <c r="I1017">
        <v>5</v>
      </c>
      <c r="J1017" s="1">
        <f t="shared" ca="1" si="289"/>
        <v>5.6488808964060098E-4</v>
      </c>
      <c r="K1017" s="1">
        <f t="shared" ca="1" si="290"/>
        <v>2.3013540771958085E-6</v>
      </c>
      <c r="L1017" s="13">
        <f t="shared" ca="1" si="291"/>
        <v>244</v>
      </c>
      <c r="M1017" s="7">
        <f t="shared" ca="1" si="292"/>
        <v>756</v>
      </c>
      <c r="N1017" s="43">
        <f t="shared" ca="1" si="293"/>
        <v>7</v>
      </c>
      <c r="O1017" s="92">
        <f t="shared" ca="1" si="294"/>
        <v>3.2214900588145507</v>
      </c>
      <c r="P1017" s="92">
        <f t="shared" ca="1" si="295"/>
        <v>29.745009184300148</v>
      </c>
      <c r="Q1017" s="92">
        <f t="shared" ca="1" si="296"/>
        <v>27.275117780454792</v>
      </c>
      <c r="R1017" s="92">
        <f t="shared" ca="1" si="297"/>
        <v>2.851006348237747</v>
      </c>
      <c r="S1017" s="92">
        <f t="shared" ca="1" si="298"/>
        <v>3.1955561990741743</v>
      </c>
      <c r="T1017" s="4">
        <f t="shared" ca="1" si="299"/>
        <v>7.3541062876476914E-6</v>
      </c>
      <c r="U1017" s="99">
        <f t="shared" ca="1" si="300"/>
        <v>1391.9252614304514</v>
      </c>
      <c r="V1017" s="4">
        <f t="shared" ca="1" si="301"/>
        <v>3.203312875544811E-3</v>
      </c>
      <c r="W1017" s="13">
        <f t="shared" ca="1" si="302"/>
        <v>36230.673806249994</v>
      </c>
      <c r="X1017" s="4">
        <f t="shared" ca="1" si="303"/>
        <v>8.3379608883564799E-2</v>
      </c>
    </row>
    <row r="1018" spans="1:24">
      <c r="A1018">
        <v>3</v>
      </c>
      <c r="B1018">
        <v>2</v>
      </c>
      <c r="C1018">
        <f t="shared" ca="1" si="285"/>
        <v>8</v>
      </c>
      <c r="D1018">
        <f t="shared" ca="1" si="286"/>
        <v>6</v>
      </c>
      <c r="E1018">
        <f t="shared" ca="1" si="287"/>
        <v>3</v>
      </c>
      <c r="F1018" s="100">
        <f t="shared" ca="1" si="288"/>
        <v>4.0740000000000004E-3</v>
      </c>
      <c r="G1018">
        <v>0</v>
      </c>
      <c r="H1018">
        <v>1</v>
      </c>
      <c r="I1018">
        <v>4</v>
      </c>
      <c r="J1018" s="1">
        <f t="shared" ca="1" si="289"/>
        <v>1.426485074850004E-5</v>
      </c>
      <c r="K1018" s="1">
        <f t="shared" ca="1" si="290"/>
        <v>5.8115001949389168E-8</v>
      </c>
      <c r="L1018" s="13">
        <f t="shared" ca="1" si="291"/>
        <v>222</v>
      </c>
      <c r="M1018" s="7">
        <f t="shared" ca="1" si="292"/>
        <v>778</v>
      </c>
      <c r="N1018" s="43">
        <f t="shared" ca="1" si="293"/>
        <v>7</v>
      </c>
      <c r="O1018" s="92">
        <f t="shared" ca="1" si="294"/>
        <v>3.2214900588145507</v>
      </c>
      <c r="P1018" s="92">
        <f t="shared" ca="1" si="295"/>
        <v>32.214900588145518</v>
      </c>
      <c r="Q1018" s="92">
        <f t="shared" ca="1" si="296"/>
        <v>32.214900588145518</v>
      </c>
      <c r="R1018" s="92">
        <f t="shared" ca="1" si="297"/>
        <v>3.2214900588145516</v>
      </c>
      <c r="S1018" s="92">
        <f t="shared" ca="1" si="298"/>
        <v>3.2214900588145507</v>
      </c>
      <c r="T1018" s="4">
        <f t="shared" ca="1" si="299"/>
        <v>1.8721690104794544E-7</v>
      </c>
      <c r="U1018" s="99">
        <f t="shared" ca="1" si="300"/>
        <v>1377.9757603899629</v>
      </c>
      <c r="V1018" s="4">
        <f t="shared" ca="1" si="301"/>
        <v>8.0081064001273717E-5</v>
      </c>
      <c r="W1018" s="13">
        <f t="shared" ca="1" si="302"/>
        <v>30213.601687499999</v>
      </c>
      <c r="X1018" s="4">
        <f t="shared" ca="1" si="303"/>
        <v>1.7558635209671302E-3</v>
      </c>
    </row>
    <row r="1019" spans="1:24">
      <c r="A1019">
        <v>3</v>
      </c>
      <c r="B1019">
        <v>2</v>
      </c>
      <c r="C1019">
        <f t="shared" ca="1" si="285"/>
        <v>8</v>
      </c>
      <c r="D1019">
        <f t="shared" ca="1" si="286"/>
        <v>6</v>
      </c>
      <c r="E1019">
        <f t="shared" ca="1" si="287"/>
        <v>3</v>
      </c>
      <c r="F1019" s="100">
        <f t="shared" ca="1" si="288"/>
        <v>4.0740000000000004E-3</v>
      </c>
      <c r="G1019">
        <v>0</v>
      </c>
      <c r="H1019">
        <v>1</v>
      </c>
      <c r="I1019">
        <v>3</v>
      </c>
      <c r="J1019" s="1">
        <f t="shared" ca="1" si="289"/>
        <v>1.9211920200000068E-7</v>
      </c>
      <c r="K1019" s="1">
        <f t="shared" ca="1" si="290"/>
        <v>7.8269362894800281E-10</v>
      </c>
      <c r="L1019" s="13">
        <f t="shared" ca="1" si="291"/>
        <v>200</v>
      </c>
      <c r="M1019" s="7">
        <f t="shared" ca="1" si="292"/>
        <v>800</v>
      </c>
      <c r="N1019" s="43">
        <f t="shared" ca="1" si="293"/>
        <v>7</v>
      </c>
      <c r="O1019" s="92">
        <f t="shared" ca="1" si="294"/>
        <v>3.2214900588145507</v>
      </c>
      <c r="P1019" s="92">
        <f t="shared" ca="1" si="295"/>
        <v>32.214900588145518</v>
      </c>
      <c r="Q1019" s="92">
        <f t="shared" ca="1" si="296"/>
        <v>32.214900588145518</v>
      </c>
      <c r="R1019" s="92">
        <f t="shared" ca="1" si="297"/>
        <v>3.2214900588145516</v>
      </c>
      <c r="S1019" s="92">
        <f t="shared" ca="1" si="298"/>
        <v>3.2214900588145507</v>
      </c>
      <c r="T1019" s="4">
        <f t="shared" ca="1" si="299"/>
        <v>2.5214397447534757E-9</v>
      </c>
      <c r="U1019" s="99">
        <f t="shared" ca="1" si="300"/>
        <v>1355.9757603899629</v>
      </c>
      <c r="V1019" s="4">
        <f t="shared" ca="1" si="301"/>
        <v>1.0613135886651477E-6</v>
      </c>
      <c r="W1019" s="13">
        <f t="shared" ca="1" si="302"/>
        <v>24196.529568749997</v>
      </c>
      <c r="X1019" s="4">
        <f t="shared" ca="1" si="303"/>
        <v>1.8938469536112587E-5</v>
      </c>
    </row>
    <row r="1020" spans="1:24">
      <c r="A1020">
        <v>3</v>
      </c>
      <c r="B1020">
        <v>2</v>
      </c>
      <c r="C1020">
        <f t="shared" ca="1" si="285"/>
        <v>8</v>
      </c>
      <c r="D1020">
        <f t="shared" ca="1" si="286"/>
        <v>6</v>
      </c>
      <c r="E1020">
        <f t="shared" ca="1" si="287"/>
        <v>3</v>
      </c>
      <c r="F1020" s="100">
        <f t="shared" ca="1" si="288"/>
        <v>4.0740000000000004E-3</v>
      </c>
      <c r="G1020">
        <v>0</v>
      </c>
      <c r="H1020">
        <v>1</v>
      </c>
      <c r="I1020">
        <v>2</v>
      </c>
      <c r="J1020" s="1">
        <f t="shared" ca="1" si="289"/>
        <v>1.4554485000000069E-9</v>
      </c>
      <c r="K1020" s="1">
        <f t="shared" ca="1" si="290"/>
        <v>5.9294971890000292E-12</v>
      </c>
      <c r="L1020" s="13">
        <f t="shared" ca="1" si="291"/>
        <v>178</v>
      </c>
      <c r="M1020" s="7">
        <f t="shared" ca="1" si="292"/>
        <v>822</v>
      </c>
      <c r="N1020" s="43">
        <f t="shared" ca="1" si="293"/>
        <v>7</v>
      </c>
      <c r="O1020" s="92">
        <f t="shared" ca="1" si="294"/>
        <v>3.2214900588145507</v>
      </c>
      <c r="P1020" s="92">
        <f t="shared" ca="1" si="295"/>
        <v>32.214900588145518</v>
      </c>
      <c r="Q1020" s="92">
        <f t="shared" ca="1" si="296"/>
        <v>32.214900588145518</v>
      </c>
      <c r="R1020" s="92">
        <f t="shared" ca="1" si="297"/>
        <v>3.2214900588145516</v>
      </c>
      <c r="S1020" s="92">
        <f t="shared" ca="1" si="298"/>
        <v>3.2214900588145507</v>
      </c>
      <c r="T1020" s="4">
        <f t="shared" ca="1" si="299"/>
        <v>1.9101816248132417E-11</v>
      </c>
      <c r="U1020" s="99">
        <f t="shared" ca="1" si="300"/>
        <v>1333.9757603899629</v>
      </c>
      <c r="V1020" s="4">
        <f t="shared" ca="1" si="301"/>
        <v>7.9098055214264613E-9</v>
      </c>
      <c r="W1020" s="13">
        <f t="shared" ca="1" si="302"/>
        <v>18179.457449999998</v>
      </c>
      <c r="X1020" s="4">
        <f t="shared" ca="1" si="303"/>
        <v>1.0779504184732063E-7</v>
      </c>
    </row>
    <row r="1021" spans="1:24">
      <c r="A1021">
        <v>3</v>
      </c>
      <c r="B1021">
        <v>2</v>
      </c>
      <c r="C1021">
        <f t="shared" ca="1" si="285"/>
        <v>8</v>
      </c>
      <c r="D1021">
        <f t="shared" ca="1" si="286"/>
        <v>6</v>
      </c>
      <c r="E1021">
        <f t="shared" ca="1" si="287"/>
        <v>3</v>
      </c>
      <c r="F1021" s="100">
        <f t="shared" ca="1" si="288"/>
        <v>4.0740000000000004E-3</v>
      </c>
      <c r="G1021">
        <v>0</v>
      </c>
      <c r="H1021">
        <v>1</v>
      </c>
      <c r="I1021">
        <v>1</v>
      </c>
      <c r="J1021" s="1">
        <f t="shared" ca="1" si="289"/>
        <v>5.8806000000000321E-12</v>
      </c>
      <c r="K1021" s="1">
        <f t="shared" ca="1" si="290"/>
        <v>2.3957564400000132E-14</v>
      </c>
      <c r="L1021" s="13">
        <f t="shared" ca="1" si="291"/>
        <v>156</v>
      </c>
      <c r="M1021" s="7">
        <f t="shared" ca="1" si="292"/>
        <v>844</v>
      </c>
      <c r="N1021" s="43">
        <f t="shared" ca="1" si="293"/>
        <v>7</v>
      </c>
      <c r="O1021" s="92">
        <f t="shared" ca="1" si="294"/>
        <v>3.2214900588145507</v>
      </c>
      <c r="P1021" s="92">
        <f t="shared" ca="1" si="295"/>
        <v>32.214900588145518</v>
      </c>
      <c r="Q1021" s="92">
        <f t="shared" ca="1" si="296"/>
        <v>32.214900588145518</v>
      </c>
      <c r="R1021" s="92">
        <f t="shared" ca="1" si="297"/>
        <v>3.2214900588145516</v>
      </c>
      <c r="S1021" s="92">
        <f t="shared" ca="1" si="298"/>
        <v>3.2214900588145507</v>
      </c>
      <c r="T1021" s="4">
        <f t="shared" ca="1" si="299"/>
        <v>7.7179055548009811E-14</v>
      </c>
      <c r="U1021" s="99">
        <f t="shared" ca="1" si="300"/>
        <v>1311.9757603899629</v>
      </c>
      <c r="V1021" s="4">
        <f t="shared" ca="1" si="301"/>
        <v>3.143174377078168E-11</v>
      </c>
      <c r="W1021" s="13">
        <f t="shared" ca="1" si="302"/>
        <v>12162.38533125</v>
      </c>
      <c r="X1021" s="4">
        <f t="shared" ca="1" si="303"/>
        <v>2.9138112983103879E-10</v>
      </c>
    </row>
    <row r="1022" spans="1:24">
      <c r="A1022">
        <v>3</v>
      </c>
      <c r="B1022">
        <v>2</v>
      </c>
      <c r="C1022">
        <f t="shared" ca="1" si="285"/>
        <v>8</v>
      </c>
      <c r="D1022">
        <f t="shared" ca="1" si="286"/>
        <v>6</v>
      </c>
      <c r="E1022">
        <f t="shared" ca="1" si="287"/>
        <v>3</v>
      </c>
      <c r="F1022" s="100">
        <f t="shared" ca="1" si="288"/>
        <v>4.0740000000000004E-3</v>
      </c>
      <c r="G1022">
        <v>0</v>
      </c>
      <c r="H1022">
        <v>1</v>
      </c>
      <c r="I1022">
        <v>0</v>
      </c>
      <c r="J1022" s="1">
        <f t="shared" ca="1" si="289"/>
        <v>9.9000000000000638E-15</v>
      </c>
      <c r="K1022" s="1">
        <f t="shared" ca="1" si="290"/>
        <v>4.0332600000000266E-17</v>
      </c>
      <c r="L1022" s="13">
        <f t="shared" ca="1" si="291"/>
        <v>134</v>
      </c>
      <c r="M1022" s="7">
        <f t="shared" ca="1" si="292"/>
        <v>866</v>
      </c>
      <c r="N1022" s="43">
        <f t="shared" ca="1" si="293"/>
        <v>7</v>
      </c>
      <c r="O1022" s="92">
        <f t="shared" ca="1" si="294"/>
        <v>3.2214900588145507</v>
      </c>
      <c r="P1022" s="92">
        <f t="shared" ca="1" si="295"/>
        <v>32.214900588145518</v>
      </c>
      <c r="Q1022" s="92">
        <f t="shared" ca="1" si="296"/>
        <v>32.214900588145518</v>
      </c>
      <c r="R1022" s="92">
        <f t="shared" ca="1" si="297"/>
        <v>3.2214900588145516</v>
      </c>
      <c r="S1022" s="92">
        <f t="shared" ca="1" si="298"/>
        <v>3.2214900588145507</v>
      </c>
      <c r="T1022" s="4">
        <f t="shared" ca="1" si="299"/>
        <v>1.2993106994614462E-16</v>
      </c>
      <c r="U1022" s="99">
        <f t="shared" ca="1" si="300"/>
        <v>1289.9757603899629</v>
      </c>
      <c r="V1022" s="4">
        <f t="shared" ca="1" si="301"/>
        <v>5.2028076353504563E-14</v>
      </c>
      <c r="W1022" s="13">
        <f t="shared" ca="1" si="302"/>
        <v>6145.3132124999993</v>
      </c>
      <c r="X1022" s="4">
        <f t="shared" ca="1" si="303"/>
        <v>2.4785645967447911E-13</v>
      </c>
    </row>
    <row r="1023" spans="1:24">
      <c r="A1023">
        <v>3</v>
      </c>
      <c r="B1023">
        <v>2</v>
      </c>
      <c r="C1023">
        <f t="shared" ca="1" si="285"/>
        <v>8</v>
      </c>
      <c r="D1023">
        <f t="shared" ca="1" si="286"/>
        <v>6</v>
      </c>
      <c r="E1023">
        <f t="shared" ca="1" si="287"/>
        <v>3</v>
      </c>
      <c r="F1023" s="100">
        <f t="shared" ca="1" si="288"/>
        <v>4.0740000000000004E-3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3">
        <f t="shared" ca="1" si="293"/>
        <v>7</v>
      </c>
      <c r="O1023" s="92">
        <f t="shared" ca="1" si="294"/>
        <v>3.2214900588145507</v>
      </c>
      <c r="P1023" s="92">
        <f t="shared" ca="1" si="295"/>
        <v>32.214900588145518</v>
      </c>
      <c r="Q1023" s="92">
        <f t="shared" ca="1" si="296"/>
        <v>32.214900588145518</v>
      </c>
      <c r="R1023" s="92">
        <f t="shared" ca="1" si="297"/>
        <v>3.2214900588145516</v>
      </c>
      <c r="S1023" s="92">
        <f t="shared" ca="1" si="298"/>
        <v>3.2214900588145507</v>
      </c>
      <c r="T1023" s="4">
        <f t="shared" ca="1" si="299"/>
        <v>0</v>
      </c>
      <c r="U1023" s="99">
        <f t="shared" ca="1" si="300"/>
        <v>1309.9757603899629</v>
      </c>
      <c r="V1023" s="4">
        <f t="shared" ca="1" si="301"/>
        <v>0</v>
      </c>
      <c r="W1023" s="13">
        <f t="shared" ca="1" si="302"/>
        <v>42119.50483125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ca="1" si="285"/>
        <v>8</v>
      </c>
      <c r="D1024">
        <f t="shared" ca="1" si="286"/>
        <v>6</v>
      </c>
      <c r="E1024">
        <f t="shared" ca="1" si="287"/>
        <v>3</v>
      </c>
      <c r="F1024" s="100">
        <f t="shared" ca="1" si="288"/>
        <v>4.0740000000000004E-3</v>
      </c>
      <c r="G1024">
        <v>0</v>
      </c>
      <c r="H1024">
        <v>0</v>
      </c>
      <c r="I1024">
        <v>6</v>
      </c>
      <c r="J1024" s="1">
        <f t="shared" ca="1" si="289"/>
        <v>9.4148014940100163E-5</v>
      </c>
      <c r="K1024" s="1">
        <f t="shared" ca="1" si="290"/>
        <v>3.8355901286596809E-7</v>
      </c>
      <c r="L1024" s="13">
        <f t="shared" ca="1" si="291"/>
        <v>132</v>
      </c>
      <c r="M1024" s="7">
        <f t="shared" ca="1" si="292"/>
        <v>868</v>
      </c>
      <c r="N1024" s="43">
        <f t="shared" ca="1" si="293"/>
        <v>7</v>
      </c>
      <c r="O1024" s="92">
        <f t="shared" ca="1" si="294"/>
        <v>3.2214900588145507</v>
      </c>
      <c r="P1024" s="92">
        <f t="shared" ca="1" si="295"/>
        <v>32.214900588145518</v>
      </c>
      <c r="Q1024" s="92">
        <f t="shared" ca="1" si="296"/>
        <v>32.214900588145518</v>
      </c>
      <c r="R1024" s="92">
        <f t="shared" ca="1" si="297"/>
        <v>3.2214900588145516</v>
      </c>
      <c r="S1024" s="92">
        <f t="shared" ca="1" si="298"/>
        <v>3.2214900588145507</v>
      </c>
      <c r="T1024" s="4">
        <f t="shared" ca="1" si="299"/>
        <v>1.2356315469164386E-6</v>
      </c>
      <c r="U1024" s="99">
        <f t="shared" ca="1" si="300"/>
        <v>1287.9757603899629</v>
      </c>
      <c r="V1024" s="4">
        <f t="shared" ca="1" si="301"/>
        <v>4.9401471125046887E-4</v>
      </c>
      <c r="W1024" s="13">
        <f t="shared" ca="1" si="302"/>
        <v>36102.432712499998</v>
      </c>
      <c r="X1024" s="4">
        <f t="shared" ca="1" si="303"/>
        <v>1.3847413453266535E-2</v>
      </c>
    </row>
    <row r="1025" spans="1:24">
      <c r="A1025">
        <v>3</v>
      </c>
      <c r="B1025">
        <v>2</v>
      </c>
      <c r="C1025">
        <f t="shared" ca="1" si="285"/>
        <v>8</v>
      </c>
      <c r="D1025">
        <f t="shared" ca="1" si="286"/>
        <v>6</v>
      </c>
      <c r="E1025">
        <f t="shared" ca="1" si="287"/>
        <v>3</v>
      </c>
      <c r="F1025" s="100">
        <f t="shared" ca="1" si="288"/>
        <v>4.0740000000000004E-3</v>
      </c>
      <c r="G1025">
        <v>0</v>
      </c>
      <c r="H1025">
        <v>0</v>
      </c>
      <c r="I1025">
        <v>5</v>
      </c>
      <c r="J1025" s="1">
        <f t="shared" ca="1" si="289"/>
        <v>5.7059402994000143E-6</v>
      </c>
      <c r="K1025" s="1">
        <f t="shared" ca="1" si="290"/>
        <v>2.324600077975566E-8</v>
      </c>
      <c r="L1025" s="13">
        <f t="shared" ca="1" si="291"/>
        <v>110</v>
      </c>
      <c r="M1025" s="7">
        <f t="shared" ca="1" si="292"/>
        <v>890</v>
      </c>
      <c r="N1025" s="43">
        <f t="shared" ca="1" si="293"/>
        <v>8</v>
      </c>
      <c r="O1025" s="92">
        <f t="shared" ca="1" si="294"/>
        <v>3.5531918581169131</v>
      </c>
      <c r="P1025" s="92">
        <f t="shared" ca="1" si="295"/>
        <v>35.531918581169137</v>
      </c>
      <c r="Q1025" s="92">
        <f t="shared" ca="1" si="296"/>
        <v>33.541707785354966</v>
      </c>
      <c r="R1025" s="92">
        <f t="shared" ca="1" si="297"/>
        <v>3.4536813183262054</v>
      </c>
      <c r="S1025" s="92">
        <f t="shared" ca="1" si="298"/>
        <v>3.5462261203315633</v>
      </c>
      <c r="T1025" s="4">
        <f t="shared" ca="1" si="299"/>
        <v>8.2435575158417414E-8</v>
      </c>
      <c r="U1025" s="99">
        <f t="shared" ca="1" si="300"/>
        <v>1366.7817087343356</v>
      </c>
      <c r="V1025" s="4">
        <f t="shared" ca="1" si="301"/>
        <v>3.1772208666994138E-5</v>
      </c>
      <c r="W1025" s="13">
        <f t="shared" ca="1" si="302"/>
        <v>30085.360593749996</v>
      </c>
      <c r="X1025" s="4">
        <f t="shared" ca="1" si="303"/>
        <v>6.9936431582154259E-4</v>
      </c>
    </row>
    <row r="1026" spans="1:24">
      <c r="A1026">
        <v>3</v>
      </c>
      <c r="B1026">
        <v>2</v>
      </c>
      <c r="C1026">
        <f t="shared" ca="1" si="285"/>
        <v>8</v>
      </c>
      <c r="D1026">
        <f t="shared" ca="1" si="286"/>
        <v>6</v>
      </c>
      <c r="E1026">
        <f t="shared" ca="1" si="287"/>
        <v>3</v>
      </c>
      <c r="F1026" s="100">
        <f t="shared" ca="1" si="288"/>
        <v>4.0740000000000004E-3</v>
      </c>
      <c r="G1026">
        <v>0</v>
      </c>
      <c r="H1026">
        <v>0</v>
      </c>
      <c r="I1026">
        <v>4</v>
      </c>
      <c r="J1026" s="1">
        <f t="shared" ca="1" si="289"/>
        <v>1.4408940150000052E-7</v>
      </c>
      <c r="K1026" s="1">
        <f t="shared" ca="1" si="290"/>
        <v>5.8702022171100216E-10</v>
      </c>
      <c r="L1026" s="13">
        <f t="shared" ca="1" si="291"/>
        <v>100</v>
      </c>
      <c r="M1026" s="7">
        <f t="shared" ca="1" si="292"/>
        <v>900</v>
      </c>
      <c r="N1026" s="43">
        <f t="shared" ca="1" si="293"/>
        <v>8</v>
      </c>
      <c r="O1026" s="92">
        <f t="shared" ca="1" si="294"/>
        <v>3.5531918581169131</v>
      </c>
      <c r="P1026" s="92">
        <f t="shared" ca="1" si="295"/>
        <v>35.531918581169137</v>
      </c>
      <c r="Q1026" s="92">
        <f t="shared" ca="1" si="296"/>
        <v>35.531918581169137</v>
      </c>
      <c r="R1026" s="92">
        <f t="shared" ca="1" si="297"/>
        <v>3.5531918581169135</v>
      </c>
      <c r="S1026" s="92">
        <f t="shared" ca="1" si="298"/>
        <v>3.5531918581169126</v>
      </c>
      <c r="T1026" s="4">
        <f t="shared" ca="1" si="299"/>
        <v>2.0857954723335177E-9</v>
      </c>
      <c r="U1026" s="99">
        <f t="shared" ca="1" si="300"/>
        <v>1358.9440426620492</v>
      </c>
      <c r="V1026" s="4">
        <f t="shared" ca="1" si="301"/>
        <v>7.9772763321632171E-7</v>
      </c>
      <c r="W1026" s="13">
        <f t="shared" ca="1" si="302"/>
        <v>24068.288474999998</v>
      </c>
      <c r="X1026" s="4">
        <f t="shared" ca="1" si="303"/>
        <v>1.4128572036798857E-5</v>
      </c>
    </row>
    <row r="1027" spans="1:24">
      <c r="A1027">
        <v>3</v>
      </c>
      <c r="B1027">
        <v>2</v>
      </c>
      <c r="C1027">
        <f t="shared" ca="1" si="285"/>
        <v>8</v>
      </c>
      <c r="D1027">
        <f t="shared" ca="1" si="286"/>
        <v>6</v>
      </c>
      <c r="E1027">
        <f t="shared" ca="1" si="287"/>
        <v>3</v>
      </c>
      <c r="F1027" s="100">
        <f t="shared" ca="1" si="288"/>
        <v>4.0740000000000004E-3</v>
      </c>
      <c r="G1027">
        <v>0</v>
      </c>
      <c r="H1027">
        <v>0</v>
      </c>
      <c r="I1027">
        <v>3</v>
      </c>
      <c r="J1027" s="1">
        <f t="shared" ca="1" si="289"/>
        <v>1.9405980000000086E-9</v>
      </c>
      <c r="K1027" s="1">
        <f t="shared" ca="1" si="290"/>
        <v>7.9059962520000362E-12</v>
      </c>
      <c r="L1027" s="13">
        <f t="shared" ca="1" si="291"/>
        <v>100</v>
      </c>
      <c r="M1027" s="7">
        <f t="shared" ca="1" si="292"/>
        <v>900</v>
      </c>
      <c r="N1027" s="43">
        <f t="shared" ca="1" si="293"/>
        <v>8</v>
      </c>
      <c r="O1027" s="92">
        <f t="shared" ca="1" si="294"/>
        <v>3.5531918581169131</v>
      </c>
      <c r="P1027" s="92">
        <f t="shared" ca="1" si="295"/>
        <v>35.531918581169137</v>
      </c>
      <c r="Q1027" s="92">
        <f t="shared" ca="1" si="296"/>
        <v>35.531918581169137</v>
      </c>
      <c r="R1027" s="92">
        <f t="shared" ca="1" si="297"/>
        <v>3.5531918581169135</v>
      </c>
      <c r="S1027" s="92">
        <f t="shared" ca="1" si="298"/>
        <v>3.5531918581169126</v>
      </c>
      <c r="T1027" s="4">
        <f t="shared" ca="1" si="299"/>
        <v>2.8091521512909355E-11</v>
      </c>
      <c r="U1027" s="99">
        <f t="shared" ca="1" si="300"/>
        <v>1358.9440426620492</v>
      </c>
      <c r="V1027" s="4">
        <f t="shared" ca="1" si="301"/>
        <v>1.0743806507963939E-8</v>
      </c>
      <c r="W1027" s="13">
        <f t="shared" ca="1" si="302"/>
        <v>18051.216356249999</v>
      </c>
      <c r="X1027" s="4">
        <f t="shared" ca="1" si="303"/>
        <v>1.4271284885655425E-7</v>
      </c>
    </row>
    <row r="1028" spans="1:24">
      <c r="A1028">
        <v>3</v>
      </c>
      <c r="B1028">
        <v>2</v>
      </c>
      <c r="C1028">
        <f t="shared" ca="1" si="285"/>
        <v>8</v>
      </c>
      <c r="D1028">
        <f t="shared" ca="1" si="286"/>
        <v>6</v>
      </c>
      <c r="E1028">
        <f t="shared" ca="1" si="287"/>
        <v>3</v>
      </c>
      <c r="F1028" s="100">
        <f t="shared" ca="1" si="288"/>
        <v>4.0740000000000004E-3</v>
      </c>
      <c r="G1028">
        <v>0</v>
      </c>
      <c r="H1028">
        <v>0</v>
      </c>
      <c r="I1028">
        <v>2</v>
      </c>
      <c r="J1028" s="1">
        <f t="shared" ca="1" si="289"/>
        <v>1.4701500000000082E-11</v>
      </c>
      <c r="K1028" s="1">
        <f t="shared" ca="1" si="290"/>
        <v>5.9893911000000335E-14</v>
      </c>
      <c r="L1028" s="13">
        <f t="shared" ca="1" si="291"/>
        <v>100</v>
      </c>
      <c r="M1028" s="7">
        <f t="shared" ca="1" si="292"/>
        <v>900</v>
      </c>
      <c r="N1028" s="43">
        <f t="shared" ca="1" si="293"/>
        <v>8</v>
      </c>
      <c r="O1028" s="92">
        <f t="shared" ca="1" si="294"/>
        <v>3.5531918581169131</v>
      </c>
      <c r="P1028" s="92">
        <f t="shared" ca="1" si="295"/>
        <v>35.531918581169137</v>
      </c>
      <c r="Q1028" s="92">
        <f t="shared" ca="1" si="296"/>
        <v>35.531918581169137</v>
      </c>
      <c r="R1028" s="92">
        <f t="shared" ca="1" si="297"/>
        <v>3.5531918581169135</v>
      </c>
      <c r="S1028" s="92">
        <f t="shared" ca="1" si="298"/>
        <v>3.5531918581169126</v>
      </c>
      <c r="T1028" s="4">
        <f t="shared" ca="1" si="299"/>
        <v>2.1281455691598019E-13</v>
      </c>
      <c r="U1028" s="99">
        <f t="shared" ca="1" si="300"/>
        <v>1358.9440426620492</v>
      </c>
      <c r="V1028" s="4">
        <f t="shared" ca="1" si="301"/>
        <v>8.1392473545181431E-11</v>
      </c>
      <c r="W1028" s="13">
        <f t="shared" ca="1" si="302"/>
        <v>12034.144237499999</v>
      </c>
      <c r="X1028" s="4">
        <f t="shared" ca="1" si="303"/>
        <v>7.2077196392199181E-10</v>
      </c>
    </row>
    <row r="1029" spans="1:24">
      <c r="A1029">
        <v>3</v>
      </c>
      <c r="B1029">
        <v>2</v>
      </c>
      <c r="C1029">
        <f t="shared" ca="1" si="285"/>
        <v>8</v>
      </c>
      <c r="D1029">
        <f t="shared" ca="1" si="286"/>
        <v>6</v>
      </c>
      <c r="E1029">
        <f t="shared" ca="1" si="287"/>
        <v>3</v>
      </c>
      <c r="F1029" s="100">
        <f t="shared" ca="1" si="288"/>
        <v>4.0740000000000004E-3</v>
      </c>
      <c r="G1029">
        <v>0</v>
      </c>
      <c r="H1029">
        <v>0</v>
      </c>
      <c r="I1029">
        <v>1</v>
      </c>
      <c r="J1029" s="1">
        <f t="shared" ca="1" si="289"/>
        <v>5.9400000000000383E-14</v>
      </c>
      <c r="K1029" s="1">
        <f t="shared" ca="1" si="290"/>
        <v>2.4199560000000157E-16</v>
      </c>
      <c r="L1029" s="13">
        <f t="shared" ca="1" si="291"/>
        <v>100</v>
      </c>
      <c r="M1029" s="7">
        <f t="shared" ca="1" si="292"/>
        <v>900</v>
      </c>
      <c r="N1029" s="43">
        <f t="shared" ca="1" si="293"/>
        <v>8</v>
      </c>
      <c r="O1029" s="92">
        <f t="shared" ca="1" si="294"/>
        <v>3.5531918581169131</v>
      </c>
      <c r="P1029" s="92">
        <f t="shared" ca="1" si="295"/>
        <v>35.531918581169137</v>
      </c>
      <c r="Q1029" s="92">
        <f t="shared" ca="1" si="296"/>
        <v>35.531918581169137</v>
      </c>
      <c r="R1029" s="92">
        <f t="shared" ca="1" si="297"/>
        <v>3.5531918581169135</v>
      </c>
      <c r="S1029" s="92">
        <f t="shared" ca="1" si="298"/>
        <v>3.5531918581169126</v>
      </c>
      <c r="T1029" s="4">
        <f t="shared" ca="1" si="299"/>
        <v>8.5985679562012269E-16</v>
      </c>
      <c r="U1029" s="99">
        <f t="shared" ca="1" si="300"/>
        <v>1358.9440426620492</v>
      </c>
      <c r="V1029" s="4">
        <f t="shared" ca="1" si="301"/>
        <v>3.2885847897043034E-13</v>
      </c>
      <c r="W1029" s="13">
        <f t="shared" ca="1" si="302"/>
        <v>6017.0721187499994</v>
      </c>
      <c r="X1029" s="4">
        <f t="shared" ca="1" si="303"/>
        <v>1.4561049776201867E-12</v>
      </c>
    </row>
    <row r="1030" spans="1:24">
      <c r="A1030">
        <v>3</v>
      </c>
      <c r="B1030">
        <v>2</v>
      </c>
      <c r="C1030">
        <f t="shared" ca="1" si="285"/>
        <v>8</v>
      </c>
      <c r="D1030">
        <f t="shared" ca="1" si="286"/>
        <v>6</v>
      </c>
      <c r="E1030">
        <f t="shared" ca="1" si="287"/>
        <v>3</v>
      </c>
      <c r="F1030" s="100">
        <f t="shared" ca="1" si="288"/>
        <v>4.0740000000000004E-3</v>
      </c>
      <c r="G1030">
        <v>0</v>
      </c>
      <c r="H1030">
        <v>0</v>
      </c>
      <c r="I1030">
        <v>0</v>
      </c>
      <c r="J1030" s="1">
        <f t="shared" ca="1" si="289"/>
        <v>1.0000000000000073E-16</v>
      </c>
      <c r="K1030" s="1">
        <f t="shared" ca="1" si="290"/>
        <v>4.0740000000000298E-19</v>
      </c>
      <c r="L1030" s="13">
        <f t="shared" ca="1" si="291"/>
        <v>100</v>
      </c>
      <c r="M1030" s="7">
        <f t="shared" ca="1" si="292"/>
        <v>900</v>
      </c>
      <c r="N1030" s="43">
        <f t="shared" ca="1" si="293"/>
        <v>8</v>
      </c>
      <c r="O1030" s="92">
        <f t="shared" ca="1" si="294"/>
        <v>3.5531918581169131</v>
      </c>
      <c r="P1030" s="92">
        <f t="shared" ca="1" si="295"/>
        <v>35.531918581169137</v>
      </c>
      <c r="Q1030" s="92">
        <f t="shared" ca="1" si="296"/>
        <v>35.531918581169137</v>
      </c>
      <c r="R1030" s="92">
        <f t="shared" ca="1" si="297"/>
        <v>3.5531918581169135</v>
      </c>
      <c r="S1030" s="92">
        <f t="shared" ca="1" si="298"/>
        <v>3.5531918581169126</v>
      </c>
      <c r="T1030" s="4">
        <f t="shared" ca="1" si="299"/>
        <v>1.4475703629968409E-18</v>
      </c>
      <c r="U1030" s="99">
        <f t="shared" ca="1" si="300"/>
        <v>1358.9440426620492</v>
      </c>
      <c r="V1030" s="4">
        <f t="shared" ca="1" si="301"/>
        <v>5.5363380298052288E-16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ca="1" si="285"/>
        <v>8</v>
      </c>
      <c r="D1031">
        <f t="shared" ca="1" si="286"/>
        <v>6</v>
      </c>
      <c r="E1031">
        <f t="shared" ca="1" si="287"/>
        <v>3</v>
      </c>
      <c r="F1031" s="100">
        <f t="shared" ca="1" si="288"/>
        <v>8.9999999999999998E-4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422</v>
      </c>
      <c r="M1031" s="7">
        <f t="shared" ca="1" si="292"/>
        <v>578</v>
      </c>
      <c r="N1031" s="43">
        <f t="shared" ca="1" si="293"/>
        <v>5</v>
      </c>
      <c r="O1031" s="92">
        <f t="shared" ca="1" si="294"/>
        <v>2.4432565128993144</v>
      </c>
      <c r="P1031" s="92">
        <f t="shared" ca="1" si="295"/>
        <v>24.432565128993144</v>
      </c>
      <c r="Q1031" s="92">
        <f t="shared" ca="1" si="296"/>
        <v>24.432565128993144</v>
      </c>
      <c r="R1031" s="92">
        <f t="shared" ca="1" si="297"/>
        <v>2.4432565128993144</v>
      </c>
      <c r="S1031" s="92">
        <f t="shared" ca="1" si="298"/>
        <v>2.4432565128993144</v>
      </c>
      <c r="T1031" s="4">
        <f t="shared" ca="1" si="299"/>
        <v>0</v>
      </c>
      <c r="U1031" s="99">
        <f t="shared" ca="1" si="300"/>
        <v>1336.3931955743851</v>
      </c>
      <c r="V1031" s="4">
        <f t="shared" ca="1" si="301"/>
        <v>0</v>
      </c>
      <c r="W1031" s="13">
        <f t="shared" ca="1" si="302"/>
        <v>54281.8901625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ca="1" si="285"/>
        <v>8</v>
      </c>
      <c r="D1032">
        <f t="shared" ca="1" si="286"/>
        <v>6</v>
      </c>
      <c r="E1032">
        <f t="shared" ca="1" si="287"/>
        <v>3</v>
      </c>
      <c r="F1032" s="100">
        <f t="shared" ca="1" si="288"/>
        <v>8.9999999999999998E-4</v>
      </c>
      <c r="G1032">
        <v>1</v>
      </c>
      <c r="H1032">
        <v>1</v>
      </c>
      <c r="I1032">
        <v>6</v>
      </c>
      <c r="J1032" s="1">
        <f t="shared" ca="1" si="289"/>
        <v>0.92274469442791995</v>
      </c>
      <c r="K1032" s="1">
        <f t="shared" ca="1" si="290"/>
        <v>8.3047022498512789E-4</v>
      </c>
      <c r="L1032" s="13">
        <f t="shared" ca="1" si="291"/>
        <v>400</v>
      </c>
      <c r="M1032" s="7">
        <f t="shared" ca="1" si="292"/>
        <v>600</v>
      </c>
      <c r="N1032" s="43">
        <f t="shared" ca="1" si="293"/>
        <v>5</v>
      </c>
      <c r="O1032" s="92">
        <f t="shared" ca="1" si="294"/>
        <v>2.4432565128993144</v>
      </c>
      <c r="P1032" s="92">
        <f t="shared" ca="1" si="295"/>
        <v>24.432565128993144</v>
      </c>
      <c r="Q1032" s="92">
        <f t="shared" ca="1" si="296"/>
        <v>24.432565128993144</v>
      </c>
      <c r="R1032" s="92">
        <f t="shared" ca="1" si="297"/>
        <v>2.4432565128993144</v>
      </c>
      <c r="S1032" s="92">
        <f t="shared" ca="1" si="298"/>
        <v>2.4432565128993144</v>
      </c>
      <c r="T1032" s="4">
        <f t="shared" ca="1" si="299"/>
        <v>2.0290517859638726E-3</v>
      </c>
      <c r="U1032" s="99">
        <f t="shared" ca="1" si="300"/>
        <v>1314.3931955743851</v>
      </c>
      <c r="V1032" s="4">
        <f t="shared" ca="1" si="301"/>
        <v>1.0915644128475808</v>
      </c>
      <c r="W1032" s="13">
        <f t="shared" ca="1" si="302"/>
        <v>48264.818043749998</v>
      </c>
      <c r="X1032" s="4">
        <f t="shared" ca="1" si="303"/>
        <v>40.082494299659324</v>
      </c>
    </row>
    <row r="1033" spans="1:24">
      <c r="A1033">
        <v>3</v>
      </c>
      <c r="B1033">
        <v>3</v>
      </c>
      <c r="C1033">
        <f t="shared" ca="1" si="285"/>
        <v>8</v>
      </c>
      <c r="D1033">
        <f t="shared" ca="1" si="286"/>
        <v>6</v>
      </c>
      <c r="E1033">
        <f t="shared" ca="1" si="287"/>
        <v>3</v>
      </c>
      <c r="F1033" s="100">
        <f t="shared" ca="1" si="288"/>
        <v>8.9999999999999998E-4</v>
      </c>
      <c r="G1033">
        <v>1</v>
      </c>
      <c r="H1033">
        <v>1</v>
      </c>
      <c r="I1033">
        <v>5</v>
      </c>
      <c r="J1033" s="1">
        <f t="shared" ca="1" si="289"/>
        <v>5.5923920874419442E-2</v>
      </c>
      <c r="K1033" s="1">
        <f t="shared" ca="1" si="290"/>
        <v>5.0331528786977499E-5</v>
      </c>
      <c r="L1033" s="13">
        <f t="shared" ca="1" si="291"/>
        <v>378</v>
      </c>
      <c r="M1033" s="7">
        <f t="shared" ca="1" si="292"/>
        <v>622</v>
      </c>
      <c r="N1033" s="43">
        <f t="shared" ca="1" si="293"/>
        <v>5</v>
      </c>
      <c r="O1033" s="92">
        <f t="shared" ca="1" si="294"/>
        <v>2.4432565128993144</v>
      </c>
      <c r="P1033" s="92">
        <f t="shared" ca="1" si="295"/>
        <v>24.432565128993144</v>
      </c>
      <c r="Q1033" s="92">
        <f t="shared" ca="1" si="296"/>
        <v>24.432565128993144</v>
      </c>
      <c r="R1033" s="92">
        <f t="shared" ca="1" si="297"/>
        <v>2.4432565128993144</v>
      </c>
      <c r="S1033" s="92">
        <f t="shared" ca="1" si="298"/>
        <v>2.4432565128993144</v>
      </c>
      <c r="T1033" s="4">
        <f t="shared" ca="1" si="299"/>
        <v>1.2297283551296209E-4</v>
      </c>
      <c r="U1033" s="99">
        <f t="shared" ca="1" si="300"/>
        <v>1292.3931955743851</v>
      </c>
      <c r="V1033" s="4">
        <f t="shared" ca="1" si="301"/>
        <v>6.5048125327146003E-2</v>
      </c>
      <c r="W1033" s="13">
        <f t="shared" ca="1" si="302"/>
        <v>42247.745924999996</v>
      </c>
      <c r="X1033" s="4">
        <f t="shared" ca="1" si="303"/>
        <v>2.1263936402090486</v>
      </c>
    </row>
    <row r="1034" spans="1:24">
      <c r="A1034">
        <v>3</v>
      </c>
      <c r="B1034">
        <v>3</v>
      </c>
      <c r="C1034">
        <f t="shared" ca="1" si="285"/>
        <v>8</v>
      </c>
      <c r="D1034">
        <f t="shared" ca="1" si="286"/>
        <v>6</v>
      </c>
      <c r="E1034">
        <f t="shared" ca="1" si="287"/>
        <v>3</v>
      </c>
      <c r="F1034" s="100">
        <f t="shared" ca="1" si="288"/>
        <v>8.9999999999999998E-4</v>
      </c>
      <c r="G1034">
        <v>1</v>
      </c>
      <c r="H1034">
        <v>1</v>
      </c>
      <c r="I1034">
        <v>4</v>
      </c>
      <c r="J1034" s="1">
        <f t="shared" ca="1" si="289"/>
        <v>1.4122202241015026E-3</v>
      </c>
      <c r="K1034" s="1">
        <f t="shared" ca="1" si="290"/>
        <v>1.2709982016913522E-6</v>
      </c>
      <c r="L1034" s="13">
        <f t="shared" ca="1" si="291"/>
        <v>356</v>
      </c>
      <c r="M1034" s="7">
        <f t="shared" ca="1" si="292"/>
        <v>644</v>
      </c>
      <c r="N1034" s="43">
        <f t="shared" ca="1" si="293"/>
        <v>6</v>
      </c>
      <c r="O1034" s="92">
        <f t="shared" ca="1" si="294"/>
        <v>2.7275117780454798</v>
      </c>
      <c r="P1034" s="92">
        <f t="shared" ca="1" si="295"/>
        <v>27.275117780454792</v>
      </c>
      <c r="Q1034" s="92">
        <f t="shared" ca="1" si="296"/>
        <v>26.706607250162463</v>
      </c>
      <c r="R1034" s="92">
        <f t="shared" ca="1" si="297"/>
        <v>2.6990862515308627</v>
      </c>
      <c r="S1034" s="92">
        <f t="shared" ca="1" si="298"/>
        <v>2.7255219911894564</v>
      </c>
      <c r="T1034" s="4">
        <f t="shared" ca="1" si="299"/>
        <v>3.4641335494720325E-6</v>
      </c>
      <c r="U1034" s="99">
        <f t="shared" ca="1" si="300"/>
        <v>1358.0152449734937</v>
      </c>
      <c r="V1034" s="4">
        <f t="shared" ca="1" si="301"/>
        <v>1.7260349342307518E-3</v>
      </c>
      <c r="W1034" s="13">
        <f t="shared" ca="1" si="302"/>
        <v>36230.673806249994</v>
      </c>
      <c r="X1034" s="4">
        <f t="shared" ca="1" si="303"/>
        <v>4.6049121253809722E-2</v>
      </c>
    </row>
    <row r="1035" spans="1:24">
      <c r="A1035">
        <v>3</v>
      </c>
      <c r="B1035">
        <v>3</v>
      </c>
      <c r="C1035">
        <f t="shared" ca="1" si="285"/>
        <v>8</v>
      </c>
      <c r="D1035">
        <f t="shared" ca="1" si="286"/>
        <v>6</v>
      </c>
      <c r="E1035">
        <f t="shared" ca="1" si="287"/>
        <v>3</v>
      </c>
      <c r="F1035" s="100">
        <f t="shared" ca="1" si="288"/>
        <v>8.9999999999999998E-4</v>
      </c>
      <c r="G1035">
        <v>1</v>
      </c>
      <c r="H1035">
        <v>1</v>
      </c>
      <c r="I1035">
        <v>3</v>
      </c>
      <c r="J1035" s="1">
        <f t="shared" ca="1" si="289"/>
        <v>1.9019800998000047E-5</v>
      </c>
      <c r="K1035" s="1">
        <f t="shared" ca="1" si="290"/>
        <v>1.7117820898200041E-8</v>
      </c>
      <c r="L1035" s="13">
        <f t="shared" ca="1" si="291"/>
        <v>334</v>
      </c>
      <c r="M1035" s="7">
        <f t="shared" ca="1" si="292"/>
        <v>666</v>
      </c>
      <c r="N1035" s="43">
        <f t="shared" ca="1" si="293"/>
        <v>6</v>
      </c>
      <c r="O1035" s="92">
        <f t="shared" ca="1" si="294"/>
        <v>2.7275117780454798</v>
      </c>
      <c r="P1035" s="92">
        <f t="shared" ca="1" si="295"/>
        <v>27.275117780454792</v>
      </c>
      <c r="Q1035" s="92">
        <f t="shared" ca="1" si="296"/>
        <v>27.275117780454792</v>
      </c>
      <c r="R1035" s="92">
        <f t="shared" ca="1" si="297"/>
        <v>2.7275117780454794</v>
      </c>
      <c r="S1035" s="92">
        <f t="shared" ca="1" si="298"/>
        <v>2.7275117780454794</v>
      </c>
      <c r="T1035" s="4">
        <f t="shared" ca="1" si="299"/>
        <v>4.6689058114313661E-8</v>
      </c>
      <c r="U1035" s="99">
        <f t="shared" ca="1" si="300"/>
        <v>1336.6329230659346</v>
      </c>
      <c r="V1035" s="4">
        <f t="shared" ca="1" si="301"/>
        <v>2.2880242983680263E-5</v>
      </c>
      <c r="W1035" s="13">
        <f t="shared" ca="1" si="302"/>
        <v>30213.601687499999</v>
      </c>
      <c r="X1035" s="4">
        <f t="shared" ca="1" si="303"/>
        <v>5.1719102237617954E-4</v>
      </c>
    </row>
    <row r="1036" spans="1:24">
      <c r="A1036">
        <v>3</v>
      </c>
      <c r="B1036">
        <v>3</v>
      </c>
      <c r="C1036">
        <f t="shared" ca="1" si="285"/>
        <v>8</v>
      </c>
      <c r="D1036">
        <f t="shared" ca="1" si="286"/>
        <v>6</v>
      </c>
      <c r="E1036">
        <f t="shared" ca="1" si="287"/>
        <v>3</v>
      </c>
      <c r="F1036" s="100">
        <f t="shared" ca="1" si="288"/>
        <v>8.9999999999999998E-4</v>
      </c>
      <c r="G1036">
        <v>1</v>
      </c>
      <c r="H1036">
        <v>1</v>
      </c>
      <c r="I1036">
        <v>2</v>
      </c>
      <c r="J1036" s="1">
        <f t="shared" ca="1" si="289"/>
        <v>1.4408940150000054E-7</v>
      </c>
      <c r="K1036" s="1">
        <f t="shared" ca="1" si="290"/>
        <v>1.2968046135000047E-10</v>
      </c>
      <c r="L1036" s="13">
        <f t="shared" ca="1" si="291"/>
        <v>312</v>
      </c>
      <c r="M1036" s="7">
        <f t="shared" ca="1" si="292"/>
        <v>688</v>
      </c>
      <c r="N1036" s="43">
        <f t="shared" ca="1" si="293"/>
        <v>6</v>
      </c>
      <c r="O1036" s="92">
        <f t="shared" ca="1" si="294"/>
        <v>2.7275117780454798</v>
      </c>
      <c r="P1036" s="92">
        <f t="shared" ca="1" si="295"/>
        <v>27.275117780454792</v>
      </c>
      <c r="Q1036" s="92">
        <f t="shared" ca="1" si="296"/>
        <v>27.275117780454792</v>
      </c>
      <c r="R1036" s="92">
        <f t="shared" ca="1" si="297"/>
        <v>2.7275117780454794</v>
      </c>
      <c r="S1036" s="92">
        <f t="shared" ca="1" si="298"/>
        <v>2.7275117780454794</v>
      </c>
      <c r="T1036" s="4">
        <f t="shared" ca="1" si="299"/>
        <v>3.5370498571449784E-10</v>
      </c>
      <c r="U1036" s="99">
        <f t="shared" ca="1" si="300"/>
        <v>1314.6329230659346</v>
      </c>
      <c r="V1036" s="4">
        <f t="shared" ca="1" si="301"/>
        <v>1.7048220396909008E-7</v>
      </c>
      <c r="W1036" s="13">
        <f t="shared" ca="1" si="302"/>
        <v>24196.529568749997</v>
      </c>
      <c r="X1036" s="4">
        <f t="shared" ca="1" si="303"/>
        <v>3.1378171175444275E-6</v>
      </c>
    </row>
    <row r="1037" spans="1:24">
      <c r="A1037">
        <v>3</v>
      </c>
      <c r="B1037">
        <v>3</v>
      </c>
      <c r="C1037">
        <f t="shared" ca="1" si="285"/>
        <v>8</v>
      </c>
      <c r="D1037">
        <f t="shared" ca="1" si="286"/>
        <v>6</v>
      </c>
      <c r="E1037">
        <f t="shared" ca="1" si="287"/>
        <v>3</v>
      </c>
      <c r="F1037" s="100">
        <f t="shared" ca="1" si="288"/>
        <v>8.9999999999999998E-4</v>
      </c>
      <c r="G1037">
        <v>1</v>
      </c>
      <c r="H1037">
        <v>1</v>
      </c>
      <c r="I1037">
        <v>1</v>
      </c>
      <c r="J1037" s="1">
        <f t="shared" ca="1" si="289"/>
        <v>5.8217940000000265E-10</v>
      </c>
      <c r="K1037" s="1">
        <f t="shared" ca="1" si="290"/>
        <v>5.2396146000000236E-13</v>
      </c>
      <c r="L1037" s="13">
        <f t="shared" ca="1" si="291"/>
        <v>290</v>
      </c>
      <c r="M1037" s="7">
        <f t="shared" ca="1" si="292"/>
        <v>710</v>
      </c>
      <c r="N1037" s="43">
        <f t="shared" ca="1" si="293"/>
        <v>6</v>
      </c>
      <c r="O1037" s="92">
        <f t="shared" ca="1" si="294"/>
        <v>2.7275117780454798</v>
      </c>
      <c r="P1037" s="92">
        <f t="shared" ca="1" si="295"/>
        <v>27.275117780454792</v>
      </c>
      <c r="Q1037" s="92">
        <f t="shared" ca="1" si="296"/>
        <v>27.275117780454792</v>
      </c>
      <c r="R1037" s="92">
        <f t="shared" ca="1" si="297"/>
        <v>2.7275117780454794</v>
      </c>
      <c r="S1037" s="92">
        <f t="shared" ca="1" si="298"/>
        <v>2.7275117780454794</v>
      </c>
      <c r="T1037" s="4">
        <f t="shared" ca="1" si="299"/>
        <v>1.4291110533919118E-12</v>
      </c>
      <c r="U1037" s="99">
        <f t="shared" ca="1" si="300"/>
        <v>1292.6329230659346</v>
      </c>
      <c r="V1037" s="4">
        <f t="shared" ca="1" si="301"/>
        <v>6.7728983361369785E-10</v>
      </c>
      <c r="W1037" s="13">
        <f t="shared" ca="1" si="302"/>
        <v>18179.457449999998</v>
      </c>
      <c r="X1037" s="4">
        <f t="shared" ca="1" si="303"/>
        <v>9.525335067509919E-9</v>
      </c>
    </row>
    <row r="1038" spans="1:24">
      <c r="A1038">
        <v>3</v>
      </c>
      <c r="B1038">
        <v>3</v>
      </c>
      <c r="C1038">
        <f t="shared" ca="1" si="285"/>
        <v>8</v>
      </c>
      <c r="D1038">
        <f t="shared" ca="1" si="286"/>
        <v>6</v>
      </c>
      <c r="E1038">
        <f t="shared" ca="1" si="287"/>
        <v>3</v>
      </c>
      <c r="F1038" s="100">
        <f t="shared" ca="1" si="288"/>
        <v>8.9999999999999998E-4</v>
      </c>
      <c r="G1038">
        <v>1</v>
      </c>
      <c r="H1038">
        <v>1</v>
      </c>
      <c r="I1038">
        <v>0</v>
      </c>
      <c r="J1038" s="1">
        <f t="shared" ca="1" si="289"/>
        <v>9.8010000000000529E-13</v>
      </c>
      <c r="K1038" s="1">
        <f t="shared" ca="1" si="290"/>
        <v>8.8209000000000473E-16</v>
      </c>
      <c r="L1038" s="13">
        <f t="shared" ca="1" si="291"/>
        <v>268</v>
      </c>
      <c r="M1038" s="7">
        <f t="shared" ca="1" si="292"/>
        <v>732</v>
      </c>
      <c r="N1038" s="43">
        <f t="shared" ca="1" si="293"/>
        <v>6</v>
      </c>
      <c r="O1038" s="92">
        <f t="shared" ca="1" si="294"/>
        <v>2.7275117780454798</v>
      </c>
      <c r="P1038" s="92">
        <f t="shared" ca="1" si="295"/>
        <v>27.275117780454792</v>
      </c>
      <c r="Q1038" s="92">
        <f t="shared" ca="1" si="296"/>
        <v>27.275117780454792</v>
      </c>
      <c r="R1038" s="92">
        <f t="shared" ca="1" si="297"/>
        <v>2.7275117780454794</v>
      </c>
      <c r="S1038" s="92">
        <f t="shared" ca="1" si="298"/>
        <v>2.7275117780454794</v>
      </c>
      <c r="T1038" s="4">
        <f t="shared" ca="1" si="299"/>
        <v>2.4059108642961498E-15</v>
      </c>
      <c r="U1038" s="99">
        <f t="shared" ca="1" si="300"/>
        <v>1270.6329230659346</v>
      </c>
      <c r="V1038" s="4">
        <f t="shared" ca="1" si="301"/>
        <v>1.1208125951072362E-12</v>
      </c>
      <c r="W1038" s="13">
        <f t="shared" ca="1" si="302"/>
        <v>12162.38533125</v>
      </c>
      <c r="X1038" s="4">
        <f t="shared" ca="1" si="303"/>
        <v>1.072831847684237E-11</v>
      </c>
    </row>
    <row r="1039" spans="1:24">
      <c r="A1039">
        <v>3</v>
      </c>
      <c r="B1039">
        <v>3</v>
      </c>
      <c r="C1039">
        <f t="shared" ca="1" si="285"/>
        <v>8</v>
      </c>
      <c r="D1039">
        <f t="shared" ca="1" si="286"/>
        <v>6</v>
      </c>
      <c r="E1039">
        <f t="shared" ca="1" si="287"/>
        <v>3</v>
      </c>
      <c r="F1039" s="100">
        <f t="shared" ca="1" si="288"/>
        <v>8.9999999999999998E-4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288</v>
      </c>
      <c r="M1039" s="7">
        <f t="shared" ca="1" si="292"/>
        <v>712</v>
      </c>
      <c r="N1039" s="43">
        <f t="shared" ca="1" si="293"/>
        <v>6</v>
      </c>
      <c r="O1039" s="92">
        <f t="shared" ca="1" si="294"/>
        <v>2.7275117780454798</v>
      </c>
      <c r="P1039" s="92">
        <f t="shared" ca="1" si="295"/>
        <v>27.275117780454792</v>
      </c>
      <c r="Q1039" s="92">
        <f t="shared" ca="1" si="296"/>
        <v>27.275117780454792</v>
      </c>
      <c r="R1039" s="92">
        <f t="shared" ca="1" si="297"/>
        <v>2.7275117780454794</v>
      </c>
      <c r="S1039" s="92">
        <f t="shared" ca="1" si="298"/>
        <v>2.7275117780454794</v>
      </c>
      <c r="T1039" s="4">
        <f t="shared" ca="1" si="299"/>
        <v>0</v>
      </c>
      <c r="U1039" s="99">
        <f t="shared" ca="1" si="300"/>
        <v>1290.6329230659346</v>
      </c>
      <c r="V1039" s="4">
        <f t="shared" ca="1" si="301"/>
        <v>0</v>
      </c>
      <c r="W1039" s="13">
        <f t="shared" ca="1" si="302"/>
        <v>48136.576950000002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ca="1" si="285"/>
        <v>8</v>
      </c>
      <c r="D1040">
        <f t="shared" ca="1" si="286"/>
        <v>6</v>
      </c>
      <c r="E1040">
        <f t="shared" ca="1" si="287"/>
        <v>3</v>
      </c>
      <c r="F1040" s="100">
        <f t="shared" ca="1" si="288"/>
        <v>8.9999999999999998E-4</v>
      </c>
      <c r="G1040">
        <v>1</v>
      </c>
      <c r="H1040">
        <v>0</v>
      </c>
      <c r="I1040">
        <v>6</v>
      </c>
      <c r="J1040" s="1">
        <f t="shared" ca="1" si="289"/>
        <v>9.3206534790699087E-3</v>
      </c>
      <c r="K1040" s="1">
        <f t="shared" ca="1" si="290"/>
        <v>8.3885881311629182E-6</v>
      </c>
      <c r="L1040" s="13">
        <f t="shared" ca="1" si="291"/>
        <v>266</v>
      </c>
      <c r="M1040" s="7">
        <f t="shared" ca="1" si="292"/>
        <v>734</v>
      </c>
      <c r="N1040" s="43">
        <f t="shared" ca="1" si="293"/>
        <v>6</v>
      </c>
      <c r="O1040" s="92">
        <f t="shared" ca="1" si="294"/>
        <v>2.7275117780454798</v>
      </c>
      <c r="P1040" s="92">
        <f t="shared" ca="1" si="295"/>
        <v>27.275117780454792</v>
      </c>
      <c r="Q1040" s="92">
        <f t="shared" ca="1" si="296"/>
        <v>27.275117780454792</v>
      </c>
      <c r="R1040" s="92">
        <f t="shared" ca="1" si="297"/>
        <v>2.7275117780454794</v>
      </c>
      <c r="S1040" s="92">
        <f t="shared" ca="1" si="298"/>
        <v>2.7275117780454794</v>
      </c>
      <c r="T1040" s="4">
        <f t="shared" ca="1" si="299"/>
        <v>2.2879972928919378E-5</v>
      </c>
      <c r="U1040" s="99">
        <f t="shared" ca="1" si="300"/>
        <v>1268.6329230659346</v>
      </c>
      <c r="V1040" s="4">
        <f t="shared" ca="1" si="301"/>
        <v>1.0642039081233418E-2</v>
      </c>
      <c r="W1040" s="13">
        <f t="shared" ca="1" si="302"/>
        <v>42119.50483125</v>
      </c>
      <c r="X1040" s="4">
        <f t="shared" ca="1" si="303"/>
        <v>0.35332317831788296</v>
      </c>
    </row>
    <row r="1041" spans="1:24">
      <c r="A1041">
        <v>3</v>
      </c>
      <c r="B1041">
        <v>3</v>
      </c>
      <c r="C1041">
        <f t="shared" ca="1" si="285"/>
        <v>8</v>
      </c>
      <c r="D1041">
        <f t="shared" ca="1" si="286"/>
        <v>6</v>
      </c>
      <c r="E1041">
        <f t="shared" ca="1" si="287"/>
        <v>3</v>
      </c>
      <c r="F1041" s="100">
        <f t="shared" ca="1" si="288"/>
        <v>8.9999999999999998E-4</v>
      </c>
      <c r="G1041">
        <v>1</v>
      </c>
      <c r="H1041">
        <v>0</v>
      </c>
      <c r="I1041">
        <v>5</v>
      </c>
      <c r="J1041" s="1">
        <f t="shared" ca="1" si="289"/>
        <v>5.6488808964060098E-4</v>
      </c>
      <c r="K1041" s="1">
        <f t="shared" ca="1" si="290"/>
        <v>5.0839928067654089E-7</v>
      </c>
      <c r="L1041" s="13">
        <f t="shared" ca="1" si="291"/>
        <v>244</v>
      </c>
      <c r="M1041" s="7">
        <f t="shared" ca="1" si="292"/>
        <v>756</v>
      </c>
      <c r="N1041" s="43">
        <f t="shared" ca="1" si="293"/>
        <v>7</v>
      </c>
      <c r="O1041" s="92">
        <f t="shared" ca="1" si="294"/>
        <v>3.2214900588145507</v>
      </c>
      <c r="P1041" s="92">
        <f t="shared" ca="1" si="295"/>
        <v>29.745009184300148</v>
      </c>
      <c r="Q1041" s="92">
        <f t="shared" ca="1" si="296"/>
        <v>27.275117780454792</v>
      </c>
      <c r="R1041" s="92">
        <f t="shared" ca="1" si="297"/>
        <v>2.851006348237747</v>
      </c>
      <c r="S1041" s="92">
        <f t="shared" ca="1" si="298"/>
        <v>3.1955561990741743</v>
      </c>
      <c r="T1041" s="4">
        <f t="shared" ca="1" si="299"/>
        <v>1.6246184729707713E-6</v>
      </c>
      <c r="U1041" s="99">
        <f t="shared" ca="1" si="300"/>
        <v>1391.9252614304514</v>
      </c>
      <c r="V1041" s="4">
        <f t="shared" ca="1" si="301"/>
        <v>7.0765380166674767E-4</v>
      </c>
      <c r="W1041" s="13">
        <f t="shared" ca="1" si="302"/>
        <v>36102.432712499998</v>
      </c>
      <c r="X1041" s="4">
        <f t="shared" ca="1" si="303"/>
        <v>1.8354450821708217E-2</v>
      </c>
    </row>
    <row r="1042" spans="1:24">
      <c r="A1042">
        <v>3</v>
      </c>
      <c r="B1042">
        <v>3</v>
      </c>
      <c r="C1042">
        <f t="shared" ca="1" si="285"/>
        <v>8</v>
      </c>
      <c r="D1042">
        <f t="shared" ca="1" si="286"/>
        <v>6</v>
      </c>
      <c r="E1042">
        <f t="shared" ca="1" si="287"/>
        <v>3</v>
      </c>
      <c r="F1042" s="100">
        <f t="shared" ca="1" si="288"/>
        <v>8.9999999999999998E-4</v>
      </c>
      <c r="G1042">
        <v>1</v>
      </c>
      <c r="H1042">
        <v>0</v>
      </c>
      <c r="I1042">
        <v>4</v>
      </c>
      <c r="J1042" s="1">
        <f t="shared" ca="1" si="289"/>
        <v>1.426485074850004E-5</v>
      </c>
      <c r="K1042" s="1">
        <f t="shared" ca="1" si="290"/>
        <v>1.2838365673650036E-8</v>
      </c>
      <c r="L1042" s="13">
        <f t="shared" ca="1" si="291"/>
        <v>222</v>
      </c>
      <c r="M1042" s="7">
        <f t="shared" ca="1" si="292"/>
        <v>778</v>
      </c>
      <c r="N1042" s="43">
        <f t="shared" ca="1" si="293"/>
        <v>7</v>
      </c>
      <c r="O1042" s="92">
        <f t="shared" ca="1" si="294"/>
        <v>3.2214900588145507</v>
      </c>
      <c r="P1042" s="92">
        <f t="shared" ca="1" si="295"/>
        <v>32.214900588145518</v>
      </c>
      <c r="Q1042" s="92">
        <f t="shared" ca="1" si="296"/>
        <v>32.214900588145518</v>
      </c>
      <c r="R1042" s="92">
        <f t="shared" ca="1" si="297"/>
        <v>3.2214900588145516</v>
      </c>
      <c r="S1042" s="92">
        <f t="shared" ca="1" si="298"/>
        <v>3.2214900588145507</v>
      </c>
      <c r="T1042" s="4">
        <f t="shared" ca="1" si="299"/>
        <v>4.1358667389089564E-8</v>
      </c>
      <c r="U1042" s="99">
        <f t="shared" ca="1" si="300"/>
        <v>1377.9757603899629</v>
      </c>
      <c r="V1042" s="4">
        <f t="shared" ca="1" si="301"/>
        <v>1.7690956701312306E-5</v>
      </c>
      <c r="W1042" s="13">
        <f t="shared" ca="1" si="302"/>
        <v>30085.360593749996</v>
      </c>
      <c r="X1042" s="4">
        <f t="shared" ca="1" si="303"/>
        <v>3.8624686072618339E-4</v>
      </c>
    </row>
    <row r="1043" spans="1:24">
      <c r="A1043">
        <v>3</v>
      </c>
      <c r="B1043">
        <v>3</v>
      </c>
      <c r="C1043">
        <f t="shared" ca="1" si="285"/>
        <v>8</v>
      </c>
      <c r="D1043">
        <f t="shared" ca="1" si="286"/>
        <v>6</v>
      </c>
      <c r="E1043">
        <f t="shared" ca="1" si="287"/>
        <v>3</v>
      </c>
      <c r="F1043" s="100">
        <f t="shared" ca="1" si="288"/>
        <v>8.9999999999999998E-4</v>
      </c>
      <c r="G1043">
        <v>1</v>
      </c>
      <c r="H1043">
        <v>0</v>
      </c>
      <c r="I1043">
        <v>3</v>
      </c>
      <c r="J1043" s="1">
        <f t="shared" ca="1" si="289"/>
        <v>1.9211920200000068E-7</v>
      </c>
      <c r="K1043" s="1">
        <f t="shared" ca="1" si="290"/>
        <v>1.729072818000006E-10</v>
      </c>
      <c r="L1043" s="13">
        <f t="shared" ca="1" si="291"/>
        <v>200</v>
      </c>
      <c r="M1043" s="7">
        <f t="shared" ca="1" si="292"/>
        <v>800</v>
      </c>
      <c r="N1043" s="43">
        <f t="shared" ca="1" si="293"/>
        <v>7</v>
      </c>
      <c r="O1043" s="92">
        <f t="shared" ca="1" si="294"/>
        <v>3.2214900588145507</v>
      </c>
      <c r="P1043" s="92">
        <f t="shared" ca="1" si="295"/>
        <v>32.214900588145518</v>
      </c>
      <c r="Q1043" s="92">
        <f t="shared" ca="1" si="296"/>
        <v>32.214900588145518</v>
      </c>
      <c r="R1043" s="92">
        <f t="shared" ca="1" si="297"/>
        <v>3.2214900588145516</v>
      </c>
      <c r="S1043" s="92">
        <f t="shared" ca="1" si="298"/>
        <v>3.2214900588145507</v>
      </c>
      <c r="T1043" s="4">
        <f t="shared" ca="1" si="299"/>
        <v>5.57019089415348E-10</v>
      </c>
      <c r="U1043" s="99">
        <f t="shared" ca="1" si="300"/>
        <v>1355.9757603899629</v>
      </c>
      <c r="V1043" s="4">
        <f t="shared" ca="1" si="301"/>
        <v>2.3445808291571742E-7</v>
      </c>
      <c r="W1043" s="13">
        <f t="shared" ca="1" si="302"/>
        <v>24068.288474999998</v>
      </c>
      <c r="X1043" s="4">
        <f t="shared" ca="1" si="303"/>
        <v>4.1615823377905315E-6</v>
      </c>
    </row>
    <row r="1044" spans="1:24">
      <c r="A1044">
        <v>3</v>
      </c>
      <c r="B1044">
        <v>3</v>
      </c>
      <c r="C1044">
        <f t="shared" ca="1" si="285"/>
        <v>8</v>
      </c>
      <c r="D1044">
        <f t="shared" ca="1" si="286"/>
        <v>6</v>
      </c>
      <c r="E1044">
        <f t="shared" ca="1" si="287"/>
        <v>3</v>
      </c>
      <c r="F1044" s="100">
        <f t="shared" ca="1" si="288"/>
        <v>8.9999999999999998E-4</v>
      </c>
      <c r="G1044">
        <v>1</v>
      </c>
      <c r="H1044">
        <v>0</v>
      </c>
      <c r="I1044">
        <v>2</v>
      </c>
      <c r="J1044" s="1">
        <f t="shared" ca="1" si="289"/>
        <v>1.4554485000000069E-9</v>
      </c>
      <c r="K1044" s="1">
        <f t="shared" ca="1" si="290"/>
        <v>1.3099036500000062E-12</v>
      </c>
      <c r="L1044" s="13">
        <f t="shared" ca="1" si="291"/>
        <v>178</v>
      </c>
      <c r="M1044" s="7">
        <f t="shared" ca="1" si="292"/>
        <v>822</v>
      </c>
      <c r="N1044" s="43">
        <f t="shared" ca="1" si="293"/>
        <v>7</v>
      </c>
      <c r="O1044" s="92">
        <f t="shared" ca="1" si="294"/>
        <v>3.2214900588145507</v>
      </c>
      <c r="P1044" s="92">
        <f t="shared" ca="1" si="295"/>
        <v>32.214900588145518</v>
      </c>
      <c r="Q1044" s="92">
        <f t="shared" ca="1" si="296"/>
        <v>32.214900588145518</v>
      </c>
      <c r="R1044" s="92">
        <f t="shared" ca="1" si="297"/>
        <v>3.2214900588145516</v>
      </c>
      <c r="S1044" s="92">
        <f t="shared" ca="1" si="298"/>
        <v>3.2214900588145507</v>
      </c>
      <c r="T1044" s="4">
        <f t="shared" ca="1" si="299"/>
        <v>4.2198415864799147E-12</v>
      </c>
      <c r="U1044" s="99">
        <f t="shared" ca="1" si="300"/>
        <v>1333.9757603899629</v>
      </c>
      <c r="V1044" s="4">
        <f t="shared" ca="1" si="301"/>
        <v>1.7473797175463462E-9</v>
      </c>
      <c r="W1044" s="13">
        <f t="shared" ca="1" si="302"/>
        <v>18051.216356249999</v>
      </c>
      <c r="X1044" s="4">
        <f t="shared" ca="1" si="303"/>
        <v>2.3645354191991685E-8</v>
      </c>
    </row>
    <row r="1045" spans="1:24">
      <c r="A1045">
        <v>3</v>
      </c>
      <c r="B1045">
        <v>3</v>
      </c>
      <c r="C1045">
        <f t="shared" ca="1" si="285"/>
        <v>8</v>
      </c>
      <c r="D1045">
        <f t="shared" ca="1" si="286"/>
        <v>6</v>
      </c>
      <c r="E1045">
        <f t="shared" ca="1" si="287"/>
        <v>3</v>
      </c>
      <c r="F1045" s="100">
        <f t="shared" ca="1" si="288"/>
        <v>8.9999999999999998E-4</v>
      </c>
      <c r="G1045">
        <v>1</v>
      </c>
      <c r="H1045">
        <v>0</v>
      </c>
      <c r="I1045">
        <v>1</v>
      </c>
      <c r="J1045" s="1">
        <f t="shared" ca="1" si="289"/>
        <v>5.8806000000000321E-12</v>
      </c>
      <c r="K1045" s="1">
        <f t="shared" ca="1" si="290"/>
        <v>5.292540000000029E-15</v>
      </c>
      <c r="L1045" s="13">
        <f t="shared" ca="1" si="291"/>
        <v>156</v>
      </c>
      <c r="M1045" s="7">
        <f t="shared" ca="1" si="292"/>
        <v>844</v>
      </c>
      <c r="N1045" s="43">
        <f t="shared" ca="1" si="293"/>
        <v>7</v>
      </c>
      <c r="O1045" s="92">
        <f t="shared" ca="1" si="294"/>
        <v>3.2214900588145507</v>
      </c>
      <c r="P1045" s="92">
        <f t="shared" ca="1" si="295"/>
        <v>32.214900588145518</v>
      </c>
      <c r="Q1045" s="92">
        <f t="shared" ca="1" si="296"/>
        <v>32.214900588145518</v>
      </c>
      <c r="R1045" s="92">
        <f t="shared" ca="1" si="297"/>
        <v>3.2214900588145516</v>
      </c>
      <c r="S1045" s="92">
        <f t="shared" ca="1" si="298"/>
        <v>3.2214900588145507</v>
      </c>
      <c r="T1045" s="4">
        <f t="shared" ca="1" si="299"/>
        <v>1.7049864995878457E-14</v>
      </c>
      <c r="U1045" s="99">
        <f t="shared" ca="1" si="300"/>
        <v>1311.9757603899629</v>
      </c>
      <c r="V1045" s="4">
        <f t="shared" ca="1" si="301"/>
        <v>6.9436841908943326E-12</v>
      </c>
      <c r="W1045" s="13">
        <f t="shared" ca="1" si="302"/>
        <v>12034.144237499999</v>
      </c>
      <c r="X1045" s="4">
        <f t="shared" ca="1" si="303"/>
        <v>6.3691189742738587E-11</v>
      </c>
    </row>
    <row r="1046" spans="1:24">
      <c r="A1046">
        <v>3</v>
      </c>
      <c r="B1046">
        <v>3</v>
      </c>
      <c r="C1046">
        <f t="shared" ca="1" si="285"/>
        <v>8</v>
      </c>
      <c r="D1046">
        <f t="shared" ca="1" si="286"/>
        <v>6</v>
      </c>
      <c r="E1046">
        <f t="shared" ca="1" si="287"/>
        <v>3</v>
      </c>
      <c r="F1046" s="100">
        <f t="shared" ca="1" si="288"/>
        <v>8.9999999999999998E-4</v>
      </c>
      <c r="G1046">
        <v>1</v>
      </c>
      <c r="H1046">
        <v>0</v>
      </c>
      <c r="I1046">
        <v>0</v>
      </c>
      <c r="J1046" s="1">
        <f t="shared" ca="1" si="289"/>
        <v>9.9000000000000638E-15</v>
      </c>
      <c r="K1046" s="1">
        <f t="shared" ca="1" si="290"/>
        <v>8.9100000000000566E-18</v>
      </c>
      <c r="L1046" s="13">
        <f t="shared" ca="1" si="291"/>
        <v>134</v>
      </c>
      <c r="M1046" s="7">
        <f t="shared" ca="1" si="292"/>
        <v>866</v>
      </c>
      <c r="N1046" s="43">
        <f t="shared" ca="1" si="293"/>
        <v>7</v>
      </c>
      <c r="O1046" s="92">
        <f t="shared" ca="1" si="294"/>
        <v>3.2214900588145507</v>
      </c>
      <c r="P1046" s="92">
        <f t="shared" ca="1" si="295"/>
        <v>32.214900588145518</v>
      </c>
      <c r="Q1046" s="92">
        <f t="shared" ca="1" si="296"/>
        <v>32.214900588145518</v>
      </c>
      <c r="R1046" s="92">
        <f t="shared" ca="1" si="297"/>
        <v>3.2214900588145516</v>
      </c>
      <c r="S1046" s="92">
        <f t="shared" ca="1" si="298"/>
        <v>3.2214900588145507</v>
      </c>
      <c r="T1046" s="4">
        <f t="shared" ca="1" si="299"/>
        <v>2.8703476424037827E-17</v>
      </c>
      <c r="U1046" s="99">
        <f t="shared" ca="1" si="300"/>
        <v>1289.9757603899629</v>
      </c>
      <c r="V1046" s="4">
        <f t="shared" ca="1" si="301"/>
        <v>1.1493684025074642E-14</v>
      </c>
      <c r="W1046" s="13">
        <f t="shared" ca="1" si="302"/>
        <v>6017.0721187499994</v>
      </c>
      <c r="X1046" s="4">
        <f t="shared" ca="1" si="303"/>
        <v>5.3612112578062835E-14</v>
      </c>
    </row>
    <row r="1047" spans="1:24">
      <c r="A1047">
        <v>3</v>
      </c>
      <c r="B1047">
        <v>3</v>
      </c>
      <c r="C1047">
        <f t="shared" ca="1" si="285"/>
        <v>8</v>
      </c>
      <c r="D1047">
        <f t="shared" ca="1" si="286"/>
        <v>6</v>
      </c>
      <c r="E1047">
        <f t="shared" ca="1" si="287"/>
        <v>3</v>
      </c>
      <c r="F1047" s="100">
        <f t="shared" ca="1" si="288"/>
        <v>8.9999999999999998E-4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288</v>
      </c>
      <c r="M1047" s="7">
        <f t="shared" ca="1" si="292"/>
        <v>712</v>
      </c>
      <c r="N1047" s="43">
        <f t="shared" ca="1" si="293"/>
        <v>6</v>
      </c>
      <c r="O1047" s="92">
        <f t="shared" ca="1" si="294"/>
        <v>2.7275117780454798</v>
      </c>
      <c r="P1047" s="92">
        <f t="shared" ca="1" si="295"/>
        <v>27.275117780454792</v>
      </c>
      <c r="Q1047" s="92">
        <f t="shared" ca="1" si="296"/>
        <v>27.275117780454792</v>
      </c>
      <c r="R1047" s="92">
        <f t="shared" ca="1" si="297"/>
        <v>2.7275117780454794</v>
      </c>
      <c r="S1047" s="92">
        <f t="shared" ca="1" si="298"/>
        <v>2.7275117780454794</v>
      </c>
      <c r="T1047" s="4">
        <f t="shared" ca="1" si="299"/>
        <v>0</v>
      </c>
      <c r="U1047" s="99">
        <f t="shared" ca="1" si="300"/>
        <v>1290.6329230659346</v>
      </c>
      <c r="V1047" s="4">
        <f t="shared" ca="1" si="301"/>
        <v>0</v>
      </c>
      <c r="W1047" s="13">
        <f t="shared" ca="1" si="302"/>
        <v>48264.818043749998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ca="1" si="285"/>
        <v>8</v>
      </c>
      <c r="D1048">
        <f t="shared" ca="1" si="286"/>
        <v>6</v>
      </c>
      <c r="E1048">
        <f t="shared" ca="1" si="287"/>
        <v>3</v>
      </c>
      <c r="F1048" s="100">
        <f t="shared" ca="1" si="288"/>
        <v>8.9999999999999998E-4</v>
      </c>
      <c r="G1048">
        <v>0</v>
      </c>
      <c r="H1048">
        <v>1</v>
      </c>
      <c r="I1048">
        <v>6</v>
      </c>
      <c r="J1048" s="1">
        <f t="shared" ca="1" si="289"/>
        <v>9.3206534790699087E-3</v>
      </c>
      <c r="K1048" s="1">
        <f t="shared" ca="1" si="290"/>
        <v>8.3885881311629182E-6</v>
      </c>
      <c r="L1048" s="13">
        <f t="shared" ca="1" si="291"/>
        <v>266</v>
      </c>
      <c r="M1048" s="7">
        <f t="shared" ca="1" si="292"/>
        <v>734</v>
      </c>
      <c r="N1048" s="43">
        <f t="shared" ca="1" si="293"/>
        <v>6</v>
      </c>
      <c r="O1048" s="92">
        <f t="shared" ca="1" si="294"/>
        <v>2.7275117780454798</v>
      </c>
      <c r="P1048" s="92">
        <f t="shared" ca="1" si="295"/>
        <v>27.275117780454792</v>
      </c>
      <c r="Q1048" s="92">
        <f t="shared" ca="1" si="296"/>
        <v>27.275117780454792</v>
      </c>
      <c r="R1048" s="92">
        <f t="shared" ca="1" si="297"/>
        <v>2.7275117780454794</v>
      </c>
      <c r="S1048" s="92">
        <f t="shared" ca="1" si="298"/>
        <v>2.7275117780454794</v>
      </c>
      <c r="T1048" s="4">
        <f t="shared" ca="1" si="299"/>
        <v>2.2879972928919378E-5</v>
      </c>
      <c r="U1048" s="99">
        <f t="shared" ca="1" si="300"/>
        <v>1268.6329230659346</v>
      </c>
      <c r="V1048" s="4">
        <f t="shared" ca="1" si="301"/>
        <v>1.0642039081233418E-2</v>
      </c>
      <c r="W1048" s="13">
        <f t="shared" ca="1" si="302"/>
        <v>42247.745924999996</v>
      </c>
      <c r="X1048" s="4">
        <f t="shared" ca="1" si="303"/>
        <v>0.35439894003484151</v>
      </c>
    </row>
    <row r="1049" spans="1:24">
      <c r="A1049">
        <v>3</v>
      </c>
      <c r="B1049">
        <v>3</v>
      </c>
      <c r="C1049">
        <f t="shared" ca="1" si="285"/>
        <v>8</v>
      </c>
      <c r="D1049">
        <f t="shared" ca="1" si="286"/>
        <v>6</v>
      </c>
      <c r="E1049">
        <f t="shared" ca="1" si="287"/>
        <v>3</v>
      </c>
      <c r="F1049" s="100">
        <f t="shared" ca="1" si="288"/>
        <v>8.9999999999999998E-4</v>
      </c>
      <c r="G1049">
        <v>0</v>
      </c>
      <c r="H1049">
        <v>1</v>
      </c>
      <c r="I1049">
        <v>5</v>
      </c>
      <c r="J1049" s="1">
        <f t="shared" ca="1" si="289"/>
        <v>5.6488808964060098E-4</v>
      </c>
      <c r="K1049" s="1">
        <f t="shared" ca="1" si="290"/>
        <v>5.0839928067654089E-7</v>
      </c>
      <c r="L1049" s="13">
        <f t="shared" ca="1" si="291"/>
        <v>244</v>
      </c>
      <c r="M1049" s="7">
        <f t="shared" ca="1" si="292"/>
        <v>756</v>
      </c>
      <c r="N1049" s="43">
        <f t="shared" ca="1" si="293"/>
        <v>7</v>
      </c>
      <c r="O1049" s="92">
        <f t="shared" ca="1" si="294"/>
        <v>3.2214900588145507</v>
      </c>
      <c r="P1049" s="92">
        <f t="shared" ca="1" si="295"/>
        <v>29.745009184300148</v>
      </c>
      <c r="Q1049" s="92">
        <f t="shared" ca="1" si="296"/>
        <v>27.275117780454792</v>
      </c>
      <c r="R1049" s="92">
        <f t="shared" ca="1" si="297"/>
        <v>2.851006348237747</v>
      </c>
      <c r="S1049" s="92">
        <f t="shared" ca="1" si="298"/>
        <v>3.1955561990741743</v>
      </c>
      <c r="T1049" s="4">
        <f t="shared" ca="1" si="299"/>
        <v>1.6246184729707713E-6</v>
      </c>
      <c r="U1049" s="99">
        <f t="shared" ca="1" si="300"/>
        <v>1391.9252614304514</v>
      </c>
      <c r="V1049" s="4">
        <f t="shared" ca="1" si="301"/>
        <v>7.0765380166674767E-4</v>
      </c>
      <c r="W1049" s="13">
        <f t="shared" ca="1" si="302"/>
        <v>36230.673806249994</v>
      </c>
      <c r="X1049" s="4">
        <f t="shared" ca="1" si="303"/>
        <v>1.8419648501523889E-2</v>
      </c>
    </row>
    <row r="1050" spans="1:24">
      <c r="A1050">
        <v>3</v>
      </c>
      <c r="B1050">
        <v>3</v>
      </c>
      <c r="C1050">
        <f t="shared" ca="1" si="285"/>
        <v>8</v>
      </c>
      <c r="D1050">
        <f t="shared" ca="1" si="286"/>
        <v>6</v>
      </c>
      <c r="E1050">
        <f t="shared" ca="1" si="287"/>
        <v>3</v>
      </c>
      <c r="F1050" s="100">
        <f t="shared" ca="1" si="288"/>
        <v>8.9999999999999998E-4</v>
      </c>
      <c r="G1050">
        <v>0</v>
      </c>
      <c r="H1050">
        <v>1</v>
      </c>
      <c r="I1050">
        <v>4</v>
      </c>
      <c r="J1050" s="1">
        <f t="shared" ca="1" si="289"/>
        <v>1.426485074850004E-5</v>
      </c>
      <c r="K1050" s="1">
        <f t="shared" ca="1" si="290"/>
        <v>1.2838365673650036E-8</v>
      </c>
      <c r="L1050" s="13">
        <f t="shared" ca="1" si="291"/>
        <v>222</v>
      </c>
      <c r="M1050" s="7">
        <f t="shared" ca="1" si="292"/>
        <v>778</v>
      </c>
      <c r="N1050" s="43">
        <f t="shared" ca="1" si="293"/>
        <v>7</v>
      </c>
      <c r="O1050" s="92">
        <f t="shared" ca="1" si="294"/>
        <v>3.2214900588145507</v>
      </c>
      <c r="P1050" s="92">
        <f t="shared" ca="1" si="295"/>
        <v>32.214900588145518</v>
      </c>
      <c r="Q1050" s="92">
        <f t="shared" ca="1" si="296"/>
        <v>32.214900588145518</v>
      </c>
      <c r="R1050" s="92">
        <f t="shared" ca="1" si="297"/>
        <v>3.2214900588145516</v>
      </c>
      <c r="S1050" s="92">
        <f t="shared" ca="1" si="298"/>
        <v>3.2214900588145507</v>
      </c>
      <c r="T1050" s="4">
        <f t="shared" ca="1" si="299"/>
        <v>4.1358667389089564E-8</v>
      </c>
      <c r="U1050" s="99">
        <f t="shared" ca="1" si="300"/>
        <v>1377.9757603899629</v>
      </c>
      <c r="V1050" s="4">
        <f t="shared" ca="1" si="301"/>
        <v>1.7690956701312306E-5</v>
      </c>
      <c r="W1050" s="13">
        <f t="shared" ca="1" si="302"/>
        <v>30213.601687499999</v>
      </c>
      <c r="X1050" s="4">
        <f t="shared" ca="1" si="303"/>
        <v>3.8789326678213479E-4</v>
      </c>
    </row>
    <row r="1051" spans="1:24">
      <c r="A1051">
        <v>3</v>
      </c>
      <c r="B1051">
        <v>3</v>
      </c>
      <c r="C1051">
        <f t="shared" ca="1" si="285"/>
        <v>8</v>
      </c>
      <c r="D1051">
        <f t="shared" ca="1" si="286"/>
        <v>6</v>
      </c>
      <c r="E1051">
        <f t="shared" ca="1" si="287"/>
        <v>3</v>
      </c>
      <c r="F1051" s="100">
        <f t="shared" ca="1" si="288"/>
        <v>8.9999999999999998E-4</v>
      </c>
      <c r="G1051">
        <v>0</v>
      </c>
      <c r="H1051">
        <v>1</v>
      </c>
      <c r="I1051">
        <v>3</v>
      </c>
      <c r="J1051" s="1">
        <f t="shared" ca="1" si="289"/>
        <v>1.9211920200000068E-7</v>
      </c>
      <c r="K1051" s="1">
        <f t="shared" ca="1" si="290"/>
        <v>1.729072818000006E-10</v>
      </c>
      <c r="L1051" s="13">
        <f t="shared" ca="1" si="291"/>
        <v>200</v>
      </c>
      <c r="M1051" s="7">
        <f t="shared" ca="1" si="292"/>
        <v>800</v>
      </c>
      <c r="N1051" s="43">
        <f t="shared" ca="1" si="293"/>
        <v>7</v>
      </c>
      <c r="O1051" s="92">
        <f t="shared" ca="1" si="294"/>
        <v>3.2214900588145507</v>
      </c>
      <c r="P1051" s="92">
        <f t="shared" ca="1" si="295"/>
        <v>32.214900588145518</v>
      </c>
      <c r="Q1051" s="92">
        <f t="shared" ca="1" si="296"/>
        <v>32.214900588145518</v>
      </c>
      <c r="R1051" s="92">
        <f t="shared" ca="1" si="297"/>
        <v>3.2214900588145516</v>
      </c>
      <c r="S1051" s="92">
        <f t="shared" ca="1" si="298"/>
        <v>3.2214900588145507</v>
      </c>
      <c r="T1051" s="4">
        <f t="shared" ca="1" si="299"/>
        <v>5.57019089415348E-10</v>
      </c>
      <c r="U1051" s="99">
        <f t="shared" ca="1" si="300"/>
        <v>1355.9757603899629</v>
      </c>
      <c r="V1051" s="4">
        <f t="shared" ca="1" si="301"/>
        <v>2.3445808291571742E-7</v>
      </c>
      <c r="W1051" s="13">
        <f t="shared" ca="1" si="302"/>
        <v>24196.529568749997</v>
      </c>
      <c r="X1051" s="4">
        <f t="shared" ca="1" si="303"/>
        <v>4.1837561567259024E-6</v>
      </c>
    </row>
    <row r="1052" spans="1:24">
      <c r="A1052">
        <v>3</v>
      </c>
      <c r="B1052">
        <v>3</v>
      </c>
      <c r="C1052">
        <f t="shared" ca="1" si="285"/>
        <v>8</v>
      </c>
      <c r="D1052">
        <f t="shared" ca="1" si="286"/>
        <v>6</v>
      </c>
      <c r="E1052">
        <f t="shared" ca="1" si="287"/>
        <v>3</v>
      </c>
      <c r="F1052" s="100">
        <f t="shared" ca="1" si="288"/>
        <v>8.9999999999999998E-4</v>
      </c>
      <c r="G1052">
        <v>0</v>
      </c>
      <c r="H1052">
        <v>1</v>
      </c>
      <c r="I1052">
        <v>2</v>
      </c>
      <c r="J1052" s="1">
        <f t="shared" ca="1" si="289"/>
        <v>1.4554485000000069E-9</v>
      </c>
      <c r="K1052" s="1">
        <f t="shared" ca="1" si="290"/>
        <v>1.3099036500000062E-12</v>
      </c>
      <c r="L1052" s="13">
        <f t="shared" ca="1" si="291"/>
        <v>178</v>
      </c>
      <c r="M1052" s="7">
        <f t="shared" ca="1" si="292"/>
        <v>822</v>
      </c>
      <c r="N1052" s="43">
        <f t="shared" ca="1" si="293"/>
        <v>7</v>
      </c>
      <c r="O1052" s="92">
        <f t="shared" ca="1" si="294"/>
        <v>3.2214900588145507</v>
      </c>
      <c r="P1052" s="92">
        <f t="shared" ca="1" si="295"/>
        <v>32.214900588145518</v>
      </c>
      <c r="Q1052" s="92">
        <f t="shared" ca="1" si="296"/>
        <v>32.214900588145518</v>
      </c>
      <c r="R1052" s="92">
        <f t="shared" ca="1" si="297"/>
        <v>3.2214900588145516</v>
      </c>
      <c r="S1052" s="92">
        <f t="shared" ca="1" si="298"/>
        <v>3.2214900588145507</v>
      </c>
      <c r="T1052" s="4">
        <f t="shared" ca="1" si="299"/>
        <v>4.2198415864799147E-12</v>
      </c>
      <c r="U1052" s="99">
        <f t="shared" ca="1" si="300"/>
        <v>1333.9757603899629</v>
      </c>
      <c r="V1052" s="4">
        <f t="shared" ca="1" si="301"/>
        <v>1.7473797175463462E-9</v>
      </c>
      <c r="W1052" s="13">
        <f t="shared" ca="1" si="302"/>
        <v>18179.457449999998</v>
      </c>
      <c r="X1052" s="4">
        <f t="shared" ca="1" si="303"/>
        <v>2.3813337668774805E-8</v>
      </c>
    </row>
    <row r="1053" spans="1:24">
      <c r="A1053">
        <v>3</v>
      </c>
      <c r="B1053">
        <v>3</v>
      </c>
      <c r="C1053">
        <f t="shared" ca="1" si="285"/>
        <v>8</v>
      </c>
      <c r="D1053">
        <f t="shared" ca="1" si="286"/>
        <v>6</v>
      </c>
      <c r="E1053">
        <f t="shared" ca="1" si="287"/>
        <v>3</v>
      </c>
      <c r="F1053" s="100">
        <f t="shared" ca="1" si="288"/>
        <v>8.9999999999999998E-4</v>
      </c>
      <c r="G1053">
        <v>0</v>
      </c>
      <c r="H1053">
        <v>1</v>
      </c>
      <c r="I1053">
        <v>1</v>
      </c>
      <c r="J1053" s="1">
        <f t="shared" ca="1" si="289"/>
        <v>5.8806000000000321E-12</v>
      </c>
      <c r="K1053" s="1">
        <f t="shared" ca="1" si="290"/>
        <v>5.292540000000029E-15</v>
      </c>
      <c r="L1053" s="13">
        <f t="shared" ca="1" si="291"/>
        <v>156</v>
      </c>
      <c r="M1053" s="7">
        <f t="shared" ca="1" si="292"/>
        <v>844</v>
      </c>
      <c r="N1053" s="43">
        <f t="shared" ca="1" si="293"/>
        <v>7</v>
      </c>
      <c r="O1053" s="92">
        <f t="shared" ca="1" si="294"/>
        <v>3.2214900588145507</v>
      </c>
      <c r="P1053" s="92">
        <f t="shared" ca="1" si="295"/>
        <v>32.214900588145518</v>
      </c>
      <c r="Q1053" s="92">
        <f t="shared" ca="1" si="296"/>
        <v>32.214900588145518</v>
      </c>
      <c r="R1053" s="92">
        <f t="shared" ca="1" si="297"/>
        <v>3.2214900588145516</v>
      </c>
      <c r="S1053" s="92">
        <f t="shared" ca="1" si="298"/>
        <v>3.2214900588145507</v>
      </c>
      <c r="T1053" s="4">
        <f t="shared" ca="1" si="299"/>
        <v>1.7049864995878457E-14</v>
      </c>
      <c r="U1053" s="99">
        <f t="shared" ca="1" si="300"/>
        <v>1311.9757603899629</v>
      </c>
      <c r="V1053" s="4">
        <f t="shared" ca="1" si="301"/>
        <v>6.9436841908943326E-12</v>
      </c>
      <c r="W1053" s="13">
        <f t="shared" ca="1" si="302"/>
        <v>12162.38533125</v>
      </c>
      <c r="X1053" s="4">
        <f t="shared" ca="1" si="303"/>
        <v>6.436991086105422E-11</v>
      </c>
    </row>
    <row r="1054" spans="1:24">
      <c r="A1054">
        <v>3</v>
      </c>
      <c r="B1054">
        <v>3</v>
      </c>
      <c r="C1054">
        <f t="shared" ca="1" si="285"/>
        <v>8</v>
      </c>
      <c r="D1054">
        <f t="shared" ca="1" si="286"/>
        <v>6</v>
      </c>
      <c r="E1054">
        <f t="shared" ca="1" si="287"/>
        <v>3</v>
      </c>
      <c r="F1054" s="100">
        <f t="shared" ca="1" si="288"/>
        <v>8.9999999999999998E-4</v>
      </c>
      <c r="G1054">
        <v>0</v>
      </c>
      <c r="H1054">
        <v>1</v>
      </c>
      <c r="I1054">
        <v>0</v>
      </c>
      <c r="J1054" s="1">
        <f t="shared" ca="1" si="289"/>
        <v>9.9000000000000638E-15</v>
      </c>
      <c r="K1054" s="1">
        <f t="shared" ca="1" si="290"/>
        <v>8.9100000000000566E-18</v>
      </c>
      <c r="L1054" s="13">
        <f t="shared" ca="1" si="291"/>
        <v>134</v>
      </c>
      <c r="M1054" s="7">
        <f t="shared" ca="1" si="292"/>
        <v>866</v>
      </c>
      <c r="N1054" s="43">
        <f t="shared" ca="1" si="293"/>
        <v>7</v>
      </c>
      <c r="O1054" s="92">
        <f t="shared" ca="1" si="294"/>
        <v>3.2214900588145507</v>
      </c>
      <c r="P1054" s="92">
        <f t="shared" ca="1" si="295"/>
        <v>32.214900588145518</v>
      </c>
      <c r="Q1054" s="92">
        <f t="shared" ca="1" si="296"/>
        <v>32.214900588145518</v>
      </c>
      <c r="R1054" s="92">
        <f t="shared" ca="1" si="297"/>
        <v>3.2214900588145516</v>
      </c>
      <c r="S1054" s="92">
        <f t="shared" ca="1" si="298"/>
        <v>3.2214900588145507</v>
      </c>
      <c r="T1054" s="4">
        <f t="shared" ca="1" si="299"/>
        <v>2.8703476424037827E-17</v>
      </c>
      <c r="U1054" s="99">
        <f t="shared" ca="1" si="300"/>
        <v>1289.9757603899629</v>
      </c>
      <c r="V1054" s="4">
        <f t="shared" ca="1" si="301"/>
        <v>1.1493684025074642E-14</v>
      </c>
      <c r="W1054" s="13">
        <f t="shared" ca="1" si="302"/>
        <v>6145.3132124999993</v>
      </c>
      <c r="X1054" s="4">
        <f t="shared" ca="1" si="303"/>
        <v>5.4754740723375339E-14</v>
      </c>
    </row>
    <row r="1055" spans="1:24">
      <c r="A1055">
        <v>3</v>
      </c>
      <c r="B1055">
        <v>3</v>
      </c>
      <c r="C1055">
        <f t="shared" ca="1" si="285"/>
        <v>8</v>
      </c>
      <c r="D1055">
        <f t="shared" ca="1" si="286"/>
        <v>6</v>
      </c>
      <c r="E1055">
        <f t="shared" ca="1" si="287"/>
        <v>3</v>
      </c>
      <c r="F1055" s="100">
        <f t="shared" ca="1" si="288"/>
        <v>8.9999999999999998E-4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3">
        <f t="shared" ca="1" si="293"/>
        <v>7</v>
      </c>
      <c r="O1055" s="92">
        <f t="shared" ca="1" si="294"/>
        <v>3.2214900588145507</v>
      </c>
      <c r="P1055" s="92">
        <f t="shared" ca="1" si="295"/>
        <v>32.214900588145518</v>
      </c>
      <c r="Q1055" s="92">
        <f t="shared" ca="1" si="296"/>
        <v>32.214900588145518</v>
      </c>
      <c r="R1055" s="92">
        <f t="shared" ca="1" si="297"/>
        <v>3.2214900588145516</v>
      </c>
      <c r="S1055" s="92">
        <f t="shared" ca="1" si="298"/>
        <v>3.2214900588145507</v>
      </c>
      <c r="T1055" s="4">
        <f t="shared" ca="1" si="299"/>
        <v>0</v>
      </c>
      <c r="U1055" s="99">
        <f t="shared" ca="1" si="300"/>
        <v>1309.9757603899629</v>
      </c>
      <c r="V1055" s="4">
        <f t="shared" ca="1" si="301"/>
        <v>0</v>
      </c>
      <c r="W1055" s="13">
        <f t="shared" ca="1" si="302"/>
        <v>42119.50483125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ca="1" si="285"/>
        <v>8</v>
      </c>
      <c r="D1056">
        <f t="shared" ca="1" si="286"/>
        <v>6</v>
      </c>
      <c r="E1056">
        <f t="shared" ca="1" si="287"/>
        <v>3</v>
      </c>
      <c r="F1056" s="100">
        <f t="shared" ca="1" si="288"/>
        <v>8.9999999999999998E-4</v>
      </c>
      <c r="G1056">
        <v>0</v>
      </c>
      <c r="H1056">
        <v>0</v>
      </c>
      <c r="I1056">
        <v>6</v>
      </c>
      <c r="J1056" s="1">
        <f t="shared" ca="1" si="289"/>
        <v>9.4148014940100163E-5</v>
      </c>
      <c r="K1056" s="1">
        <f t="shared" ca="1" si="290"/>
        <v>8.473321344609014E-8</v>
      </c>
      <c r="L1056" s="13">
        <f t="shared" ca="1" si="291"/>
        <v>132</v>
      </c>
      <c r="M1056" s="7">
        <f t="shared" ca="1" si="292"/>
        <v>868</v>
      </c>
      <c r="N1056" s="43">
        <f t="shared" ca="1" si="293"/>
        <v>7</v>
      </c>
      <c r="O1056" s="92">
        <f t="shared" ca="1" si="294"/>
        <v>3.2214900588145507</v>
      </c>
      <c r="P1056" s="92">
        <f t="shared" ca="1" si="295"/>
        <v>32.214900588145518</v>
      </c>
      <c r="Q1056" s="92">
        <f t="shared" ca="1" si="296"/>
        <v>32.214900588145518</v>
      </c>
      <c r="R1056" s="92">
        <f t="shared" ca="1" si="297"/>
        <v>3.2214900588145516</v>
      </c>
      <c r="S1056" s="92">
        <f t="shared" ca="1" si="298"/>
        <v>3.2214900588145507</v>
      </c>
      <c r="T1056" s="4">
        <f t="shared" ca="1" si="299"/>
        <v>2.7296720476799081E-7</v>
      </c>
      <c r="U1056" s="99">
        <f t="shared" ca="1" si="300"/>
        <v>1287.9757603899629</v>
      </c>
      <c r="V1056" s="4">
        <f t="shared" ca="1" si="301"/>
        <v>1.0913432501851297E-4</v>
      </c>
      <c r="W1056" s="13">
        <f t="shared" ca="1" si="302"/>
        <v>36102.432712499998</v>
      </c>
      <c r="X1056" s="4">
        <f t="shared" ca="1" si="303"/>
        <v>3.0590751369513692E-3</v>
      </c>
    </row>
    <row r="1057" spans="1:24">
      <c r="A1057">
        <v>3</v>
      </c>
      <c r="B1057">
        <v>3</v>
      </c>
      <c r="C1057">
        <f t="shared" ca="1" si="285"/>
        <v>8</v>
      </c>
      <c r="D1057">
        <f t="shared" ca="1" si="286"/>
        <v>6</v>
      </c>
      <c r="E1057">
        <f t="shared" ca="1" si="287"/>
        <v>3</v>
      </c>
      <c r="F1057" s="100">
        <f t="shared" ca="1" si="288"/>
        <v>8.9999999999999998E-4</v>
      </c>
      <c r="G1057">
        <v>0</v>
      </c>
      <c r="H1057">
        <v>0</v>
      </c>
      <c r="I1057">
        <v>5</v>
      </c>
      <c r="J1057" s="1">
        <f t="shared" ca="1" si="289"/>
        <v>5.7059402994000143E-6</v>
      </c>
      <c r="K1057" s="1">
        <f t="shared" ca="1" si="290"/>
        <v>5.1353462694600126E-9</v>
      </c>
      <c r="L1057" s="13">
        <f t="shared" ca="1" si="291"/>
        <v>110</v>
      </c>
      <c r="M1057" s="7">
        <f t="shared" ca="1" si="292"/>
        <v>890</v>
      </c>
      <c r="N1057" s="43">
        <f t="shared" ca="1" si="293"/>
        <v>8</v>
      </c>
      <c r="O1057" s="92">
        <f t="shared" ca="1" si="294"/>
        <v>3.5531918581169131</v>
      </c>
      <c r="P1057" s="92">
        <f t="shared" ca="1" si="295"/>
        <v>35.531918581169137</v>
      </c>
      <c r="Q1057" s="92">
        <f t="shared" ca="1" si="296"/>
        <v>33.541707785354966</v>
      </c>
      <c r="R1057" s="92">
        <f t="shared" ca="1" si="297"/>
        <v>3.4536813183262054</v>
      </c>
      <c r="S1057" s="92">
        <f t="shared" ca="1" si="298"/>
        <v>3.5462261203315633</v>
      </c>
      <c r="T1057" s="4">
        <f t="shared" ca="1" si="299"/>
        <v>1.8211099077706348E-8</v>
      </c>
      <c r="U1057" s="99">
        <f t="shared" ca="1" si="300"/>
        <v>1366.7817087343356</v>
      </c>
      <c r="V1057" s="4">
        <f t="shared" ca="1" si="301"/>
        <v>7.0188973491150519E-6</v>
      </c>
      <c r="W1057" s="13">
        <f t="shared" ca="1" si="302"/>
        <v>30085.360593749996</v>
      </c>
      <c r="X1057" s="4">
        <f t="shared" ca="1" si="303"/>
        <v>1.5449874429047331E-4</v>
      </c>
    </row>
    <row r="1058" spans="1:24">
      <c r="A1058">
        <v>3</v>
      </c>
      <c r="B1058">
        <v>3</v>
      </c>
      <c r="C1058">
        <f t="shared" ca="1" si="285"/>
        <v>8</v>
      </c>
      <c r="D1058">
        <f t="shared" ca="1" si="286"/>
        <v>6</v>
      </c>
      <c r="E1058">
        <f t="shared" ca="1" si="287"/>
        <v>3</v>
      </c>
      <c r="F1058" s="100">
        <f t="shared" ca="1" si="288"/>
        <v>8.9999999999999998E-4</v>
      </c>
      <c r="G1058">
        <v>0</v>
      </c>
      <c r="H1058">
        <v>0</v>
      </c>
      <c r="I1058">
        <v>4</v>
      </c>
      <c r="J1058" s="1">
        <f t="shared" ca="1" si="289"/>
        <v>1.4408940150000052E-7</v>
      </c>
      <c r="K1058" s="1">
        <f t="shared" ca="1" si="290"/>
        <v>1.2968046135000047E-10</v>
      </c>
      <c r="L1058" s="13">
        <f t="shared" ca="1" si="291"/>
        <v>100</v>
      </c>
      <c r="M1058" s="7">
        <f t="shared" ca="1" si="292"/>
        <v>900</v>
      </c>
      <c r="N1058" s="43">
        <f t="shared" ca="1" si="293"/>
        <v>8</v>
      </c>
      <c r="O1058" s="92">
        <f t="shared" ca="1" si="294"/>
        <v>3.5531918581169131</v>
      </c>
      <c r="P1058" s="92">
        <f t="shared" ca="1" si="295"/>
        <v>35.531918581169137</v>
      </c>
      <c r="Q1058" s="92">
        <f t="shared" ca="1" si="296"/>
        <v>35.531918581169137</v>
      </c>
      <c r="R1058" s="92">
        <f t="shared" ca="1" si="297"/>
        <v>3.5531918581169135</v>
      </c>
      <c r="S1058" s="92">
        <f t="shared" ca="1" si="298"/>
        <v>3.5531918581169126</v>
      </c>
      <c r="T1058" s="4">
        <f t="shared" ca="1" si="299"/>
        <v>4.6077955942566667E-10</v>
      </c>
      <c r="U1058" s="99">
        <f t="shared" ca="1" si="300"/>
        <v>1358.9440426620492</v>
      </c>
      <c r="V1058" s="4">
        <f t="shared" ca="1" si="301"/>
        <v>1.7622849040124926E-7</v>
      </c>
      <c r="W1058" s="13">
        <f t="shared" ca="1" si="302"/>
        <v>24068.288474999998</v>
      </c>
      <c r="X1058" s="4">
        <f t="shared" ca="1" si="303"/>
        <v>3.1211867533428988E-6</v>
      </c>
    </row>
    <row r="1059" spans="1:24">
      <c r="A1059">
        <v>3</v>
      </c>
      <c r="B1059">
        <v>3</v>
      </c>
      <c r="C1059">
        <f t="shared" ca="1" si="285"/>
        <v>8</v>
      </c>
      <c r="D1059">
        <f t="shared" ca="1" si="286"/>
        <v>6</v>
      </c>
      <c r="E1059">
        <f t="shared" ca="1" si="287"/>
        <v>3</v>
      </c>
      <c r="F1059" s="100">
        <f t="shared" ca="1" si="288"/>
        <v>8.9999999999999998E-4</v>
      </c>
      <c r="G1059">
        <v>0</v>
      </c>
      <c r="H1059">
        <v>0</v>
      </c>
      <c r="I1059">
        <v>3</v>
      </c>
      <c r="J1059" s="1">
        <f t="shared" ca="1" si="289"/>
        <v>1.9405980000000086E-9</v>
      </c>
      <c r="K1059" s="1">
        <f t="shared" ca="1" si="290"/>
        <v>1.7465382000000076E-12</v>
      </c>
      <c r="L1059" s="13">
        <f t="shared" ca="1" si="291"/>
        <v>100</v>
      </c>
      <c r="M1059" s="7">
        <f t="shared" ca="1" si="292"/>
        <v>900</v>
      </c>
      <c r="N1059" s="43">
        <f t="shared" ca="1" si="293"/>
        <v>8</v>
      </c>
      <c r="O1059" s="92">
        <f t="shared" ca="1" si="294"/>
        <v>3.5531918581169131</v>
      </c>
      <c r="P1059" s="92">
        <f t="shared" ca="1" si="295"/>
        <v>35.531918581169137</v>
      </c>
      <c r="Q1059" s="92">
        <f t="shared" ca="1" si="296"/>
        <v>35.531918581169137</v>
      </c>
      <c r="R1059" s="92">
        <f t="shared" ca="1" si="297"/>
        <v>3.5531918581169135</v>
      </c>
      <c r="S1059" s="92">
        <f t="shared" ca="1" si="298"/>
        <v>3.5531918581169126</v>
      </c>
      <c r="T1059" s="4">
        <f t="shared" ca="1" si="299"/>
        <v>6.2057853121301946E-12</v>
      </c>
      <c r="U1059" s="99">
        <f t="shared" ca="1" si="300"/>
        <v>1358.9440426620492</v>
      </c>
      <c r="V1059" s="4">
        <f t="shared" ca="1" si="301"/>
        <v>2.3734476821717088E-9</v>
      </c>
      <c r="W1059" s="13">
        <f t="shared" ca="1" si="302"/>
        <v>18051.216356249999</v>
      </c>
      <c r="X1059" s="4">
        <f t="shared" ca="1" si="303"/>
        <v>3.1527138922655572E-8</v>
      </c>
    </row>
    <row r="1060" spans="1:24">
      <c r="A1060">
        <v>3</v>
      </c>
      <c r="B1060">
        <v>3</v>
      </c>
      <c r="C1060">
        <f t="shared" ca="1" si="285"/>
        <v>8</v>
      </c>
      <c r="D1060">
        <f t="shared" ca="1" si="286"/>
        <v>6</v>
      </c>
      <c r="E1060">
        <f t="shared" ca="1" si="287"/>
        <v>3</v>
      </c>
      <c r="F1060" s="100">
        <f t="shared" ca="1" si="288"/>
        <v>8.9999999999999998E-4</v>
      </c>
      <c r="G1060">
        <v>0</v>
      </c>
      <c r="H1060">
        <v>0</v>
      </c>
      <c r="I1060">
        <v>2</v>
      </c>
      <c r="J1060" s="1">
        <f t="shared" ca="1" si="289"/>
        <v>1.4701500000000082E-11</v>
      </c>
      <c r="K1060" s="1">
        <f t="shared" ca="1" si="290"/>
        <v>1.3231350000000073E-14</v>
      </c>
      <c r="L1060" s="13">
        <f t="shared" ca="1" si="291"/>
        <v>100</v>
      </c>
      <c r="M1060" s="7">
        <f t="shared" ca="1" si="292"/>
        <v>900</v>
      </c>
      <c r="N1060" s="43">
        <f t="shared" ca="1" si="293"/>
        <v>8</v>
      </c>
      <c r="O1060" s="92">
        <f t="shared" ca="1" si="294"/>
        <v>3.5531918581169131</v>
      </c>
      <c r="P1060" s="92">
        <f t="shared" ca="1" si="295"/>
        <v>35.531918581169137</v>
      </c>
      <c r="Q1060" s="92">
        <f t="shared" ca="1" si="296"/>
        <v>35.531918581169137</v>
      </c>
      <c r="R1060" s="92">
        <f t="shared" ca="1" si="297"/>
        <v>3.5531918581169135</v>
      </c>
      <c r="S1060" s="92">
        <f t="shared" ca="1" si="298"/>
        <v>3.5531918581169126</v>
      </c>
      <c r="T1060" s="4">
        <f t="shared" ca="1" si="299"/>
        <v>4.701352509189547E-14</v>
      </c>
      <c r="U1060" s="99">
        <f t="shared" ca="1" si="300"/>
        <v>1358.9440426620492</v>
      </c>
      <c r="V1060" s="4">
        <f t="shared" ca="1" si="301"/>
        <v>1.7980664258876604E-11</v>
      </c>
      <c r="W1060" s="13">
        <f t="shared" ca="1" si="302"/>
        <v>12034.144237499999</v>
      </c>
      <c r="X1060" s="4">
        <f t="shared" ca="1" si="303"/>
        <v>1.592279743568465E-10</v>
      </c>
    </row>
    <row r="1061" spans="1:24">
      <c r="A1061">
        <v>3</v>
      </c>
      <c r="B1061">
        <v>3</v>
      </c>
      <c r="C1061">
        <f t="shared" ca="1" si="285"/>
        <v>8</v>
      </c>
      <c r="D1061">
        <f t="shared" ca="1" si="286"/>
        <v>6</v>
      </c>
      <c r="E1061">
        <f t="shared" ca="1" si="287"/>
        <v>3</v>
      </c>
      <c r="F1061" s="100">
        <f t="shared" ca="1" si="288"/>
        <v>8.9999999999999998E-4</v>
      </c>
      <c r="G1061">
        <v>0</v>
      </c>
      <c r="H1061">
        <v>0</v>
      </c>
      <c r="I1061">
        <v>1</v>
      </c>
      <c r="J1061" s="1">
        <f t="shared" ca="1" si="289"/>
        <v>5.9400000000000383E-14</v>
      </c>
      <c r="K1061" s="1">
        <f t="shared" ca="1" si="290"/>
        <v>5.3460000000000343E-17</v>
      </c>
      <c r="L1061" s="13">
        <f t="shared" ca="1" si="291"/>
        <v>100</v>
      </c>
      <c r="M1061" s="7">
        <f t="shared" ca="1" si="292"/>
        <v>900</v>
      </c>
      <c r="N1061" s="43">
        <f t="shared" ca="1" si="293"/>
        <v>8</v>
      </c>
      <c r="O1061" s="92">
        <f t="shared" ca="1" si="294"/>
        <v>3.5531918581169131</v>
      </c>
      <c r="P1061" s="92">
        <f t="shared" ca="1" si="295"/>
        <v>35.531918581169137</v>
      </c>
      <c r="Q1061" s="92">
        <f t="shared" ca="1" si="296"/>
        <v>35.531918581169137</v>
      </c>
      <c r="R1061" s="92">
        <f t="shared" ca="1" si="297"/>
        <v>3.5531918581169135</v>
      </c>
      <c r="S1061" s="92">
        <f t="shared" ca="1" si="298"/>
        <v>3.5531918581169126</v>
      </c>
      <c r="T1061" s="4">
        <f t="shared" ca="1" si="299"/>
        <v>1.8995363673493136E-16</v>
      </c>
      <c r="U1061" s="99">
        <f t="shared" ca="1" si="300"/>
        <v>1358.9440426620492</v>
      </c>
      <c r="V1061" s="4">
        <f t="shared" ca="1" si="301"/>
        <v>7.2649148520713616E-14</v>
      </c>
      <c r="W1061" s="13">
        <f t="shared" ca="1" si="302"/>
        <v>6017.0721187499994</v>
      </c>
      <c r="X1061" s="4">
        <f t="shared" ca="1" si="303"/>
        <v>3.2167267546837705E-13</v>
      </c>
    </row>
    <row r="1062" spans="1:24">
      <c r="A1062">
        <v>3</v>
      </c>
      <c r="B1062">
        <v>3</v>
      </c>
      <c r="C1062">
        <f t="shared" ca="1" si="285"/>
        <v>8</v>
      </c>
      <c r="D1062">
        <f t="shared" ca="1" si="286"/>
        <v>6</v>
      </c>
      <c r="E1062">
        <f t="shared" ca="1" si="287"/>
        <v>3</v>
      </c>
      <c r="F1062" s="100">
        <f t="shared" ca="1" si="288"/>
        <v>8.9999999999999998E-4</v>
      </c>
      <c r="G1062">
        <v>0</v>
      </c>
      <c r="H1062">
        <v>0</v>
      </c>
      <c r="I1062">
        <v>0</v>
      </c>
      <c r="J1062" s="1">
        <f t="shared" ca="1" si="289"/>
        <v>1.0000000000000073E-16</v>
      </c>
      <c r="K1062" s="1">
        <f t="shared" ca="1" si="290"/>
        <v>9.0000000000000653E-20</v>
      </c>
      <c r="L1062" s="13">
        <f t="shared" ca="1" si="291"/>
        <v>100</v>
      </c>
      <c r="M1062" s="7">
        <f t="shared" ca="1" si="292"/>
        <v>900</v>
      </c>
      <c r="N1062" s="43">
        <f t="shared" ca="1" si="293"/>
        <v>8</v>
      </c>
      <c r="O1062" s="92">
        <f t="shared" ca="1" si="294"/>
        <v>3.5531918581169131</v>
      </c>
      <c r="P1062" s="92">
        <f t="shared" ca="1" si="295"/>
        <v>35.531918581169137</v>
      </c>
      <c r="Q1062" s="92">
        <f t="shared" ca="1" si="296"/>
        <v>35.531918581169137</v>
      </c>
      <c r="R1062" s="92">
        <f t="shared" ca="1" si="297"/>
        <v>3.5531918581169135</v>
      </c>
      <c r="S1062" s="92">
        <f t="shared" ca="1" si="298"/>
        <v>3.5531918581169126</v>
      </c>
      <c r="T1062" s="4">
        <f t="shared" ca="1" si="299"/>
        <v>3.1978726723052444E-19</v>
      </c>
      <c r="U1062" s="99">
        <f t="shared" ca="1" si="300"/>
        <v>1358.9440426620492</v>
      </c>
      <c r="V1062" s="4">
        <f t="shared" ca="1" si="301"/>
        <v>1.2230496383958532E-16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309</v>
      </c>
      <c r="K1064" s="39">
        <f ca="1">SUM(K551:K1062)</f>
        <v>0.99999999999999956</v>
      </c>
      <c r="O1064" s="43"/>
      <c r="P1064" s="43"/>
      <c r="Q1064" s="43"/>
      <c r="R1064" s="43"/>
      <c r="S1064" s="43" t="s">
        <v>310</v>
      </c>
      <c r="T1064" s="4">
        <f ca="1">SUM(T551:T1062)</f>
        <v>2.7053788452189336</v>
      </c>
      <c r="U1064" t="s">
        <v>178</v>
      </c>
      <c r="V1064" s="4">
        <f ca="1">SUM(V551:V1062)</f>
        <v>1326.3580298324136</v>
      </c>
      <c r="W1064" t="s">
        <v>185</v>
      </c>
      <c r="X1064" s="4">
        <f ca="1">SUM(X551:X1062)</f>
        <v>29892.880138264591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52"/>
  </sheetPr>
  <dimension ref="A1:U112"/>
  <sheetViews>
    <sheetView workbookViewId="0">
      <selection activeCell="E8" sqref="E8"/>
    </sheetView>
  </sheetViews>
  <sheetFormatPr defaultRowHeight="12.75"/>
  <cols>
    <col min="1" max="1" width="13.42578125" customWidth="1"/>
    <col min="17" max="17" width="13.7109375" customWidth="1"/>
    <col min="18" max="18" width="10.28515625" customWidth="1"/>
    <col min="20" max="20" width="13.28515625" customWidth="1"/>
    <col min="21" max="21" width="10.28515625" customWidth="1"/>
  </cols>
  <sheetData>
    <row r="1" spans="1:21">
      <c r="A1" t="s">
        <v>163</v>
      </c>
    </row>
    <row r="3" spans="1:21">
      <c r="A3" t="s">
        <v>51</v>
      </c>
      <c r="B3" s="5">
        <f ca="1">Data!B105</f>
        <v>0.99</v>
      </c>
      <c r="D3" s="43" t="s">
        <v>149</v>
      </c>
      <c r="E3" s="43"/>
      <c r="F3" s="43"/>
      <c r="G3" s="43"/>
      <c r="H3" s="43"/>
      <c r="I3" s="43"/>
      <c r="R3" t="s">
        <v>53</v>
      </c>
      <c r="U3" t="s">
        <v>53</v>
      </c>
    </row>
    <row r="4" spans="1:21">
      <c r="A4" t="s">
        <v>43</v>
      </c>
      <c r="B4" s="2">
        <f ca="1">Data!B172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164</v>
      </c>
      <c r="B5" s="2">
        <f ca="1">Data!B173</f>
        <v>0.29000000000000004</v>
      </c>
      <c r="D5">
        <v>0</v>
      </c>
      <c r="E5" s="15">
        <v>0</v>
      </c>
      <c r="F5" s="39">
        <f t="shared" ref="F5:N13" ca="1" si="0">IF($D5&gt;=F$4, POWER($B$3, F$4) * POWER((1-$B$3), $D5-F$4) * COMBIN($D5,F$4) * $E5, 0)</f>
        <v>0</v>
      </c>
      <c r="G5" s="39">
        <f t="shared" si="0"/>
        <v>0</v>
      </c>
      <c r="H5" s="39">
        <f t="shared" si="0"/>
        <v>0</v>
      </c>
      <c r="I5" s="39">
        <f t="shared" si="0"/>
        <v>0</v>
      </c>
      <c r="J5" s="39">
        <f t="shared" si="0"/>
        <v>0</v>
      </c>
      <c r="K5" s="39">
        <f t="shared" si="0"/>
        <v>0</v>
      </c>
      <c r="L5" s="39">
        <f t="shared" si="0"/>
        <v>0</v>
      </c>
      <c r="M5" s="39">
        <f t="shared" si="0"/>
        <v>0</v>
      </c>
      <c r="N5" s="39">
        <f t="shared" si="0"/>
        <v>0</v>
      </c>
      <c r="R5" s="34">
        <v>0</v>
      </c>
      <c r="U5" s="34">
        <v>0</v>
      </c>
    </row>
    <row r="6" spans="1:21">
      <c r="A6" t="s">
        <v>281</v>
      </c>
      <c r="B6" s="2">
        <f ca="1">Data!B174</f>
        <v>0</v>
      </c>
      <c r="D6">
        <v>1</v>
      </c>
      <c r="E6" s="16">
        <f ca="1">(1-B6)*(1-B5)*(1-B4)*(1-B8)*(1-B25)*(1-B7)</f>
        <v>0.22151999999999999</v>
      </c>
      <c r="F6" s="39">
        <f t="shared" ca="1" si="0"/>
        <v>2.2152000000000018E-3</v>
      </c>
      <c r="G6" s="39">
        <f t="shared" ca="1" si="0"/>
        <v>0.21930479999999999</v>
      </c>
      <c r="H6" s="39">
        <f t="shared" si="0"/>
        <v>0</v>
      </c>
      <c r="I6" s="39">
        <f t="shared" si="0"/>
        <v>0</v>
      </c>
      <c r="J6" s="39">
        <f t="shared" si="0"/>
        <v>0</v>
      </c>
      <c r="K6" s="39">
        <f t="shared" si="0"/>
        <v>0</v>
      </c>
      <c r="L6" s="39">
        <f t="shared" si="0"/>
        <v>0</v>
      </c>
      <c r="M6" s="39">
        <f t="shared" si="0"/>
        <v>0</v>
      </c>
      <c r="N6" s="39">
        <f t="shared" si="0"/>
        <v>0</v>
      </c>
      <c r="R6">
        <v>0</v>
      </c>
      <c r="U6">
        <v>0</v>
      </c>
    </row>
    <row r="7" spans="1:21">
      <c r="A7" t="s">
        <v>418</v>
      </c>
      <c r="B7" s="2">
        <v>0</v>
      </c>
      <c r="D7">
        <v>2</v>
      </c>
      <c r="E7" s="16">
        <f ca="1">(1-B6)*(1-B5)*(B4)*(1-B7) + (1-B6)*(1-B5)*(1-B4)*(B8)*(B9)*(1-B7) + (1-B6)*(1-B5)*(1-B4)*(1-B8)*(B25)*(B26)*(1-B7) + (1-B6)*(1-B5)*(1-B4)*(1-B8)*(1-B25)*(B7)</f>
        <v>0.37882759999999999</v>
      </c>
      <c r="F7" s="39">
        <f t="shared" ca="1" si="0"/>
        <v>3.7882760000000068E-5</v>
      </c>
      <c r="G7" s="39">
        <f t="shared" ca="1" si="0"/>
        <v>7.5007864800000065E-3</v>
      </c>
      <c r="H7" s="39">
        <f t="shared" ca="1" si="0"/>
        <v>0.37128893075999997</v>
      </c>
      <c r="I7" s="39">
        <f t="shared" si="0"/>
        <v>0</v>
      </c>
      <c r="J7" s="39">
        <f t="shared" si="0"/>
        <v>0</v>
      </c>
      <c r="K7" s="39">
        <f t="shared" si="0"/>
        <v>0</v>
      </c>
      <c r="L7" s="39">
        <f t="shared" si="0"/>
        <v>0</v>
      </c>
      <c r="M7" s="39">
        <f t="shared" si="0"/>
        <v>0</v>
      </c>
      <c r="N7" s="39">
        <f t="shared" si="0"/>
        <v>0</v>
      </c>
      <c r="R7">
        <v>0</v>
      </c>
      <c r="U7">
        <v>0</v>
      </c>
    </row>
    <row r="8" spans="1:21">
      <c r="A8" t="s">
        <v>419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(1-B6)*(1-B5)*(1-B4)*(1-B8)*(B25)*(B27)*(1-B7) + (1-B6)*(1-B5)*(1-B4)*(1-B8)*(B25)*(B26)*(B7)</f>
        <v>0.39965240000000002</v>
      </c>
      <c r="F8" s="39">
        <f t="shared" ca="1" si="0"/>
        <v>3.9965240000000109E-7</v>
      </c>
      <c r="G8" s="39">
        <f t="shared" ca="1" si="0"/>
        <v>1.1869676280000022E-4</v>
      </c>
      <c r="H8" s="39">
        <f t="shared" ca="1" si="0"/>
        <v>1.175097951720001E-2</v>
      </c>
      <c r="I8" s="39">
        <f t="shared" ca="1" si="0"/>
        <v>0.38778232406759999</v>
      </c>
      <c r="J8" s="39">
        <f t="shared" si="0"/>
        <v>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  <c r="R8">
        <v>0</v>
      </c>
      <c r="U8">
        <v>0</v>
      </c>
    </row>
    <row r="9" spans="1:21">
      <c r="A9" t="s">
        <v>383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(1-B6)*(1-B5)*(1-B4)*(1-B8)*(B25)*(B27)*(B7)</f>
        <v>0</v>
      </c>
      <c r="F9" s="39">
        <f t="shared" ca="1" si="0"/>
        <v>0</v>
      </c>
      <c r="G9" s="39">
        <f t="shared" ca="1" si="0"/>
        <v>0</v>
      </c>
      <c r="H9" s="39">
        <f t="shared" ca="1" si="0"/>
        <v>0</v>
      </c>
      <c r="I9" s="39">
        <f t="shared" ca="1" si="0"/>
        <v>0</v>
      </c>
      <c r="J9" s="39">
        <f t="shared" ca="1" si="0"/>
        <v>0</v>
      </c>
      <c r="K9" s="39">
        <f t="shared" si="0"/>
        <v>0</v>
      </c>
      <c r="L9" s="39">
        <f t="shared" si="0"/>
        <v>0</v>
      </c>
      <c r="M9" s="39">
        <f t="shared" si="0"/>
        <v>0</v>
      </c>
      <c r="N9" s="39">
        <f t="shared" si="0"/>
        <v>0</v>
      </c>
      <c r="R9">
        <v>0</v>
      </c>
      <c r="U9">
        <v>0</v>
      </c>
    </row>
    <row r="10" spans="1:21">
      <c r="A10" t="s">
        <v>384</v>
      </c>
      <c r="B10" s="2">
        <f ca="1">IF(ISBLANK(Gear!$B$3), 0, VLOOKUP(Gear!$B$3, INDIRECT(Gear!$A$3), MATCH(A10, StatHeader, 0), 0))</f>
        <v>0</v>
      </c>
      <c r="D10">
        <v>5</v>
      </c>
      <c r="E10" s="101">
        <f ca="1">(1-B6)*(1-B5)*(1-B4)*(1-B7)*(B8)*(B12) + (1-B6)*(1-B5)*(1-B4)*(B7)*(B8)*(B11) + (B6)*(B7)</f>
        <v>0</v>
      </c>
      <c r="F10" s="39">
        <f t="shared" ca="1" si="0"/>
        <v>0</v>
      </c>
      <c r="G10" s="39">
        <f t="shared" ca="1" si="0"/>
        <v>0</v>
      </c>
      <c r="H10" s="39">
        <f t="shared" ca="1" si="0"/>
        <v>0</v>
      </c>
      <c r="I10" s="39">
        <f t="shared" ca="1" si="0"/>
        <v>0</v>
      </c>
      <c r="J10" s="39">
        <f t="shared" ca="1" si="0"/>
        <v>0</v>
      </c>
      <c r="K10" s="39">
        <f t="shared" ca="1" si="0"/>
        <v>0</v>
      </c>
      <c r="L10" s="39">
        <f t="shared" si="0"/>
        <v>0</v>
      </c>
      <c r="M10" s="39">
        <f t="shared" si="0"/>
        <v>0</v>
      </c>
      <c r="N10" s="39">
        <f t="shared" si="0"/>
        <v>0</v>
      </c>
      <c r="R10">
        <v>0</v>
      </c>
      <c r="U10">
        <v>0</v>
      </c>
    </row>
    <row r="11" spans="1:21">
      <c r="A11" t="s">
        <v>385</v>
      </c>
      <c r="B11" s="2">
        <f ca="1">IF(ISBLANK(Gear!$B$3), 0, VLOOKUP(Gear!$B$3, INDIRECT(Gear!$A$3), MATCH(A11, StatHeader, 0), 0))</f>
        <v>0</v>
      </c>
      <c r="D11" s="43">
        <v>6</v>
      </c>
      <c r="E11" s="101">
        <f ca="1">(1-B6)*(1-B5)*(1-B4)*(1-B7)*(B8)*(B13) + (1-B6)*(1-B5)*(1-B4)*(B7)*(B8)*(B12)</f>
        <v>0</v>
      </c>
      <c r="F11" s="39">
        <f t="shared" ca="1" si="0"/>
        <v>0</v>
      </c>
      <c r="G11" s="39">
        <f t="shared" ca="1" si="0"/>
        <v>0</v>
      </c>
      <c r="H11" s="39">
        <f t="shared" ca="1" si="0"/>
        <v>0</v>
      </c>
      <c r="I11" s="39">
        <f t="shared" ca="1" si="0"/>
        <v>0</v>
      </c>
      <c r="J11" s="39">
        <f t="shared" ca="1" si="0"/>
        <v>0</v>
      </c>
      <c r="K11" s="39">
        <f t="shared" ca="1" si="0"/>
        <v>0</v>
      </c>
      <c r="L11" s="39">
        <f t="shared" ca="1" si="0"/>
        <v>0</v>
      </c>
      <c r="M11" s="39">
        <f t="shared" si="0"/>
        <v>0</v>
      </c>
      <c r="N11" s="39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386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(1-B6)*(1-B5)*(1-B4)*(1-B7)*(B8)*(B14) + (1-B6)*(1-B5)*(1-B4)*(B7)*(B8)*(B13)</f>
        <v>0</v>
      </c>
      <c r="F12" s="39">
        <f t="shared" ca="1" si="0"/>
        <v>0</v>
      </c>
      <c r="G12" s="39">
        <f t="shared" ca="1" si="0"/>
        <v>0</v>
      </c>
      <c r="H12" s="39">
        <f t="shared" ca="1" si="0"/>
        <v>0</v>
      </c>
      <c r="I12" s="39">
        <f t="shared" ca="1" si="0"/>
        <v>0</v>
      </c>
      <c r="J12" s="39">
        <f t="shared" ca="1" si="0"/>
        <v>0</v>
      </c>
      <c r="K12" s="39">
        <f t="shared" ca="1" si="0"/>
        <v>0</v>
      </c>
      <c r="L12" s="39">
        <f t="shared" ca="1" si="0"/>
        <v>0</v>
      </c>
      <c r="M12" s="39">
        <f t="shared" ca="1" si="0"/>
        <v>0</v>
      </c>
      <c r="N12" s="39">
        <f t="shared" si="0"/>
        <v>0</v>
      </c>
      <c r="O12" s="43"/>
      <c r="P12" s="43"/>
      <c r="Q12">
        <v>0</v>
      </c>
      <c r="R12">
        <v>0</v>
      </c>
      <c r="T12">
        <v>0</v>
      </c>
      <c r="U12">
        <v>0</v>
      </c>
    </row>
    <row r="13" spans="1:21">
      <c r="A13" t="s">
        <v>387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(1-B6)*(1-B5)*(1-B4)*(B7)*(B8)*(B14)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3"/>
      <c r="P13" s="43"/>
      <c r="Q13">
        <v>1</v>
      </c>
      <c r="R13" s="3">
        <f t="shared" ref="R13:R44" ca="1" si="1">(1+R12*$F$37+R11*$G$37+R10*$H$37+R9*$I$37+R8*$J$37+R7*$K$37+R6*$L$37+R5*$M$37)/(1-$E$37)</f>
        <v>1.000063364616439</v>
      </c>
      <c r="T13">
        <v>1</v>
      </c>
      <c r="U13" s="3">
        <f t="shared" ref="U13:U44" ca="1" si="2">(1+U12*$F$77+U11*$G$77+U10*$H$77+U9*$I$77+U8*$J$77+U7*$K$77+U6*$L$77+U5*$M$77)/(1-$E$77)</f>
        <v>1.0003306077995431</v>
      </c>
    </row>
    <row r="14" spans="1:21">
      <c r="A14" t="s">
        <v>388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39"/>
      <c r="P14" s="39"/>
      <c r="Q14">
        <v>2</v>
      </c>
      <c r="R14" s="3">
        <f t="shared" ca="1" si="1"/>
        <v>1.0076683769586299</v>
      </c>
      <c r="T14">
        <v>2</v>
      </c>
      <c r="U14" s="3">
        <f t="shared" ca="1" si="2"/>
        <v>1.0394384196547488</v>
      </c>
    </row>
    <row r="15" spans="1:21">
      <c r="A15" t="s">
        <v>389</v>
      </c>
      <c r="B15" s="2">
        <f ca="1">IF(ISBLANK(Gear!$B$3), 0, VLOOKUP(Gear!$B$3, INDIRECT(Gear!$A$3), MATCH(A15, StatHeader, 0), 0))</f>
        <v>0</v>
      </c>
      <c r="E15" t="s">
        <v>46</v>
      </c>
      <c r="F15" s="46">
        <f t="shared" ref="F15:N15" ca="1" si="3">SUM(F5:F13)</f>
        <v>2.2534824124000015E-3</v>
      </c>
      <c r="G15" s="46">
        <f t="shared" ca="1" si="3"/>
        <v>0.22692428324279998</v>
      </c>
      <c r="H15" s="46">
        <f t="shared" ca="1" si="3"/>
        <v>0.38303991027719997</v>
      </c>
      <c r="I15" s="46">
        <f t="shared" ca="1" si="3"/>
        <v>0.38778232406759999</v>
      </c>
      <c r="J15" s="46">
        <f t="shared" ca="1" si="3"/>
        <v>0</v>
      </c>
      <c r="K15" s="46">
        <f t="shared" ca="1" si="3"/>
        <v>0</v>
      </c>
      <c r="L15" s="46">
        <f t="shared" ca="1" si="3"/>
        <v>0</v>
      </c>
      <c r="M15" s="46">
        <f t="shared" ca="1" si="3"/>
        <v>0</v>
      </c>
      <c r="N15" s="46">
        <f t="shared" ca="1" si="3"/>
        <v>0</v>
      </c>
      <c r="O15" s="39">
        <f ca="1">SUM(F15:N15)</f>
        <v>1</v>
      </c>
      <c r="P15" s="43"/>
      <c r="Q15">
        <v>3</v>
      </c>
      <c r="R15" s="3">
        <f t="shared" ca="1" si="1"/>
        <v>1.1421425696086025</v>
      </c>
      <c r="T15">
        <v>3</v>
      </c>
      <c r="U15" s="3">
        <f t="shared" ca="1" si="2"/>
        <v>1.6729372468783215</v>
      </c>
    </row>
    <row r="16" spans="1:21">
      <c r="A16" s="31" t="s">
        <v>819</v>
      </c>
      <c r="B16" s="136">
        <f ca="1">Data!B165</f>
        <v>0.95</v>
      </c>
      <c r="E16" s="39" t="s">
        <v>47</v>
      </c>
      <c r="F16" s="19">
        <f ca="1">F4*F15+G4*G15+H4*H15+I4*I15+J15*J4+K15*K4+L15*L4+M15*M4+N15*N4</f>
        <v>2.156351076</v>
      </c>
      <c r="G16" s="39"/>
      <c r="H16" s="39"/>
      <c r="I16" s="39"/>
      <c r="O16" s="43"/>
      <c r="P16" s="43"/>
      <c r="Q16">
        <v>4</v>
      </c>
      <c r="R16" s="3">
        <f t="shared" ca="1" si="1"/>
        <v>1.4045787398031626</v>
      </c>
      <c r="T16">
        <v>4</v>
      </c>
      <c r="U16" s="3">
        <f t="shared" ca="1" si="2"/>
        <v>1.8876580467699799</v>
      </c>
    </row>
    <row r="17" spans="1:21">
      <c r="A17" t="s">
        <v>420</v>
      </c>
      <c r="B17" s="2">
        <f ca="1">IF(ISBLANK(Gear!$B$4), 0, VLOOKUP(Gear!$B$4, INDIRECT(Gear!$A$4), MATCH("OAx", StatHeader, 0), 0))</f>
        <v>0</v>
      </c>
      <c r="Q17">
        <v>5</v>
      </c>
      <c r="R17" s="3">
        <f t="shared" ca="1" si="1"/>
        <v>1.7627004516625842</v>
      </c>
      <c r="T17">
        <v>5</v>
      </c>
      <c r="U17" s="3">
        <f t="shared" ca="1" si="2"/>
        <v>2.4432565128993144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Q18">
        <v>6</v>
      </c>
      <c r="R18" s="3">
        <f t="shared" ca="1" si="1"/>
        <v>2.003415856166523</v>
      </c>
      <c r="T18">
        <v>6</v>
      </c>
      <c r="U18" s="3">
        <f t="shared" ca="1" si="2"/>
        <v>2.7275117780454798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D19" s="43" t="s">
        <v>147</v>
      </c>
      <c r="E19" s="43">
        <f ca="1">IF(Data!H20&gt;0, 1, 0)</f>
        <v>1</v>
      </c>
      <c r="F19" s="43"/>
      <c r="G19" s="43"/>
      <c r="H19" s="43"/>
      <c r="I19" s="43"/>
      <c r="J19" s="43"/>
      <c r="Q19">
        <v>7</v>
      </c>
      <c r="R19" s="3">
        <f t="shared" ca="1" si="1"/>
        <v>2.264588428134358</v>
      </c>
      <c r="T19">
        <v>7</v>
      </c>
      <c r="U19" s="3">
        <f t="shared" ca="1" si="2"/>
        <v>3.2214900588145507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t="s">
        <v>44</v>
      </c>
      <c r="E20" t="s">
        <v>45</v>
      </c>
      <c r="F20" s="14">
        <v>0</v>
      </c>
      <c r="G20" s="14">
        <v>1</v>
      </c>
      <c r="H20" s="14">
        <v>2</v>
      </c>
      <c r="I20" s="25">
        <v>3</v>
      </c>
      <c r="J20" s="25">
        <v>4</v>
      </c>
      <c r="K20" s="25">
        <v>5</v>
      </c>
      <c r="L20" s="25">
        <v>6</v>
      </c>
      <c r="M20" s="25">
        <v>7</v>
      </c>
      <c r="N20" s="25">
        <v>8</v>
      </c>
      <c r="O20" s="43"/>
      <c r="Q20">
        <v>8</v>
      </c>
      <c r="R20" s="3">
        <f t="shared" ca="1" si="1"/>
        <v>2.5033063853535351</v>
      </c>
      <c r="T20">
        <v>8</v>
      </c>
      <c r="U20" s="3">
        <f t="shared" ca="1" si="2"/>
        <v>3.5531918581169131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>
        <v>0</v>
      </c>
      <c r="E21" s="15">
        <f ca="1">IF(E19=0, 100%, 0)</f>
        <v>0</v>
      </c>
      <c r="F21" s="39">
        <f t="shared" ref="F21:N29" ca="1" si="4">IF($D21&gt;=F$20, POWER($B$16, F$20) * POWER((1-$B$16), $D21-F$20) * COMBIN($D21,F$20) * $E21, 0)</f>
        <v>0</v>
      </c>
      <c r="G21" s="39">
        <f t="shared" si="4"/>
        <v>0</v>
      </c>
      <c r="H21" s="39">
        <f t="shared" si="4"/>
        <v>0</v>
      </c>
      <c r="I21" s="39">
        <f t="shared" si="4"/>
        <v>0</v>
      </c>
      <c r="J21" s="39">
        <f t="shared" si="4"/>
        <v>0</v>
      </c>
      <c r="K21" s="39">
        <f t="shared" si="4"/>
        <v>0</v>
      </c>
      <c r="L21" s="39">
        <f t="shared" si="4"/>
        <v>0</v>
      </c>
      <c r="M21" s="39">
        <f t="shared" si="4"/>
        <v>0</v>
      </c>
      <c r="N21" s="39">
        <f t="shared" si="4"/>
        <v>0</v>
      </c>
      <c r="O21" s="43"/>
      <c r="Q21">
        <v>9</v>
      </c>
      <c r="R21" s="3">
        <f t="shared" ca="1" si="1"/>
        <v>2.779553370281433</v>
      </c>
      <c r="T21">
        <v>9</v>
      </c>
      <c r="U21" s="3">
        <f t="shared" ca="1" si="2"/>
        <v>4.0111050501814063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1</v>
      </c>
      <c r="E22" s="16">
        <f ca="1">IF(E19=1, (1-B6)*(1-B5)*(1-B4)*(1-B17), 0)</f>
        <v>0.55379999999999996</v>
      </c>
      <c r="F22" s="39">
        <f t="shared" ca="1" si="4"/>
        <v>2.7690000000000024E-2</v>
      </c>
      <c r="G22" s="39">
        <f t="shared" ca="1" si="4"/>
        <v>0.52610999999999997</v>
      </c>
      <c r="H22" s="39">
        <f t="shared" si="4"/>
        <v>0</v>
      </c>
      <c r="I22" s="39">
        <f t="shared" si="4"/>
        <v>0</v>
      </c>
      <c r="J22" s="39">
        <f t="shared" si="4"/>
        <v>0</v>
      </c>
      <c r="K22" s="39">
        <f t="shared" si="4"/>
        <v>0</v>
      </c>
      <c r="L22" s="39">
        <f t="shared" si="4"/>
        <v>0</v>
      </c>
      <c r="M22" s="39">
        <f t="shared" si="4"/>
        <v>0</v>
      </c>
      <c r="N22" s="39">
        <f t="shared" si="4"/>
        <v>0</v>
      </c>
      <c r="O22" s="43"/>
      <c r="Q22">
        <v>10</v>
      </c>
      <c r="R22" s="3">
        <f t="shared" ca="1" si="1"/>
        <v>3.0470797653375579</v>
      </c>
      <c r="T22">
        <v>10</v>
      </c>
      <c r="U22" s="3">
        <f t="shared" ca="1" si="2"/>
        <v>4.370840795103204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2</v>
      </c>
      <c r="E23" s="16">
        <f ca="1">IF(E19=1, (1-B6)*(1-B5)*(1-B4)*(B17)*(B18) + (1-B6)*(1-B5)*B4, 0)</f>
        <v>0.15620000000000001</v>
      </c>
      <c r="F23" s="39">
        <f t="shared" ca="1" si="4"/>
        <v>3.9050000000000071E-4</v>
      </c>
      <c r="G23" s="39">
        <f t="shared" ca="1" si="4"/>
        <v>1.4839000000000014E-2</v>
      </c>
      <c r="H23" s="39">
        <f t="shared" ca="1" si="4"/>
        <v>0.1409705</v>
      </c>
      <c r="I23" s="39">
        <f t="shared" si="4"/>
        <v>0</v>
      </c>
      <c r="J23" s="39">
        <f t="shared" si="4"/>
        <v>0</v>
      </c>
      <c r="K23" s="39">
        <f t="shared" si="4"/>
        <v>0</v>
      </c>
      <c r="L23" s="39">
        <f t="shared" si="4"/>
        <v>0</v>
      </c>
      <c r="M23" s="39">
        <f t="shared" si="4"/>
        <v>0</v>
      </c>
      <c r="N23" s="39">
        <f t="shared" si="4"/>
        <v>0</v>
      </c>
      <c r="O23" s="43"/>
      <c r="Q23">
        <v>11</v>
      </c>
      <c r="R23" s="3">
        <f t="shared" ca="1" si="1"/>
        <v>3.3104500923680389</v>
      </c>
      <c r="T23">
        <v>11</v>
      </c>
      <c r="U23" s="3">
        <f t="shared" ca="1" si="2"/>
        <v>4.8068854733036037</v>
      </c>
    </row>
    <row r="24" spans="1:21">
      <c r="A24" t="s">
        <v>389</v>
      </c>
      <c r="B24" s="2">
        <f ca="1">IF(ISBLANK(Gear!$B$4), 0, VLOOKUP(Gear!$B$4, INDIRECT(Gear!$A$4), MATCH(A24, StatHeader, 0), 0))</f>
        <v>0</v>
      </c>
      <c r="D24">
        <v>3</v>
      </c>
      <c r="E24" s="16">
        <f ca="1">IF(E19=1, (1-B6)*(1-B5)*(1-B4)*(B17)*(B19) + (1-B6)*(B5), 0)</f>
        <v>0.29000000000000004</v>
      </c>
      <c r="F24" s="39">
        <f t="shared" ca="1" si="4"/>
        <v>3.6250000000000102E-5</v>
      </c>
      <c r="G24" s="39">
        <f t="shared" ca="1" si="4"/>
        <v>2.0662500000000034E-3</v>
      </c>
      <c r="H24" s="39">
        <f t="shared" ca="1" si="4"/>
        <v>3.9258750000000044E-2</v>
      </c>
      <c r="I24" s="39">
        <f t="shared" ca="1" si="4"/>
        <v>0.24863874999999999</v>
      </c>
      <c r="J24" s="39">
        <f t="shared" si="4"/>
        <v>0</v>
      </c>
      <c r="K24" s="39">
        <f t="shared" si="4"/>
        <v>0</v>
      </c>
      <c r="L24" s="39">
        <f t="shared" si="4"/>
        <v>0</v>
      </c>
      <c r="M24" s="39">
        <f t="shared" si="4"/>
        <v>0</v>
      </c>
      <c r="N24" s="39">
        <f t="shared" si="4"/>
        <v>0</v>
      </c>
      <c r="O24" s="43"/>
      <c r="Q24">
        <v>12</v>
      </c>
      <c r="R24" s="3">
        <f t="shared" ca="1" si="1"/>
        <v>3.566899943973814</v>
      </c>
      <c r="T24">
        <v>12</v>
      </c>
      <c r="U24" s="3">
        <f t="shared" ca="1" si="2"/>
        <v>5.1836221014744872</v>
      </c>
    </row>
    <row r="25" spans="1:21">
      <c r="A25" t="s">
        <v>943</v>
      </c>
      <c r="B25" s="94">
        <f>IF(Setup!B$27=1, IF(ISBLANK(Gear!$B$3), 0, VLOOKUP(Gear!$B$3, Weapon, MATCH(A25, StatHeader, 0), 0)), 0)</f>
        <v>0.6</v>
      </c>
      <c r="D25">
        <v>4</v>
      </c>
      <c r="E25" s="16">
        <f ca="1">IF(E19=1, (1-B6)*(1-B5)*(1-B4)*(B17)*(B20) + (B6), 0)</f>
        <v>0</v>
      </c>
      <c r="F25" s="39">
        <f t="shared" ca="1" si="4"/>
        <v>0</v>
      </c>
      <c r="G25" s="39">
        <f t="shared" ca="1" si="4"/>
        <v>0</v>
      </c>
      <c r="H25" s="39">
        <f t="shared" ca="1" si="4"/>
        <v>0</v>
      </c>
      <c r="I25" s="39">
        <f t="shared" ca="1" si="4"/>
        <v>0</v>
      </c>
      <c r="J25" s="39">
        <f t="shared" ca="1" si="4"/>
        <v>0</v>
      </c>
      <c r="K25" s="39">
        <f t="shared" si="4"/>
        <v>0</v>
      </c>
      <c r="L25" s="39">
        <f t="shared" si="4"/>
        <v>0</v>
      </c>
      <c r="M25" s="39">
        <f t="shared" si="4"/>
        <v>0</v>
      </c>
      <c r="N25" s="39">
        <f t="shared" si="4"/>
        <v>0</v>
      </c>
      <c r="O25" s="43"/>
      <c r="Q25">
        <v>13</v>
      </c>
      <c r="R25" s="3">
        <f t="shared" ca="1" si="1"/>
        <v>3.8313440055388051</v>
      </c>
      <c r="T25">
        <v>13</v>
      </c>
      <c r="U25" s="3">
        <f t="shared" ca="1" si="2"/>
        <v>5.6064590014177149</v>
      </c>
    </row>
    <row r="26" spans="1:21">
      <c r="A26" t="s">
        <v>944</v>
      </c>
      <c r="B26" s="94">
        <f>IF(Setup!B$27=1, IF(ISBLANK(Gear!$B$3), 0, VLOOKUP(Gear!$B$3, Weapon, MATCH(A26, StatHeader, 0), 0)), 0)</f>
        <v>0.67</v>
      </c>
      <c r="D26">
        <v>5</v>
      </c>
      <c r="E26" s="101">
        <f ca="1">IF(E19=1, (1-B6)*(1-B5)*(1-B4)*(B17)*(B21), 0)</f>
        <v>0</v>
      </c>
      <c r="F26" s="39">
        <f t="shared" ca="1" si="4"/>
        <v>0</v>
      </c>
      <c r="G26" s="39">
        <f t="shared" ca="1" si="4"/>
        <v>0</v>
      </c>
      <c r="H26" s="39">
        <f t="shared" ca="1" si="4"/>
        <v>0</v>
      </c>
      <c r="I26" s="39">
        <f t="shared" ca="1" si="4"/>
        <v>0</v>
      </c>
      <c r="J26" s="39">
        <f t="shared" ca="1" si="4"/>
        <v>0</v>
      </c>
      <c r="K26" s="39">
        <f t="shared" ca="1" si="4"/>
        <v>0</v>
      </c>
      <c r="L26" s="39">
        <f t="shared" si="4"/>
        <v>0</v>
      </c>
      <c r="M26" s="39">
        <f t="shared" si="4"/>
        <v>0</v>
      </c>
      <c r="N26" s="39">
        <f t="shared" si="4"/>
        <v>0</v>
      </c>
      <c r="O26" s="43"/>
      <c r="Q26" s="20">
        <v>14</v>
      </c>
      <c r="R26" s="3">
        <f t="shared" ca="1" si="1"/>
        <v>4.0949383384358535</v>
      </c>
      <c r="T26" s="20">
        <v>14</v>
      </c>
      <c r="U26" s="3">
        <f t="shared" ca="1" si="2"/>
        <v>5.9934617188732719</v>
      </c>
    </row>
    <row r="27" spans="1:21">
      <c r="A27" t="s">
        <v>945</v>
      </c>
      <c r="B27" s="94">
        <f>IF(Setup!B$27=1, IF(ISBLANK(Gear!$B$3), 0, VLOOKUP(Gear!$B$3, Weapon, MATCH(A27, StatHeader, 0), 0)), 0)</f>
        <v>0.33</v>
      </c>
      <c r="D27" s="102">
        <v>6</v>
      </c>
      <c r="E27" s="101">
        <f ca="1">IF(E19=1, (1-B6)*(1-B5)*(1-B4)*(B17)*(B22), 0)</f>
        <v>0</v>
      </c>
      <c r="F27" s="39">
        <f t="shared" ca="1" si="4"/>
        <v>0</v>
      </c>
      <c r="G27" s="39">
        <f t="shared" ca="1" si="4"/>
        <v>0</v>
      </c>
      <c r="H27" s="39">
        <f t="shared" ca="1" si="4"/>
        <v>0</v>
      </c>
      <c r="I27" s="39">
        <f t="shared" ca="1" si="4"/>
        <v>0</v>
      </c>
      <c r="J27" s="39">
        <f t="shared" ca="1" si="4"/>
        <v>0</v>
      </c>
      <c r="K27" s="39">
        <f t="shared" ca="1" si="4"/>
        <v>0</v>
      </c>
      <c r="L27" s="39">
        <f t="shared" ca="1" si="4"/>
        <v>0</v>
      </c>
      <c r="M27" s="39">
        <f t="shared" si="4"/>
        <v>0</v>
      </c>
      <c r="N27" s="39">
        <f t="shared" si="4"/>
        <v>0</v>
      </c>
      <c r="O27" s="43"/>
      <c r="Q27">
        <v>15</v>
      </c>
      <c r="R27" s="3">
        <f t="shared" ca="1" si="1"/>
        <v>4.3585807136997108</v>
      </c>
      <c r="T27">
        <v>15</v>
      </c>
      <c r="U27" s="3">
        <f t="shared" ca="1" si="2"/>
        <v>6.408318198289507</v>
      </c>
    </row>
    <row r="28" spans="1:21">
      <c r="D28">
        <v>7</v>
      </c>
      <c r="E28" s="101">
        <f ca="1">IF(E19=1, (1-B6)*(1-B5)*(1-B4)*(B17)*(B23), 0)</f>
        <v>0</v>
      </c>
      <c r="F28" s="39">
        <f t="shared" ca="1" si="4"/>
        <v>0</v>
      </c>
      <c r="G28" s="39">
        <f t="shared" ca="1" si="4"/>
        <v>0</v>
      </c>
      <c r="H28" s="39">
        <f t="shared" ca="1" si="4"/>
        <v>0</v>
      </c>
      <c r="I28" s="39">
        <f t="shared" ca="1" si="4"/>
        <v>0</v>
      </c>
      <c r="J28" s="39">
        <f t="shared" ca="1" si="4"/>
        <v>0</v>
      </c>
      <c r="K28" s="39">
        <f t="shared" ca="1" si="4"/>
        <v>0</v>
      </c>
      <c r="L28" s="39">
        <f t="shared" ca="1" si="4"/>
        <v>0</v>
      </c>
      <c r="M28" s="39">
        <f t="shared" ca="1" si="4"/>
        <v>0</v>
      </c>
      <c r="N28" s="39">
        <f t="shared" si="4"/>
        <v>0</v>
      </c>
      <c r="O28" s="43"/>
      <c r="Q28">
        <v>16</v>
      </c>
      <c r="R28" s="3">
        <f t="shared" ca="1" si="1"/>
        <v>4.6203379081738625</v>
      </c>
      <c r="T28">
        <v>16</v>
      </c>
      <c r="U28" s="3">
        <f t="shared" ca="1" si="2"/>
        <v>6.8015240836978981</v>
      </c>
    </row>
    <row r="29" spans="1:21">
      <c r="D29">
        <v>8</v>
      </c>
      <c r="E29" s="101">
        <f ca="1">IF(E19=1, (1-B6)*(1-B5)*(1-B4)*(B17)*(B24), 0)</f>
        <v>0</v>
      </c>
      <c r="F29" s="17">
        <f t="shared" ca="1" si="4"/>
        <v>0</v>
      </c>
      <c r="G29" s="18">
        <f t="shared" ca="1" si="4"/>
        <v>0</v>
      </c>
      <c r="H29" s="18">
        <f t="shared" ca="1" si="4"/>
        <v>0</v>
      </c>
      <c r="I29" s="18">
        <f t="shared" ca="1" si="4"/>
        <v>0</v>
      </c>
      <c r="J29" s="18">
        <f t="shared" ca="1" si="4"/>
        <v>0</v>
      </c>
      <c r="K29" s="18">
        <f t="shared" ca="1" si="4"/>
        <v>0</v>
      </c>
      <c r="L29" s="18">
        <f t="shared" ca="1" si="4"/>
        <v>0</v>
      </c>
      <c r="M29" s="18">
        <f t="shared" ca="1" si="4"/>
        <v>0</v>
      </c>
      <c r="N29" s="18">
        <f t="shared" ca="1" si="4"/>
        <v>0</v>
      </c>
      <c r="O29" s="43"/>
      <c r="Q29">
        <v>17</v>
      </c>
      <c r="R29" s="3">
        <f t="shared" ca="1" si="1"/>
        <v>4.8830088490559014</v>
      </c>
      <c r="T29">
        <v>17</v>
      </c>
      <c r="U29" s="3">
        <f t="shared" ca="1" si="2"/>
        <v>7.2115589177084454</v>
      </c>
    </row>
    <row r="30" spans="1:21">
      <c r="E30" s="2">
        <f ca="1">SUM(E21:E29)</f>
        <v>1</v>
      </c>
      <c r="O30" s="43"/>
      <c r="Q30">
        <v>18</v>
      </c>
      <c r="R30" s="3">
        <f t="shared" ca="1" si="1"/>
        <v>5.1458131681376313</v>
      </c>
      <c r="T30">
        <v>18</v>
      </c>
      <c r="U30" s="3">
        <f t="shared" ca="1" si="2"/>
        <v>7.6085126551275266</v>
      </c>
    </row>
    <row r="31" spans="1:21">
      <c r="E31" t="s">
        <v>46</v>
      </c>
      <c r="F31" s="46">
        <f t="shared" ref="F31:N31" ca="1" si="5">SUM(F21:F29)</f>
        <v>2.8116750000000027E-2</v>
      </c>
      <c r="G31" s="46">
        <f t="shared" ca="1" si="5"/>
        <v>0.54301525000000006</v>
      </c>
      <c r="H31" s="46">
        <f t="shared" ca="1" si="5"/>
        <v>0.18022925000000004</v>
      </c>
      <c r="I31" s="46">
        <f t="shared" ca="1" si="5"/>
        <v>0.24863874999999999</v>
      </c>
      <c r="J31" s="46">
        <f t="shared" ca="1" si="5"/>
        <v>0</v>
      </c>
      <c r="K31" s="46">
        <f t="shared" ca="1" si="5"/>
        <v>0</v>
      </c>
      <c r="L31" s="46">
        <f t="shared" ca="1" si="5"/>
        <v>0</v>
      </c>
      <c r="M31" s="46">
        <f t="shared" ca="1" si="5"/>
        <v>0</v>
      </c>
      <c r="N31" s="46">
        <f t="shared" ca="1" si="5"/>
        <v>0</v>
      </c>
      <c r="O31" s="39">
        <f ca="1">SUM(F31:N31)</f>
        <v>1</v>
      </c>
      <c r="Q31">
        <v>19</v>
      </c>
      <c r="R31" s="3">
        <f t="shared" ca="1" si="1"/>
        <v>5.4088971162465427</v>
      </c>
      <c r="T31">
        <v>19</v>
      </c>
      <c r="U31" s="3">
        <f t="shared" ca="1" si="2"/>
        <v>8.0156342889555727</v>
      </c>
    </row>
    <row r="32" spans="1:21">
      <c r="E32" t="s">
        <v>47</v>
      </c>
      <c r="F32" s="19">
        <f ca="1">F20*F31+G20*G31+H20*H31+I20*I31+J31*J20+K31*K20+L31*L20+M31*M20+N31*N20</f>
        <v>1.6493899999999999</v>
      </c>
      <c r="I32" s="43"/>
      <c r="J32" s="43"/>
      <c r="K32" s="39"/>
      <c r="O32" s="39"/>
      <c r="P32" s="1"/>
      <c r="Q32">
        <v>20</v>
      </c>
      <c r="R32" s="3">
        <f t="shared" ca="1" si="1"/>
        <v>5.6715315187335369</v>
      </c>
      <c r="T32">
        <v>20</v>
      </c>
      <c r="U32" s="3">
        <f t="shared" ca="1" si="2"/>
        <v>8.4148524478049183</v>
      </c>
    </row>
    <row r="33" spans="1:21">
      <c r="K33" s="39"/>
      <c r="O33" s="43"/>
      <c r="Q33">
        <v>21</v>
      </c>
      <c r="R33" s="3">
        <f t="shared" ca="1" si="1"/>
        <v>5.9342351959828283</v>
      </c>
      <c r="T33">
        <v>21</v>
      </c>
      <c r="U33" s="3">
        <f t="shared" ca="1" si="2"/>
        <v>8.8202139542693239</v>
      </c>
    </row>
    <row r="34" spans="1:21">
      <c r="Q34">
        <v>22</v>
      </c>
      <c r="R34" s="3">
        <f t="shared" ca="1" si="1"/>
        <v>6.1969657263183811</v>
      </c>
      <c r="T34">
        <v>22</v>
      </c>
      <c r="U34" s="3">
        <f t="shared" ca="1" si="2"/>
        <v>9.2208002549148507</v>
      </c>
    </row>
    <row r="35" spans="1:21">
      <c r="D35" s="43" t="s">
        <v>174</v>
      </c>
      <c r="E35" s="43"/>
      <c r="F35" s="39"/>
      <c r="G35" s="39"/>
      <c r="H35" s="39"/>
      <c r="I35" s="39"/>
      <c r="J35" s="39"/>
      <c r="K35" s="39"/>
      <c r="L35" s="39"/>
      <c r="M35" s="39"/>
      <c r="N35" s="39"/>
      <c r="Q35">
        <v>23</v>
      </c>
      <c r="R35" s="3">
        <f t="shared" ca="1" si="1"/>
        <v>6.4597928237532773</v>
      </c>
      <c r="T35">
        <v>23</v>
      </c>
      <c r="U35" s="3">
        <f t="shared" ca="1" si="2"/>
        <v>9.6250983087738771</v>
      </c>
    </row>
    <row r="36" spans="1:21">
      <c r="D36" s="43" t="s">
        <v>175</v>
      </c>
      <c r="E36" s="47">
        <v>0</v>
      </c>
      <c r="F36" s="43">
        <v>1</v>
      </c>
      <c r="G36" s="43">
        <v>2</v>
      </c>
      <c r="H36" s="24">
        <v>3</v>
      </c>
      <c r="I36" s="24">
        <v>4</v>
      </c>
      <c r="J36" s="24">
        <v>5</v>
      </c>
      <c r="K36" s="24">
        <v>6</v>
      </c>
      <c r="L36" s="24">
        <v>7</v>
      </c>
      <c r="M36" s="24">
        <v>8</v>
      </c>
      <c r="N36" t="s">
        <v>7</v>
      </c>
      <c r="Q36">
        <v>24</v>
      </c>
      <c r="R36" s="3">
        <f t="shared" ca="1" si="1"/>
        <v>6.7225502707473472</v>
      </c>
      <c r="T36">
        <v>24</v>
      </c>
      <c r="U36" s="3">
        <f t="shared" ca="1" si="2"/>
        <v>10.02651122794882</v>
      </c>
    </row>
    <row r="37" spans="1:21">
      <c r="D37" s="43" t="s">
        <v>176</v>
      </c>
      <c r="E37" s="39">
        <f ca="1">F15*F31</f>
        <v>6.3360601618847801E-5</v>
      </c>
      <c r="F37" s="39">
        <f ca="1">F15*G31+G15*F31</f>
        <v>7.6040486564069917E-3</v>
      </c>
      <c r="G37" s="39">
        <f ca="1">F15*H31+G15*G31+H15*F31</f>
        <v>0.13439932723852138</v>
      </c>
      <c r="H37" s="39">
        <f ca="1">F15*I31+G15*H31+H15*G31+I15*F31</f>
        <v>0.26035838772518261</v>
      </c>
      <c r="I37" s="39">
        <f ca="1">F15*J31+G15*I31+H15*H31+I15*G31+J15*F31</f>
        <v>0.33602888152861166</v>
      </c>
      <c r="J37" s="39">
        <f ca="1">F15*K31+G15*J31+H15*I31+I15*H31+J15*G31+K15*F31</f>
        <v>0.16512828192139567</v>
      </c>
      <c r="K37" s="39">
        <f ca="1">F15*L31+G15*K31+H15*J31+I15*I31+J15*H31+K15*G31+L15*F31</f>
        <v>9.6417712328262975E-2</v>
      </c>
      <c r="L37" s="1">
        <f ca="1">F15*M31+G15*L31+H15*K31+I15*J31+J15*I31+K15*H31+L15*G31+M15*F31</f>
        <v>0</v>
      </c>
      <c r="M37" s="39">
        <f ca="1">F15*N31+G15*M31+H15*L31+I15*K31+J15*J31+K15*I31+L15*H31+M15*G31+N15*F31+G15*N31+H15*M31+I15*L31+J15*K31+K15*J31+L15*I31+M15*H31+N15*G31+H15*N31+I15*M31+J15*L31+K15*K31+L15*J31+M15*I31+N15*H31+I15*N31+J15*M31+K15*L31+L15*K31+M15*J31+N15*I31+J15*N31+K15*M31+L15*L31+M15*K31+N15*J31+K15*N31+L15*M31+M15*L31+N15*K31+L15*N31+M15*M31+N15*L31+M15*N31+N15*M31+N15*N31</f>
        <v>0</v>
      </c>
      <c r="N37" s="39">
        <f ca="1">SUM(E37:M37)</f>
        <v>1.0000000000000002</v>
      </c>
      <c r="Q37">
        <v>25</v>
      </c>
      <c r="R37" s="3">
        <f t="shared" ca="1" si="1"/>
        <v>6.9853031646228176</v>
      </c>
      <c r="T37">
        <v>25</v>
      </c>
      <c r="U37" s="3">
        <f t="shared" ca="1" si="2"/>
        <v>10.430166753700782</v>
      </c>
    </row>
    <row r="38" spans="1:21">
      <c r="D38" s="24" t="s">
        <v>47</v>
      </c>
      <c r="E38" s="3">
        <f ca="1">E36*E37+F36*F37+G36*G37+H36*H37+I36*I37+J36*J37+K36*K37+L36*L37+M36*M37</f>
        <v>3.8057410760000003</v>
      </c>
      <c r="Q38">
        <v>26</v>
      </c>
      <c r="R38" s="3">
        <f t="shared" ca="1" si="1"/>
        <v>7.2480489229805132</v>
      </c>
      <c r="T38">
        <v>26</v>
      </c>
      <c r="U38" s="3">
        <f t="shared" ca="1" si="2"/>
        <v>10.832079108055481</v>
      </c>
    </row>
    <row r="39" spans="1:21">
      <c r="D39" s="43"/>
      <c r="E39" s="39"/>
      <c r="F39" s="43"/>
      <c r="G39" s="43"/>
      <c r="H39" s="43"/>
      <c r="Q39">
        <v>27</v>
      </c>
      <c r="R39" s="3">
        <f t="shared" ca="1" si="1"/>
        <v>7.5108194454883881</v>
      </c>
      <c r="T39">
        <v>27</v>
      </c>
      <c r="U39" s="3">
        <f t="shared" ca="1" si="2"/>
        <v>11.235346424332562</v>
      </c>
    </row>
    <row r="40" spans="1:21">
      <c r="D40" s="43"/>
      <c r="E40" s="43"/>
      <c r="F40" s="39"/>
      <c r="G40" s="39"/>
      <c r="H40" s="43"/>
      <c r="Q40">
        <v>28</v>
      </c>
      <c r="R40" s="3">
        <f t="shared" ca="1" si="1"/>
        <v>7.773583141932777</v>
      </c>
      <c r="T40">
        <v>28</v>
      </c>
      <c r="U40" s="3">
        <f t="shared" ca="1" si="2"/>
        <v>11.637560532752959</v>
      </c>
    </row>
    <row r="41" spans="1:21">
      <c r="A41" t="s">
        <v>165</v>
      </c>
      <c r="Q41">
        <v>29</v>
      </c>
      <c r="R41" s="3">
        <f t="shared" ca="1" si="1"/>
        <v>8.0363445363606392</v>
      </c>
      <c r="T41">
        <v>29</v>
      </c>
      <c r="U41" s="3">
        <f t="shared" ca="1" si="2"/>
        <v>12.040593296495805</v>
      </c>
    </row>
    <row r="42" spans="1:21">
      <c r="Q42">
        <v>30</v>
      </c>
      <c r="R42" s="3">
        <f t="shared" ca="1" si="1"/>
        <v>8.2991015780190587</v>
      </c>
      <c r="T42">
        <v>30</v>
      </c>
      <c r="U42" s="3">
        <f t="shared" ca="1" si="2"/>
        <v>12.442989721900764</v>
      </c>
    </row>
    <row r="43" spans="1:21">
      <c r="A43" t="s">
        <v>51</v>
      </c>
      <c r="B43" s="5">
        <f ca="1">Data!C105</f>
        <v>0.99</v>
      </c>
      <c r="D43" s="43" t="s">
        <v>149</v>
      </c>
      <c r="E43" s="43"/>
      <c r="F43" s="43"/>
      <c r="G43" s="43"/>
      <c r="H43" s="43"/>
      <c r="I43" s="43"/>
      <c r="Q43">
        <v>31</v>
      </c>
      <c r="R43" s="3">
        <f t="shared" ca="1" si="1"/>
        <v>8.5618632044495602</v>
      </c>
      <c r="T43">
        <v>31</v>
      </c>
      <c r="U43" s="3">
        <f t="shared" ca="1" si="2"/>
        <v>12.845880771195846</v>
      </c>
    </row>
    <row r="44" spans="1:21">
      <c r="A44" t="s">
        <v>43</v>
      </c>
      <c r="B44" s="2">
        <f ca="1">Data!C172</f>
        <v>0.11</v>
      </c>
      <c r="D44" t="s">
        <v>44</v>
      </c>
      <c r="E44" t="s">
        <v>45</v>
      </c>
      <c r="F44" s="14">
        <v>0</v>
      </c>
      <c r="G44" s="14">
        <v>1</v>
      </c>
      <c r="H44" s="14">
        <v>2</v>
      </c>
      <c r="I44" s="25">
        <v>3</v>
      </c>
      <c r="J44" s="25">
        <v>4</v>
      </c>
      <c r="K44" s="25">
        <v>5</v>
      </c>
      <c r="L44" s="25">
        <v>6</v>
      </c>
      <c r="M44" s="25">
        <v>7</v>
      </c>
      <c r="N44" s="25">
        <v>8</v>
      </c>
      <c r="Q44">
        <v>32</v>
      </c>
      <c r="R44" s="3">
        <f t="shared" ca="1" si="1"/>
        <v>8.8246247888984293</v>
      </c>
      <c r="T44">
        <v>32</v>
      </c>
      <c r="U44" s="3">
        <f t="shared" ca="1" si="2"/>
        <v>13.248387350817936</v>
      </c>
    </row>
    <row r="45" spans="1:21">
      <c r="A45" t="s">
        <v>164</v>
      </c>
      <c r="B45" s="2">
        <f ca="1">Data!C173</f>
        <v>0.09</v>
      </c>
      <c r="D45">
        <v>0</v>
      </c>
      <c r="E45" s="15">
        <v>0</v>
      </c>
      <c r="F45" s="39">
        <f t="shared" ref="F45:N53" ca="1" si="6">IF($D45&gt;=F$44, POWER($B$43, F$44) * POWER((1-$B$43), $D45-F$44) * COMBIN($D45,F$44) * $E45, 0)</f>
        <v>0</v>
      </c>
      <c r="G45" s="39">
        <f t="shared" si="6"/>
        <v>0</v>
      </c>
      <c r="H45" s="39">
        <f t="shared" si="6"/>
        <v>0</v>
      </c>
      <c r="I45" s="39">
        <f t="shared" si="6"/>
        <v>0</v>
      </c>
      <c r="J45" s="39">
        <f t="shared" si="6"/>
        <v>0</v>
      </c>
      <c r="K45" s="39">
        <f t="shared" si="6"/>
        <v>0</v>
      </c>
      <c r="L45" s="39">
        <f t="shared" si="6"/>
        <v>0</v>
      </c>
      <c r="M45" s="39">
        <f t="shared" si="6"/>
        <v>0</v>
      </c>
      <c r="N45" s="39">
        <f t="shared" si="6"/>
        <v>0</v>
      </c>
      <c r="Q45">
        <v>33</v>
      </c>
      <c r="R45" s="3">
        <f t="shared" ref="R45:R76" ca="1" si="7">(1+R44*$F$37+R43*$G$37+R42*$H$37+R41*$I$37+R40*$J$37+R39*$K$37+R38*$L$37+R37*$M$37)/(1-$E$37)</f>
        <v>9.0873863429189239</v>
      </c>
      <c r="T45">
        <v>33</v>
      </c>
      <c r="U45" s="3">
        <f t="shared" ref="U45:U76" ca="1" si="8">(1+U44*$F$77+U43*$G$77+U42*$H$77+U41*$I$77+U40*$J$77+U39*$K$77+U38*$L$77+U37*$M$77)/(1-$E$77)</f>
        <v>13.65119277756893</v>
      </c>
    </row>
    <row r="46" spans="1:21">
      <c r="A46" t="s">
        <v>281</v>
      </c>
      <c r="B46" s="2">
        <f ca="1">Data!C174</f>
        <v>0</v>
      </c>
      <c r="D46">
        <v>1</v>
      </c>
      <c r="E46" s="16">
        <f ca="1">(1-B46)*(1-B45)*(1-B44)*(1-B48)*(1-B65)*(1-B47)</f>
        <v>0.80990000000000006</v>
      </c>
      <c r="F46" s="39">
        <f t="shared" ca="1" si="6"/>
        <v>8.0990000000000072E-3</v>
      </c>
      <c r="G46" s="39">
        <f t="shared" ca="1" si="6"/>
        <v>0.8018010000000001</v>
      </c>
      <c r="H46" s="39">
        <f t="shared" si="6"/>
        <v>0</v>
      </c>
      <c r="I46" s="39">
        <f t="shared" si="6"/>
        <v>0</v>
      </c>
      <c r="J46" s="39">
        <f t="shared" si="6"/>
        <v>0</v>
      </c>
      <c r="K46" s="39">
        <f t="shared" si="6"/>
        <v>0</v>
      </c>
      <c r="L46" s="39">
        <f t="shared" si="6"/>
        <v>0</v>
      </c>
      <c r="M46" s="39">
        <f t="shared" si="6"/>
        <v>0</v>
      </c>
      <c r="N46" s="39">
        <f t="shared" si="6"/>
        <v>0</v>
      </c>
      <c r="Q46">
        <v>34</v>
      </c>
      <c r="R46" s="3">
        <f t="shared" ca="1" si="7"/>
        <v>9.3501465837286926</v>
      </c>
      <c r="T46">
        <v>34</v>
      </c>
      <c r="U46" s="3">
        <f t="shared" ca="1" si="8"/>
        <v>14.053765911338898</v>
      </c>
    </row>
    <row r="47" spans="1:21">
      <c r="A47" t="s">
        <v>418</v>
      </c>
      <c r="B47" s="2">
        <v>0</v>
      </c>
      <c r="D47">
        <v>2</v>
      </c>
      <c r="E47" s="16">
        <f ca="1">(1-B46)*(1-B45)*(B44)*(1-B47) + (1-B46)*(1-B45)*(1-B44)*(B48)*(B49)*(1-B47) + (1-B46)*(1-B45)*(1-B44)*(1-B48)*(B65)*(B66)*(1-B47) + (1-B46)*(1-B45)*(1-B44)*(1-B48)*(1-B65)*(B47)</f>
        <v>0.10010000000000001</v>
      </c>
      <c r="F47" s="39">
        <f t="shared" ca="1" si="6"/>
        <v>1.0010000000000019E-5</v>
      </c>
      <c r="G47" s="39">
        <f t="shared" ca="1" si="6"/>
        <v>1.9819800000000021E-3</v>
      </c>
      <c r="H47" s="39">
        <f t="shared" ca="1" si="6"/>
        <v>9.8108010000000009E-2</v>
      </c>
      <c r="I47" s="39">
        <f t="shared" si="6"/>
        <v>0</v>
      </c>
      <c r="J47" s="39">
        <f t="shared" si="6"/>
        <v>0</v>
      </c>
      <c r="K47" s="39">
        <f t="shared" si="6"/>
        <v>0</v>
      </c>
      <c r="L47" s="39">
        <f t="shared" si="6"/>
        <v>0</v>
      </c>
      <c r="M47" s="39">
        <f t="shared" si="6"/>
        <v>0</v>
      </c>
      <c r="N47" s="39">
        <f t="shared" si="6"/>
        <v>0</v>
      </c>
      <c r="Q47">
        <v>35</v>
      </c>
      <c r="R47" s="3">
        <f t="shared" ca="1" si="7"/>
        <v>9.6129073994646728</v>
      </c>
      <c r="T47">
        <v>35</v>
      </c>
      <c r="U47" s="3">
        <f t="shared" ca="1" si="8"/>
        <v>14.45651960574946</v>
      </c>
    </row>
    <row r="48" spans="1:21">
      <c r="A48" t="s">
        <v>419</v>
      </c>
      <c r="B48" s="2">
        <f ca="1">IF(ISBLANK(Gear!$AA$3), 0, VLOOKUP(Gear!$AA$3, INDIRECT(Gear!$Z$3), MATCH("OAx", StatHeader, 0), 0))</f>
        <v>0</v>
      </c>
      <c r="D48">
        <v>3</v>
      </c>
      <c r="E48" s="16">
        <f ca="1">(1-B46)*(B45)*(1-B47) + (1-B46)*(1-B45)*(B44)*(B47) + (1-B46)*(1-B45)*(1-B44)*(B48)*(B50)*(1-B47) + (1-B46)*(1-B45)*(1-B44)*(B48)*(B49)*(B47) + (1-B46)*(1-B45)*(1-B44)*(1-B48)*(B65)*(B67)*(1-B47) + (1-B46)*(1-B45)*(1-B44)*(1-B48)*(B65)*(B66)*(B47)</f>
        <v>0.09</v>
      </c>
      <c r="F48" s="39">
        <f t="shared" ca="1" si="6"/>
        <v>9.0000000000000237E-8</v>
      </c>
      <c r="G48" s="39">
        <f t="shared" ca="1" si="6"/>
        <v>2.6730000000000047E-5</v>
      </c>
      <c r="H48" s="39">
        <f t="shared" ca="1" si="6"/>
        <v>2.6462700000000018E-3</v>
      </c>
      <c r="I48" s="39">
        <f t="shared" ca="1" si="6"/>
        <v>8.7326909999999994E-2</v>
      </c>
      <c r="J48" s="39">
        <f t="shared" si="6"/>
        <v>0</v>
      </c>
      <c r="K48" s="39">
        <f t="shared" si="6"/>
        <v>0</v>
      </c>
      <c r="L48" s="39">
        <f t="shared" si="6"/>
        <v>0</v>
      </c>
      <c r="M48" s="39">
        <f t="shared" si="6"/>
        <v>0</v>
      </c>
      <c r="N48" s="39">
        <f t="shared" si="6"/>
        <v>0</v>
      </c>
      <c r="Q48">
        <v>36</v>
      </c>
      <c r="R48" s="3">
        <f t="shared" ca="1" si="7"/>
        <v>9.8756683584489977</v>
      </c>
      <c r="T48">
        <v>36</v>
      </c>
      <c r="U48" s="3">
        <f t="shared" ca="1" si="8"/>
        <v>14.859132950913185</v>
      </c>
    </row>
    <row r="49" spans="1:21">
      <c r="A49" t="s">
        <v>383</v>
      </c>
      <c r="B49" s="2">
        <f ca="1">IF(ISBLANK(Gear!$AA$3), 0, VLOOKUP(Gear!$AA$3, INDIRECT(Gear!$Z$3), MATCH(A49, StatHeader, 0), 0))</f>
        <v>0</v>
      </c>
      <c r="D49">
        <v>4</v>
      </c>
      <c r="E49" s="16">
        <f ca="1">(B46)*(1-B47) + (1-B46)*(B45)*(B47) + (1-B46)*(1-B45)*(1-B44)*(B48)*(B51)*(1-B47) + (1-B46)*(1-B45)*(1-B44)*(B48)*(B50)*(B47) + (1-B46)*(1-B45)*(1-B44)*(1-B48)*(B65)*(B67)*(B47)</f>
        <v>0</v>
      </c>
      <c r="F49" s="39">
        <f t="shared" ca="1" si="6"/>
        <v>0</v>
      </c>
      <c r="G49" s="39">
        <f t="shared" ca="1" si="6"/>
        <v>0</v>
      </c>
      <c r="H49" s="39">
        <f t="shared" ca="1" si="6"/>
        <v>0</v>
      </c>
      <c r="I49" s="39">
        <f t="shared" ca="1" si="6"/>
        <v>0</v>
      </c>
      <c r="J49" s="39">
        <f t="shared" ca="1" si="6"/>
        <v>0</v>
      </c>
      <c r="K49" s="39">
        <f t="shared" si="6"/>
        <v>0</v>
      </c>
      <c r="L49" s="39">
        <f t="shared" si="6"/>
        <v>0</v>
      </c>
      <c r="M49" s="39">
        <f t="shared" si="6"/>
        <v>0</v>
      </c>
      <c r="N49" s="39">
        <f t="shared" si="6"/>
        <v>0</v>
      </c>
      <c r="Q49">
        <v>37</v>
      </c>
      <c r="R49" s="3">
        <f t="shared" ca="1" si="7"/>
        <v>10.138429478793155</v>
      </c>
      <c r="T49">
        <v>37</v>
      </c>
      <c r="U49" s="3">
        <f t="shared" ca="1" si="8"/>
        <v>15.261855389127435</v>
      </c>
    </row>
    <row r="50" spans="1:21">
      <c r="A50" t="s">
        <v>384</v>
      </c>
      <c r="B50" s="2">
        <f ca="1">IF(ISBLANK(Gear!$AA$3), 0, VLOOKUP(Gear!$AA$3, INDIRECT(Gear!$Z$3), MATCH(A50, StatHeader, 0), 0))</f>
        <v>0</v>
      </c>
      <c r="D50">
        <v>5</v>
      </c>
      <c r="E50" s="101">
        <f ca="1">(1-B46)*(1-B45)*(1-B44)*(1-B47)*(B48)*(B52) + (1-B46)*(1-B45)*(1-B44)*(B47)*(B48)*(B51) + (B46)*(B47)</f>
        <v>0</v>
      </c>
      <c r="F50" s="39">
        <f t="shared" ca="1" si="6"/>
        <v>0</v>
      </c>
      <c r="G50" s="39">
        <f t="shared" ca="1" si="6"/>
        <v>0</v>
      </c>
      <c r="H50" s="39">
        <f t="shared" ca="1" si="6"/>
        <v>0</v>
      </c>
      <c r="I50" s="39">
        <f t="shared" ca="1" si="6"/>
        <v>0</v>
      </c>
      <c r="J50" s="39">
        <f t="shared" ca="1" si="6"/>
        <v>0</v>
      </c>
      <c r="K50" s="39">
        <f t="shared" ca="1" si="6"/>
        <v>0</v>
      </c>
      <c r="L50" s="39">
        <f t="shared" si="6"/>
        <v>0</v>
      </c>
      <c r="M50" s="39">
        <f t="shared" si="6"/>
        <v>0</v>
      </c>
      <c r="N50" s="39">
        <f t="shared" si="6"/>
        <v>0</v>
      </c>
      <c r="Q50">
        <v>38</v>
      </c>
      <c r="R50" s="3">
        <f t="shared" ca="1" si="7"/>
        <v>10.401190318936797</v>
      </c>
      <c r="T50">
        <v>38</v>
      </c>
      <c r="U50" s="3">
        <f t="shared" ca="1" si="8"/>
        <v>15.664493029639234</v>
      </c>
    </row>
    <row r="51" spans="1:21">
      <c r="A51" t="s">
        <v>385</v>
      </c>
      <c r="B51" s="2">
        <f ca="1">IF(ISBLANK(Gear!$AA$3), 0, VLOOKUP(Gear!$AA$3, INDIRECT(Gear!$Z$3), MATCH(A51, StatHeader, 0), 0))</f>
        <v>0</v>
      </c>
      <c r="D51" s="43">
        <v>6</v>
      </c>
      <c r="E51" s="101">
        <f ca="1">(1-B46)*(1-B45)*(1-B44)*(1-B47)*(B48)*(B53) + (1-B46)*(1-B45)*(1-B44)*(B47)*(B48)*(B52)</f>
        <v>0</v>
      </c>
      <c r="F51" s="39">
        <f t="shared" ca="1" si="6"/>
        <v>0</v>
      </c>
      <c r="G51" s="39">
        <f t="shared" ca="1" si="6"/>
        <v>0</v>
      </c>
      <c r="H51" s="39">
        <f t="shared" ca="1" si="6"/>
        <v>0</v>
      </c>
      <c r="I51" s="39">
        <f t="shared" ca="1" si="6"/>
        <v>0</v>
      </c>
      <c r="J51" s="39">
        <f t="shared" ca="1" si="6"/>
        <v>0</v>
      </c>
      <c r="K51" s="39">
        <f t="shared" ca="1" si="6"/>
        <v>0</v>
      </c>
      <c r="L51" s="39">
        <f t="shared" ca="1" si="6"/>
        <v>0</v>
      </c>
      <c r="M51" s="39">
        <f t="shared" si="6"/>
        <v>0</v>
      </c>
      <c r="N51" s="39">
        <f t="shared" si="6"/>
        <v>0</v>
      </c>
      <c r="Q51">
        <v>39</v>
      </c>
      <c r="R51" s="3">
        <f t="shared" ca="1" si="7"/>
        <v>10.663951189344008</v>
      </c>
      <c r="T51">
        <v>39</v>
      </c>
      <c r="U51" s="3">
        <f t="shared" ca="1" si="8"/>
        <v>16.067196583151969</v>
      </c>
    </row>
    <row r="52" spans="1:21">
      <c r="A52" t="s">
        <v>386</v>
      </c>
      <c r="B52" s="2">
        <f ca="1">IF(ISBLANK(Gear!$AA$3), 0, VLOOKUP(Gear!$AA$3, INDIRECT(Gear!$Z$3), MATCH(A52, StatHeader, 0), 0))</f>
        <v>0</v>
      </c>
      <c r="D52" s="24">
        <v>7</v>
      </c>
      <c r="E52" s="16">
        <f ca="1">(1-B46)*(1-B45)*(1-B44)*(1-B47)*(B48)*(B54) + (1-B46)*(1-B45)*(1-B44)*(B47)*(B48)*(B53)</f>
        <v>0</v>
      </c>
      <c r="F52" s="39">
        <f t="shared" ca="1" si="6"/>
        <v>0</v>
      </c>
      <c r="G52" s="39">
        <f t="shared" ca="1" si="6"/>
        <v>0</v>
      </c>
      <c r="H52" s="39">
        <f t="shared" ca="1" si="6"/>
        <v>0</v>
      </c>
      <c r="I52" s="39">
        <f t="shared" ca="1" si="6"/>
        <v>0</v>
      </c>
      <c r="J52" s="39">
        <f t="shared" ca="1" si="6"/>
        <v>0</v>
      </c>
      <c r="K52" s="39">
        <f t="shared" ca="1" si="6"/>
        <v>0</v>
      </c>
      <c r="L52" s="39">
        <f t="shared" ca="1" si="6"/>
        <v>0</v>
      </c>
      <c r="M52" s="39">
        <f t="shared" ca="1" si="6"/>
        <v>0</v>
      </c>
      <c r="N52" s="39">
        <f t="shared" si="6"/>
        <v>0</v>
      </c>
      <c r="O52" s="43"/>
      <c r="P52" s="43"/>
      <c r="Q52">
        <v>40</v>
      </c>
      <c r="R52" s="3">
        <f t="shared" ca="1" si="7"/>
        <v>10.926712080790686</v>
      </c>
      <c r="T52">
        <v>40</v>
      </c>
      <c r="U52" s="3">
        <f t="shared" ca="1" si="8"/>
        <v>16.469848902685872</v>
      </c>
    </row>
    <row r="53" spans="1:21">
      <c r="A53" t="s">
        <v>387</v>
      </c>
      <c r="B53" s="2">
        <f ca="1">IF(ISBLANK(Gear!$AA$3), 0, VLOOKUP(Gear!$AA$3, INDIRECT(Gear!$Z$3), MATCH(A53, StatHeader, 0), 0))</f>
        <v>0</v>
      </c>
      <c r="D53" s="24">
        <v>8</v>
      </c>
      <c r="E53" s="16">
        <f ca="1">(1-B46)*(1-B45)*(1-B44)*(B48)*(B55) + (1-B46)*(1-B45)*(1-B44)*(B47)*(B48)*(B54)</f>
        <v>0</v>
      </c>
      <c r="F53" s="17">
        <f t="shared" ca="1" si="6"/>
        <v>0</v>
      </c>
      <c r="G53" s="18">
        <f t="shared" ca="1" si="6"/>
        <v>0</v>
      </c>
      <c r="H53" s="18">
        <f t="shared" ca="1" si="6"/>
        <v>0</v>
      </c>
      <c r="I53" s="18">
        <f t="shared" ca="1" si="6"/>
        <v>0</v>
      </c>
      <c r="J53" s="18">
        <f t="shared" ca="1" si="6"/>
        <v>0</v>
      </c>
      <c r="K53" s="18">
        <f t="shared" ca="1" si="6"/>
        <v>0</v>
      </c>
      <c r="L53" s="18">
        <f t="shared" ca="1" si="6"/>
        <v>0</v>
      </c>
      <c r="M53" s="18">
        <f t="shared" ca="1" si="6"/>
        <v>0</v>
      </c>
      <c r="N53" s="18">
        <f t="shared" ca="1" si="6"/>
        <v>0</v>
      </c>
      <c r="O53" s="43"/>
      <c r="P53" s="43"/>
      <c r="Q53">
        <v>41</v>
      </c>
      <c r="R53" s="3">
        <f t="shared" ca="1" si="7"/>
        <v>11.189473036825278</v>
      </c>
      <c r="T53">
        <v>41</v>
      </c>
      <c r="U53" s="3">
        <f t="shared" ca="1" si="8"/>
        <v>16.872541046238549</v>
      </c>
    </row>
    <row r="54" spans="1:21">
      <c r="A54" t="s">
        <v>388</v>
      </c>
      <c r="B54" s="2">
        <f ca="1">IF(ISBLANK(Gear!$AA$3), 0, VLOOKUP(Gear!$AA$3, INDIRECT(Gear!$Z$3), MATCH(A54, StatHeader, 0), 0))</f>
        <v>0</v>
      </c>
      <c r="E54" s="2">
        <f ca="1">SUM(E45:E53)</f>
        <v>1</v>
      </c>
      <c r="O54" s="39"/>
      <c r="P54" s="39"/>
      <c r="Q54">
        <v>42</v>
      </c>
      <c r="R54" s="3">
        <f t="shared" ca="1" si="7"/>
        <v>11.452233950356653</v>
      </c>
      <c r="T54">
        <v>42</v>
      </c>
      <c r="U54" s="3">
        <f t="shared" ca="1" si="8"/>
        <v>17.275202234700334</v>
      </c>
    </row>
    <row r="55" spans="1:21">
      <c r="A55" t="s">
        <v>389</v>
      </c>
      <c r="B55" s="2">
        <f ca="1">IF(ISBLANK(Gear!$AA$3), 0, VLOOKUP(Gear!$AA$3, INDIRECT(Gear!$Z$3), MATCH(A55, StatHeader, 0), 0))</f>
        <v>0</v>
      </c>
      <c r="E55" t="s">
        <v>46</v>
      </c>
      <c r="F55" s="46">
        <f t="shared" ref="F55:N55" ca="1" si="9">SUM(F45:F53)</f>
        <v>8.1091000000000062E-3</v>
      </c>
      <c r="G55" s="46">
        <f t="shared" ca="1" si="9"/>
        <v>0.80380971000000012</v>
      </c>
      <c r="H55" s="46">
        <f t="shared" ca="1" si="9"/>
        <v>0.10075428000000002</v>
      </c>
      <c r="I55" s="46">
        <f t="shared" ca="1" si="9"/>
        <v>8.7326909999999994E-2</v>
      </c>
      <c r="J55" s="46">
        <f t="shared" ca="1" si="9"/>
        <v>0</v>
      </c>
      <c r="K55" s="46">
        <f t="shared" ca="1" si="9"/>
        <v>0</v>
      </c>
      <c r="L55" s="46">
        <f t="shared" ca="1" si="9"/>
        <v>0</v>
      </c>
      <c r="M55" s="46">
        <f t="shared" ca="1" si="9"/>
        <v>0</v>
      </c>
      <c r="N55" s="46">
        <f t="shared" ca="1" si="9"/>
        <v>0</v>
      </c>
      <c r="O55" s="39">
        <f ca="1">SUM(F55:N55)</f>
        <v>1</v>
      </c>
      <c r="P55" s="43"/>
      <c r="Q55">
        <v>43</v>
      </c>
      <c r="R55" s="3">
        <f t="shared" ca="1" si="7"/>
        <v>11.714994857181132</v>
      </c>
      <c r="T55">
        <v>43</v>
      </c>
      <c r="U55" s="3">
        <f t="shared" ca="1" si="8"/>
        <v>17.677887484461852</v>
      </c>
    </row>
    <row r="56" spans="1:21">
      <c r="A56" s="31" t="s">
        <v>819</v>
      </c>
      <c r="B56" s="136">
        <f ca="1">Data!C165</f>
        <v>0.95</v>
      </c>
      <c r="E56" s="39" t="s">
        <v>47</v>
      </c>
      <c r="F56" s="19">
        <f ca="1">F44*F55+G44*G55+H44*H55+I44*I55+J55*J44+K55*K44+L55*L44+M55*M44+N55*N44</f>
        <v>1.267299</v>
      </c>
      <c r="G56" s="39"/>
      <c r="H56" s="39"/>
      <c r="I56" s="39"/>
      <c r="O56" s="43"/>
      <c r="P56" s="43"/>
      <c r="Q56">
        <v>44</v>
      </c>
      <c r="R56" s="3">
        <f t="shared" ca="1" si="7"/>
        <v>11.977755760108911</v>
      </c>
      <c r="T56">
        <v>44</v>
      </c>
      <c r="U56" s="3">
        <f t="shared" ca="1" si="8"/>
        <v>18.080554031446926</v>
      </c>
    </row>
    <row r="57" spans="1:21">
      <c r="A57" t="s">
        <v>420</v>
      </c>
      <c r="B57" s="2">
        <f ca="1">IF(ISBLANK(Gear!$AA$4), 0, VLOOKUP(Gear!$AA$4, INDIRECT(Gear!$Z$4), MATCH("OAx", StatHeader, 0), 0))</f>
        <v>0</v>
      </c>
      <c r="Q57">
        <v>45</v>
      </c>
      <c r="R57" s="3">
        <f t="shared" ca="1" si="7"/>
        <v>12.240516679136169</v>
      </c>
      <c r="T57">
        <v>45</v>
      </c>
      <c r="U57" s="3">
        <f t="shared" ca="1" si="8"/>
        <v>18.483235116044288</v>
      </c>
    </row>
    <row r="58" spans="1:21">
      <c r="A58" t="s">
        <v>383</v>
      </c>
      <c r="B58" s="2">
        <f ca="1">IF(ISBLANK(Gear!$AA$4), 0, VLOOKUP(Gear!$AA$4, INDIRECT(Gear!$Z$4), MATCH(A58, StatHeader, 0), 0))</f>
        <v>0</v>
      </c>
      <c r="Q58">
        <v>46</v>
      </c>
      <c r="R58" s="3">
        <f t="shared" ca="1" si="7"/>
        <v>12.503277594427262</v>
      </c>
      <c r="T58">
        <v>46</v>
      </c>
      <c r="U58" s="3">
        <f t="shared" ca="1" si="8"/>
        <v>18.885904900599026</v>
      </c>
    </row>
    <row r="59" spans="1:21">
      <c r="A59" t="s">
        <v>384</v>
      </c>
      <c r="B59" s="2">
        <f ca="1">IF(ISBLANK(Gear!$AA$4), 0, VLOOKUP(Gear!$AA$4, INDIRECT(Gear!$Z$4), MATCH(A59, StatHeader, 0), 0))</f>
        <v>0</v>
      </c>
      <c r="D59" s="43" t="s">
        <v>147</v>
      </c>
      <c r="E59" s="43">
        <f ca="1">IF(Data!I20&gt;0, 1, 0)</f>
        <v>1</v>
      </c>
      <c r="F59" s="43"/>
      <c r="G59" s="43"/>
      <c r="H59" s="43"/>
      <c r="I59" s="43"/>
      <c r="J59" s="43"/>
      <c r="Q59">
        <v>47</v>
      </c>
      <c r="R59" s="3">
        <f t="shared" ca="1" si="7"/>
        <v>12.766038507794269</v>
      </c>
      <c r="T59">
        <v>47</v>
      </c>
      <c r="U59" s="3">
        <f t="shared" ca="1" si="8"/>
        <v>19.288583468643154</v>
      </c>
    </row>
    <row r="60" spans="1:21">
      <c r="A60" t="s">
        <v>385</v>
      </c>
      <c r="B60" s="2">
        <f ca="1">IF(ISBLANK(Gear!$AA$4), 0, VLOOKUP(Gear!$AA$4, INDIRECT(Gear!$Z$4), MATCH(A60, StatHeader, 0), 0))</f>
        <v>0</v>
      </c>
      <c r="D60" t="s">
        <v>44</v>
      </c>
      <c r="E60" t="s">
        <v>45</v>
      </c>
      <c r="F60" s="14">
        <v>0</v>
      </c>
      <c r="G60" s="14">
        <v>1</v>
      </c>
      <c r="H60" s="14">
        <v>2</v>
      </c>
      <c r="I60" s="25">
        <v>3</v>
      </c>
      <c r="J60" s="25">
        <v>4</v>
      </c>
      <c r="K60" s="25">
        <v>5</v>
      </c>
      <c r="L60" s="25">
        <v>6</v>
      </c>
      <c r="M60" s="25">
        <v>7</v>
      </c>
      <c r="N60" s="25">
        <v>8</v>
      </c>
      <c r="O60" s="43"/>
      <c r="Q60">
        <v>48</v>
      </c>
      <c r="R60" s="3">
        <f t="shared" ca="1" si="7"/>
        <v>13.028799418320995</v>
      </c>
      <c r="T60">
        <v>48</v>
      </c>
      <c r="U60" s="3">
        <f t="shared" ca="1" si="8"/>
        <v>19.691255209307204</v>
      </c>
    </row>
    <row r="61" spans="1:21">
      <c r="A61" t="s">
        <v>386</v>
      </c>
      <c r="B61" s="2">
        <f ca="1">IF(ISBLANK(Gear!$AA$4), 0, VLOOKUP(Gear!$AA$4, INDIRECT(Gear!$Z$4), MATCH(A61, StatHeader, 0), 0))</f>
        <v>0</v>
      </c>
      <c r="D61">
        <v>0</v>
      </c>
      <c r="E61" s="15">
        <f ca="1">IF(E59=0, 100%, 0)</f>
        <v>0</v>
      </c>
      <c r="F61" s="39">
        <f t="shared" ref="F61:N69" ca="1" si="10">IF($D61&gt;=F$60, POWER($B$56, F$60) * POWER((1-$B$56), $D61-F$60) * COMBIN($D61,F$60) * $E61, 0)</f>
        <v>0</v>
      </c>
      <c r="G61" s="39">
        <f t="shared" si="10"/>
        <v>0</v>
      </c>
      <c r="H61" s="39">
        <f t="shared" si="10"/>
        <v>0</v>
      </c>
      <c r="I61" s="39">
        <f t="shared" si="10"/>
        <v>0</v>
      </c>
      <c r="J61" s="39">
        <f t="shared" si="10"/>
        <v>0</v>
      </c>
      <c r="K61" s="39">
        <f t="shared" si="10"/>
        <v>0</v>
      </c>
      <c r="L61" s="39">
        <f t="shared" si="10"/>
        <v>0</v>
      </c>
      <c r="M61" s="39">
        <f t="shared" si="10"/>
        <v>0</v>
      </c>
      <c r="N61" s="39">
        <f t="shared" si="10"/>
        <v>0</v>
      </c>
      <c r="O61" s="43"/>
      <c r="Q61">
        <v>49</v>
      </c>
      <c r="R61" s="3">
        <f t="shared" ca="1" si="7"/>
        <v>13.291560331714736</v>
      </c>
      <c r="T61">
        <v>49</v>
      </c>
      <c r="U61" s="3">
        <f t="shared" ca="1" si="8"/>
        <v>20.093932256873408</v>
      </c>
    </row>
    <row r="62" spans="1:21">
      <c r="A62" t="s">
        <v>387</v>
      </c>
      <c r="B62" s="2">
        <f ca="1">IF(ISBLANK(Gear!$AA$4), 0, VLOOKUP(Gear!$AA$4, INDIRECT(Gear!$Z$4), MATCH(A62, StatHeader, 0), 0))</f>
        <v>0</v>
      </c>
      <c r="D62">
        <v>1</v>
      </c>
      <c r="E62" s="16">
        <f ca="1">IF(E59=1, (1-B46)*(1-B45)*(1-B44)*(1-B57), 0)</f>
        <v>0.80990000000000006</v>
      </c>
      <c r="F62" s="39">
        <f t="shared" ca="1" si="10"/>
        <v>4.0495000000000038E-2</v>
      </c>
      <c r="G62" s="39">
        <f t="shared" ca="1" si="10"/>
        <v>0.76940500000000001</v>
      </c>
      <c r="H62" s="39">
        <f t="shared" si="10"/>
        <v>0</v>
      </c>
      <c r="I62" s="39">
        <f t="shared" si="10"/>
        <v>0</v>
      </c>
      <c r="J62" s="39">
        <f t="shared" si="10"/>
        <v>0</v>
      </c>
      <c r="K62" s="39">
        <f t="shared" si="10"/>
        <v>0</v>
      </c>
      <c r="L62" s="39">
        <f t="shared" si="10"/>
        <v>0</v>
      </c>
      <c r="M62" s="39">
        <f t="shared" si="10"/>
        <v>0</v>
      </c>
      <c r="N62" s="39">
        <f t="shared" si="10"/>
        <v>0</v>
      </c>
      <c r="O62" s="43"/>
      <c r="Q62">
        <v>50</v>
      </c>
      <c r="R62" s="3">
        <f t="shared" ca="1" si="7"/>
        <v>13.554321245274918</v>
      </c>
      <c r="T62">
        <v>50</v>
      </c>
      <c r="U62" s="3">
        <f t="shared" ca="1" si="8"/>
        <v>20.496605179400408</v>
      </c>
    </row>
    <row r="63" spans="1:21">
      <c r="A63" t="s">
        <v>388</v>
      </c>
      <c r="B63" s="2">
        <f ca="1">IF(ISBLANK(Gear!$AA$4), 0, VLOOKUP(Gear!$AA$4, INDIRECT(Gear!$Z$4), MATCH(A63, StatHeader, 0), 0))</f>
        <v>0</v>
      </c>
      <c r="D63">
        <v>2</v>
      </c>
      <c r="E63" s="16">
        <f ca="1">IF(E59=1, (1-B46)*(1-B45)*(1-B44)*(B57)*(B58) + (1-B46)*(1-B45)*B44, 0)</f>
        <v>0.10010000000000001</v>
      </c>
      <c r="F63" s="39">
        <f t="shared" ca="1" si="10"/>
        <v>2.5025000000000047E-4</v>
      </c>
      <c r="G63" s="39">
        <f t="shared" ca="1" si="10"/>
        <v>9.5095000000000093E-3</v>
      </c>
      <c r="H63" s="39">
        <f t="shared" ca="1" si="10"/>
        <v>9.0340250000000011E-2</v>
      </c>
      <c r="I63" s="39">
        <f t="shared" si="10"/>
        <v>0</v>
      </c>
      <c r="J63" s="39">
        <f t="shared" si="10"/>
        <v>0</v>
      </c>
      <c r="K63" s="39">
        <f t="shared" si="10"/>
        <v>0</v>
      </c>
      <c r="L63" s="39">
        <f t="shared" si="10"/>
        <v>0</v>
      </c>
      <c r="M63" s="39">
        <f t="shared" si="10"/>
        <v>0</v>
      </c>
      <c r="N63" s="39">
        <f t="shared" si="10"/>
        <v>0</v>
      </c>
      <c r="O63" s="43"/>
      <c r="Q63">
        <v>51</v>
      </c>
      <c r="R63" s="3">
        <f t="shared" ca="1" si="7"/>
        <v>13.817082158770972</v>
      </c>
      <c r="T63">
        <v>51</v>
      </c>
      <c r="U63" s="3">
        <f t="shared" ca="1" si="8"/>
        <v>20.899281308308066</v>
      </c>
    </row>
    <row r="64" spans="1:21">
      <c r="A64" t="s">
        <v>389</v>
      </c>
      <c r="B64" s="2">
        <f ca="1">IF(ISBLANK(Gear!$AA$4), 0, VLOOKUP(Gear!$AA$4, INDIRECT(Gear!$Z$4), MATCH(A64, StatHeader, 0), 0))</f>
        <v>0</v>
      </c>
      <c r="D64">
        <v>3</v>
      </c>
      <c r="E64" s="16">
        <f ca="1">IF(E59=1, (1-B46)*(1-B45)*(1-B44)*(B57)*(B59) + (1-B46)*(B45), 0)</f>
        <v>0.09</v>
      </c>
      <c r="F64" s="39">
        <f t="shared" ca="1" si="10"/>
        <v>1.125000000000003E-5</v>
      </c>
      <c r="G64" s="39">
        <f t="shared" ca="1" si="10"/>
        <v>6.4125000000000098E-4</v>
      </c>
      <c r="H64" s="39">
        <f t="shared" ca="1" si="10"/>
        <v>1.2183750000000012E-2</v>
      </c>
      <c r="I64" s="39">
        <f t="shared" ca="1" si="10"/>
        <v>7.7163749999999989E-2</v>
      </c>
      <c r="J64" s="39">
        <f t="shared" si="10"/>
        <v>0</v>
      </c>
      <c r="K64" s="39">
        <f t="shared" si="10"/>
        <v>0</v>
      </c>
      <c r="L64" s="39">
        <f t="shared" si="10"/>
        <v>0</v>
      </c>
      <c r="M64" s="39">
        <f t="shared" si="10"/>
        <v>0</v>
      </c>
      <c r="N64" s="39">
        <f t="shared" si="10"/>
        <v>0</v>
      </c>
      <c r="O64" s="43"/>
      <c r="Q64">
        <v>52</v>
      </c>
      <c r="R64" s="3">
        <f t="shared" ca="1" si="7"/>
        <v>14.079843071402937</v>
      </c>
      <c r="T64">
        <v>52</v>
      </c>
      <c r="U64" s="3">
        <f t="shared" ca="1" si="8"/>
        <v>21.301954944905614</v>
      </c>
    </row>
    <row r="65" spans="1:21">
      <c r="A65" t="s">
        <v>943</v>
      </c>
      <c r="B65" s="94">
        <f>IF(Setup!C$27=1, IF(ISBLANK(Gear!$AA$3), 0, VLOOKUP(Gear!$AA$3, Weapon, MATCH(A65, StatHeader, 0), 0)), 0)</f>
        <v>0</v>
      </c>
      <c r="D65">
        <v>4</v>
      </c>
      <c r="E65" s="16">
        <f ca="1">IF(E59=1, (1-B46)*(1-B45)*(1-B44)*(B57)*(B60) + (B46), 0)</f>
        <v>0</v>
      </c>
      <c r="F65" s="39">
        <f t="shared" ca="1" si="10"/>
        <v>0</v>
      </c>
      <c r="G65" s="39">
        <f t="shared" ca="1" si="10"/>
        <v>0</v>
      </c>
      <c r="H65" s="39">
        <f t="shared" ca="1" si="10"/>
        <v>0</v>
      </c>
      <c r="I65" s="39">
        <f t="shared" ca="1" si="10"/>
        <v>0</v>
      </c>
      <c r="J65" s="39">
        <f t="shared" ca="1" si="10"/>
        <v>0</v>
      </c>
      <c r="K65" s="39">
        <f t="shared" si="10"/>
        <v>0</v>
      </c>
      <c r="L65" s="39">
        <f t="shared" si="10"/>
        <v>0</v>
      </c>
      <c r="M65" s="39">
        <f t="shared" si="10"/>
        <v>0</v>
      </c>
      <c r="N65" s="39">
        <f t="shared" si="10"/>
        <v>0</v>
      </c>
      <c r="O65" s="43"/>
      <c r="Q65">
        <v>53</v>
      </c>
      <c r="R65" s="3">
        <f t="shared" ca="1" si="7"/>
        <v>14.342603984371941</v>
      </c>
      <c r="T65">
        <v>53</v>
      </c>
      <c r="U65" s="3">
        <f t="shared" ca="1" si="8"/>
        <v>21.704630518768369</v>
      </c>
    </row>
    <row r="66" spans="1:21">
      <c r="A66" t="s">
        <v>944</v>
      </c>
      <c r="B66" s="94">
        <f>IF(Setup!C$27=1, IF(ISBLANK(Gear!$AA$3), 0, VLOOKUP(Gear!$AA$3, Weapon, MATCH(A66, StatHeader, 0), 0)), 0)</f>
        <v>0</v>
      </c>
      <c r="D66">
        <v>5</v>
      </c>
      <c r="E66" s="101">
        <f ca="1">IF(E59=1, (1-B46)*(1-B45)*(1-B44)*(B57)*(B61), 0)</f>
        <v>0</v>
      </c>
      <c r="F66" s="39">
        <f t="shared" ca="1" si="10"/>
        <v>0</v>
      </c>
      <c r="G66" s="39">
        <f t="shared" ca="1" si="10"/>
        <v>0</v>
      </c>
      <c r="H66" s="39">
        <f t="shared" ca="1" si="10"/>
        <v>0</v>
      </c>
      <c r="I66" s="39">
        <f t="shared" ca="1" si="10"/>
        <v>0</v>
      </c>
      <c r="J66" s="39">
        <f t="shared" ca="1" si="10"/>
        <v>0</v>
      </c>
      <c r="K66" s="39">
        <f t="shared" ca="1" si="10"/>
        <v>0</v>
      </c>
      <c r="L66" s="39">
        <f t="shared" si="10"/>
        <v>0</v>
      </c>
      <c r="M66" s="39">
        <f t="shared" si="10"/>
        <v>0</v>
      </c>
      <c r="N66" s="39">
        <f t="shared" si="10"/>
        <v>0</v>
      </c>
      <c r="O66" s="43"/>
      <c r="Q66">
        <v>54</v>
      </c>
      <c r="R66" s="3">
        <f t="shared" ca="1" si="7"/>
        <v>14.605364897466188</v>
      </c>
      <c r="T66">
        <v>54</v>
      </c>
      <c r="U66" s="3">
        <f t="shared" ca="1" si="8"/>
        <v>22.107304586800662</v>
      </c>
    </row>
    <row r="67" spans="1:21">
      <c r="A67" t="s">
        <v>945</v>
      </c>
      <c r="B67" s="94">
        <f>IF(Setup!C$27=1, IF(ISBLANK(Gear!$AA$3), 0, VLOOKUP(Gear!$AA$3, Weapon, MATCH(A67, StatHeader, 0), 0)), 0)</f>
        <v>0</v>
      </c>
      <c r="D67" s="102">
        <v>6</v>
      </c>
      <c r="E67" s="101">
        <f ca="1">IF(E59=1, (1-B46)*(1-B45)*(1-B44)*(B57)*(B62), 0)</f>
        <v>0</v>
      </c>
      <c r="F67" s="39">
        <f t="shared" ca="1" si="10"/>
        <v>0</v>
      </c>
      <c r="G67" s="39">
        <f t="shared" ca="1" si="10"/>
        <v>0</v>
      </c>
      <c r="H67" s="39">
        <f t="shared" ca="1" si="10"/>
        <v>0</v>
      </c>
      <c r="I67" s="39">
        <f t="shared" ca="1" si="10"/>
        <v>0</v>
      </c>
      <c r="J67" s="39">
        <f t="shared" ca="1" si="10"/>
        <v>0</v>
      </c>
      <c r="K67" s="39">
        <f t="shared" ca="1" si="10"/>
        <v>0</v>
      </c>
      <c r="L67" s="39">
        <f t="shared" ca="1" si="10"/>
        <v>0</v>
      </c>
      <c r="M67" s="39">
        <f t="shared" si="10"/>
        <v>0</v>
      </c>
      <c r="N67" s="39">
        <f t="shared" si="10"/>
        <v>0</v>
      </c>
      <c r="O67" s="43"/>
      <c r="Q67">
        <v>55</v>
      </c>
      <c r="R67" s="3">
        <f t="shared" ca="1" si="7"/>
        <v>14.868125810664084</v>
      </c>
      <c r="T67">
        <v>55</v>
      </c>
      <c r="U67" s="3">
        <f t="shared" ca="1" si="8"/>
        <v>22.509979825310481</v>
      </c>
    </row>
    <row r="68" spans="1:21">
      <c r="D68">
        <v>7</v>
      </c>
      <c r="E68" s="101">
        <f ca="1">IF(E59=1, (1-B46)*(1-B45)*(1-B44)*(B57)*(B63), 0)</f>
        <v>0</v>
      </c>
      <c r="F68" s="39">
        <f t="shared" ca="1" si="10"/>
        <v>0</v>
      </c>
      <c r="G68" s="39">
        <f t="shared" ca="1" si="10"/>
        <v>0</v>
      </c>
      <c r="H68" s="39">
        <f t="shared" ca="1" si="10"/>
        <v>0</v>
      </c>
      <c r="I68" s="39">
        <f t="shared" ca="1" si="10"/>
        <v>0</v>
      </c>
      <c r="J68" s="39">
        <f t="shared" ca="1" si="10"/>
        <v>0</v>
      </c>
      <c r="K68" s="39">
        <f t="shared" ca="1" si="10"/>
        <v>0</v>
      </c>
      <c r="L68" s="39">
        <f t="shared" ca="1" si="10"/>
        <v>0</v>
      </c>
      <c r="M68" s="39">
        <f t="shared" ca="1" si="10"/>
        <v>0</v>
      </c>
      <c r="N68" s="39">
        <f t="shared" si="10"/>
        <v>0</v>
      </c>
      <c r="O68" s="43"/>
      <c r="Q68">
        <v>56</v>
      </c>
      <c r="R68" s="3">
        <f t="shared" ca="1" si="7"/>
        <v>15.130886723682442</v>
      </c>
      <c r="T68">
        <v>56</v>
      </c>
      <c r="U68" s="3">
        <f t="shared" ca="1" si="8"/>
        <v>22.912654154011609</v>
      </c>
    </row>
    <row r="69" spans="1:21">
      <c r="D69">
        <v>8</v>
      </c>
      <c r="E69" s="101">
        <f ca="1">IF(E59=1, (1-B46)*(1-B45)*(1-B44)*(B57)*(B64), 0)</f>
        <v>0</v>
      </c>
      <c r="F69" s="17">
        <f t="shared" ca="1" si="10"/>
        <v>0</v>
      </c>
      <c r="G69" s="18">
        <f t="shared" ca="1" si="10"/>
        <v>0</v>
      </c>
      <c r="H69" s="18">
        <f t="shared" ca="1" si="10"/>
        <v>0</v>
      </c>
      <c r="I69" s="18">
        <f t="shared" ca="1" si="10"/>
        <v>0</v>
      </c>
      <c r="J69" s="18">
        <f t="shared" ca="1" si="10"/>
        <v>0</v>
      </c>
      <c r="K69" s="18">
        <f t="shared" ca="1" si="10"/>
        <v>0</v>
      </c>
      <c r="L69" s="18">
        <f t="shared" ca="1" si="10"/>
        <v>0</v>
      </c>
      <c r="M69" s="18">
        <f t="shared" ca="1" si="10"/>
        <v>0</v>
      </c>
      <c r="N69" s="18">
        <f t="shared" ca="1" si="10"/>
        <v>0</v>
      </c>
      <c r="O69" s="43"/>
      <c r="Q69">
        <v>57</v>
      </c>
      <c r="R69" s="3">
        <f t="shared" ca="1" si="7"/>
        <v>15.393647636710357</v>
      </c>
      <c r="T69">
        <v>57</v>
      </c>
      <c r="U69" s="3">
        <f t="shared" ca="1" si="8"/>
        <v>23.315329189904315</v>
      </c>
    </row>
    <row r="70" spans="1:21">
      <c r="E70" s="2">
        <f ca="1">SUM(E61:E69)</f>
        <v>1</v>
      </c>
      <c r="O70" s="43"/>
      <c r="Q70">
        <v>58</v>
      </c>
      <c r="R70" s="3">
        <f t="shared" ca="1" si="7"/>
        <v>15.65640854975563</v>
      </c>
      <c r="T70">
        <v>58</v>
      </c>
      <c r="U70" s="3">
        <f t="shared" ca="1" si="8"/>
        <v>23.718003676099119</v>
      </c>
    </row>
    <row r="71" spans="1:21">
      <c r="E71" t="s">
        <v>46</v>
      </c>
      <c r="F71" s="46">
        <f t="shared" ref="F71:N71" ca="1" si="11">SUM(F61:F69)</f>
        <v>4.0756500000000036E-2</v>
      </c>
      <c r="G71" s="46">
        <f t="shared" ca="1" si="11"/>
        <v>0.7795557500000001</v>
      </c>
      <c r="H71" s="46">
        <f t="shared" ca="1" si="11"/>
        <v>0.10252400000000002</v>
      </c>
      <c r="I71" s="46">
        <f t="shared" ca="1" si="11"/>
        <v>7.7163749999999989E-2</v>
      </c>
      <c r="J71" s="46">
        <f t="shared" ca="1" si="11"/>
        <v>0</v>
      </c>
      <c r="K71" s="46">
        <f t="shared" ca="1" si="11"/>
        <v>0</v>
      </c>
      <c r="L71" s="46">
        <f t="shared" ca="1" si="11"/>
        <v>0</v>
      </c>
      <c r="M71" s="46">
        <f t="shared" ca="1" si="11"/>
        <v>0</v>
      </c>
      <c r="N71" s="46">
        <f t="shared" ca="1" si="11"/>
        <v>0</v>
      </c>
      <c r="O71" s="39">
        <f ca="1">SUM(F71:N71)</f>
        <v>1.0000000000000002</v>
      </c>
      <c r="Q71">
        <v>59</v>
      </c>
      <c r="R71" s="3">
        <f t="shared" ca="1" si="7"/>
        <v>15.919169462843584</v>
      </c>
      <c r="T71">
        <v>59</v>
      </c>
      <c r="U71" s="3">
        <f t="shared" ca="1" si="8"/>
        <v>24.120678589572467</v>
      </c>
    </row>
    <row r="72" spans="1:21">
      <c r="E72" t="s">
        <v>47</v>
      </c>
      <c r="F72" s="19">
        <f ca="1">F60*F71+G60*G71+H60*H71+I60*I71+J71*J60+K71*K60+L71*L60+M71*M60+N71*N60</f>
        <v>1.2160950000000001</v>
      </c>
      <c r="I72" s="43"/>
      <c r="J72" s="43"/>
      <c r="K72" s="39"/>
      <c r="O72" s="39"/>
      <c r="P72" s="1"/>
      <c r="Q72">
        <v>60</v>
      </c>
      <c r="R72" s="3">
        <f t="shared" ca="1" si="7"/>
        <v>16.181930375905544</v>
      </c>
      <c r="T72">
        <v>60</v>
      </c>
      <c r="U72" s="3">
        <f t="shared" ca="1" si="8"/>
        <v>24.523353170923475</v>
      </c>
    </row>
    <row r="73" spans="1:21">
      <c r="K73" s="39"/>
      <c r="O73" s="43"/>
      <c r="Q73">
        <v>61</v>
      </c>
      <c r="R73" s="3">
        <f t="shared" ca="1" si="7"/>
        <v>16.444691288961121</v>
      </c>
      <c r="T73">
        <v>61</v>
      </c>
      <c r="U73" s="3">
        <f t="shared" ca="1" si="8"/>
        <v>24.926028010432191</v>
      </c>
    </row>
    <row r="74" spans="1:21">
      <c r="Q74">
        <v>62</v>
      </c>
      <c r="R74" s="3">
        <f t="shared" ca="1" si="7"/>
        <v>16.707452202014363</v>
      </c>
      <c r="T74">
        <v>62</v>
      </c>
      <c r="U74" s="3">
        <f t="shared" ca="1" si="8"/>
        <v>25.328702649275684</v>
      </c>
    </row>
    <row r="75" spans="1:21">
      <c r="D75" s="43" t="s">
        <v>174</v>
      </c>
      <c r="E75" s="43"/>
      <c r="F75" s="39"/>
      <c r="G75" s="39"/>
      <c r="H75" s="39"/>
      <c r="I75" s="39"/>
      <c r="J75" s="39"/>
      <c r="K75" s="39"/>
      <c r="L75" s="39"/>
      <c r="M75" s="39"/>
      <c r="N75" s="39"/>
      <c r="Q75">
        <v>63</v>
      </c>
      <c r="R75" s="3">
        <f t="shared" ca="1" si="7"/>
        <v>16.970213115078096</v>
      </c>
      <c r="T75">
        <v>63</v>
      </c>
      <c r="U75" s="3">
        <f t="shared" ca="1" si="8"/>
        <v>25.73137744409566</v>
      </c>
    </row>
    <row r="76" spans="1:21">
      <c r="D76" s="43" t="s">
        <v>175</v>
      </c>
      <c r="E76" s="47">
        <v>0</v>
      </c>
      <c r="F76" s="43">
        <v>1</v>
      </c>
      <c r="G76" s="43">
        <v>2</v>
      </c>
      <c r="H76" s="24">
        <v>3</v>
      </c>
      <c r="I76" s="24">
        <v>4</v>
      </c>
      <c r="J76" s="24">
        <v>5</v>
      </c>
      <c r="K76" s="24">
        <v>6</v>
      </c>
      <c r="L76" s="24">
        <v>7</v>
      </c>
      <c r="M76" s="24">
        <v>8</v>
      </c>
      <c r="N76" t="s">
        <v>7</v>
      </c>
      <c r="Q76">
        <v>64</v>
      </c>
      <c r="R76" s="3">
        <f t="shared" ca="1" si="7"/>
        <v>17.232974028139921</v>
      </c>
      <c r="T76">
        <v>64</v>
      </c>
      <c r="U76" s="3">
        <f t="shared" ca="1" si="8"/>
        <v>26.13405211767558</v>
      </c>
    </row>
    <row r="77" spans="1:21">
      <c r="D77" s="43" t="s">
        <v>176</v>
      </c>
      <c r="E77" s="39">
        <f ca="1">F55*F71</f>
        <v>3.3049853415000052E-4</v>
      </c>
      <c r="F77" s="39">
        <f ca="1">F55*G71+G55*F71</f>
        <v>3.9081965977940038E-2</v>
      </c>
      <c r="G77" s="39">
        <f ca="1">F55*H71+G55*G71+H55*F71</f>
        <v>0.6315522505175527</v>
      </c>
      <c r="H77" s="39">
        <f ca="1">F55*I71+G55*H71+H55*G71+I55*F71</f>
        <v>0.16513823279169002</v>
      </c>
      <c r="I77" s="39">
        <f ca="1">F55*J71+G55*I71+H55*H71+I55*G71+J55*F71</f>
        <v>0.140430898132965</v>
      </c>
      <c r="J77" s="39">
        <f ca="1">F55*K71+G55*J71+H55*I71+I55*H71+J55*G71+K55*F71</f>
        <v>1.6727682194190002E-2</v>
      </c>
      <c r="K77" s="39">
        <f ca="1">F55*L71+G55*K71+H55*J71+I55*I71+J55*H71+K55*G71+L55*F71</f>
        <v>6.7384718515124988E-3</v>
      </c>
      <c r="L77" s="1">
        <f ca="1">F55*M71+G55*L71+H55*K71+I55*J71+J55*I71+K55*H71+L55*G71+M55*F71</f>
        <v>0</v>
      </c>
      <c r="M77" s="39">
        <f ca="1">F55*N71+G55*M71+H55*L71+I55*K71+J55*J71+K55*I71+L55*H71+M55*G71+N55*F71+G55*N71+H55*M71+I55*L71+J55*K71+K55*J71+L55*I71+M55*H71+N55*G71+H55*N71+I55*M71+J55*L71+K55*K71+L55*J71+M55*I71+N55*H71+I55*N71+J55*M71+K55*L71+L55*K71+M55*J71+N55*I71+J55*N71+K55*M71+L55*L71+M55*K71+N55*J71+K55*N71+L55*M71+M55*L71+N55*K71+L55*N71+M55*M71+N55*L71+M55*N71+N55*M71+N55*N71</f>
        <v>0</v>
      </c>
      <c r="N77" s="39">
        <f ca="1">SUM(E77:M77)</f>
        <v>1.0000000000000002</v>
      </c>
      <c r="Q77">
        <v>65</v>
      </c>
      <c r="R77" s="3">
        <f t="shared" ref="R77:R108" ca="1" si="12">(1+R76*$F$37+R75*$G$37+R74*$H$37+R73*$I$37+R72*$J$37+R71*$K$37+R70*$L$37+R69*$M$37)/(1-$E$37)</f>
        <v>17.495734941200208</v>
      </c>
      <c r="T77">
        <v>65</v>
      </c>
      <c r="U77" s="3">
        <f t="shared" ref="U77:U108" ca="1" si="13">(1+U76*$F$77+U75*$G$77+U74*$H$77+U73*$I$77+U72*$J$77+U71*$K$77+U70*$L$77+U69*$M$77)/(1-$E$77)</f>
        <v>26.536726885495035</v>
      </c>
    </row>
    <row r="78" spans="1:21">
      <c r="D78" s="24" t="s">
        <v>47</v>
      </c>
      <c r="E78" s="3">
        <f ca="1">E76*E77+F76*F77+G76*G77+H76*H77+I76*I77+J76*J77+K76*K77+L76*L77+M76*M77</f>
        <v>2.4833940000000005</v>
      </c>
      <c r="Q78">
        <v>66</v>
      </c>
      <c r="R78" s="3">
        <f t="shared" ca="1" si="12"/>
        <v>17.758495854258612</v>
      </c>
      <c r="T78">
        <v>66</v>
      </c>
      <c r="U78" s="3">
        <f t="shared" ca="1" si="13"/>
        <v>26.939401580062381</v>
      </c>
    </row>
    <row r="79" spans="1:21">
      <c r="D79" s="43"/>
      <c r="E79" s="39"/>
      <c r="F79" s="39"/>
      <c r="G79" s="39"/>
      <c r="H79" s="39"/>
      <c r="I79" s="39"/>
      <c r="J79" s="39"/>
      <c r="K79" s="39"/>
      <c r="L79" s="39"/>
      <c r="M79" s="39"/>
      <c r="N79" s="43"/>
      <c r="Q79">
        <v>67</v>
      </c>
      <c r="R79" s="3">
        <f t="shared" ca="1" si="12"/>
        <v>18.021256767318828</v>
      </c>
      <c r="T79">
        <v>67</v>
      </c>
      <c r="U79" s="3">
        <f t="shared" ca="1" si="13"/>
        <v>27.342076331568371</v>
      </c>
    </row>
    <row r="80" spans="1:21">
      <c r="D80" s="43"/>
      <c r="E80" s="43"/>
      <c r="F80" s="39"/>
      <c r="G80" s="39"/>
      <c r="Q80">
        <v>68</v>
      </c>
      <c r="R80" s="3">
        <f t="shared" ca="1" si="12"/>
        <v>18.284017680379272</v>
      </c>
      <c r="T80">
        <v>68</v>
      </c>
      <c r="U80" s="3">
        <f t="shared" ca="1" si="13"/>
        <v>27.744751038816119</v>
      </c>
    </row>
    <row r="81" spans="1:21">
      <c r="D81" s="43"/>
      <c r="E81" s="39"/>
      <c r="F81" s="96"/>
      <c r="G81" s="43"/>
      <c r="Q81">
        <v>69</v>
      </c>
      <c r="R81" s="3">
        <f t="shared" ca="1" si="12"/>
        <v>18.546778593439644</v>
      </c>
      <c r="T81">
        <v>69</v>
      </c>
      <c r="U81" s="3">
        <f t="shared" ca="1" si="13"/>
        <v>28.147425780465674</v>
      </c>
    </row>
    <row r="82" spans="1:21">
      <c r="Q82">
        <v>70</v>
      </c>
      <c r="R82" s="3">
        <f t="shared" ca="1" si="12"/>
        <v>18.809539506499451</v>
      </c>
      <c r="T82">
        <v>70</v>
      </c>
      <c r="U82" s="3">
        <f t="shared" ca="1" si="13"/>
        <v>28.550100495374807</v>
      </c>
    </row>
    <row r="83" spans="1:2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>
        <v>71</v>
      </c>
      <c r="R83" s="3">
        <f t="shared" ca="1" si="12"/>
        <v>19.072300419559454</v>
      </c>
      <c r="T83">
        <v>71</v>
      </c>
      <c r="U83" s="3">
        <f t="shared" ca="1" si="13"/>
        <v>28.952775231069189</v>
      </c>
    </row>
    <row r="84" spans="1:2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>
        <v>72</v>
      </c>
      <c r="R84" s="3">
        <f t="shared" ca="1" si="12"/>
        <v>19.335061332619549</v>
      </c>
      <c r="T84">
        <v>72</v>
      </c>
      <c r="U84" s="3">
        <f t="shared" ca="1" si="13"/>
        <v>29.355449950607255</v>
      </c>
    </row>
    <row r="85" spans="1:21">
      <c r="A85" s="43"/>
      <c r="B85" s="103"/>
      <c r="C85" s="43"/>
      <c r="O85" s="43"/>
      <c r="P85" s="43"/>
      <c r="Q85">
        <v>73</v>
      </c>
      <c r="R85" s="3">
        <f t="shared" ca="1" si="12"/>
        <v>19.597822245679723</v>
      </c>
      <c r="T85">
        <v>73</v>
      </c>
      <c r="U85" s="3">
        <f t="shared" ca="1" si="13"/>
        <v>29.758124682703581</v>
      </c>
    </row>
    <row r="86" spans="1:21">
      <c r="A86" s="43"/>
      <c r="B86" s="39"/>
      <c r="C86" s="43"/>
      <c r="O86" s="43"/>
      <c r="P86" s="43"/>
      <c r="Q86">
        <v>74</v>
      </c>
      <c r="R86" s="3">
        <f t="shared" ca="1" si="12"/>
        <v>19.860583158739779</v>
      </c>
      <c r="T86">
        <v>74</v>
      </c>
      <c r="U86" s="3">
        <f t="shared" ca="1" si="13"/>
        <v>30.160799405038407</v>
      </c>
    </row>
    <row r="87" spans="1:21">
      <c r="A87" s="43"/>
      <c r="B87" s="39"/>
      <c r="C87" s="43"/>
      <c r="O87" s="43"/>
      <c r="P87" s="43"/>
      <c r="Q87">
        <v>75</v>
      </c>
      <c r="R87" s="3">
        <f t="shared" ca="1" si="12"/>
        <v>20.123344071799828</v>
      </c>
      <c r="T87">
        <v>75</v>
      </c>
      <c r="U87" s="3">
        <f t="shared" ca="1" si="13"/>
        <v>30.563474134960817</v>
      </c>
    </row>
    <row r="88" spans="1:21">
      <c r="A88" s="43"/>
      <c r="B88" s="39"/>
      <c r="C88" s="43"/>
      <c r="O88" s="43"/>
      <c r="P88" s="43"/>
      <c r="Q88">
        <v>76</v>
      </c>
      <c r="R88" s="3">
        <f t="shared" ca="1" si="12"/>
        <v>20.386104984859898</v>
      </c>
      <c r="T88">
        <v>76</v>
      </c>
      <c r="U88" s="3">
        <f t="shared" ca="1" si="13"/>
        <v>30.966148858985424</v>
      </c>
    </row>
    <row r="89" spans="1:21">
      <c r="A89" s="43"/>
      <c r="B89" s="39"/>
      <c r="C89" s="43"/>
      <c r="O89" s="43"/>
      <c r="P89" s="43"/>
      <c r="Q89">
        <v>77</v>
      </c>
      <c r="R89" s="3">
        <f t="shared" ca="1" si="12"/>
        <v>20.648865897919997</v>
      </c>
      <c r="T89">
        <v>77</v>
      </c>
      <c r="U89" s="3">
        <f t="shared" ca="1" si="13"/>
        <v>31.368823587594374</v>
      </c>
    </row>
    <row r="90" spans="1:21">
      <c r="A90" s="43"/>
      <c r="B90" s="39"/>
      <c r="C90" s="43"/>
      <c r="D90" s="43"/>
      <c r="E90" s="39"/>
      <c r="F90" s="39"/>
      <c r="G90" s="39"/>
      <c r="H90" s="39"/>
      <c r="I90" s="39"/>
      <c r="J90" s="39"/>
      <c r="K90" s="39"/>
      <c r="L90" s="39"/>
      <c r="M90" s="39"/>
      <c r="N90" s="43"/>
      <c r="O90" s="43"/>
      <c r="P90" s="43"/>
      <c r="Q90">
        <v>78</v>
      </c>
      <c r="R90" s="3">
        <f t="shared" ca="1" si="12"/>
        <v>20.911626810980071</v>
      </c>
      <c r="T90">
        <v>78</v>
      </c>
      <c r="U90" s="3">
        <f t="shared" ca="1" si="13"/>
        <v>31.771498312639928</v>
      </c>
    </row>
    <row r="91" spans="1:2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>
        <v>79</v>
      </c>
      <c r="R91" s="3">
        <f t="shared" ca="1" si="12"/>
        <v>21.174387724040145</v>
      </c>
      <c r="T91">
        <v>79</v>
      </c>
      <c r="U91" s="3">
        <f t="shared" ca="1" si="13"/>
        <v>32.174173040455294</v>
      </c>
    </row>
    <row r="92" spans="1:21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>
        <v>80</v>
      </c>
      <c r="R92" s="3">
        <f t="shared" ca="1" si="12"/>
        <v>21.437148637100222</v>
      </c>
      <c r="T92">
        <v>80</v>
      </c>
      <c r="U92" s="3">
        <f t="shared" ca="1" si="13"/>
        <v>32.576847766117702</v>
      </c>
    </row>
    <row r="93" spans="1:21">
      <c r="C93" s="43"/>
      <c r="Q93">
        <v>81</v>
      </c>
      <c r="R93" s="3">
        <f t="shared" ca="1" si="12"/>
        <v>21.699909550160299</v>
      </c>
      <c r="T93">
        <v>81</v>
      </c>
      <c r="U93" s="3">
        <f t="shared" ca="1" si="13"/>
        <v>32.979522493453594</v>
      </c>
    </row>
    <row r="94" spans="1:21">
      <c r="Q94">
        <v>82</v>
      </c>
      <c r="R94" s="3">
        <f t="shared" ca="1" si="12"/>
        <v>21.96267046322038</v>
      </c>
      <c r="T94">
        <v>82</v>
      </c>
      <c r="U94" s="3">
        <f t="shared" ca="1" si="13"/>
        <v>33.382197219488681</v>
      </c>
    </row>
    <row r="95" spans="1:21">
      <c r="Q95">
        <v>83</v>
      </c>
      <c r="R95" s="3">
        <f t="shared" ca="1" si="12"/>
        <v>22.225431376280458</v>
      </c>
      <c r="T95">
        <v>83</v>
      </c>
      <c r="U95" s="3">
        <f t="shared" ca="1" si="13"/>
        <v>33.784871946534892</v>
      </c>
    </row>
    <row r="96" spans="1:21">
      <c r="Q96">
        <v>84</v>
      </c>
      <c r="R96" s="3">
        <f t="shared" ca="1" si="12"/>
        <v>22.488192289340532</v>
      </c>
      <c r="T96">
        <v>84</v>
      </c>
      <c r="U96" s="3">
        <f t="shared" ca="1" si="13"/>
        <v>34.187546672795165</v>
      </c>
    </row>
    <row r="97" spans="17:21">
      <c r="Q97">
        <v>85</v>
      </c>
      <c r="R97" s="3">
        <f t="shared" ca="1" si="12"/>
        <v>22.750953202400609</v>
      </c>
      <c r="T97">
        <v>85</v>
      </c>
      <c r="U97" s="3">
        <f t="shared" ca="1" si="13"/>
        <v>34.590221399666341</v>
      </c>
    </row>
    <row r="98" spans="17:21">
      <c r="Q98">
        <v>86</v>
      </c>
      <c r="R98" s="3">
        <f t="shared" ca="1" si="12"/>
        <v>23.013714115460694</v>
      </c>
      <c r="T98">
        <v>86</v>
      </c>
      <c r="U98" s="3">
        <f t="shared" ca="1" si="13"/>
        <v>34.992896126062661</v>
      </c>
    </row>
    <row r="99" spans="17:21">
      <c r="Q99">
        <v>87</v>
      </c>
      <c r="R99" s="3">
        <f t="shared" ca="1" si="12"/>
        <v>23.276475028520768</v>
      </c>
      <c r="T99">
        <v>87</v>
      </c>
      <c r="U99" s="3">
        <f t="shared" ca="1" si="13"/>
        <v>35.395570852828072</v>
      </c>
    </row>
    <row r="100" spans="17:21">
      <c r="Q100">
        <v>88</v>
      </c>
      <c r="R100" s="3">
        <f t="shared" ca="1" si="12"/>
        <v>23.539235941580845</v>
      </c>
      <c r="T100">
        <v>88</v>
      </c>
      <c r="U100" s="3">
        <f t="shared" ca="1" si="13"/>
        <v>35.798245579306609</v>
      </c>
    </row>
    <row r="101" spans="17:21">
      <c r="Q101">
        <v>89</v>
      </c>
      <c r="R101" s="3">
        <f t="shared" ca="1" si="12"/>
        <v>23.801996854640926</v>
      </c>
      <c r="T101">
        <v>89</v>
      </c>
      <c r="U101" s="3">
        <f t="shared" ca="1" si="13"/>
        <v>36.200920306008143</v>
      </c>
    </row>
    <row r="102" spans="17:21">
      <c r="Q102">
        <v>90</v>
      </c>
      <c r="R102" s="3">
        <f t="shared" ca="1" si="12"/>
        <v>24.064757767701</v>
      </c>
      <c r="T102">
        <v>90</v>
      </c>
      <c r="U102" s="3">
        <f t="shared" ca="1" si="13"/>
        <v>36.603595032536326</v>
      </c>
    </row>
    <row r="103" spans="17:21">
      <c r="Q103">
        <v>91</v>
      </c>
      <c r="R103" s="3">
        <f t="shared" ca="1" si="12"/>
        <v>24.327518680761077</v>
      </c>
      <c r="T103">
        <v>91</v>
      </c>
      <c r="U103" s="3">
        <f t="shared" ca="1" si="13"/>
        <v>37.006269759199256</v>
      </c>
    </row>
    <row r="104" spans="17:21">
      <c r="Q104">
        <v>92</v>
      </c>
      <c r="R104" s="3">
        <f t="shared" ca="1" si="12"/>
        <v>24.590279593821158</v>
      </c>
      <c r="T104">
        <v>92</v>
      </c>
      <c r="U104" s="3">
        <f t="shared" ca="1" si="13"/>
        <v>37.408944485757452</v>
      </c>
    </row>
    <row r="105" spans="17:21">
      <c r="Q105">
        <v>93</v>
      </c>
      <c r="R105" s="3">
        <f t="shared" ca="1" si="12"/>
        <v>24.853040506881236</v>
      </c>
      <c r="T105">
        <v>93</v>
      </c>
      <c r="U105" s="3">
        <f t="shared" ca="1" si="13"/>
        <v>37.811619212397055</v>
      </c>
    </row>
    <row r="106" spans="17:21">
      <c r="Q106">
        <v>94</v>
      </c>
      <c r="R106" s="3">
        <f t="shared" ca="1" si="12"/>
        <v>25.11580141994131</v>
      </c>
      <c r="T106">
        <v>94</v>
      </c>
      <c r="U106" s="3">
        <f t="shared" ca="1" si="13"/>
        <v>38.214293938973377</v>
      </c>
    </row>
    <row r="107" spans="17:21">
      <c r="Q107">
        <v>95</v>
      </c>
      <c r="R107" s="3">
        <f t="shared" ca="1" si="12"/>
        <v>25.378562333001394</v>
      </c>
      <c r="T107">
        <v>95</v>
      </c>
      <c r="U107" s="3">
        <f t="shared" ca="1" si="13"/>
        <v>38.616968665598883</v>
      </c>
    </row>
    <row r="108" spans="17:21">
      <c r="Q108">
        <v>96</v>
      </c>
      <c r="R108" s="3">
        <f t="shared" ca="1" si="12"/>
        <v>25.641323246061468</v>
      </c>
      <c r="T108">
        <v>96</v>
      </c>
      <c r="U108" s="3">
        <f t="shared" ca="1" si="13"/>
        <v>39.019643392186168</v>
      </c>
    </row>
    <row r="109" spans="17:21">
      <c r="Q109">
        <v>97</v>
      </c>
      <c r="R109" s="3">
        <f ca="1">(1+R108*$F$37+R107*$G$37+R106*$H$37+R105*$I$37+R104*$J$37+R103*$K$37+R102*$L$37+R101*$M$37)/(1-$E$37)</f>
        <v>25.904084159121545</v>
      </c>
      <c r="T109">
        <v>97</v>
      </c>
      <c r="U109" s="3">
        <f ca="1">(1+U108*$F$77+U107*$G$77+U106*$H$77+U105*$I$77+U104*$J$77+U103*$K$77+U102*$L$77+U101*$M$77)/(1-$E$77)</f>
        <v>39.422318118803162</v>
      </c>
    </row>
    <row r="110" spans="17:21">
      <c r="Q110">
        <v>98</v>
      </c>
      <c r="R110" s="3">
        <f ca="1">(1+R109*$F$37+R108*$G$37+R107*$H$37+R106*$I$37+R105*$J$37+R104*$K$37+R103*$L$37+R102*$M$37)/(1-$E$37)</f>
        <v>26.166845072181623</v>
      </c>
      <c r="T110">
        <v>98</v>
      </c>
      <c r="U110" s="3">
        <f ca="1">(1+U109*$F$77+U108*$G$77+U107*$H$77+U106*$I$77+U105*$J$77+U104*$K$77+U103*$L$77+U102*$M$77)/(1-$E$77)</f>
        <v>39.824992845397063</v>
      </c>
    </row>
    <row r="111" spans="17:21">
      <c r="Q111">
        <v>99</v>
      </c>
      <c r="R111" s="3">
        <f ca="1">(1+R110*$F$37+R109*$G$37+R108*$H$37+R107*$I$37+R106*$J$37+R105*$K$37+R104*$L$37+R103*$M$37)/(1-$E$37)</f>
        <v>26.4296059852417</v>
      </c>
      <c r="T111">
        <v>99</v>
      </c>
      <c r="U111" s="3">
        <f ca="1">(1+U110*$F$77+U109*$G$77+U108*$H$77+U107*$I$77+U106*$J$77+U105*$K$77+U104*$L$77+U103*$M$77)/(1-$E$77)</f>
        <v>40.227667572008912</v>
      </c>
    </row>
    <row r="112" spans="17:21">
      <c r="Q112">
        <v>100</v>
      </c>
      <c r="R112" s="3">
        <f ca="1">(1+R111*$F$37+R110*$G$37+R109*$H$37+R108*$I$37+R107*$J$37+R106*$K$37+R105*$L$37+R104*$M$37)/(1-$E$37)</f>
        <v>26.692366898301778</v>
      </c>
      <c r="T112">
        <v>100</v>
      </c>
      <c r="U112" s="3">
        <f ca="1">(1+U111*$F$77+U110*$G$77+U109*$H$77+U108*$I$77+U107*$J$77+U106*$K$77+U105*$L$77+U104*$M$77)/(1-$E$77)</f>
        <v>40.630342298606813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46"/>
  </sheetPr>
  <dimension ref="A1:BI520"/>
  <sheetViews>
    <sheetView zoomScaleNormal="100" workbookViewId="0">
      <pane ySplit="1" topLeftCell="A470" activePane="bottomLeft" state="frozen"/>
      <selection pane="bottomLeft" activeCell="P493" sqref="P493"/>
    </sheetView>
  </sheetViews>
  <sheetFormatPr defaultRowHeight="12.75"/>
  <cols>
    <col min="1" max="1" width="23.42578125" customWidth="1"/>
    <col min="2" max="2" width="5" customWidth="1"/>
    <col min="3" max="3" width="5.85546875" customWidth="1"/>
    <col min="4" max="6" width="5.28515625" customWidth="1"/>
    <col min="7" max="15" width="4.7109375" customWidth="1"/>
    <col min="16" max="18" width="5.28515625" customWidth="1"/>
    <col min="19" max="19" width="6" customWidth="1"/>
    <col min="20" max="21" width="5.28515625" customWidth="1"/>
    <col min="22" max="27" width="4.7109375" customWidth="1"/>
    <col min="28" max="30" width="6.7109375" customWidth="1"/>
    <col min="31" max="31" width="7.140625" customWidth="1"/>
    <col min="32" max="32" width="6.28515625" customWidth="1"/>
    <col min="33" max="33" width="8.140625" customWidth="1"/>
    <col min="34" max="34" width="7.5703125" customWidth="1"/>
    <col min="35" max="37" width="4.7109375" style="34" customWidth="1"/>
    <col min="38" max="38" width="5.140625" customWidth="1"/>
    <col min="39" max="39" width="5.28515625" customWidth="1"/>
    <col min="40" max="40" width="6.85546875" customWidth="1"/>
    <col min="41" max="51" width="5.7109375" customWidth="1"/>
    <col min="52" max="52" width="7" customWidth="1"/>
    <col min="53" max="53" width="7.5703125" customWidth="1"/>
  </cols>
  <sheetData>
    <row r="1" spans="1:53">
      <c r="A1" s="31" t="s">
        <v>1021</v>
      </c>
      <c r="B1" t="s">
        <v>30</v>
      </c>
      <c r="C1" t="s">
        <v>616</v>
      </c>
      <c r="D1" s="31" t="s">
        <v>798</v>
      </c>
      <c r="E1" t="s">
        <v>769</v>
      </c>
      <c r="F1" s="31" t="s">
        <v>820</v>
      </c>
      <c r="G1" t="s">
        <v>3</v>
      </c>
      <c r="H1" t="s">
        <v>4</v>
      </c>
      <c r="I1" t="s">
        <v>5</v>
      </c>
      <c r="J1" t="s">
        <v>42</v>
      </c>
      <c r="K1" t="s">
        <v>269</v>
      </c>
      <c r="L1" t="s">
        <v>270</v>
      </c>
      <c r="M1" t="s">
        <v>271</v>
      </c>
      <c r="N1" t="s">
        <v>10</v>
      </c>
      <c r="O1" t="s">
        <v>9</v>
      </c>
      <c r="P1" t="s">
        <v>390</v>
      </c>
      <c r="Q1" t="s">
        <v>1017</v>
      </c>
      <c r="R1" t="s">
        <v>1018</v>
      </c>
      <c r="S1" t="s">
        <v>1019</v>
      </c>
      <c r="T1" s="34" t="s">
        <v>620</v>
      </c>
      <c r="U1" s="152" t="s">
        <v>1020</v>
      </c>
      <c r="V1" t="s">
        <v>12</v>
      </c>
      <c r="W1" t="s">
        <v>166</v>
      </c>
      <c r="X1" t="s">
        <v>311</v>
      </c>
      <c r="Y1" t="s">
        <v>766</v>
      </c>
      <c r="Z1" t="s">
        <v>767</v>
      </c>
      <c r="AA1" t="s">
        <v>141</v>
      </c>
      <c r="AB1" t="s">
        <v>11</v>
      </c>
      <c r="AC1" t="s">
        <v>137</v>
      </c>
      <c r="AD1" t="s">
        <v>136</v>
      </c>
      <c r="AE1" t="s">
        <v>13</v>
      </c>
      <c r="AF1" t="s">
        <v>134</v>
      </c>
      <c r="AG1" t="s">
        <v>240</v>
      </c>
      <c r="AH1" t="s">
        <v>173</v>
      </c>
      <c r="AI1" s="34" t="s">
        <v>718</v>
      </c>
      <c r="AJ1" s="34" t="s">
        <v>743</v>
      </c>
      <c r="AK1" s="152" t="s">
        <v>717</v>
      </c>
      <c r="AL1" t="s">
        <v>312</v>
      </c>
      <c r="AM1" t="s">
        <v>268</v>
      </c>
      <c r="AN1" t="s">
        <v>618</v>
      </c>
      <c r="AO1" t="s">
        <v>63</v>
      </c>
      <c r="AP1" t="s">
        <v>64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389</v>
      </c>
      <c r="AY1" t="s">
        <v>943</v>
      </c>
      <c r="AZ1" t="s">
        <v>944</v>
      </c>
      <c r="BA1" t="s">
        <v>945</v>
      </c>
    </row>
    <row r="4" spans="1:53">
      <c r="A4" t="s">
        <v>230</v>
      </c>
      <c r="B4" t="s">
        <v>30</v>
      </c>
      <c r="C4" t="s">
        <v>616</v>
      </c>
      <c r="D4" s="31" t="s">
        <v>798</v>
      </c>
      <c r="E4" t="s">
        <v>769</v>
      </c>
      <c r="F4" s="31" t="s">
        <v>820</v>
      </c>
      <c r="G4" t="s">
        <v>3</v>
      </c>
      <c r="H4" t="s">
        <v>4</v>
      </c>
      <c r="I4" t="s">
        <v>5</v>
      </c>
      <c r="J4" t="s">
        <v>42</v>
      </c>
      <c r="K4" t="s">
        <v>269</v>
      </c>
      <c r="L4" t="s">
        <v>270</v>
      </c>
      <c r="M4" t="s">
        <v>271</v>
      </c>
      <c r="N4" t="s">
        <v>10</v>
      </c>
      <c r="O4" t="s">
        <v>9</v>
      </c>
      <c r="P4" t="s">
        <v>390</v>
      </c>
      <c r="Q4" t="s">
        <v>1017</v>
      </c>
      <c r="R4" t="s">
        <v>1018</v>
      </c>
      <c r="S4" t="s">
        <v>1019</v>
      </c>
      <c r="T4" s="34" t="s">
        <v>620</v>
      </c>
      <c r="U4" s="152" t="s">
        <v>1020</v>
      </c>
      <c r="V4" t="s">
        <v>12</v>
      </c>
      <c r="W4" t="s">
        <v>166</v>
      </c>
      <c r="X4" t="s">
        <v>311</v>
      </c>
      <c r="Y4" t="s">
        <v>766</v>
      </c>
      <c r="Z4" t="s">
        <v>767</v>
      </c>
      <c r="AA4" t="s">
        <v>141</v>
      </c>
      <c r="AB4" t="s">
        <v>11</v>
      </c>
      <c r="AC4" t="s">
        <v>137</v>
      </c>
      <c r="AD4" t="s">
        <v>136</v>
      </c>
      <c r="AE4" t="s">
        <v>13</v>
      </c>
      <c r="AF4" t="s">
        <v>134</v>
      </c>
      <c r="AG4" t="s">
        <v>240</v>
      </c>
      <c r="AH4" t="s">
        <v>173</v>
      </c>
      <c r="AI4" s="34" t="s">
        <v>718</v>
      </c>
      <c r="AJ4" s="34" t="s">
        <v>743</v>
      </c>
      <c r="AK4" s="152" t="s">
        <v>717</v>
      </c>
      <c r="AL4" t="s">
        <v>312</v>
      </c>
      <c r="AM4" t="s">
        <v>268</v>
      </c>
      <c r="AN4" t="s">
        <v>618</v>
      </c>
      <c r="AO4" t="s">
        <v>63</v>
      </c>
      <c r="AP4" t="s">
        <v>64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389</v>
      </c>
      <c r="AY4" t="s">
        <v>943</v>
      </c>
      <c r="AZ4" t="s">
        <v>944</v>
      </c>
      <c r="BA4" t="s">
        <v>945</v>
      </c>
    </row>
    <row r="5" spans="1:53">
      <c r="A5" t="s">
        <v>54</v>
      </c>
      <c r="V5" s="2"/>
      <c r="W5" s="2"/>
      <c r="X5" s="2"/>
      <c r="Y5" s="2"/>
      <c r="Z5" s="2"/>
      <c r="AA5" s="2"/>
      <c r="AB5" s="34"/>
      <c r="AC5" s="2"/>
      <c r="AD5" s="2"/>
      <c r="AF5" s="34"/>
      <c r="AG5" s="34"/>
      <c r="AH5" s="2"/>
      <c r="AL5" s="2"/>
      <c r="AN5" s="2"/>
      <c r="AO5">
        <v>0</v>
      </c>
      <c r="AP5">
        <v>0</v>
      </c>
    </row>
    <row r="6" spans="1:53">
      <c r="A6" s="31" t="s">
        <v>849</v>
      </c>
      <c r="F6">
        <v>242</v>
      </c>
      <c r="H6">
        <v>20</v>
      </c>
      <c r="V6" s="2"/>
      <c r="W6" s="2"/>
      <c r="X6" s="2"/>
      <c r="Y6" s="2"/>
      <c r="Z6" s="2"/>
      <c r="AA6" s="2"/>
      <c r="AB6" s="34"/>
      <c r="AC6" s="2"/>
      <c r="AD6" s="2"/>
      <c r="AF6" s="34"/>
      <c r="AG6" s="34"/>
      <c r="AH6" s="2"/>
      <c r="AL6" s="2"/>
      <c r="AN6" s="2"/>
      <c r="AO6">
        <v>114</v>
      </c>
      <c r="AP6">
        <v>224</v>
      </c>
    </row>
    <row r="7" spans="1:53">
      <c r="A7" s="31" t="s">
        <v>1127</v>
      </c>
      <c r="F7">
        <v>269</v>
      </c>
      <c r="H7">
        <v>50</v>
      </c>
      <c r="U7">
        <v>186</v>
      </c>
      <c r="V7" s="2"/>
      <c r="W7" s="2"/>
      <c r="X7" s="2"/>
      <c r="Y7" s="2"/>
      <c r="Z7" s="2"/>
      <c r="AA7" s="2"/>
      <c r="AB7" s="34"/>
      <c r="AC7" s="2"/>
      <c r="AD7" s="2"/>
      <c r="AF7" s="34"/>
      <c r="AG7" s="34"/>
      <c r="AH7" s="2"/>
      <c r="AL7" s="2"/>
      <c r="AN7" s="2"/>
      <c r="AO7">
        <v>158</v>
      </c>
      <c r="AP7">
        <v>224</v>
      </c>
    </row>
    <row r="8" spans="1:53">
      <c r="A8" s="31" t="s">
        <v>886</v>
      </c>
      <c r="F8">
        <v>242</v>
      </c>
      <c r="G8">
        <v>10</v>
      </c>
      <c r="J8">
        <v>10</v>
      </c>
      <c r="V8" s="2">
        <v>0.02</v>
      </c>
      <c r="W8" s="2"/>
      <c r="X8" s="2"/>
      <c r="Y8" s="2"/>
      <c r="Z8" s="2"/>
      <c r="AA8" s="2"/>
      <c r="AB8" s="34"/>
      <c r="AC8" s="2"/>
      <c r="AD8" s="2"/>
      <c r="AF8" s="34"/>
      <c r="AG8" s="34"/>
      <c r="AH8" s="2"/>
      <c r="AL8" s="2"/>
      <c r="AN8" s="2"/>
      <c r="AO8">
        <v>130</v>
      </c>
      <c r="AP8">
        <v>240</v>
      </c>
    </row>
    <row r="9" spans="1:53">
      <c r="A9" t="s">
        <v>776</v>
      </c>
      <c r="F9">
        <v>242</v>
      </c>
      <c r="G9">
        <v>13</v>
      </c>
      <c r="N9">
        <v>10</v>
      </c>
      <c r="O9">
        <v>10</v>
      </c>
      <c r="V9" s="2">
        <v>0.03</v>
      </c>
      <c r="W9" s="2"/>
      <c r="X9" s="2"/>
      <c r="Y9" s="2"/>
      <c r="Z9" s="2"/>
      <c r="AA9" s="2"/>
      <c r="AB9" s="34"/>
      <c r="AC9" s="2"/>
      <c r="AD9" s="2"/>
      <c r="AF9" s="34"/>
      <c r="AG9" s="34"/>
      <c r="AH9" s="2"/>
      <c r="AJ9" s="2"/>
      <c r="AK9" s="2"/>
      <c r="AL9" s="2"/>
      <c r="AO9">
        <v>130</v>
      </c>
      <c r="AP9">
        <v>240</v>
      </c>
    </row>
    <row r="10" spans="1:53">
      <c r="A10" s="31" t="s">
        <v>848</v>
      </c>
      <c r="F10">
        <v>108</v>
      </c>
      <c r="S10">
        <v>84</v>
      </c>
      <c r="V10" s="2"/>
      <c r="W10" s="2"/>
      <c r="X10" s="2"/>
      <c r="Y10" s="2"/>
      <c r="Z10" s="2"/>
      <c r="AA10" s="2"/>
      <c r="AB10" s="34"/>
      <c r="AC10" s="2"/>
      <c r="AD10" s="2"/>
      <c r="AF10" s="34"/>
      <c r="AG10" s="34"/>
      <c r="AH10" s="2"/>
      <c r="AJ10" s="2"/>
      <c r="AK10" s="2"/>
      <c r="AL10" s="2"/>
      <c r="AO10">
        <v>86</v>
      </c>
      <c r="AP10">
        <v>240</v>
      </c>
    </row>
    <row r="11" spans="1:53">
      <c r="A11" t="s">
        <v>752</v>
      </c>
      <c r="F11">
        <v>67</v>
      </c>
      <c r="G11">
        <v>8</v>
      </c>
      <c r="V11" s="2"/>
      <c r="W11" s="2"/>
      <c r="X11" s="2"/>
      <c r="Y11" s="2"/>
      <c r="Z11" s="2"/>
      <c r="AA11" s="2"/>
      <c r="AB11" s="34"/>
      <c r="AC11" s="2"/>
      <c r="AD11" s="2"/>
      <c r="AF11" s="34"/>
      <c r="AG11" s="34"/>
      <c r="AH11" s="2"/>
      <c r="AL11" s="2"/>
      <c r="AN11" s="2"/>
      <c r="AO11">
        <v>76</v>
      </c>
      <c r="AP11">
        <v>240</v>
      </c>
    </row>
    <row r="12" spans="1:53">
      <c r="A12" t="s">
        <v>1007</v>
      </c>
      <c r="F12">
        <v>242</v>
      </c>
      <c r="S12" s="34"/>
      <c r="V12" s="2"/>
      <c r="W12" s="2"/>
      <c r="X12" s="2"/>
      <c r="Y12" s="2"/>
      <c r="Z12" s="2"/>
      <c r="AA12" s="2"/>
      <c r="AB12" s="34"/>
      <c r="AC12" s="2"/>
      <c r="AD12" s="2"/>
      <c r="AF12" s="34"/>
      <c r="AG12" s="34"/>
      <c r="AH12" s="2"/>
      <c r="AJ12" s="2"/>
      <c r="AK12" s="2"/>
      <c r="AL12" s="2"/>
      <c r="AO12">
        <v>142</v>
      </c>
      <c r="AP12">
        <v>270</v>
      </c>
    </row>
    <row r="13" spans="1:53">
      <c r="A13" t="s">
        <v>1042</v>
      </c>
      <c r="F13">
        <v>242</v>
      </c>
      <c r="N13">
        <v>15</v>
      </c>
      <c r="O13">
        <v>15</v>
      </c>
      <c r="S13" s="34"/>
      <c r="V13" s="2">
        <v>0.04</v>
      </c>
      <c r="W13" s="2"/>
      <c r="X13" s="2"/>
      <c r="Y13" s="2"/>
      <c r="Z13" s="2"/>
      <c r="AA13" s="2"/>
      <c r="AB13" s="34"/>
      <c r="AC13" s="2"/>
      <c r="AD13" s="2"/>
      <c r="AF13" s="34"/>
      <c r="AG13" s="34"/>
      <c r="AH13" s="2"/>
      <c r="AJ13" s="2"/>
      <c r="AK13" s="2"/>
      <c r="AL13" s="2"/>
      <c r="AO13">
        <f>142+18</f>
        <v>160</v>
      </c>
      <c r="AP13">
        <v>270</v>
      </c>
    </row>
    <row r="14" spans="1:53">
      <c r="A14" t="s">
        <v>1059</v>
      </c>
      <c r="F14">
        <v>242</v>
      </c>
      <c r="H14">
        <v>15</v>
      </c>
      <c r="N14">
        <v>15</v>
      </c>
      <c r="O14">
        <v>15</v>
      </c>
      <c r="S14" s="34"/>
      <c r="V14" s="2">
        <v>0.04</v>
      </c>
      <c r="W14" s="2"/>
      <c r="X14" s="2"/>
      <c r="Y14" s="2"/>
      <c r="Z14" s="2"/>
      <c r="AA14" s="2"/>
      <c r="AB14" s="34"/>
      <c r="AC14" s="2"/>
      <c r="AD14" s="2"/>
      <c r="AF14" s="34"/>
      <c r="AG14" s="34"/>
      <c r="AH14" s="2"/>
      <c r="AJ14" s="2"/>
      <c r="AK14" s="2"/>
      <c r="AL14" s="2"/>
      <c r="AO14">
        <f>142</f>
        <v>142</v>
      </c>
      <c r="AP14">
        <v>270</v>
      </c>
    </row>
    <row r="15" spans="1:53">
      <c r="A15" s="31" t="s">
        <v>1112</v>
      </c>
      <c r="F15">
        <v>242</v>
      </c>
      <c r="N15">
        <v>20</v>
      </c>
      <c r="S15" s="34">
        <v>15</v>
      </c>
      <c r="T15">
        <v>14</v>
      </c>
      <c r="U15">
        <v>123</v>
      </c>
      <c r="V15" s="2"/>
      <c r="W15" s="2"/>
      <c r="X15" s="2"/>
      <c r="Y15" s="2"/>
      <c r="Z15" s="2"/>
      <c r="AA15" s="2"/>
      <c r="AB15" s="34"/>
      <c r="AC15" s="2"/>
      <c r="AD15" s="2"/>
      <c r="AF15" s="34"/>
      <c r="AG15" s="34"/>
      <c r="AH15" s="2"/>
      <c r="AJ15" s="2"/>
      <c r="AK15" s="2"/>
      <c r="AL15" s="2"/>
      <c r="AO15">
        <v>140</v>
      </c>
      <c r="AP15">
        <v>240</v>
      </c>
    </row>
    <row r="16" spans="1:53">
      <c r="A16" s="31" t="s">
        <v>1181</v>
      </c>
      <c r="F16">
        <v>242</v>
      </c>
      <c r="K16">
        <v>9</v>
      </c>
      <c r="N16">
        <v>20</v>
      </c>
      <c r="S16" s="34">
        <v>23</v>
      </c>
      <c r="T16">
        <v>22</v>
      </c>
      <c r="U16">
        <v>123</v>
      </c>
      <c r="V16" s="2"/>
      <c r="W16" s="2"/>
      <c r="X16" s="2"/>
      <c r="Y16" s="2"/>
      <c r="Z16" s="2"/>
      <c r="AA16" s="2"/>
      <c r="AB16" s="34"/>
      <c r="AC16" s="2"/>
      <c r="AD16" s="2"/>
      <c r="AF16" s="34"/>
      <c r="AG16" s="34"/>
      <c r="AH16" s="2"/>
      <c r="AJ16" s="2"/>
      <c r="AK16" s="2"/>
      <c r="AL16" s="2"/>
      <c r="AO16">
        <f>140+10</f>
        <v>150</v>
      </c>
      <c r="AP16">
        <v>240</v>
      </c>
    </row>
    <row r="17" spans="1:53">
      <c r="A17" s="31" t="s">
        <v>1113</v>
      </c>
      <c r="F17">
        <v>242</v>
      </c>
      <c r="H17">
        <v>5</v>
      </c>
      <c r="N17">
        <f>20+19</f>
        <v>39</v>
      </c>
      <c r="S17" s="34">
        <v>15</v>
      </c>
      <c r="T17">
        <v>14</v>
      </c>
      <c r="U17">
        <v>123</v>
      </c>
      <c r="V17" s="2"/>
      <c r="W17" s="2"/>
      <c r="X17" s="2"/>
      <c r="Y17" s="2"/>
      <c r="Z17" s="2"/>
      <c r="AA17" s="2"/>
      <c r="AB17" s="34"/>
      <c r="AC17" s="2"/>
      <c r="AD17" s="2"/>
      <c r="AE17">
        <v>3</v>
      </c>
      <c r="AF17" s="34"/>
      <c r="AG17" s="34"/>
      <c r="AH17" s="2"/>
      <c r="AJ17" s="2"/>
      <c r="AK17" s="2"/>
      <c r="AL17" s="2"/>
      <c r="AO17">
        <f>140+14</f>
        <v>154</v>
      </c>
      <c r="AP17">
        <v>240</v>
      </c>
    </row>
    <row r="18" spans="1:53">
      <c r="A18" t="s">
        <v>361</v>
      </c>
      <c r="G18">
        <v>-2</v>
      </c>
      <c r="H18">
        <v>-2</v>
      </c>
      <c r="I18">
        <v>14</v>
      </c>
      <c r="L18">
        <v>-2</v>
      </c>
      <c r="V18" s="2"/>
      <c r="W18" s="2"/>
      <c r="X18" s="2"/>
      <c r="Y18" s="2"/>
      <c r="Z18" s="2"/>
      <c r="AA18" s="2"/>
      <c r="AB18" s="34"/>
      <c r="AC18" s="2"/>
      <c r="AD18" s="2"/>
      <c r="AF18" s="34"/>
      <c r="AG18" s="34"/>
      <c r="AH18" s="2"/>
      <c r="AL18" s="2"/>
      <c r="AN18" s="2"/>
      <c r="AO18">
        <v>64</v>
      </c>
      <c r="AP18">
        <v>295</v>
      </c>
    </row>
    <row r="19" spans="1:53">
      <c r="A19" t="s">
        <v>887</v>
      </c>
      <c r="F19">
        <v>215</v>
      </c>
      <c r="S19" s="34"/>
      <c r="V19" s="2"/>
      <c r="W19" s="2"/>
      <c r="X19" s="2"/>
      <c r="Y19" s="2"/>
      <c r="Z19" s="2"/>
      <c r="AA19" s="2"/>
      <c r="AB19" s="34"/>
      <c r="AC19" s="2"/>
      <c r="AD19" s="2"/>
      <c r="AF19" s="34"/>
      <c r="AG19" s="34"/>
      <c r="AH19" s="2"/>
      <c r="AJ19" s="2"/>
      <c r="AK19" s="2"/>
      <c r="AL19" s="2"/>
      <c r="AO19">
        <v>122</v>
      </c>
      <c r="AP19">
        <v>264</v>
      </c>
    </row>
    <row r="20" spans="1:53">
      <c r="A20" t="s">
        <v>888</v>
      </c>
      <c r="F20">
        <v>215</v>
      </c>
      <c r="N20">
        <v>15</v>
      </c>
      <c r="O20">
        <v>10</v>
      </c>
      <c r="S20" s="34"/>
      <c r="V20" s="2"/>
      <c r="W20" s="2"/>
      <c r="X20" s="2"/>
      <c r="Y20" s="2"/>
      <c r="Z20" s="2"/>
      <c r="AA20" s="2"/>
      <c r="AB20" s="34"/>
      <c r="AC20" s="2"/>
      <c r="AD20" s="2"/>
      <c r="AF20" s="34"/>
      <c r="AG20" s="34"/>
      <c r="AH20" s="2"/>
      <c r="AJ20" s="2"/>
      <c r="AK20" s="2"/>
      <c r="AL20" s="2"/>
      <c r="AO20">
        <v>128</v>
      </c>
      <c r="AP20">
        <v>264</v>
      </c>
    </row>
    <row r="21" spans="1:53">
      <c r="A21" t="s">
        <v>360</v>
      </c>
      <c r="V21" s="2"/>
      <c r="W21" s="2"/>
      <c r="X21" s="2"/>
      <c r="Y21" s="2"/>
      <c r="Z21" s="2"/>
      <c r="AA21" s="2"/>
      <c r="AB21" s="34">
        <v>30</v>
      </c>
      <c r="AC21" s="2"/>
      <c r="AD21" s="2"/>
      <c r="AF21" s="34"/>
      <c r="AG21" s="34"/>
      <c r="AH21" s="2"/>
      <c r="AL21" s="2"/>
      <c r="AN21" s="2"/>
      <c r="AO21">
        <v>58</v>
      </c>
      <c r="AP21">
        <v>213</v>
      </c>
    </row>
    <row r="22" spans="1:53">
      <c r="A22" t="s">
        <v>659</v>
      </c>
      <c r="H22">
        <v>3</v>
      </c>
      <c r="I22">
        <v>3</v>
      </c>
      <c r="V22" s="2"/>
      <c r="W22" s="2"/>
      <c r="X22" s="2"/>
      <c r="Y22" s="2"/>
      <c r="Z22" s="2"/>
      <c r="AA22" s="2"/>
      <c r="AB22" s="34"/>
      <c r="AC22" s="2"/>
      <c r="AD22" s="2"/>
      <c r="AF22" s="34"/>
      <c r="AG22" s="34"/>
      <c r="AH22" s="2"/>
      <c r="AL22" s="2"/>
      <c r="AN22" s="2"/>
      <c r="AO22">
        <v>57</v>
      </c>
      <c r="AP22">
        <v>229</v>
      </c>
    </row>
    <row r="23" spans="1:53">
      <c r="A23" s="31" t="s">
        <v>823</v>
      </c>
      <c r="F23">
        <v>63</v>
      </c>
      <c r="N23">
        <v>11</v>
      </c>
      <c r="O23">
        <v>7</v>
      </c>
      <c r="V23" s="2"/>
      <c r="W23" s="2"/>
      <c r="X23" s="2"/>
      <c r="Y23" s="2"/>
      <c r="Z23" s="2"/>
      <c r="AA23" s="2"/>
      <c r="AB23" s="34"/>
      <c r="AC23" s="2"/>
      <c r="AD23" s="2"/>
      <c r="AF23" s="34"/>
      <c r="AG23" s="34"/>
      <c r="AH23" s="2"/>
      <c r="AL23" s="2"/>
      <c r="AO23">
        <v>71</v>
      </c>
      <c r="AP23">
        <v>247</v>
      </c>
    </row>
    <row r="24" spans="1:53">
      <c r="A24" s="31" t="s">
        <v>824</v>
      </c>
      <c r="F24">
        <v>63</v>
      </c>
      <c r="N24">
        <v>25</v>
      </c>
      <c r="O24">
        <v>7</v>
      </c>
      <c r="V24" s="2"/>
      <c r="W24" s="2"/>
      <c r="X24" s="2"/>
      <c r="Y24" s="2"/>
      <c r="Z24" s="2"/>
      <c r="AA24" s="2"/>
      <c r="AB24" s="34"/>
      <c r="AC24" s="2"/>
      <c r="AD24" s="2"/>
      <c r="AF24" s="34"/>
      <c r="AG24" s="34"/>
      <c r="AH24" s="2"/>
      <c r="AL24" s="2"/>
      <c r="AO24">
        <v>89</v>
      </c>
      <c r="AP24">
        <v>247</v>
      </c>
    </row>
    <row r="25" spans="1:53">
      <c r="A25" t="s">
        <v>777</v>
      </c>
      <c r="F25">
        <v>162</v>
      </c>
      <c r="N25" s="20">
        <v>6</v>
      </c>
      <c r="O25" s="20">
        <v>5</v>
      </c>
      <c r="P25" s="20"/>
      <c r="Q25" s="20"/>
      <c r="R25" s="20"/>
      <c r="S25" s="20"/>
      <c r="T25" s="20"/>
      <c r="U25" s="20"/>
      <c r="V25" s="90"/>
      <c r="W25" s="90"/>
      <c r="X25" s="90"/>
      <c r="Y25" s="90"/>
      <c r="Z25" s="90"/>
      <c r="AA25" s="90"/>
      <c r="AB25" s="91"/>
      <c r="AC25" s="90"/>
      <c r="AD25" s="90"/>
      <c r="AE25" s="20"/>
      <c r="AF25" s="91"/>
      <c r="AG25" s="91"/>
      <c r="AH25" s="90"/>
      <c r="AI25" s="91"/>
      <c r="AJ25" s="91"/>
      <c r="AK25" s="91"/>
      <c r="AL25" s="90"/>
      <c r="AN25" s="90"/>
      <c r="AO25" s="20">
        <v>104</v>
      </c>
      <c r="AP25" s="20">
        <v>228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>
      <c r="A26" t="s">
        <v>790</v>
      </c>
      <c r="F26">
        <v>162</v>
      </c>
      <c r="N26" s="20">
        <v>10</v>
      </c>
      <c r="O26" s="20">
        <v>13</v>
      </c>
      <c r="P26" s="20"/>
      <c r="Q26" s="20"/>
      <c r="R26" s="20"/>
      <c r="S26" s="20"/>
      <c r="T26" s="20"/>
      <c r="U26" s="20"/>
      <c r="V26" s="90"/>
      <c r="W26" s="90"/>
      <c r="X26" s="90"/>
      <c r="Y26" s="90"/>
      <c r="Z26" s="90"/>
      <c r="AA26" s="90"/>
      <c r="AB26" s="91"/>
      <c r="AC26" s="90"/>
      <c r="AD26" s="90"/>
      <c r="AE26" s="20"/>
      <c r="AF26" s="91"/>
      <c r="AG26" s="91"/>
      <c r="AH26" s="90"/>
      <c r="AI26" s="91"/>
      <c r="AJ26" s="91"/>
      <c r="AK26" s="91"/>
      <c r="AL26" s="90"/>
      <c r="AN26" s="90"/>
      <c r="AO26" s="20">
        <v>104</v>
      </c>
      <c r="AP26" s="20">
        <v>228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>
      <c r="A27" t="s">
        <v>791</v>
      </c>
      <c r="F27">
        <v>162</v>
      </c>
      <c r="N27" s="20">
        <v>14</v>
      </c>
      <c r="O27" s="20">
        <v>9</v>
      </c>
      <c r="P27" s="20"/>
      <c r="Q27" s="20"/>
      <c r="R27" s="20"/>
      <c r="S27" s="20"/>
      <c r="T27" s="20"/>
      <c r="U27" s="20"/>
      <c r="V27" s="90"/>
      <c r="W27" s="90"/>
      <c r="X27" s="90"/>
      <c r="Y27" s="90"/>
      <c r="Z27" s="90"/>
      <c r="AA27" s="90"/>
      <c r="AB27" s="91"/>
      <c r="AC27" s="90"/>
      <c r="AD27" s="90"/>
      <c r="AE27" s="20"/>
      <c r="AF27" s="91"/>
      <c r="AG27" s="91"/>
      <c r="AH27" s="90"/>
      <c r="AI27" s="91"/>
      <c r="AJ27" s="91"/>
      <c r="AK27" s="91"/>
      <c r="AL27" s="90"/>
      <c r="AN27" s="90"/>
      <c r="AO27" s="20">
        <v>104</v>
      </c>
      <c r="AP27" s="20">
        <v>228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>
      <c r="A28" t="s">
        <v>792</v>
      </c>
      <c r="F28">
        <v>162</v>
      </c>
      <c r="G28">
        <v>10</v>
      </c>
      <c r="N28" s="20">
        <v>16</v>
      </c>
      <c r="O28" s="20">
        <v>20</v>
      </c>
      <c r="P28" s="20"/>
      <c r="Q28" s="20"/>
      <c r="R28" s="20"/>
      <c r="S28" s="20"/>
      <c r="T28" s="20"/>
      <c r="U28" s="20"/>
      <c r="V28" s="90"/>
      <c r="W28" s="90"/>
      <c r="X28" s="90"/>
      <c r="Y28" s="90"/>
      <c r="Z28" s="90"/>
      <c r="AA28" s="90"/>
      <c r="AB28" s="91"/>
      <c r="AC28" s="90"/>
      <c r="AD28" s="90"/>
      <c r="AE28" s="20"/>
      <c r="AF28" s="91"/>
      <c r="AG28" s="91"/>
      <c r="AH28" s="90"/>
      <c r="AI28" s="91"/>
      <c r="AJ28" s="91"/>
      <c r="AK28" s="91"/>
      <c r="AL28" s="90"/>
      <c r="AN28" s="90"/>
      <c r="AO28" s="20">
        <v>104</v>
      </c>
      <c r="AP28" s="20">
        <v>228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>
      <c r="A29" t="s">
        <v>793</v>
      </c>
      <c r="F29">
        <v>162</v>
      </c>
      <c r="H29">
        <v>10</v>
      </c>
      <c r="N29" s="20">
        <v>21</v>
      </c>
      <c r="O29" s="20">
        <v>15</v>
      </c>
      <c r="P29" s="20"/>
      <c r="Q29" s="20"/>
      <c r="R29" s="20"/>
      <c r="S29" s="20"/>
      <c r="T29" s="20"/>
      <c r="U29" s="20"/>
      <c r="V29" s="90"/>
      <c r="W29" s="90"/>
      <c r="X29" s="90"/>
      <c r="Y29" s="90"/>
      <c r="Z29" s="90"/>
      <c r="AA29" s="90"/>
      <c r="AB29" s="91"/>
      <c r="AC29" s="90"/>
      <c r="AD29" s="90"/>
      <c r="AE29" s="20"/>
      <c r="AF29" s="91"/>
      <c r="AG29" s="91"/>
      <c r="AH29" s="90"/>
      <c r="AI29" s="91"/>
      <c r="AJ29" s="91"/>
      <c r="AK29" s="91"/>
      <c r="AL29" s="90"/>
      <c r="AN29" s="90"/>
      <c r="AO29" s="20">
        <v>104</v>
      </c>
      <c r="AP29" s="20">
        <v>228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>
      <c r="A30" t="s">
        <v>660</v>
      </c>
      <c r="L30">
        <v>10</v>
      </c>
      <c r="M30">
        <v>10</v>
      </c>
      <c r="V30" s="2"/>
      <c r="W30" s="2"/>
      <c r="X30" s="2"/>
      <c r="Y30" s="2"/>
      <c r="Z30" s="2"/>
      <c r="AA30" s="2"/>
      <c r="AB30" s="34"/>
      <c r="AC30" s="2"/>
      <c r="AD30" s="2"/>
      <c r="AF30" s="34"/>
      <c r="AG30" s="34"/>
      <c r="AH30" s="2"/>
      <c r="AL30" s="2"/>
      <c r="AN30" s="2"/>
      <c r="AO30">
        <v>60</v>
      </c>
      <c r="AP30">
        <v>236</v>
      </c>
    </row>
    <row r="31" spans="1:53">
      <c r="A31" s="31" t="s">
        <v>951</v>
      </c>
      <c r="F31">
        <v>215</v>
      </c>
      <c r="O31">
        <v>23</v>
      </c>
      <c r="S31" s="2"/>
      <c r="V31" s="2"/>
      <c r="W31" s="2"/>
      <c r="X31" s="2"/>
      <c r="Y31" s="2"/>
      <c r="Z31" s="2"/>
      <c r="AA31" s="2"/>
      <c r="AB31" s="34"/>
      <c r="AC31" s="2"/>
      <c r="AD31" s="2"/>
      <c r="AF31" s="2"/>
      <c r="AG31" s="34"/>
      <c r="AH31" s="2"/>
      <c r="AL31" s="34"/>
      <c r="AO31">
        <v>126</v>
      </c>
      <c r="AP31">
        <v>247</v>
      </c>
    </row>
    <row r="32" spans="1:53">
      <c r="A32" s="31" t="s">
        <v>952</v>
      </c>
      <c r="F32">
        <v>215</v>
      </c>
      <c r="O32">
        <v>23</v>
      </c>
      <c r="S32" s="2"/>
      <c r="V32" s="2"/>
      <c r="W32" s="2"/>
      <c r="X32" s="2"/>
      <c r="Y32" s="2"/>
      <c r="Z32" s="2"/>
      <c r="AA32" s="2"/>
      <c r="AB32" s="34"/>
      <c r="AC32" s="2"/>
      <c r="AD32" s="2"/>
      <c r="AF32" s="2"/>
      <c r="AG32" s="34"/>
      <c r="AH32" s="2"/>
      <c r="AK32" s="34">
        <v>40</v>
      </c>
      <c r="AO32">
        <v>126</v>
      </c>
      <c r="AP32">
        <v>247</v>
      </c>
      <c r="AQ32" s="2">
        <v>0.4</v>
      </c>
      <c r="AR32" s="2">
        <v>1</v>
      </c>
    </row>
    <row r="33" spans="1:53">
      <c r="A33" t="s">
        <v>663</v>
      </c>
      <c r="N33">
        <v>6</v>
      </c>
      <c r="S33">
        <v>6</v>
      </c>
      <c r="V33" s="2"/>
      <c r="W33" s="2"/>
      <c r="X33" s="2"/>
      <c r="Y33" s="2"/>
      <c r="Z33" s="2"/>
      <c r="AA33" s="2"/>
      <c r="AB33" s="34"/>
      <c r="AC33" s="2"/>
      <c r="AD33" s="2"/>
      <c r="AF33" s="34"/>
      <c r="AG33" s="34"/>
      <c r="AH33" s="2"/>
      <c r="AL33" s="2"/>
      <c r="AN33" s="2"/>
      <c r="AO33">
        <v>57</v>
      </c>
      <c r="AP33">
        <v>236</v>
      </c>
    </row>
    <row r="34" spans="1:53">
      <c r="A34" t="s">
        <v>834</v>
      </c>
      <c r="F34">
        <v>54</v>
      </c>
      <c r="S34" s="2"/>
      <c r="V34" s="2"/>
      <c r="W34" s="2"/>
      <c r="X34" s="2"/>
      <c r="Y34" s="2"/>
      <c r="Z34" s="2"/>
      <c r="AA34" s="2"/>
      <c r="AB34" s="34"/>
      <c r="AC34" s="2"/>
      <c r="AD34" s="2"/>
      <c r="AF34" s="34"/>
      <c r="AG34" s="34"/>
      <c r="AH34" s="2"/>
      <c r="AJ34" s="2"/>
      <c r="AK34" s="2"/>
      <c r="AL34" s="2"/>
      <c r="AN34" s="2"/>
      <c r="AO34">
        <v>68</v>
      </c>
      <c r="AP34">
        <v>236</v>
      </c>
    </row>
    <row r="35" spans="1:53">
      <c r="A35" t="s">
        <v>835</v>
      </c>
      <c r="F35">
        <v>162</v>
      </c>
      <c r="S35" s="2"/>
      <c r="V35" s="2"/>
      <c r="W35" s="2"/>
      <c r="X35" s="2"/>
      <c r="Y35" s="2"/>
      <c r="Z35" s="2"/>
      <c r="AA35" s="2"/>
      <c r="AB35" s="34"/>
      <c r="AC35" s="2"/>
      <c r="AD35" s="2"/>
      <c r="AF35" s="34"/>
      <c r="AG35" s="34"/>
      <c r="AH35" s="2"/>
      <c r="AJ35" s="2"/>
      <c r="AK35" s="2"/>
      <c r="AL35" s="2"/>
      <c r="AN35" s="2"/>
      <c r="AO35">
        <v>97</v>
      </c>
      <c r="AP35">
        <v>236</v>
      </c>
    </row>
    <row r="36" spans="1:53">
      <c r="A36" s="31" t="s">
        <v>939</v>
      </c>
      <c r="F36">
        <v>242</v>
      </c>
      <c r="S36" s="2"/>
      <c r="V36" s="2"/>
      <c r="W36" s="2"/>
      <c r="X36" s="2"/>
      <c r="Y36" s="2"/>
      <c r="Z36" s="2"/>
      <c r="AA36" s="2"/>
      <c r="AB36" s="34"/>
      <c r="AC36" s="2"/>
      <c r="AD36" s="2"/>
      <c r="AF36" s="34"/>
      <c r="AG36" s="34"/>
      <c r="AH36" s="2"/>
      <c r="AJ36" s="2"/>
      <c r="AK36" s="2"/>
      <c r="AL36" s="2"/>
      <c r="AN36" s="2"/>
      <c r="AO36">
        <v>115</v>
      </c>
      <c r="AP36">
        <v>236</v>
      </c>
    </row>
    <row r="37" spans="1:53">
      <c r="A37" t="s">
        <v>678</v>
      </c>
      <c r="V37" s="2">
        <v>0.11</v>
      </c>
      <c r="W37" s="2"/>
      <c r="X37" s="2"/>
      <c r="Y37" s="2"/>
      <c r="Z37" s="2"/>
      <c r="AA37" s="2"/>
      <c r="AB37" s="34"/>
      <c r="AC37" s="2"/>
      <c r="AD37" s="2"/>
      <c r="AF37" s="34"/>
      <c r="AG37" s="34"/>
      <c r="AH37" s="2"/>
      <c r="AL37" s="2"/>
      <c r="AN37" s="2"/>
      <c r="AO37">
        <v>62</v>
      </c>
      <c r="AP37">
        <v>252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t="s">
        <v>679</v>
      </c>
      <c r="V38" s="2"/>
      <c r="W38" s="2"/>
      <c r="X38" s="2"/>
      <c r="Y38" s="2"/>
      <c r="Z38" s="2"/>
      <c r="AA38" s="2"/>
      <c r="AB38" s="34"/>
      <c r="AC38" s="2"/>
      <c r="AD38" s="2"/>
      <c r="AF38" s="34"/>
      <c r="AG38" s="34"/>
      <c r="AH38" s="2"/>
      <c r="AL38" s="2"/>
      <c r="AN38" s="2"/>
      <c r="AO38">
        <v>55</v>
      </c>
      <c r="AP38">
        <v>264</v>
      </c>
      <c r="AQ38" s="2">
        <v>0.4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t="s">
        <v>680</v>
      </c>
      <c r="V39" s="2"/>
      <c r="W39" s="2"/>
      <c r="X39" s="2"/>
      <c r="Y39" s="2"/>
      <c r="Z39" s="2"/>
      <c r="AA39" s="2"/>
      <c r="AB39" s="34"/>
      <c r="AC39" s="2"/>
      <c r="AD39" s="2"/>
      <c r="AF39" s="34"/>
      <c r="AG39" s="34"/>
      <c r="AH39" s="2"/>
      <c r="AL39" s="2"/>
      <c r="AN39" s="2"/>
      <c r="AO39">
        <v>31</v>
      </c>
      <c r="AP39">
        <v>264</v>
      </c>
      <c r="AQ39" s="2">
        <v>0.6</v>
      </c>
      <c r="AR39" s="2">
        <v>0.6</v>
      </c>
      <c r="AS39" s="2">
        <v>0.3</v>
      </c>
      <c r="AT39" s="2">
        <v>0.1</v>
      </c>
      <c r="AU39" s="2"/>
      <c r="AV39" s="2"/>
      <c r="AW39" s="2"/>
      <c r="AX39" s="2"/>
      <c r="AY39" s="2"/>
      <c r="AZ39" s="2"/>
      <c r="BA39" s="2"/>
    </row>
    <row r="40" spans="1:53">
      <c r="A40" t="s">
        <v>658</v>
      </c>
      <c r="H40">
        <v>2</v>
      </c>
      <c r="I40">
        <v>2</v>
      </c>
      <c r="V40" s="2"/>
      <c r="W40" s="2"/>
      <c r="X40" s="2"/>
      <c r="Y40" s="2"/>
      <c r="Z40" s="2"/>
      <c r="AA40" s="2"/>
      <c r="AB40" s="34"/>
      <c r="AC40" s="2"/>
      <c r="AD40" s="2"/>
      <c r="AF40" s="34"/>
      <c r="AG40" s="34"/>
      <c r="AH40" s="2"/>
      <c r="AL40" s="2"/>
      <c r="AN40" s="2"/>
      <c r="AO40">
        <v>56</v>
      </c>
      <c r="AP40">
        <v>236</v>
      </c>
    </row>
    <row r="41" spans="1:53">
      <c r="A41" t="s">
        <v>927</v>
      </c>
      <c r="F41">
        <v>242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T41">
        <v>50</v>
      </c>
      <c r="V41" s="2"/>
      <c r="W41" s="2"/>
      <c r="X41" s="2"/>
      <c r="Y41" s="2"/>
      <c r="Z41" s="2"/>
      <c r="AA41" s="2"/>
      <c r="AB41" s="34"/>
      <c r="AC41" s="2"/>
      <c r="AD41" s="2"/>
      <c r="AF41" s="34"/>
      <c r="AG41" s="34"/>
      <c r="AH41" s="2"/>
      <c r="AL41" s="2"/>
      <c r="AN41" s="2"/>
      <c r="AO41">
        <v>128</v>
      </c>
      <c r="AP41">
        <v>236</v>
      </c>
    </row>
    <row r="42" spans="1:53">
      <c r="A42" s="31" t="s">
        <v>1084</v>
      </c>
      <c r="F42">
        <v>242</v>
      </c>
      <c r="G42">
        <v>5</v>
      </c>
      <c r="H42">
        <v>15</v>
      </c>
      <c r="N42">
        <v>27</v>
      </c>
      <c r="S42">
        <v>15</v>
      </c>
      <c r="V42" s="2">
        <v>0.02</v>
      </c>
      <c r="W42" s="2"/>
      <c r="X42" s="2"/>
      <c r="Y42" s="2"/>
      <c r="Z42" s="2"/>
      <c r="AA42" s="2"/>
      <c r="AB42" s="34"/>
      <c r="AC42" s="2"/>
      <c r="AD42" s="2"/>
      <c r="AF42" s="34"/>
      <c r="AG42" s="34"/>
      <c r="AH42" s="2"/>
      <c r="AL42" s="2"/>
      <c r="AN42" s="2"/>
      <c r="AO42">
        <v>133</v>
      </c>
      <c r="AP42">
        <v>236</v>
      </c>
    </row>
    <row r="43" spans="1:53">
      <c r="A43" s="31" t="s">
        <v>851</v>
      </c>
      <c r="F43">
        <v>108</v>
      </c>
      <c r="S43">
        <v>84</v>
      </c>
      <c r="V43" s="2"/>
      <c r="W43" s="2"/>
      <c r="X43" s="2"/>
      <c r="Y43" s="2"/>
      <c r="Z43" s="2"/>
      <c r="AA43" s="2"/>
      <c r="AB43" s="34"/>
      <c r="AC43" s="2"/>
      <c r="AD43" s="2"/>
      <c r="AF43" s="34"/>
      <c r="AG43" s="34"/>
      <c r="AH43" s="2"/>
      <c r="AL43" s="2"/>
      <c r="AN43" s="2"/>
      <c r="AO43">
        <v>95</v>
      </c>
      <c r="AP43">
        <v>236</v>
      </c>
    </row>
    <row r="44" spans="1:53">
      <c r="A44" t="s">
        <v>359</v>
      </c>
      <c r="G44">
        <v>15</v>
      </c>
      <c r="I44">
        <v>15</v>
      </c>
      <c r="V44" s="2"/>
      <c r="W44" s="2"/>
      <c r="X44" s="2"/>
      <c r="Y44" s="2"/>
      <c r="Z44" s="2"/>
      <c r="AA44" s="2"/>
      <c r="AB44" s="34"/>
      <c r="AC44" s="2"/>
      <c r="AD44" s="2"/>
      <c r="AF44" s="34"/>
      <c r="AG44" s="34"/>
      <c r="AH44" s="2"/>
      <c r="AL44" s="2"/>
      <c r="AN44" s="2"/>
      <c r="AO44">
        <v>56</v>
      </c>
      <c r="AP44">
        <v>218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t="s">
        <v>657</v>
      </c>
      <c r="G45">
        <v>13</v>
      </c>
      <c r="L45">
        <v>13</v>
      </c>
      <c r="V45" s="2"/>
      <c r="W45" s="2"/>
      <c r="X45" s="2"/>
      <c r="Y45" s="2"/>
      <c r="Z45" s="2"/>
      <c r="AA45" s="2"/>
      <c r="AB45" s="34"/>
      <c r="AC45" s="2"/>
      <c r="AD45" s="2"/>
      <c r="AF45" s="34"/>
      <c r="AG45" s="34"/>
      <c r="AH45" s="2"/>
      <c r="AL45" s="2"/>
      <c r="AN45" s="2"/>
      <c r="AO45">
        <v>60</v>
      </c>
      <c r="AP45">
        <v>228</v>
      </c>
    </row>
    <row r="46" spans="1:53">
      <c r="A46" t="s">
        <v>1193</v>
      </c>
      <c r="F46">
        <v>269</v>
      </c>
      <c r="U46">
        <v>186</v>
      </c>
      <c r="V46" s="2"/>
      <c r="W46" s="2"/>
      <c r="X46" s="2"/>
      <c r="Y46" s="2"/>
      <c r="Z46" s="2"/>
      <c r="AA46" s="2"/>
      <c r="AB46" s="34"/>
      <c r="AC46" s="2"/>
      <c r="AD46" s="2"/>
      <c r="AE46">
        <v>10</v>
      </c>
      <c r="AF46" s="34"/>
      <c r="AG46" s="34"/>
      <c r="AH46" s="2"/>
      <c r="AL46" s="2"/>
      <c r="AN46" s="2"/>
      <c r="AO46">
        <v>168</v>
      </c>
      <c r="AP46">
        <v>240</v>
      </c>
    </row>
    <row r="47" spans="1:53">
      <c r="A47" t="s">
        <v>662</v>
      </c>
      <c r="G47">
        <v>11</v>
      </c>
      <c r="N47">
        <v>16</v>
      </c>
      <c r="V47" s="2"/>
      <c r="W47" s="2"/>
      <c r="X47" s="2"/>
      <c r="Y47" s="2"/>
      <c r="Z47" s="2"/>
      <c r="AA47" s="2"/>
      <c r="AB47" s="34"/>
      <c r="AC47" s="2"/>
      <c r="AD47" s="2"/>
      <c r="AF47" s="34"/>
      <c r="AG47" s="34"/>
      <c r="AH47" s="2"/>
      <c r="AL47" s="2"/>
      <c r="AN47" s="2"/>
      <c r="AO47">
        <v>61</v>
      </c>
      <c r="AP47">
        <v>230</v>
      </c>
    </row>
    <row r="48" spans="1:53">
      <c r="A48" t="s">
        <v>661</v>
      </c>
      <c r="G48">
        <v>11</v>
      </c>
      <c r="O48">
        <v>22</v>
      </c>
      <c r="V48" s="2"/>
      <c r="W48" s="2"/>
      <c r="X48" s="2"/>
      <c r="Y48" s="2"/>
      <c r="Z48" s="2"/>
      <c r="AA48" s="2"/>
      <c r="AB48" s="34"/>
      <c r="AC48" s="2"/>
      <c r="AD48" s="2"/>
      <c r="AF48" s="34"/>
      <c r="AG48" s="34"/>
      <c r="AH48" s="2"/>
      <c r="AL48" s="2"/>
      <c r="AN48" s="2"/>
      <c r="AO48">
        <v>61</v>
      </c>
      <c r="AP48">
        <v>230</v>
      </c>
    </row>
    <row r="49" spans="1:53">
      <c r="A49" t="s">
        <v>365</v>
      </c>
      <c r="V49" s="2"/>
      <c r="W49" s="2"/>
      <c r="X49" s="2"/>
      <c r="Y49" s="2"/>
      <c r="Z49" s="2"/>
      <c r="AA49" s="2"/>
      <c r="AB49" s="34">
        <v>20</v>
      </c>
      <c r="AC49" s="2"/>
      <c r="AD49" s="2"/>
      <c r="AF49" s="34"/>
      <c r="AG49" s="34"/>
      <c r="AH49" s="2"/>
      <c r="AL49" s="2"/>
      <c r="AN49" s="2"/>
      <c r="AO49">
        <v>57</v>
      </c>
      <c r="AP49">
        <v>220</v>
      </c>
    </row>
    <row r="50" spans="1:53">
      <c r="A50" s="31" t="s">
        <v>1108</v>
      </c>
      <c r="F50">
        <v>242</v>
      </c>
      <c r="N50">
        <v>36</v>
      </c>
      <c r="V50" s="2"/>
      <c r="W50" s="2"/>
      <c r="X50" s="2"/>
      <c r="Y50" s="2"/>
      <c r="Z50" s="2"/>
      <c r="AA50" s="2"/>
      <c r="AB50" s="34"/>
      <c r="AC50" s="2">
        <v>0.04</v>
      </c>
      <c r="AD50" s="2"/>
      <c r="AF50" s="34"/>
      <c r="AG50" s="34"/>
      <c r="AH50" s="2"/>
      <c r="AL50" s="2"/>
      <c r="AN50" s="2"/>
      <c r="AO50">
        <v>177</v>
      </c>
      <c r="AP50">
        <v>280</v>
      </c>
    </row>
    <row r="51" spans="1:53">
      <c r="A51" s="31" t="s">
        <v>1124</v>
      </c>
      <c r="F51">
        <v>242</v>
      </c>
      <c r="S51">
        <v>25</v>
      </c>
      <c r="V51" s="2"/>
      <c r="W51" s="2"/>
      <c r="X51" s="2"/>
      <c r="Y51" s="2"/>
      <c r="Z51" s="2"/>
      <c r="AA51" s="2"/>
      <c r="AB51" s="34"/>
      <c r="AC51" s="2"/>
      <c r="AD51" s="2"/>
      <c r="AF51" s="34"/>
      <c r="AG51" s="34"/>
      <c r="AH51" s="2"/>
      <c r="AL51" s="2"/>
      <c r="AN51" s="2"/>
      <c r="AO51">
        <v>117</v>
      </c>
      <c r="AP51">
        <v>236</v>
      </c>
      <c r="AY51" s="2">
        <v>0.6</v>
      </c>
      <c r="AZ51" s="2">
        <v>0.67</v>
      </c>
      <c r="BA51" s="2">
        <v>0.33</v>
      </c>
    </row>
    <row r="52" spans="1:53">
      <c r="A52" s="31" t="s">
        <v>850</v>
      </c>
      <c r="F52">
        <v>269</v>
      </c>
      <c r="S52">
        <v>40</v>
      </c>
      <c r="U52">
        <v>186</v>
      </c>
      <c r="V52" s="2"/>
      <c r="W52" s="2"/>
      <c r="X52" s="2"/>
      <c r="Y52" s="2"/>
      <c r="Z52" s="2"/>
      <c r="AA52" s="2"/>
      <c r="AB52" s="34"/>
      <c r="AC52" s="2"/>
      <c r="AD52" s="2"/>
      <c r="AF52" s="34"/>
      <c r="AG52" s="34"/>
      <c r="AH52" s="2"/>
      <c r="AL52" s="2"/>
      <c r="AN52" s="2"/>
      <c r="AO52">
        <v>147</v>
      </c>
      <c r="AP52">
        <v>236</v>
      </c>
      <c r="AY52" s="2">
        <v>0.6</v>
      </c>
      <c r="AZ52" s="2">
        <v>0.67</v>
      </c>
      <c r="BA52" s="2">
        <v>0.33</v>
      </c>
    </row>
    <row r="53" spans="1:53">
      <c r="A53" s="31" t="s">
        <v>900</v>
      </c>
      <c r="F53">
        <v>242</v>
      </c>
      <c r="N53">
        <v>4</v>
      </c>
      <c r="S53" s="34"/>
      <c r="V53" s="2"/>
      <c r="W53" s="2"/>
      <c r="X53" s="2"/>
      <c r="Y53" s="2"/>
      <c r="Z53" s="2"/>
      <c r="AA53" s="2"/>
      <c r="AB53" s="34"/>
      <c r="AC53" s="2"/>
      <c r="AD53" s="2"/>
      <c r="AF53" s="34"/>
      <c r="AG53" s="34"/>
      <c r="AH53" s="2"/>
      <c r="AJ53" s="2"/>
      <c r="AK53" s="2"/>
      <c r="AL53" s="2"/>
      <c r="AO53">
        <v>132</v>
      </c>
      <c r="AP53">
        <v>231</v>
      </c>
    </row>
    <row r="54" spans="1:53">
      <c r="A54" s="31" t="s">
        <v>936</v>
      </c>
      <c r="F54">
        <v>242</v>
      </c>
      <c r="G54">
        <v>7</v>
      </c>
      <c r="N54">
        <v>4</v>
      </c>
      <c r="O54">
        <v>10</v>
      </c>
      <c r="S54" s="34"/>
      <c r="V54" s="2"/>
      <c r="W54" s="2"/>
      <c r="X54" s="2"/>
      <c r="Y54" s="2"/>
      <c r="Z54" s="2"/>
      <c r="AA54" s="2"/>
      <c r="AB54" s="34"/>
      <c r="AC54" s="2"/>
      <c r="AD54" s="2"/>
      <c r="AF54" s="34"/>
      <c r="AG54" s="34"/>
      <c r="AH54" s="2"/>
      <c r="AJ54" s="2"/>
      <c r="AK54" s="2"/>
      <c r="AL54" s="2"/>
      <c r="AO54">
        <v>135</v>
      </c>
      <c r="AP54">
        <v>231</v>
      </c>
    </row>
    <row r="55" spans="1:53">
      <c r="A55" s="31" t="s">
        <v>937</v>
      </c>
      <c r="F55">
        <v>242</v>
      </c>
      <c r="H55">
        <v>7</v>
      </c>
      <c r="N55">
        <v>14</v>
      </c>
      <c r="S55" s="34"/>
      <c r="V55" s="2"/>
      <c r="W55" s="2"/>
      <c r="X55" s="2"/>
      <c r="Y55" s="2"/>
      <c r="Z55" s="2"/>
      <c r="AA55" s="2"/>
      <c r="AB55" s="34"/>
      <c r="AC55" s="2"/>
      <c r="AD55" s="2"/>
      <c r="AF55" s="34"/>
      <c r="AG55" s="34"/>
      <c r="AH55" s="2"/>
      <c r="AJ55" s="2"/>
      <c r="AK55" s="2"/>
      <c r="AL55" s="2"/>
      <c r="AO55">
        <v>135</v>
      </c>
      <c r="AP55">
        <v>231</v>
      </c>
    </row>
    <row r="56" spans="1:53">
      <c r="A56" s="31" t="s">
        <v>938</v>
      </c>
      <c r="F56">
        <v>242</v>
      </c>
      <c r="N56">
        <v>14</v>
      </c>
      <c r="S56" s="34"/>
      <c r="V56" s="2"/>
      <c r="W56" s="2"/>
      <c r="X56" s="2"/>
      <c r="Y56" s="2"/>
      <c r="Z56" s="2"/>
      <c r="AA56" s="2"/>
      <c r="AB56" s="34"/>
      <c r="AC56" s="2"/>
      <c r="AD56" s="2"/>
      <c r="AF56" s="34"/>
      <c r="AG56" s="34"/>
      <c r="AH56" s="2"/>
      <c r="AJ56" s="2"/>
      <c r="AK56" s="2"/>
      <c r="AL56" s="2"/>
      <c r="AO56">
        <v>132</v>
      </c>
      <c r="AP56">
        <v>231</v>
      </c>
    </row>
    <row r="57" spans="1:53">
      <c r="A57" s="31" t="s">
        <v>1041</v>
      </c>
      <c r="F57">
        <v>242</v>
      </c>
      <c r="G57">
        <f>15+10</f>
        <v>25</v>
      </c>
      <c r="K57">
        <v>10</v>
      </c>
      <c r="O57">
        <v>23</v>
      </c>
      <c r="S57" s="34"/>
      <c r="T57">
        <v>34</v>
      </c>
      <c r="U57">
        <v>108</v>
      </c>
      <c r="V57" s="2"/>
      <c r="W57" s="2"/>
      <c r="X57" s="2"/>
      <c r="Y57" s="2"/>
      <c r="Z57" s="2"/>
      <c r="AA57" s="2"/>
      <c r="AB57" s="34"/>
      <c r="AC57" s="2"/>
      <c r="AD57" s="2"/>
      <c r="AF57" s="34"/>
      <c r="AG57" s="34"/>
      <c r="AH57" s="2"/>
      <c r="AJ57" s="2"/>
      <c r="AK57" s="2"/>
      <c r="AL57" s="2"/>
      <c r="AO57">
        <f>127+15</f>
        <v>142</v>
      </c>
      <c r="AP57">
        <v>240</v>
      </c>
    </row>
    <row r="58" spans="1:53">
      <c r="A58" s="31" t="s">
        <v>853</v>
      </c>
      <c r="F58" s="34">
        <v>108</v>
      </c>
      <c r="S58" s="34">
        <v>84</v>
      </c>
      <c r="AN58" s="2"/>
      <c r="AO58">
        <v>90</v>
      </c>
      <c r="AP58">
        <v>225</v>
      </c>
    </row>
    <row r="59" spans="1:53">
      <c r="A59" s="31" t="s">
        <v>852</v>
      </c>
      <c r="F59">
        <v>188</v>
      </c>
      <c r="G59">
        <v>12</v>
      </c>
      <c r="I59">
        <v>12</v>
      </c>
      <c r="S59">
        <v>146</v>
      </c>
      <c r="V59" s="2"/>
      <c r="W59" s="2"/>
      <c r="X59" s="2"/>
      <c r="Y59" s="2"/>
      <c r="Z59" s="2"/>
      <c r="AA59" s="2"/>
      <c r="AB59" s="34"/>
      <c r="AC59" s="2">
        <v>0.04</v>
      </c>
      <c r="AD59" s="2"/>
      <c r="AF59" s="34"/>
      <c r="AG59" s="34"/>
      <c r="AH59" s="2"/>
      <c r="AL59" s="2"/>
      <c r="AN59" s="2"/>
      <c r="AO59">
        <v>116</v>
      </c>
      <c r="AP59">
        <v>240</v>
      </c>
      <c r="AQ59" s="2">
        <v>0.4</v>
      </c>
      <c r="AR59" s="2">
        <v>1</v>
      </c>
    </row>
    <row r="60" spans="1:53">
      <c r="V60" s="2"/>
      <c r="W60" s="2"/>
      <c r="X60" s="2"/>
      <c r="Y60" s="2"/>
      <c r="Z60" s="2"/>
      <c r="AA60" s="2"/>
      <c r="AB60" s="34"/>
      <c r="AC60" s="2"/>
      <c r="AD60" s="2"/>
      <c r="AF60" s="34"/>
      <c r="AG60" s="34"/>
      <c r="AH60" s="2"/>
      <c r="AL60" s="2"/>
      <c r="AN60" s="2"/>
    </row>
    <row r="61" spans="1:53">
      <c r="V61" s="2"/>
      <c r="W61" s="2"/>
      <c r="X61" s="2"/>
      <c r="Y61" s="2"/>
      <c r="Z61" s="2"/>
      <c r="AA61" s="2"/>
      <c r="AB61" s="34"/>
      <c r="AC61" s="2"/>
      <c r="AD61" s="2"/>
      <c r="AF61" s="34"/>
      <c r="AG61" s="34"/>
      <c r="AH61" s="2"/>
      <c r="AL61" s="2"/>
      <c r="AN61" s="2"/>
    </row>
    <row r="62" spans="1:53">
      <c r="A62" s="31" t="s">
        <v>796</v>
      </c>
      <c r="B62" t="s">
        <v>30</v>
      </c>
      <c r="C62" t="s">
        <v>616</v>
      </c>
      <c r="D62" s="31" t="s">
        <v>798</v>
      </c>
      <c r="E62" t="s">
        <v>769</v>
      </c>
      <c r="F62" s="31" t="s">
        <v>820</v>
      </c>
      <c r="G62" t="s">
        <v>3</v>
      </c>
      <c r="H62" t="s">
        <v>4</v>
      </c>
      <c r="I62" t="s">
        <v>5</v>
      </c>
      <c r="J62" t="s">
        <v>42</v>
      </c>
      <c r="K62" t="s">
        <v>269</v>
      </c>
      <c r="L62" t="s">
        <v>270</v>
      </c>
      <c r="M62" t="s">
        <v>271</v>
      </c>
      <c r="N62" t="s">
        <v>10</v>
      </c>
      <c r="O62" t="s">
        <v>9</v>
      </c>
      <c r="P62" t="s">
        <v>390</v>
      </c>
      <c r="Q62" t="s">
        <v>1017</v>
      </c>
      <c r="R62" t="s">
        <v>1018</v>
      </c>
      <c r="S62" t="s">
        <v>1019</v>
      </c>
      <c r="T62" s="34" t="s">
        <v>620</v>
      </c>
      <c r="U62" s="152" t="s">
        <v>1020</v>
      </c>
      <c r="V62" t="s">
        <v>12</v>
      </c>
      <c r="W62" t="s">
        <v>166</v>
      </c>
      <c r="X62" t="s">
        <v>311</v>
      </c>
      <c r="Y62" t="s">
        <v>766</v>
      </c>
      <c r="Z62" t="s">
        <v>767</v>
      </c>
      <c r="AA62" t="s">
        <v>141</v>
      </c>
      <c r="AB62" t="s">
        <v>11</v>
      </c>
      <c r="AC62" t="s">
        <v>137</v>
      </c>
      <c r="AD62" t="s">
        <v>136</v>
      </c>
      <c r="AE62" t="s">
        <v>13</v>
      </c>
      <c r="AF62" t="s">
        <v>134</v>
      </c>
      <c r="AG62" t="s">
        <v>240</v>
      </c>
      <c r="AH62" t="s">
        <v>173</v>
      </c>
      <c r="AI62" s="34" t="s">
        <v>718</v>
      </c>
      <c r="AJ62" s="34" t="s">
        <v>743</v>
      </c>
      <c r="AK62" s="152" t="s">
        <v>717</v>
      </c>
      <c r="AL62" t="s">
        <v>312</v>
      </c>
      <c r="AM62" t="s">
        <v>268</v>
      </c>
      <c r="AN62" t="s">
        <v>618</v>
      </c>
      <c r="AO62" t="s">
        <v>63</v>
      </c>
      <c r="AP62" t="s">
        <v>64</v>
      </c>
      <c r="AQ62" t="s">
        <v>382</v>
      </c>
      <c r="AR62" t="s">
        <v>383</v>
      </c>
      <c r="AS62" t="s">
        <v>384</v>
      </c>
      <c r="AT62" t="s">
        <v>385</v>
      </c>
      <c r="AU62" t="s">
        <v>386</v>
      </c>
      <c r="AV62" t="s">
        <v>387</v>
      </c>
      <c r="AW62" t="s">
        <v>388</v>
      </c>
      <c r="AX62" t="s">
        <v>389</v>
      </c>
      <c r="AY62" t="s">
        <v>943</v>
      </c>
      <c r="AZ62" t="s">
        <v>944</v>
      </c>
      <c r="BA62" t="s">
        <v>945</v>
      </c>
    </row>
    <row r="63" spans="1:53">
      <c r="A63" s="31" t="s">
        <v>901</v>
      </c>
      <c r="F63">
        <v>242</v>
      </c>
      <c r="K63">
        <v>6</v>
      </c>
      <c r="L63">
        <v>6</v>
      </c>
      <c r="T63">
        <v>16</v>
      </c>
      <c r="V63" s="2"/>
      <c r="W63" s="2"/>
      <c r="X63" s="2"/>
      <c r="Y63" s="2"/>
      <c r="Z63" s="2"/>
      <c r="AA63" s="2"/>
      <c r="AB63" s="34"/>
      <c r="AC63" s="2"/>
      <c r="AD63" s="2"/>
      <c r="AF63" s="34"/>
      <c r="AG63" s="34"/>
      <c r="AH63" s="2"/>
      <c r="AL63" s="2"/>
      <c r="AN63" s="2"/>
      <c r="AO63">
        <v>100</v>
      </c>
      <c r="AP63">
        <v>216</v>
      </c>
    </row>
    <row r="64" spans="1:53">
      <c r="A64" s="31" t="s">
        <v>848</v>
      </c>
      <c r="F64">
        <v>108</v>
      </c>
      <c r="K64">
        <v>4</v>
      </c>
      <c r="L64">
        <v>4</v>
      </c>
      <c r="T64">
        <v>8</v>
      </c>
      <c r="V64" s="2"/>
      <c r="W64" s="2"/>
      <c r="X64" s="2"/>
      <c r="Y64" s="2"/>
      <c r="Z64" s="2"/>
      <c r="AA64" s="2"/>
      <c r="AB64" s="34"/>
      <c r="AC64" s="2"/>
      <c r="AD64" s="2"/>
      <c r="AF64" s="34"/>
      <c r="AG64" s="34"/>
      <c r="AH64" s="2"/>
      <c r="AI64" s="2"/>
      <c r="AJ64" s="2"/>
      <c r="AK64" s="2"/>
      <c r="AL64" s="2"/>
      <c r="AO64">
        <v>95</v>
      </c>
      <c r="AP64">
        <v>264</v>
      </c>
    </row>
    <row r="65" spans="1:44">
      <c r="A65" s="31" t="s">
        <v>1012</v>
      </c>
      <c r="F65">
        <v>242</v>
      </c>
      <c r="K65">
        <v>6</v>
      </c>
      <c r="L65">
        <v>6</v>
      </c>
      <c r="S65">
        <v>10</v>
      </c>
      <c r="V65" s="2"/>
      <c r="W65" s="2"/>
      <c r="X65" s="2"/>
      <c r="Y65" s="2"/>
      <c r="Z65" s="2"/>
      <c r="AA65" s="2"/>
      <c r="AB65" s="34"/>
      <c r="AC65" s="2"/>
      <c r="AD65" s="2"/>
      <c r="AF65" s="34"/>
      <c r="AG65" s="34"/>
      <c r="AH65" s="2"/>
      <c r="AI65" s="2"/>
      <c r="AJ65" s="2"/>
      <c r="AK65" s="2"/>
      <c r="AL65" s="2"/>
      <c r="AO65">
        <v>130</v>
      </c>
      <c r="AP65">
        <v>264</v>
      </c>
    </row>
    <row r="66" spans="1:44">
      <c r="A66" s="31" t="s">
        <v>902</v>
      </c>
      <c r="F66">
        <v>242</v>
      </c>
      <c r="K66">
        <v>6</v>
      </c>
      <c r="L66">
        <v>9</v>
      </c>
      <c r="S66">
        <v>4</v>
      </c>
      <c r="T66">
        <v>16</v>
      </c>
      <c r="V66" s="2"/>
      <c r="W66" s="2"/>
      <c r="X66" s="2"/>
      <c r="Y66" s="2"/>
      <c r="Z66" s="2"/>
      <c r="AA66" s="2"/>
      <c r="AB66" s="34"/>
      <c r="AC66" s="2"/>
      <c r="AD66" s="2"/>
      <c r="AF66" s="34"/>
      <c r="AG66" s="34"/>
      <c r="AH66" s="2"/>
      <c r="AL66" s="2"/>
      <c r="AN66" s="2"/>
      <c r="AO66">
        <v>112</v>
      </c>
      <c r="AP66">
        <v>216</v>
      </c>
    </row>
    <row r="67" spans="1:44">
      <c r="A67" s="31" t="s">
        <v>932</v>
      </c>
      <c r="F67">
        <v>242</v>
      </c>
      <c r="K67">
        <v>13</v>
      </c>
      <c r="L67">
        <v>9</v>
      </c>
      <c r="S67">
        <v>4</v>
      </c>
      <c r="T67">
        <v>26</v>
      </c>
      <c r="V67" s="2"/>
      <c r="W67" s="2"/>
      <c r="X67" s="2"/>
      <c r="Y67" s="2"/>
      <c r="Z67" s="2"/>
      <c r="AA67" s="2"/>
      <c r="AB67" s="34"/>
      <c r="AC67" s="2"/>
      <c r="AD67" s="2"/>
      <c r="AF67" s="34"/>
      <c r="AG67" s="34"/>
      <c r="AH67" s="2"/>
      <c r="AL67" s="2"/>
      <c r="AN67" s="2"/>
      <c r="AO67">
        <v>112</v>
      </c>
      <c r="AP67">
        <v>216</v>
      </c>
    </row>
    <row r="68" spans="1:44">
      <c r="A68" s="31" t="s">
        <v>933</v>
      </c>
      <c r="F68">
        <v>242</v>
      </c>
      <c r="K68">
        <v>6</v>
      </c>
      <c r="L68">
        <v>16</v>
      </c>
      <c r="S68">
        <v>14</v>
      </c>
      <c r="T68">
        <v>16</v>
      </c>
      <c r="V68" s="2"/>
      <c r="W68" s="2"/>
      <c r="X68" s="2"/>
      <c r="Y68" s="2"/>
      <c r="Z68" s="2"/>
      <c r="AA68" s="2"/>
      <c r="AB68" s="34"/>
      <c r="AC68" s="2"/>
      <c r="AD68" s="2"/>
      <c r="AF68" s="34"/>
      <c r="AG68" s="34"/>
      <c r="AH68" s="2"/>
      <c r="AL68" s="2"/>
      <c r="AN68" s="2"/>
      <c r="AO68">
        <v>112</v>
      </c>
      <c r="AP68">
        <v>216</v>
      </c>
    </row>
    <row r="69" spans="1:44">
      <c r="A69" s="31" t="s">
        <v>934</v>
      </c>
      <c r="F69">
        <v>242</v>
      </c>
      <c r="K69">
        <v>6</v>
      </c>
      <c r="L69">
        <v>9</v>
      </c>
      <c r="N69">
        <v>15</v>
      </c>
      <c r="S69">
        <v>4</v>
      </c>
      <c r="T69">
        <v>16</v>
      </c>
      <c r="V69" s="2"/>
      <c r="W69" s="2"/>
      <c r="X69" s="2"/>
      <c r="Y69" s="2"/>
      <c r="Z69" s="2"/>
      <c r="AA69" s="2"/>
      <c r="AB69" s="34"/>
      <c r="AC69" s="2"/>
      <c r="AD69" s="2"/>
      <c r="AF69" s="34"/>
      <c r="AG69" s="34"/>
      <c r="AH69" s="2"/>
      <c r="AL69" s="2"/>
      <c r="AN69" s="2"/>
      <c r="AO69">
        <v>112</v>
      </c>
      <c r="AP69">
        <v>216</v>
      </c>
    </row>
    <row r="70" spans="1:44">
      <c r="A70" s="31" t="s">
        <v>951</v>
      </c>
      <c r="F70">
        <v>215</v>
      </c>
      <c r="K70">
        <v>6</v>
      </c>
      <c r="L70">
        <v>6</v>
      </c>
      <c r="S70" s="2"/>
      <c r="T70">
        <v>14</v>
      </c>
      <c r="V70" s="2"/>
      <c r="W70" s="2"/>
      <c r="X70" s="2"/>
      <c r="Y70" s="2"/>
      <c r="Z70" s="2"/>
      <c r="AA70" s="2"/>
      <c r="AB70" s="34"/>
      <c r="AC70" s="2"/>
      <c r="AD70" s="2"/>
      <c r="AF70" s="2"/>
      <c r="AG70" s="34"/>
      <c r="AH70" s="2"/>
      <c r="AL70" s="34"/>
      <c r="AO70">
        <v>111</v>
      </c>
      <c r="AP70">
        <v>216</v>
      </c>
    </row>
    <row r="71" spans="1:44">
      <c r="A71" s="31" t="s">
        <v>952</v>
      </c>
      <c r="F71">
        <v>215</v>
      </c>
      <c r="K71">
        <v>6</v>
      </c>
      <c r="L71">
        <v>6</v>
      </c>
      <c r="S71" s="2"/>
      <c r="T71">
        <v>14</v>
      </c>
      <c r="V71" s="2"/>
      <c r="W71" s="2"/>
      <c r="X71" s="2"/>
      <c r="Y71" s="2"/>
      <c r="Z71" s="2"/>
      <c r="AA71" s="2"/>
      <c r="AB71" s="34"/>
      <c r="AC71" s="2"/>
      <c r="AD71" s="2"/>
      <c r="AF71" s="2"/>
      <c r="AG71" s="34"/>
      <c r="AH71" s="2"/>
      <c r="AK71" s="34">
        <v>40</v>
      </c>
      <c r="AO71">
        <v>111</v>
      </c>
      <c r="AP71">
        <v>216</v>
      </c>
      <c r="AQ71" s="2">
        <v>0.4</v>
      </c>
      <c r="AR71" s="2">
        <v>1</v>
      </c>
    </row>
    <row r="72" spans="1:44">
      <c r="A72" s="31" t="s">
        <v>799</v>
      </c>
      <c r="F72">
        <v>153</v>
      </c>
      <c r="K72">
        <v>5</v>
      </c>
      <c r="L72">
        <v>10</v>
      </c>
      <c r="N72">
        <v>18</v>
      </c>
      <c r="V72" s="2"/>
      <c r="W72" s="2"/>
      <c r="X72" s="2"/>
      <c r="Y72" s="2"/>
      <c r="Z72" s="2"/>
      <c r="AA72" s="2"/>
      <c r="AB72" s="34"/>
      <c r="AC72" s="2"/>
      <c r="AD72" s="2"/>
      <c r="AF72" s="34"/>
      <c r="AG72" s="34"/>
      <c r="AH72" s="2"/>
      <c r="AL72" s="2"/>
      <c r="AN72" s="2"/>
      <c r="AO72">
        <v>130</v>
      </c>
      <c r="AP72">
        <v>340</v>
      </c>
    </row>
    <row r="73" spans="1:44">
      <c r="A73" s="31" t="s">
        <v>827</v>
      </c>
      <c r="F73">
        <v>153</v>
      </c>
      <c r="K73">
        <v>5</v>
      </c>
      <c r="L73">
        <v>10</v>
      </c>
      <c r="N73">
        <v>18</v>
      </c>
      <c r="S73">
        <v>2</v>
      </c>
      <c r="V73" s="2"/>
      <c r="W73" s="2"/>
      <c r="X73" s="2"/>
      <c r="Y73" s="2"/>
      <c r="Z73" s="2"/>
      <c r="AA73" s="2"/>
      <c r="AB73" s="34"/>
      <c r="AC73" s="2"/>
      <c r="AD73" s="2"/>
      <c r="AF73" s="34"/>
      <c r="AG73" s="34"/>
      <c r="AH73" s="2"/>
      <c r="AL73" s="2"/>
      <c r="AN73" s="2"/>
      <c r="AO73">
        <v>130</v>
      </c>
      <c r="AP73">
        <v>340</v>
      </c>
    </row>
    <row r="74" spans="1:44">
      <c r="A74" s="31" t="s">
        <v>825</v>
      </c>
      <c r="F74">
        <v>153</v>
      </c>
      <c r="K74">
        <v>5</v>
      </c>
      <c r="L74">
        <v>11</v>
      </c>
      <c r="N74">
        <v>18</v>
      </c>
      <c r="S74">
        <v>6</v>
      </c>
      <c r="V74" s="2"/>
      <c r="W74" s="2"/>
      <c r="X74" s="2"/>
      <c r="Y74" s="2"/>
      <c r="Z74" s="2"/>
      <c r="AA74" s="2"/>
      <c r="AB74" s="34"/>
      <c r="AC74" s="2"/>
      <c r="AD74" s="2"/>
      <c r="AF74" s="34"/>
      <c r="AG74" s="34"/>
      <c r="AH74" s="2"/>
      <c r="AL74" s="2"/>
      <c r="AN74" s="2"/>
      <c r="AO74">
        <v>130</v>
      </c>
      <c r="AP74">
        <v>340</v>
      </c>
    </row>
    <row r="75" spans="1:44">
      <c r="A75" s="31" t="s">
        <v>826</v>
      </c>
      <c r="F75">
        <v>153</v>
      </c>
      <c r="K75">
        <v>6</v>
      </c>
      <c r="L75">
        <v>10</v>
      </c>
      <c r="N75">
        <v>18</v>
      </c>
      <c r="T75">
        <v>6</v>
      </c>
      <c r="V75" s="2"/>
      <c r="W75" s="2"/>
      <c r="X75" s="2"/>
      <c r="Y75" s="2"/>
      <c r="Z75" s="2"/>
      <c r="AA75" s="2"/>
      <c r="AB75" s="34"/>
      <c r="AC75" s="2"/>
      <c r="AD75" s="2"/>
      <c r="AF75" s="34"/>
      <c r="AG75" s="34"/>
      <c r="AH75" s="2"/>
      <c r="AL75" s="2"/>
      <c r="AN75" s="2"/>
      <c r="AO75">
        <v>130</v>
      </c>
      <c r="AP75">
        <v>340</v>
      </c>
    </row>
    <row r="76" spans="1:44">
      <c r="A76" s="31" t="s">
        <v>830</v>
      </c>
      <c r="F76">
        <v>153</v>
      </c>
      <c r="K76">
        <v>5</v>
      </c>
      <c r="L76">
        <v>10</v>
      </c>
      <c r="N76">
        <v>18</v>
      </c>
      <c r="S76">
        <v>8</v>
      </c>
      <c r="T76">
        <v>8</v>
      </c>
      <c r="V76" s="2"/>
      <c r="W76" s="2"/>
      <c r="X76" s="2"/>
      <c r="Y76" s="2"/>
      <c r="Z76" s="2"/>
      <c r="AA76" s="2"/>
      <c r="AB76" s="34"/>
      <c r="AC76" s="2"/>
      <c r="AD76" s="2"/>
      <c r="AF76" s="34"/>
      <c r="AG76" s="34"/>
      <c r="AH76" s="2"/>
      <c r="AL76" s="2"/>
      <c r="AN76" s="2"/>
      <c r="AO76">
        <v>130</v>
      </c>
      <c r="AP76">
        <v>340</v>
      </c>
    </row>
    <row r="77" spans="1:44">
      <c r="A77" s="31" t="s">
        <v>828</v>
      </c>
      <c r="F77">
        <v>153</v>
      </c>
      <c r="K77">
        <v>15</v>
      </c>
      <c r="L77">
        <v>20</v>
      </c>
      <c r="N77">
        <v>18</v>
      </c>
      <c r="S77">
        <v>13</v>
      </c>
      <c r="V77" s="2"/>
      <c r="W77" s="2"/>
      <c r="X77" s="2"/>
      <c r="Y77" s="2"/>
      <c r="Z77" s="2"/>
      <c r="AA77" s="2"/>
      <c r="AB77" s="34"/>
      <c r="AC77" s="2"/>
      <c r="AD77" s="2"/>
      <c r="AF77" s="34"/>
      <c r="AG77" s="34"/>
      <c r="AH77" s="2"/>
      <c r="AL77" s="2"/>
      <c r="AN77" s="2"/>
      <c r="AO77">
        <v>130</v>
      </c>
      <c r="AP77">
        <v>340</v>
      </c>
    </row>
    <row r="78" spans="1:44">
      <c r="A78" s="31" t="s">
        <v>829</v>
      </c>
      <c r="F78">
        <v>153</v>
      </c>
      <c r="K78">
        <v>15</v>
      </c>
      <c r="L78">
        <v>20</v>
      </c>
      <c r="N78">
        <v>18</v>
      </c>
      <c r="T78">
        <v>13</v>
      </c>
      <c r="V78" s="2"/>
      <c r="W78" s="2"/>
      <c r="X78" s="2"/>
      <c r="Y78" s="2"/>
      <c r="Z78" s="2"/>
      <c r="AA78" s="2"/>
      <c r="AB78" s="34"/>
      <c r="AC78" s="2"/>
      <c r="AD78" s="2"/>
      <c r="AF78" s="34"/>
      <c r="AG78" s="34"/>
      <c r="AH78" s="2"/>
      <c r="AL78" s="2"/>
      <c r="AN78" s="2"/>
      <c r="AO78">
        <v>130</v>
      </c>
      <c r="AP78">
        <v>340</v>
      </c>
    </row>
    <row r="79" spans="1:44">
      <c r="A79" s="31" t="s">
        <v>1043</v>
      </c>
      <c r="F79">
        <v>228</v>
      </c>
      <c r="K79">
        <f>6+15</f>
        <v>21</v>
      </c>
      <c r="L79">
        <f>6+15</f>
        <v>21</v>
      </c>
      <c r="N79">
        <v>27</v>
      </c>
      <c r="S79">
        <v>15</v>
      </c>
      <c r="T79">
        <v>15</v>
      </c>
      <c r="U79">
        <v>130</v>
      </c>
      <c r="V79" s="2"/>
      <c r="W79" s="2"/>
      <c r="X79" s="2"/>
      <c r="Y79" s="2"/>
      <c r="Z79" s="2"/>
      <c r="AA79" s="2"/>
      <c r="AB79" s="34"/>
      <c r="AC79" s="2"/>
      <c r="AD79" s="2"/>
      <c r="AF79" s="34"/>
      <c r="AG79" s="34"/>
      <c r="AH79" s="2"/>
      <c r="AL79" s="2"/>
      <c r="AN79" s="2"/>
      <c r="AO79">
        <v>184</v>
      </c>
      <c r="AP79">
        <v>352</v>
      </c>
    </row>
    <row r="80" spans="1:44">
      <c r="A80" s="31" t="s">
        <v>1084</v>
      </c>
      <c r="F80">
        <v>242</v>
      </c>
      <c r="K80">
        <v>21</v>
      </c>
      <c r="L80">
        <v>11</v>
      </c>
      <c r="S80">
        <v>7</v>
      </c>
      <c r="T80">
        <v>31</v>
      </c>
      <c r="U80">
        <v>124</v>
      </c>
      <c r="V80" s="2"/>
      <c r="W80" s="2"/>
      <c r="X80" s="2"/>
      <c r="Y80" s="2"/>
      <c r="Z80" s="2"/>
      <c r="AA80" s="2"/>
      <c r="AB80" s="34"/>
      <c r="AC80" s="2"/>
      <c r="AD80" s="2"/>
      <c r="AF80" s="34"/>
      <c r="AG80" s="34"/>
      <c r="AH80" s="2"/>
      <c r="AL80" s="2"/>
      <c r="AN80" s="2"/>
      <c r="AO80">
        <v>123</v>
      </c>
      <c r="AP80">
        <v>216</v>
      </c>
    </row>
    <row r="81" spans="1:53">
      <c r="A81" t="s">
        <v>1008</v>
      </c>
      <c r="F81">
        <v>228</v>
      </c>
      <c r="K81">
        <v>6</v>
      </c>
      <c r="L81">
        <v>6</v>
      </c>
      <c r="N81">
        <v>27</v>
      </c>
      <c r="V81" s="2"/>
      <c r="W81" s="2"/>
      <c r="X81" s="2"/>
      <c r="Y81" s="2"/>
      <c r="Z81" s="2"/>
      <c r="AA81" s="2"/>
      <c r="AB81" s="34"/>
      <c r="AC81" s="2"/>
      <c r="AD81" s="2"/>
      <c r="AF81" s="34"/>
      <c r="AG81" s="34"/>
      <c r="AH81" s="2"/>
      <c r="AI81" s="2"/>
      <c r="AJ81" s="2"/>
      <c r="AK81" s="2"/>
      <c r="AL81" s="2"/>
      <c r="AO81">
        <v>184</v>
      </c>
      <c r="AP81">
        <v>352</v>
      </c>
    </row>
    <row r="82" spans="1:53">
      <c r="A82" s="31" t="s">
        <v>797</v>
      </c>
      <c r="F82">
        <v>188</v>
      </c>
      <c r="K82">
        <v>5</v>
      </c>
      <c r="L82">
        <v>5</v>
      </c>
      <c r="S82">
        <v>90</v>
      </c>
      <c r="T82">
        <v>12</v>
      </c>
      <c r="U82">
        <v>99</v>
      </c>
      <c r="V82" s="2"/>
      <c r="W82" s="2"/>
      <c r="X82" s="2"/>
      <c r="Y82" s="2"/>
      <c r="Z82" s="2"/>
      <c r="AA82" s="2"/>
      <c r="AB82" s="34"/>
      <c r="AC82" s="2"/>
      <c r="AD82" s="2"/>
      <c r="AF82" s="34"/>
      <c r="AG82" s="34"/>
      <c r="AH82" s="2"/>
      <c r="AL82" s="2"/>
      <c r="AN82" s="2"/>
      <c r="AO82">
        <v>88</v>
      </c>
      <c r="AP82">
        <v>216</v>
      </c>
      <c r="AQ82" s="2">
        <v>0.4</v>
      </c>
      <c r="AR82" s="2">
        <v>1</v>
      </c>
    </row>
    <row r="83" spans="1:53">
      <c r="V83" s="2"/>
      <c r="W83" s="2"/>
      <c r="X83" s="2"/>
      <c r="Y83" s="2"/>
      <c r="Z83" s="2"/>
      <c r="AA83" s="2"/>
      <c r="AB83" s="34"/>
      <c r="AC83" s="2"/>
      <c r="AD83" s="2"/>
      <c r="AF83" s="34"/>
      <c r="AG83" s="34"/>
      <c r="AH83" s="2"/>
      <c r="AL83" s="2"/>
      <c r="AN83" s="2"/>
    </row>
    <row r="84" spans="1:53">
      <c r="V84" s="2"/>
      <c r="W84" s="2"/>
      <c r="X84" s="2"/>
      <c r="Y84" s="2"/>
      <c r="Z84" s="2"/>
      <c r="AA84" s="2"/>
      <c r="AB84" s="34"/>
      <c r="AC84" s="2"/>
      <c r="AD84" s="2"/>
      <c r="AF84" s="34"/>
      <c r="AG84" s="34"/>
      <c r="AH84" s="2"/>
      <c r="AL84" s="2"/>
      <c r="AN84" s="2"/>
    </row>
    <row r="85" spans="1:53">
      <c r="A85" t="s">
        <v>226</v>
      </c>
      <c r="B85" t="s">
        <v>30</v>
      </c>
      <c r="C85" t="s">
        <v>616</v>
      </c>
      <c r="D85" s="31" t="s">
        <v>798</v>
      </c>
      <c r="E85" t="s">
        <v>769</v>
      </c>
      <c r="F85" s="31" t="s">
        <v>820</v>
      </c>
      <c r="G85" t="s">
        <v>3</v>
      </c>
      <c r="H85" t="s">
        <v>4</v>
      </c>
      <c r="I85" t="s">
        <v>5</v>
      </c>
      <c r="J85" t="s">
        <v>42</v>
      </c>
      <c r="K85" t="s">
        <v>269</v>
      </c>
      <c r="L85" t="s">
        <v>270</v>
      </c>
      <c r="M85" t="s">
        <v>271</v>
      </c>
      <c r="N85" t="s">
        <v>10</v>
      </c>
      <c r="O85" t="s">
        <v>9</v>
      </c>
      <c r="P85" t="s">
        <v>390</v>
      </c>
      <c r="Q85" t="s">
        <v>1017</v>
      </c>
      <c r="R85" t="s">
        <v>1018</v>
      </c>
      <c r="S85" t="s">
        <v>1019</v>
      </c>
      <c r="T85" s="34" t="s">
        <v>620</v>
      </c>
      <c r="U85" s="152" t="s">
        <v>1020</v>
      </c>
      <c r="V85" t="s">
        <v>12</v>
      </c>
      <c r="W85" t="s">
        <v>166</v>
      </c>
      <c r="X85" t="s">
        <v>311</v>
      </c>
      <c r="Y85" t="s">
        <v>766</v>
      </c>
      <c r="Z85" t="s">
        <v>767</v>
      </c>
      <c r="AA85" t="s">
        <v>141</v>
      </c>
      <c r="AB85" t="s">
        <v>11</v>
      </c>
      <c r="AC85" t="s">
        <v>137</v>
      </c>
      <c r="AD85" t="s">
        <v>136</v>
      </c>
      <c r="AE85" t="s">
        <v>13</v>
      </c>
      <c r="AF85" t="s">
        <v>134</v>
      </c>
      <c r="AG85" t="s">
        <v>240</v>
      </c>
      <c r="AH85" t="s">
        <v>173</v>
      </c>
      <c r="AI85" s="34" t="s">
        <v>718</v>
      </c>
      <c r="AJ85" s="34" t="s">
        <v>743</v>
      </c>
      <c r="AK85" s="152" t="s">
        <v>717</v>
      </c>
      <c r="AL85" t="s">
        <v>312</v>
      </c>
      <c r="AM85" t="s">
        <v>268</v>
      </c>
      <c r="AN85" t="s">
        <v>618</v>
      </c>
      <c r="AO85" t="s">
        <v>63</v>
      </c>
      <c r="AP85" t="s">
        <v>64</v>
      </c>
      <c r="AQ85" t="s">
        <v>382</v>
      </c>
      <c r="AR85" t="s">
        <v>383</v>
      </c>
      <c r="AS85" t="s">
        <v>384</v>
      </c>
      <c r="AT85" t="s">
        <v>385</v>
      </c>
      <c r="AU85" t="s">
        <v>386</v>
      </c>
      <c r="AV85" t="s">
        <v>387</v>
      </c>
      <c r="AW85" t="s">
        <v>388</v>
      </c>
      <c r="AX85" t="s">
        <v>389</v>
      </c>
      <c r="AY85" t="s">
        <v>943</v>
      </c>
      <c r="AZ85" t="s">
        <v>944</v>
      </c>
      <c r="BA85" t="s">
        <v>945</v>
      </c>
    </row>
    <row r="86" spans="1:53">
      <c r="A86" t="s">
        <v>54</v>
      </c>
    </row>
    <row r="87" spans="1:53">
      <c r="A87" t="s">
        <v>424</v>
      </c>
      <c r="AB87">
        <v>10</v>
      </c>
    </row>
    <row r="88" spans="1:53">
      <c r="V88" s="2"/>
      <c r="W88" s="2"/>
      <c r="X88" s="2"/>
      <c r="Y88" s="2"/>
      <c r="Z88" s="2"/>
      <c r="AA88" s="2"/>
      <c r="AB88" s="34"/>
      <c r="AC88" s="2"/>
      <c r="AD88" s="2"/>
      <c r="AF88" s="34"/>
      <c r="AG88" s="34"/>
      <c r="AH88" s="2"/>
      <c r="AL88" s="2"/>
      <c r="AN88" s="2"/>
    </row>
    <row r="90" spans="1:53">
      <c r="A90" t="s">
        <v>142</v>
      </c>
      <c r="B90" t="s">
        <v>30</v>
      </c>
      <c r="C90" t="s">
        <v>616</v>
      </c>
      <c r="D90" s="31" t="s">
        <v>798</v>
      </c>
      <c r="E90" t="s">
        <v>769</v>
      </c>
      <c r="F90" s="31" t="s">
        <v>820</v>
      </c>
      <c r="G90" t="s">
        <v>3</v>
      </c>
      <c r="H90" t="s">
        <v>4</v>
      </c>
      <c r="I90" t="s">
        <v>5</v>
      </c>
      <c r="J90" t="s">
        <v>42</v>
      </c>
      <c r="K90" t="s">
        <v>269</v>
      </c>
      <c r="L90" t="s">
        <v>270</v>
      </c>
      <c r="M90" t="s">
        <v>271</v>
      </c>
      <c r="N90" t="s">
        <v>10</v>
      </c>
      <c r="O90" t="s">
        <v>9</v>
      </c>
      <c r="P90" t="s">
        <v>390</v>
      </c>
      <c r="Q90" t="s">
        <v>1017</v>
      </c>
      <c r="R90" t="s">
        <v>1018</v>
      </c>
      <c r="S90" t="s">
        <v>1019</v>
      </c>
      <c r="T90" s="34" t="s">
        <v>620</v>
      </c>
      <c r="U90" s="152" t="s">
        <v>1020</v>
      </c>
      <c r="V90" t="s">
        <v>12</v>
      </c>
      <c r="W90" t="s">
        <v>166</v>
      </c>
      <c r="X90" t="s">
        <v>311</v>
      </c>
      <c r="Y90" t="s">
        <v>766</v>
      </c>
      <c r="Z90" t="s">
        <v>767</v>
      </c>
      <c r="AA90" t="s">
        <v>141</v>
      </c>
      <c r="AB90" t="s">
        <v>11</v>
      </c>
      <c r="AC90" t="s">
        <v>137</v>
      </c>
      <c r="AD90" t="s">
        <v>136</v>
      </c>
      <c r="AE90" t="s">
        <v>13</v>
      </c>
      <c r="AF90" t="s">
        <v>134</v>
      </c>
      <c r="AG90" t="s">
        <v>240</v>
      </c>
      <c r="AH90" t="s">
        <v>173</v>
      </c>
      <c r="AI90" s="34" t="s">
        <v>718</v>
      </c>
      <c r="AJ90" s="34" t="s">
        <v>743</v>
      </c>
      <c r="AK90" s="152" t="s">
        <v>717</v>
      </c>
      <c r="AL90" t="s">
        <v>312</v>
      </c>
      <c r="AM90" t="s">
        <v>268</v>
      </c>
      <c r="AN90" t="s">
        <v>618</v>
      </c>
    </row>
    <row r="91" spans="1:53">
      <c r="A91" t="s">
        <v>612</v>
      </c>
    </row>
    <row r="92" spans="1:53">
      <c r="A92" t="s">
        <v>832</v>
      </c>
      <c r="N92">
        <v>5</v>
      </c>
    </row>
    <row r="95" spans="1:53">
      <c r="A95" t="s">
        <v>15</v>
      </c>
      <c r="B95" t="s">
        <v>30</v>
      </c>
      <c r="C95" t="s">
        <v>616</v>
      </c>
      <c r="D95" s="31" t="s">
        <v>798</v>
      </c>
      <c r="E95" t="s">
        <v>769</v>
      </c>
      <c r="F95" s="31" t="s">
        <v>820</v>
      </c>
      <c r="G95" t="s">
        <v>3</v>
      </c>
      <c r="H95" t="s">
        <v>4</v>
      </c>
      <c r="I95" t="s">
        <v>5</v>
      </c>
      <c r="J95" t="s">
        <v>42</v>
      </c>
      <c r="K95" t="s">
        <v>269</v>
      </c>
      <c r="L95" t="s">
        <v>270</v>
      </c>
      <c r="M95" t="s">
        <v>271</v>
      </c>
      <c r="N95" t="s">
        <v>10</v>
      </c>
      <c r="O95" t="s">
        <v>9</v>
      </c>
      <c r="P95" t="s">
        <v>390</v>
      </c>
      <c r="Q95" t="s">
        <v>1017</v>
      </c>
      <c r="R95" t="s">
        <v>1018</v>
      </c>
      <c r="S95" t="s">
        <v>1019</v>
      </c>
      <c r="T95" s="34" t="s">
        <v>620</v>
      </c>
      <c r="U95" s="152" t="s">
        <v>1020</v>
      </c>
      <c r="V95" t="s">
        <v>12</v>
      </c>
      <c r="W95" t="s">
        <v>166</v>
      </c>
      <c r="X95" t="s">
        <v>311</v>
      </c>
      <c r="Y95" t="s">
        <v>766</v>
      </c>
      <c r="Z95" t="s">
        <v>767</v>
      </c>
      <c r="AA95" t="s">
        <v>141</v>
      </c>
      <c r="AB95" t="s">
        <v>11</v>
      </c>
      <c r="AC95" t="s">
        <v>137</v>
      </c>
      <c r="AD95" t="s">
        <v>136</v>
      </c>
      <c r="AE95" t="s">
        <v>13</v>
      </c>
      <c r="AF95" t="s">
        <v>134</v>
      </c>
      <c r="AG95" t="s">
        <v>240</v>
      </c>
      <c r="AH95" t="s">
        <v>173</v>
      </c>
      <c r="AI95" s="34" t="s">
        <v>718</v>
      </c>
      <c r="AJ95" s="34" t="s">
        <v>743</v>
      </c>
      <c r="AK95" s="152" t="s">
        <v>717</v>
      </c>
      <c r="AL95" t="s">
        <v>312</v>
      </c>
      <c r="AM95" t="s">
        <v>268</v>
      </c>
      <c r="AN95" t="s">
        <v>618</v>
      </c>
    </row>
    <row r="96" spans="1:53">
      <c r="A96" t="s">
        <v>369</v>
      </c>
      <c r="L96">
        <v>2</v>
      </c>
      <c r="V96" s="2"/>
      <c r="W96" s="2"/>
      <c r="X96" s="2"/>
      <c r="Y96" s="2"/>
      <c r="Z96" s="2"/>
      <c r="AA96" s="2"/>
      <c r="AB96" s="34"/>
      <c r="AC96" s="2"/>
      <c r="AD96" s="2"/>
      <c r="AF96" s="34"/>
      <c r="AG96" s="34"/>
      <c r="AH96" s="2"/>
      <c r="AL96" s="2"/>
      <c r="AN96" s="2"/>
    </row>
    <row r="97" spans="1:40">
      <c r="A97" t="s">
        <v>615</v>
      </c>
      <c r="V97" s="2"/>
      <c r="W97" s="2"/>
      <c r="X97" s="2"/>
      <c r="Y97" s="2"/>
      <c r="Z97" s="2"/>
      <c r="AA97" s="2"/>
      <c r="AB97" s="34"/>
      <c r="AC97" s="2"/>
      <c r="AD97" s="2"/>
      <c r="AF97" s="34"/>
      <c r="AG97" s="34"/>
      <c r="AH97" s="2"/>
      <c r="AL97" s="2"/>
      <c r="AM97">
        <v>45</v>
      </c>
      <c r="AN97" s="2"/>
    </row>
    <row r="98" spans="1:40">
      <c r="A98" t="s">
        <v>1147</v>
      </c>
      <c r="H98">
        <v>3</v>
      </c>
      <c r="N98">
        <v>13</v>
      </c>
      <c r="V98" s="2"/>
      <c r="W98" s="2"/>
      <c r="X98" s="2"/>
      <c r="Y98" s="2"/>
      <c r="Z98" s="2"/>
      <c r="AA98" s="2"/>
      <c r="AB98" s="34"/>
      <c r="AC98" s="2"/>
      <c r="AD98" s="2"/>
      <c r="AF98" s="34"/>
      <c r="AG98" s="34"/>
      <c r="AH98" s="2"/>
      <c r="AL98" s="2"/>
      <c r="AN98" s="2"/>
    </row>
    <row r="99" spans="1:40">
      <c r="A99" t="s">
        <v>168</v>
      </c>
      <c r="G99">
        <v>2</v>
      </c>
      <c r="V99" s="2"/>
      <c r="W99" s="2"/>
      <c r="X99" s="2"/>
      <c r="Y99" s="2"/>
      <c r="Z99" s="2"/>
      <c r="AA99" s="2"/>
      <c r="AB99" s="34"/>
      <c r="AC99" s="2"/>
      <c r="AD99" s="2"/>
      <c r="AF99" s="34"/>
      <c r="AG99" s="34"/>
      <c r="AH99" s="2"/>
      <c r="AL99" s="2"/>
      <c r="AN99" s="2"/>
    </row>
    <row r="100" spans="1:40">
      <c r="A100" t="s">
        <v>928</v>
      </c>
      <c r="N100">
        <v>5</v>
      </c>
      <c r="O100">
        <v>10</v>
      </c>
      <c r="V100" s="2"/>
      <c r="W100" s="2"/>
      <c r="X100" s="2"/>
      <c r="Y100" s="2"/>
      <c r="Z100" s="2"/>
      <c r="AA100" s="2"/>
      <c r="AB100" s="34"/>
      <c r="AC100" s="2"/>
      <c r="AD100" s="2"/>
      <c r="AE100">
        <v>3</v>
      </c>
      <c r="AF100" s="34"/>
      <c r="AG100" s="34"/>
      <c r="AH100" s="2"/>
      <c r="AL100" s="2"/>
      <c r="AN100" s="2"/>
    </row>
    <row r="101" spans="1:40">
      <c r="A101" t="s">
        <v>614</v>
      </c>
      <c r="V101" s="2"/>
      <c r="W101" s="2"/>
      <c r="X101" s="2"/>
      <c r="Y101" s="2"/>
      <c r="Z101" s="2"/>
      <c r="AA101" s="2"/>
      <c r="AB101" s="34">
        <v>10</v>
      </c>
      <c r="AC101" s="2"/>
      <c r="AD101" s="2"/>
      <c r="AE101">
        <v>-5</v>
      </c>
      <c r="AF101" s="34"/>
      <c r="AG101" s="34"/>
      <c r="AH101" s="2"/>
      <c r="AL101" s="2"/>
      <c r="AN101" s="2"/>
    </row>
    <row r="102" spans="1:40">
      <c r="A102" t="s">
        <v>1015</v>
      </c>
      <c r="N102">
        <v>10</v>
      </c>
      <c r="O102">
        <v>10</v>
      </c>
      <c r="V102" s="2"/>
      <c r="W102" s="2"/>
      <c r="X102" s="2"/>
      <c r="Y102" s="2"/>
      <c r="Z102" s="2"/>
      <c r="AA102" s="2"/>
      <c r="AB102" s="34">
        <v>20</v>
      </c>
      <c r="AC102" s="2"/>
      <c r="AD102" s="2"/>
      <c r="AE102">
        <v>-3</v>
      </c>
      <c r="AF102" s="34"/>
      <c r="AG102" s="34"/>
      <c r="AH102" s="2"/>
      <c r="AL102" s="2"/>
      <c r="AN102" s="2"/>
    </row>
    <row r="103" spans="1:40">
      <c r="A103" t="s">
        <v>778</v>
      </c>
      <c r="N103">
        <v>15</v>
      </c>
      <c r="V103" s="2"/>
      <c r="W103" s="2"/>
      <c r="X103" s="2"/>
      <c r="Y103" s="2"/>
      <c r="Z103" s="2"/>
      <c r="AA103" s="2"/>
      <c r="AB103" s="34"/>
      <c r="AC103" s="2"/>
      <c r="AD103" s="2"/>
      <c r="AF103" s="34"/>
      <c r="AG103" s="34"/>
      <c r="AH103" s="2"/>
      <c r="AL103" s="2"/>
      <c r="AN103" s="2"/>
    </row>
    <row r="104" spans="1:40">
      <c r="A104" t="s">
        <v>899</v>
      </c>
      <c r="N104">
        <v>10</v>
      </c>
      <c r="V104" s="2"/>
      <c r="W104" s="2"/>
      <c r="X104" s="2"/>
      <c r="Y104" s="2"/>
      <c r="Z104" s="2"/>
      <c r="AA104" s="2"/>
      <c r="AB104" s="34"/>
      <c r="AC104" s="2"/>
      <c r="AD104" s="2"/>
      <c r="AF104" s="2"/>
      <c r="AG104" s="34"/>
      <c r="AH104" s="2"/>
      <c r="AL104" s="2"/>
    </row>
    <row r="105" spans="1:40">
      <c r="A105" t="s">
        <v>613</v>
      </c>
      <c r="I105">
        <v>5</v>
      </c>
      <c r="V105" s="2"/>
      <c r="W105" s="2"/>
      <c r="X105" s="2"/>
      <c r="Y105" s="2"/>
      <c r="Z105" s="2"/>
      <c r="AA105" s="2"/>
      <c r="AB105" s="34"/>
      <c r="AC105" s="2"/>
      <c r="AD105" s="2"/>
      <c r="AF105" s="34"/>
      <c r="AG105" s="34"/>
      <c r="AH105" s="2"/>
      <c r="AL105" s="2"/>
      <c r="AN105" s="2"/>
    </row>
    <row r="106" spans="1:40">
      <c r="A106" s="31" t="s">
        <v>846</v>
      </c>
      <c r="H106">
        <v>4</v>
      </c>
      <c r="N106">
        <v>4</v>
      </c>
      <c r="V106" s="2"/>
      <c r="W106" s="2"/>
      <c r="X106" s="2"/>
      <c r="Y106" s="2"/>
      <c r="Z106" s="2"/>
      <c r="AA106" s="2"/>
      <c r="AB106" s="34"/>
      <c r="AC106" s="2"/>
      <c r="AD106" s="2"/>
      <c r="AF106" s="34"/>
      <c r="AG106" s="34"/>
      <c r="AH106" s="2"/>
      <c r="AL106" s="2"/>
    </row>
    <row r="107" spans="1:40">
      <c r="A107" s="31" t="s">
        <v>1105</v>
      </c>
      <c r="G107">
        <v>3</v>
      </c>
      <c r="N107">
        <v>13</v>
      </c>
      <c r="V107" s="2"/>
      <c r="W107" s="2"/>
      <c r="X107" s="2"/>
      <c r="Y107" s="2"/>
      <c r="Z107" s="2"/>
      <c r="AA107" s="2"/>
      <c r="AB107" s="34"/>
      <c r="AC107" s="2"/>
      <c r="AD107" s="2"/>
      <c r="AF107" s="34"/>
      <c r="AG107" s="34"/>
      <c r="AH107" s="2"/>
      <c r="AL107" s="2"/>
      <c r="AN107" s="2"/>
    </row>
    <row r="108" spans="1:40">
      <c r="A108" t="s">
        <v>617</v>
      </c>
      <c r="C108">
        <v>5</v>
      </c>
      <c r="V108" s="2"/>
      <c r="W108" s="2"/>
      <c r="X108" s="2"/>
      <c r="Y108" s="2"/>
      <c r="Z108" s="2"/>
      <c r="AA108" s="2"/>
      <c r="AB108" s="34"/>
      <c r="AC108" s="2"/>
      <c r="AD108" s="2"/>
      <c r="AF108" s="34"/>
      <c r="AG108" s="34"/>
      <c r="AH108" s="2"/>
      <c r="AL108" s="2"/>
      <c r="AN108" s="2">
        <v>0.05</v>
      </c>
    </row>
    <row r="109" spans="1:40">
      <c r="A109" t="s">
        <v>1014</v>
      </c>
      <c r="K109">
        <v>6</v>
      </c>
      <c r="S109">
        <v>3</v>
      </c>
      <c r="V109" s="2"/>
      <c r="W109" s="2"/>
      <c r="X109" s="2"/>
      <c r="Y109" s="2"/>
      <c r="Z109" s="2"/>
      <c r="AA109" s="2"/>
      <c r="AB109" s="34"/>
      <c r="AC109" s="2"/>
      <c r="AD109" s="2"/>
      <c r="AF109" s="34"/>
      <c r="AG109" s="34"/>
      <c r="AH109" s="2"/>
      <c r="AL109" s="2"/>
      <c r="AN109" s="2"/>
    </row>
    <row r="110" spans="1:40">
      <c r="A110" t="s">
        <v>1182</v>
      </c>
      <c r="K110">
        <v>4</v>
      </c>
      <c r="S110">
        <v>8</v>
      </c>
      <c r="T110">
        <v>4</v>
      </c>
      <c r="V110" s="2"/>
      <c r="W110" s="2"/>
      <c r="X110" s="2"/>
      <c r="Y110" s="2"/>
      <c r="Z110" s="2"/>
      <c r="AA110" s="2"/>
      <c r="AB110" s="34"/>
      <c r="AC110" s="2"/>
      <c r="AD110" s="2"/>
      <c r="AF110" s="34"/>
      <c r="AG110" s="34"/>
      <c r="AH110" s="2"/>
      <c r="AL110" s="2"/>
      <c r="AN110" s="2"/>
    </row>
    <row r="111" spans="1:40">
      <c r="A111" t="s">
        <v>1013</v>
      </c>
      <c r="L111">
        <v>4</v>
      </c>
      <c r="V111" s="2"/>
      <c r="W111" s="2"/>
      <c r="X111" s="2"/>
      <c r="Y111" s="2"/>
      <c r="Z111" s="2"/>
      <c r="AA111" s="2"/>
      <c r="AB111" s="34"/>
      <c r="AC111" s="2"/>
      <c r="AD111" s="2"/>
      <c r="AF111" s="34"/>
      <c r="AG111" s="34"/>
      <c r="AH111" s="2"/>
      <c r="AI111" s="2"/>
      <c r="AJ111" s="2"/>
      <c r="AK111" s="2"/>
      <c r="AL111" s="2"/>
    </row>
    <row r="112" spans="1:40">
      <c r="A112" t="s">
        <v>619</v>
      </c>
      <c r="O112">
        <v>4</v>
      </c>
      <c r="V112" s="2"/>
      <c r="W112" s="2"/>
      <c r="X112" s="2"/>
      <c r="Y112" s="2"/>
      <c r="Z112" s="2"/>
      <c r="AA112" s="2"/>
      <c r="AB112" s="34"/>
      <c r="AC112" s="2"/>
      <c r="AD112" s="2"/>
      <c r="AF112" s="34"/>
      <c r="AG112" s="34"/>
      <c r="AH112" s="2"/>
      <c r="AL112" s="2"/>
      <c r="AN112" s="2"/>
    </row>
    <row r="113" spans="1:40" s="31" customFormat="1">
      <c r="A113" s="31" t="s">
        <v>950</v>
      </c>
      <c r="J113" s="31">
        <v>3</v>
      </c>
      <c r="N113" s="31">
        <v>15</v>
      </c>
      <c r="O113" s="31">
        <v>15</v>
      </c>
      <c r="V113" s="12"/>
      <c r="W113" s="12"/>
      <c r="X113" s="12"/>
      <c r="Y113" s="12"/>
      <c r="Z113" s="12"/>
      <c r="AA113" s="12"/>
      <c r="AB113" s="48"/>
      <c r="AC113" s="12"/>
      <c r="AD113" s="12"/>
      <c r="AF113" s="48"/>
      <c r="AG113" s="12"/>
      <c r="AH113" s="12"/>
      <c r="AI113" s="48"/>
      <c r="AJ113" s="48"/>
      <c r="AK113" s="48"/>
      <c r="AL113" s="48"/>
    </row>
    <row r="114" spans="1:40">
      <c r="A114" t="s">
        <v>377</v>
      </c>
      <c r="H114">
        <v>2</v>
      </c>
      <c r="V114" s="2"/>
      <c r="W114" s="2"/>
      <c r="X114" s="2"/>
      <c r="Y114" s="2"/>
      <c r="Z114" s="2"/>
      <c r="AA114" s="2"/>
      <c r="AB114" s="34"/>
      <c r="AC114" s="2"/>
      <c r="AD114" s="2"/>
      <c r="AF114" s="34"/>
      <c r="AG114" s="34"/>
      <c r="AH114" s="2"/>
      <c r="AL114" s="2"/>
      <c r="AN114" s="2"/>
    </row>
    <row r="115" spans="1:40">
      <c r="A115" t="s">
        <v>113</v>
      </c>
      <c r="N115">
        <v>2</v>
      </c>
      <c r="O115">
        <v>2</v>
      </c>
      <c r="V115" s="2"/>
      <c r="W115" s="2"/>
      <c r="X115" s="2"/>
      <c r="Y115" s="2"/>
      <c r="Z115" s="2"/>
      <c r="AA115" s="2"/>
      <c r="AB115" s="34"/>
      <c r="AC115" s="2"/>
      <c r="AD115" s="2"/>
      <c r="AF115" s="34"/>
      <c r="AG115" s="34"/>
      <c r="AH115" s="2"/>
      <c r="AL115" s="2"/>
      <c r="AN115" s="2"/>
    </row>
    <row r="116" spans="1:40">
      <c r="A116" t="s">
        <v>670</v>
      </c>
      <c r="V116" s="2"/>
      <c r="W116" s="2"/>
      <c r="X116" s="2"/>
      <c r="Y116" s="2"/>
      <c r="Z116" s="2"/>
      <c r="AA116" s="2"/>
      <c r="AB116" s="34"/>
      <c r="AC116" s="2"/>
      <c r="AD116" s="2"/>
      <c r="AE116">
        <v>2</v>
      </c>
      <c r="AF116" s="34"/>
      <c r="AG116" s="34"/>
      <c r="AH116" s="2"/>
      <c r="AL116" s="2"/>
      <c r="AM116">
        <v>15</v>
      </c>
      <c r="AN116" s="2"/>
    </row>
    <row r="117" spans="1:40">
      <c r="AB117" s="34"/>
      <c r="AF117" s="34"/>
      <c r="AG117" s="34"/>
    </row>
    <row r="119" spans="1:40">
      <c r="A119" t="s">
        <v>16</v>
      </c>
      <c r="B119" t="s">
        <v>30</v>
      </c>
      <c r="C119" t="s">
        <v>616</v>
      </c>
      <c r="D119" s="31" t="s">
        <v>798</v>
      </c>
      <c r="E119" t="s">
        <v>769</v>
      </c>
      <c r="F119" s="31" t="s">
        <v>820</v>
      </c>
      <c r="G119" t="s">
        <v>3</v>
      </c>
      <c r="H119" t="s">
        <v>4</v>
      </c>
      <c r="I119" t="s">
        <v>5</v>
      </c>
      <c r="J119" t="s">
        <v>42</v>
      </c>
      <c r="K119" t="s">
        <v>269</v>
      </c>
      <c r="L119" t="s">
        <v>270</v>
      </c>
      <c r="M119" t="s">
        <v>271</v>
      </c>
      <c r="N119" t="s">
        <v>10</v>
      </c>
      <c r="O119" t="s">
        <v>9</v>
      </c>
      <c r="P119" t="s">
        <v>390</v>
      </c>
      <c r="Q119" t="s">
        <v>1017</v>
      </c>
      <c r="R119" t="s">
        <v>1018</v>
      </c>
      <c r="S119" t="s">
        <v>1019</v>
      </c>
      <c r="T119" s="34" t="s">
        <v>620</v>
      </c>
      <c r="U119" s="152" t="s">
        <v>1020</v>
      </c>
      <c r="V119" t="s">
        <v>12</v>
      </c>
      <c r="W119" t="s">
        <v>166</v>
      </c>
      <c r="X119" t="s">
        <v>311</v>
      </c>
      <c r="Y119" t="s">
        <v>766</v>
      </c>
      <c r="Z119" t="s">
        <v>767</v>
      </c>
      <c r="AA119" t="s">
        <v>141</v>
      </c>
      <c r="AB119" t="s">
        <v>11</v>
      </c>
      <c r="AC119" t="s">
        <v>137</v>
      </c>
      <c r="AD119" t="s">
        <v>136</v>
      </c>
      <c r="AE119" t="s">
        <v>13</v>
      </c>
      <c r="AF119" t="s">
        <v>134</v>
      </c>
      <c r="AG119" t="s">
        <v>240</v>
      </c>
      <c r="AH119" t="s">
        <v>173</v>
      </c>
      <c r="AI119" s="34" t="s">
        <v>718</v>
      </c>
      <c r="AJ119" s="34" t="s">
        <v>743</v>
      </c>
      <c r="AK119" s="152" t="s">
        <v>717</v>
      </c>
      <c r="AL119" t="s">
        <v>312</v>
      </c>
      <c r="AM119" t="s">
        <v>268</v>
      </c>
      <c r="AN119" t="s">
        <v>618</v>
      </c>
    </row>
    <row r="120" spans="1:40">
      <c r="A120" s="31" t="s">
        <v>1091</v>
      </c>
      <c r="G120">
        <v>19</v>
      </c>
      <c r="H120">
        <v>31</v>
      </c>
      <c r="I120">
        <v>15</v>
      </c>
      <c r="J120">
        <v>29</v>
      </c>
      <c r="K120">
        <v>14</v>
      </c>
      <c r="L120">
        <v>14</v>
      </c>
      <c r="M120">
        <v>14</v>
      </c>
      <c r="N120">
        <v>15</v>
      </c>
      <c r="O120">
        <v>26</v>
      </c>
      <c r="S120" s="34"/>
      <c r="V120" s="2"/>
      <c r="W120" s="2">
        <v>0.03</v>
      </c>
      <c r="X120" s="2"/>
      <c r="Y120" s="2"/>
      <c r="Z120" s="2"/>
      <c r="AA120" s="2"/>
      <c r="AB120" s="34">
        <v>81</v>
      </c>
      <c r="AC120" s="2"/>
      <c r="AD120" s="2">
        <v>0.05</v>
      </c>
      <c r="AE120" s="34"/>
      <c r="AF120" s="34"/>
      <c r="AG120" s="34"/>
      <c r="AH120" s="2"/>
      <c r="AI120" s="2"/>
      <c r="AJ120" s="2"/>
      <c r="AK120" s="2"/>
      <c r="AL120" s="2"/>
    </row>
    <row r="121" spans="1:40">
      <c r="A121" s="31" t="s">
        <v>1092</v>
      </c>
      <c r="G121">
        <v>29</v>
      </c>
      <c r="H121">
        <v>31</v>
      </c>
      <c r="I121">
        <v>15</v>
      </c>
      <c r="J121">
        <v>19</v>
      </c>
      <c r="K121">
        <v>14</v>
      </c>
      <c r="L121">
        <v>14</v>
      </c>
      <c r="M121">
        <v>14</v>
      </c>
      <c r="O121">
        <v>41</v>
      </c>
      <c r="S121" s="34"/>
      <c r="V121" s="2"/>
      <c r="W121" s="2">
        <v>0.03</v>
      </c>
      <c r="X121" s="2"/>
      <c r="Y121" s="2"/>
      <c r="Z121" s="2"/>
      <c r="AA121" s="2"/>
      <c r="AB121" s="34">
        <v>81</v>
      </c>
      <c r="AC121" s="2"/>
      <c r="AD121" s="2">
        <v>0.05</v>
      </c>
      <c r="AE121" s="34"/>
      <c r="AF121" s="34"/>
      <c r="AG121" s="34"/>
      <c r="AH121" s="2"/>
      <c r="AI121" s="2"/>
      <c r="AJ121" s="2"/>
      <c r="AK121" s="2"/>
      <c r="AL121" s="2"/>
    </row>
    <row r="122" spans="1:40">
      <c r="A122" s="31" t="s">
        <v>1086</v>
      </c>
      <c r="G122">
        <f>19+12</f>
        <v>31</v>
      </c>
      <c r="H122">
        <v>33</v>
      </c>
      <c r="I122">
        <v>15</v>
      </c>
      <c r="J122">
        <v>19</v>
      </c>
      <c r="K122">
        <v>14</v>
      </c>
      <c r="L122">
        <v>14</v>
      </c>
      <c r="M122">
        <v>14</v>
      </c>
      <c r="N122">
        <v>20</v>
      </c>
      <c r="O122">
        <v>36</v>
      </c>
      <c r="S122" s="34"/>
      <c r="V122" s="2"/>
      <c r="W122" s="2">
        <v>0.04</v>
      </c>
      <c r="X122" s="2"/>
      <c r="Y122" s="2"/>
      <c r="Z122" s="2"/>
      <c r="AA122" s="2"/>
      <c r="AB122" s="34">
        <v>81</v>
      </c>
      <c r="AC122" s="2"/>
      <c r="AD122" s="2">
        <v>0.06</v>
      </c>
      <c r="AE122" s="34"/>
      <c r="AF122" s="34"/>
      <c r="AG122" s="34"/>
      <c r="AH122" s="2"/>
      <c r="AI122" s="2"/>
      <c r="AJ122" s="2"/>
      <c r="AK122" s="2"/>
      <c r="AL122" s="2"/>
    </row>
    <row r="123" spans="1:40">
      <c r="A123" s="31" t="s">
        <v>1189</v>
      </c>
      <c r="G123">
        <v>25</v>
      </c>
      <c r="H123">
        <v>29</v>
      </c>
      <c r="I123">
        <v>25</v>
      </c>
      <c r="J123">
        <v>29</v>
      </c>
      <c r="K123">
        <v>28</v>
      </c>
      <c r="L123">
        <v>28</v>
      </c>
      <c r="M123">
        <v>26</v>
      </c>
      <c r="S123" s="34">
        <v>46</v>
      </c>
      <c r="T123">
        <v>23</v>
      </c>
      <c r="V123" s="2"/>
      <c r="W123" s="2"/>
      <c r="X123" s="2"/>
      <c r="Y123" s="2"/>
      <c r="Z123" s="2"/>
      <c r="AA123" s="2"/>
      <c r="AB123" s="34">
        <v>81</v>
      </c>
      <c r="AC123" s="2"/>
      <c r="AD123" s="2"/>
      <c r="AE123" s="34"/>
      <c r="AF123" s="34"/>
      <c r="AG123" s="34"/>
      <c r="AH123" s="2"/>
      <c r="AI123" s="2"/>
      <c r="AJ123" s="2"/>
      <c r="AK123" s="2"/>
      <c r="AL123" s="2"/>
    </row>
    <row r="124" spans="1:40">
      <c r="A124" s="31" t="s">
        <v>1190</v>
      </c>
      <c r="G124">
        <v>30</v>
      </c>
      <c r="H124">
        <v>34</v>
      </c>
      <c r="I124">
        <v>30</v>
      </c>
      <c r="J124">
        <v>34</v>
      </c>
      <c r="K124">
        <v>33</v>
      </c>
      <c r="L124">
        <v>33</v>
      </c>
      <c r="M124">
        <v>33</v>
      </c>
      <c r="S124" s="34">
        <v>56</v>
      </c>
      <c r="T124">
        <v>28</v>
      </c>
      <c r="V124" s="2"/>
      <c r="W124" s="2"/>
      <c r="X124" s="2"/>
      <c r="Y124" s="2"/>
      <c r="Z124" s="2"/>
      <c r="AA124" s="2"/>
      <c r="AB124" s="34">
        <v>81</v>
      </c>
      <c r="AC124" s="2"/>
      <c r="AD124" s="2"/>
      <c r="AE124" s="34"/>
      <c r="AF124" s="34"/>
      <c r="AG124" s="34"/>
      <c r="AH124" s="2"/>
      <c r="AI124" s="2"/>
      <c r="AJ124" s="2"/>
      <c r="AK124" s="2"/>
      <c r="AL124" s="2"/>
    </row>
    <row r="125" spans="1:40">
      <c r="A125" s="31" t="s">
        <v>1132</v>
      </c>
      <c r="G125">
        <v>16</v>
      </c>
      <c r="H125">
        <v>16</v>
      </c>
      <c r="I125">
        <v>16</v>
      </c>
      <c r="J125">
        <v>16</v>
      </c>
      <c r="K125">
        <v>16</v>
      </c>
      <c r="L125">
        <v>16</v>
      </c>
      <c r="M125">
        <v>16</v>
      </c>
      <c r="N125">
        <v>8</v>
      </c>
      <c r="S125" s="34"/>
      <c r="V125" s="2">
        <v>0.03</v>
      </c>
      <c r="W125" s="2"/>
      <c r="X125" s="2"/>
      <c r="Y125" s="2"/>
      <c r="Z125" s="2"/>
      <c r="AA125" s="2"/>
      <c r="AB125" s="34">
        <v>81</v>
      </c>
      <c r="AC125" s="2"/>
      <c r="AD125" s="2"/>
      <c r="AE125" s="34"/>
      <c r="AF125" s="34"/>
      <c r="AG125" s="34"/>
      <c r="AH125" s="2"/>
      <c r="AI125" s="2"/>
      <c r="AJ125" s="2"/>
      <c r="AK125" s="2"/>
      <c r="AL125" s="2"/>
    </row>
    <row r="126" spans="1:40">
      <c r="A126" s="31" t="s">
        <v>1114</v>
      </c>
      <c r="G126">
        <v>25</v>
      </c>
      <c r="H126">
        <v>35</v>
      </c>
      <c r="I126">
        <v>25</v>
      </c>
      <c r="J126">
        <v>21</v>
      </c>
      <c r="K126">
        <v>25</v>
      </c>
      <c r="L126">
        <f>21+15</f>
        <v>36</v>
      </c>
      <c r="M126">
        <v>21</v>
      </c>
      <c r="N126">
        <f>28+10</f>
        <v>38</v>
      </c>
      <c r="S126" s="34">
        <v>28</v>
      </c>
      <c r="V126" s="2"/>
      <c r="W126" s="2"/>
      <c r="X126" s="2"/>
      <c r="Y126" s="2"/>
      <c r="Z126" s="2"/>
      <c r="AA126" s="2"/>
      <c r="AB126" s="34">
        <v>81</v>
      </c>
      <c r="AC126" s="2"/>
      <c r="AD126" s="2"/>
      <c r="AE126" s="34"/>
      <c r="AF126" s="34"/>
      <c r="AG126" s="34"/>
      <c r="AH126" s="2"/>
      <c r="AI126" s="2"/>
      <c r="AJ126" s="2"/>
      <c r="AK126" s="2"/>
      <c r="AL126" s="2"/>
    </row>
    <row r="127" spans="1:40">
      <c r="A127" s="31" t="s">
        <v>1111</v>
      </c>
      <c r="G127">
        <v>25</v>
      </c>
      <c r="H127">
        <v>25</v>
      </c>
      <c r="I127">
        <v>25</v>
      </c>
      <c r="J127">
        <v>21</v>
      </c>
      <c r="K127">
        <v>25</v>
      </c>
      <c r="L127">
        <v>21</v>
      </c>
      <c r="M127">
        <v>21</v>
      </c>
      <c r="N127">
        <f>28+15</f>
        <v>43</v>
      </c>
      <c r="S127" s="34">
        <v>38</v>
      </c>
      <c r="V127" s="2"/>
      <c r="W127" s="2"/>
      <c r="X127" s="2"/>
      <c r="Y127" s="2"/>
      <c r="Z127" s="2"/>
      <c r="AA127" s="2"/>
      <c r="AB127" s="34">
        <v>81</v>
      </c>
      <c r="AC127" s="2"/>
      <c r="AD127" s="2"/>
      <c r="AE127" s="34"/>
      <c r="AF127" s="34"/>
      <c r="AG127" s="34"/>
      <c r="AH127" s="2"/>
      <c r="AI127" s="2"/>
      <c r="AJ127" s="2"/>
      <c r="AK127" s="2"/>
      <c r="AL127" s="2"/>
    </row>
    <row r="128" spans="1:40">
      <c r="A128" s="31" t="s">
        <v>1191</v>
      </c>
      <c r="G128">
        <v>25</v>
      </c>
      <c r="H128">
        <f>25+12</f>
        <v>37</v>
      </c>
      <c r="I128">
        <v>25</v>
      </c>
      <c r="J128">
        <v>21</v>
      </c>
      <c r="K128">
        <v>26</v>
      </c>
      <c r="L128">
        <f>21+20</f>
        <v>41</v>
      </c>
      <c r="M128">
        <v>21</v>
      </c>
      <c r="N128">
        <f>38+12</f>
        <v>50</v>
      </c>
      <c r="S128" s="34">
        <v>50</v>
      </c>
      <c r="V128" s="2"/>
      <c r="W128" s="2"/>
      <c r="X128" s="2"/>
      <c r="Y128" s="2"/>
      <c r="Z128" s="2"/>
      <c r="AA128" s="2"/>
      <c r="AB128" s="34">
        <v>81</v>
      </c>
      <c r="AC128" s="2"/>
      <c r="AD128" s="2"/>
      <c r="AE128" s="34"/>
      <c r="AF128" s="34"/>
      <c r="AG128" s="34"/>
      <c r="AH128" s="2"/>
      <c r="AI128" s="2"/>
      <c r="AJ128" s="2"/>
      <c r="AK128" s="2"/>
      <c r="AL128" s="2"/>
    </row>
    <row r="129" spans="1:38">
      <c r="A129" s="31" t="s">
        <v>1160</v>
      </c>
      <c r="G129">
        <v>25</v>
      </c>
      <c r="H129">
        <v>25</v>
      </c>
      <c r="I129">
        <v>25</v>
      </c>
      <c r="J129">
        <v>21</v>
      </c>
      <c r="K129">
        <v>26</v>
      </c>
      <c r="L129">
        <v>21</v>
      </c>
      <c r="M129">
        <v>21</v>
      </c>
      <c r="N129">
        <v>58</v>
      </c>
      <c r="S129" s="34">
        <v>50</v>
      </c>
      <c r="V129" s="2"/>
      <c r="W129" s="2"/>
      <c r="X129" s="2"/>
      <c r="Y129" s="2"/>
      <c r="Z129" s="2"/>
      <c r="AA129" s="2"/>
      <c r="AB129" s="34">
        <v>81</v>
      </c>
      <c r="AC129" s="2"/>
      <c r="AD129" s="2"/>
      <c r="AE129" s="34"/>
      <c r="AF129" s="34"/>
      <c r="AG129" s="34"/>
      <c r="AH129" s="2"/>
      <c r="AI129" s="2"/>
      <c r="AJ129" s="2"/>
      <c r="AK129" s="2"/>
      <c r="AL129" s="2"/>
    </row>
    <row r="130" spans="1:38">
      <c r="A130" s="31" t="s">
        <v>1047</v>
      </c>
      <c r="G130">
        <v>18</v>
      </c>
      <c r="H130">
        <f>24+10</f>
        <v>34</v>
      </c>
      <c r="I130">
        <v>18</v>
      </c>
      <c r="J130">
        <v>20</v>
      </c>
      <c r="K130">
        <v>18</v>
      </c>
      <c r="L130">
        <v>22</v>
      </c>
      <c r="M130">
        <v>18</v>
      </c>
      <c r="N130">
        <f>20+15</f>
        <v>35</v>
      </c>
      <c r="S130" s="34">
        <v>35</v>
      </c>
      <c r="V130" s="2"/>
      <c r="W130" s="2"/>
      <c r="X130" s="2">
        <v>0.03</v>
      </c>
      <c r="Y130" s="2"/>
      <c r="Z130" s="2"/>
      <c r="AA130" s="2"/>
      <c r="AB130" s="34">
        <v>71</v>
      </c>
      <c r="AC130" s="2"/>
      <c r="AD130" s="2"/>
      <c r="AE130" s="34"/>
      <c r="AF130" s="34"/>
      <c r="AG130" s="34"/>
      <c r="AH130" s="2"/>
      <c r="AI130" s="2"/>
      <c r="AJ130" s="2"/>
      <c r="AK130" s="2"/>
      <c r="AL130" s="2"/>
    </row>
    <row r="131" spans="1:38">
      <c r="A131" s="31" t="s">
        <v>935</v>
      </c>
      <c r="G131">
        <v>16</v>
      </c>
      <c r="H131">
        <v>16</v>
      </c>
      <c r="I131">
        <v>16</v>
      </c>
      <c r="J131">
        <v>16</v>
      </c>
      <c r="K131">
        <v>21</v>
      </c>
      <c r="L131">
        <v>21</v>
      </c>
      <c r="M131">
        <v>21</v>
      </c>
      <c r="S131" s="34"/>
      <c r="T131">
        <v>13</v>
      </c>
      <c r="V131" s="2"/>
      <c r="W131" s="2"/>
      <c r="X131" s="2"/>
      <c r="Y131" s="2"/>
      <c r="Z131" s="2"/>
      <c r="AA131" s="2"/>
      <c r="AB131" s="34">
        <v>61</v>
      </c>
      <c r="AC131" s="2"/>
      <c r="AD131" s="2"/>
      <c r="AE131" s="34"/>
      <c r="AF131" s="34"/>
      <c r="AG131" s="34"/>
      <c r="AH131" s="2"/>
      <c r="AI131" s="2"/>
      <c r="AJ131" s="2"/>
      <c r="AK131" s="2"/>
      <c r="AL131" s="2"/>
    </row>
    <row r="132" spans="1:38">
      <c r="A132" s="31" t="s">
        <v>1058</v>
      </c>
      <c r="G132">
        <v>17</v>
      </c>
      <c r="H132">
        <v>17</v>
      </c>
      <c r="I132">
        <v>17</v>
      </c>
      <c r="J132">
        <v>17</v>
      </c>
      <c r="K132">
        <f>21+10</f>
        <v>31</v>
      </c>
      <c r="L132">
        <v>22</v>
      </c>
      <c r="M132">
        <v>22</v>
      </c>
      <c r="S132" s="34">
        <f>7+20</f>
        <v>27</v>
      </c>
      <c r="T132">
        <f>7+20</f>
        <v>27</v>
      </c>
      <c r="V132" s="2"/>
      <c r="W132" s="2"/>
      <c r="X132" s="2"/>
      <c r="Y132" s="2"/>
      <c r="Z132" s="2"/>
      <c r="AA132" s="2"/>
      <c r="AB132" s="34">
        <v>61</v>
      </c>
      <c r="AC132" s="2"/>
      <c r="AD132" s="2"/>
      <c r="AE132" s="34"/>
      <c r="AF132" s="34"/>
      <c r="AG132" s="34"/>
      <c r="AH132" s="2"/>
      <c r="AI132" s="2"/>
      <c r="AJ132" s="2"/>
      <c r="AK132" s="2"/>
      <c r="AL132" s="2"/>
    </row>
    <row r="133" spans="1:38">
      <c r="A133" s="31" t="s">
        <v>1087</v>
      </c>
      <c r="G133">
        <v>22</v>
      </c>
      <c r="H133">
        <v>28</v>
      </c>
      <c r="I133">
        <v>18</v>
      </c>
      <c r="J133">
        <v>25</v>
      </c>
      <c r="K133">
        <v>20</v>
      </c>
      <c r="L133">
        <v>16</v>
      </c>
      <c r="M133">
        <v>17</v>
      </c>
      <c r="O133">
        <v>15</v>
      </c>
      <c r="S133" s="34"/>
      <c r="T133">
        <v>10</v>
      </c>
      <c r="V133" s="2"/>
      <c r="W133" s="2"/>
      <c r="X133" s="2"/>
      <c r="Y133" s="2"/>
      <c r="Z133" s="2"/>
      <c r="AA133" s="2"/>
      <c r="AB133" s="34">
        <v>81</v>
      </c>
      <c r="AC133" s="2"/>
      <c r="AD133" s="2"/>
      <c r="AE133" s="34"/>
      <c r="AF133" s="34"/>
      <c r="AG133" s="34"/>
      <c r="AH133" s="2"/>
      <c r="AI133" s="2"/>
      <c r="AJ133" s="2"/>
      <c r="AK133" s="2"/>
      <c r="AL133" s="2"/>
    </row>
    <row r="134" spans="1:38">
      <c r="A134" s="31" t="s">
        <v>1188</v>
      </c>
      <c r="G134">
        <v>32</v>
      </c>
      <c r="H134">
        <v>28</v>
      </c>
      <c r="I134">
        <v>18</v>
      </c>
      <c r="J134">
        <v>25</v>
      </c>
      <c r="K134">
        <v>20</v>
      </c>
      <c r="L134">
        <v>16</v>
      </c>
      <c r="M134">
        <v>17</v>
      </c>
      <c r="O134">
        <v>27</v>
      </c>
      <c r="S134" s="34"/>
      <c r="T134">
        <v>10</v>
      </c>
      <c r="V134" s="2"/>
      <c r="W134" s="2">
        <v>0.04</v>
      </c>
      <c r="X134" s="2"/>
      <c r="Y134" s="2"/>
      <c r="Z134" s="2"/>
      <c r="AA134" s="2"/>
      <c r="AB134" s="34">
        <v>81</v>
      </c>
      <c r="AC134" s="2"/>
      <c r="AD134" s="2"/>
      <c r="AE134" s="34"/>
      <c r="AF134" s="34"/>
      <c r="AG134" s="34"/>
      <c r="AH134" s="2"/>
      <c r="AI134" s="2"/>
      <c r="AJ134" s="2"/>
      <c r="AK134" s="2"/>
      <c r="AL134" s="2"/>
    </row>
    <row r="135" spans="1:38">
      <c r="A135" s="31" t="s">
        <v>1153</v>
      </c>
      <c r="G135">
        <f>22+13</f>
        <v>35</v>
      </c>
      <c r="H135">
        <v>28</v>
      </c>
      <c r="I135">
        <v>18</v>
      </c>
      <c r="J135">
        <v>25</v>
      </c>
      <c r="K135">
        <v>24</v>
      </c>
      <c r="L135">
        <v>20</v>
      </c>
      <c r="M135">
        <v>21</v>
      </c>
      <c r="N135">
        <v>12</v>
      </c>
      <c r="O135">
        <v>25</v>
      </c>
      <c r="S135" s="34"/>
      <c r="T135">
        <v>10</v>
      </c>
      <c r="V135" s="2"/>
      <c r="W135" s="2"/>
      <c r="X135" s="2"/>
      <c r="Y135" s="2"/>
      <c r="Z135" s="2"/>
      <c r="AA135" s="2"/>
      <c r="AB135" s="34">
        <v>81</v>
      </c>
      <c r="AC135" s="2"/>
      <c r="AD135" s="2"/>
      <c r="AE135" s="34"/>
      <c r="AF135" s="34"/>
      <c r="AG135" s="34"/>
      <c r="AH135" s="2">
        <v>0.02</v>
      </c>
      <c r="AI135" s="2"/>
      <c r="AJ135" s="2"/>
      <c r="AK135" s="2"/>
      <c r="AL135" s="2"/>
    </row>
    <row r="136" spans="1:38">
      <c r="A136" s="31" t="s">
        <v>1173</v>
      </c>
      <c r="G136">
        <f>22+10</f>
        <v>32</v>
      </c>
      <c r="H136">
        <v>28</v>
      </c>
      <c r="I136">
        <v>18</v>
      </c>
      <c r="J136">
        <v>25</v>
      </c>
      <c r="K136">
        <v>20</v>
      </c>
      <c r="L136">
        <v>16</v>
      </c>
      <c r="M136">
        <v>17</v>
      </c>
      <c r="N136">
        <v>40</v>
      </c>
      <c r="O136">
        <v>55</v>
      </c>
      <c r="S136" s="34"/>
      <c r="T136">
        <v>10</v>
      </c>
      <c r="V136" s="2"/>
      <c r="W136" s="2"/>
      <c r="X136" s="2"/>
      <c r="Y136" s="2"/>
      <c r="Z136" s="2"/>
      <c r="AA136" s="2">
        <v>0.05</v>
      </c>
      <c r="AB136" s="34">
        <v>81</v>
      </c>
      <c r="AC136" s="2"/>
      <c r="AD136" s="2"/>
      <c r="AE136" s="34"/>
      <c r="AF136" s="34"/>
      <c r="AG136" s="34"/>
      <c r="AH136" s="2"/>
      <c r="AI136" s="2"/>
      <c r="AJ136" s="2"/>
      <c r="AK136" s="2"/>
      <c r="AL136" s="2"/>
    </row>
    <row r="137" spans="1:38">
      <c r="A137" s="31" t="s">
        <v>1150</v>
      </c>
      <c r="G137">
        <v>22</v>
      </c>
      <c r="H137">
        <f>28+10</f>
        <v>38</v>
      </c>
      <c r="I137">
        <v>18</v>
      </c>
      <c r="J137">
        <v>25</v>
      </c>
      <c r="K137">
        <v>20</v>
      </c>
      <c r="L137">
        <v>16</v>
      </c>
      <c r="M137">
        <v>17</v>
      </c>
      <c r="N137">
        <v>40</v>
      </c>
      <c r="O137">
        <v>55</v>
      </c>
      <c r="S137" s="34"/>
      <c r="T137">
        <v>10</v>
      </c>
      <c r="V137" s="2"/>
      <c r="W137" s="2"/>
      <c r="X137" s="2"/>
      <c r="Y137" s="2"/>
      <c r="Z137" s="2"/>
      <c r="AA137" s="2"/>
      <c r="AB137" s="34">
        <v>81</v>
      </c>
      <c r="AC137" s="2"/>
      <c r="AD137" s="2">
        <v>0.05</v>
      </c>
      <c r="AE137" s="34"/>
      <c r="AF137" s="34"/>
      <c r="AG137" s="34"/>
      <c r="AH137" s="2"/>
      <c r="AI137" s="2"/>
      <c r="AJ137" s="2"/>
      <c r="AK137" s="2"/>
      <c r="AL137" s="2"/>
    </row>
    <row r="138" spans="1:38">
      <c r="A138" s="31" t="s">
        <v>1151</v>
      </c>
      <c r="G138">
        <f>22+10</f>
        <v>32</v>
      </c>
      <c r="H138">
        <v>28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40</v>
      </c>
      <c r="O138">
        <v>55</v>
      </c>
      <c r="S138" s="34"/>
      <c r="T138">
        <v>10</v>
      </c>
      <c r="V138" s="2"/>
      <c r="W138" s="2">
        <v>0.04</v>
      </c>
      <c r="X138" s="2"/>
      <c r="Y138" s="2"/>
      <c r="Z138" s="2"/>
      <c r="AA138" s="2"/>
      <c r="AB138" s="34">
        <v>81</v>
      </c>
      <c r="AC138" s="2"/>
      <c r="AD138" s="2"/>
      <c r="AE138" s="34"/>
      <c r="AF138" s="34"/>
      <c r="AG138" s="34"/>
      <c r="AH138" s="2"/>
      <c r="AI138" s="2"/>
      <c r="AJ138" s="2"/>
      <c r="AK138" s="2"/>
      <c r="AL138" s="2"/>
    </row>
    <row r="139" spans="1:38">
      <c r="A139" s="31" t="s">
        <v>1152</v>
      </c>
      <c r="G139">
        <f>22+15</f>
        <v>37</v>
      </c>
      <c r="H139">
        <v>28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40</v>
      </c>
      <c r="O139">
        <v>55</v>
      </c>
      <c r="S139" s="34"/>
      <c r="T139">
        <v>10</v>
      </c>
      <c r="V139" s="2"/>
      <c r="W139" s="2"/>
      <c r="X139" s="2"/>
      <c r="Y139" s="2"/>
      <c r="Z139" s="2"/>
      <c r="AA139" s="2"/>
      <c r="AB139" s="34">
        <v>81</v>
      </c>
      <c r="AC139" s="2"/>
      <c r="AD139" s="2"/>
      <c r="AE139" s="34"/>
      <c r="AF139" s="34"/>
      <c r="AG139" s="34"/>
      <c r="AH139" s="2">
        <v>0.04</v>
      </c>
      <c r="AI139" s="2"/>
      <c r="AJ139" s="2"/>
      <c r="AK139" s="2"/>
      <c r="AL139" s="2"/>
    </row>
    <row r="140" spans="1:38">
      <c r="A140" s="31" t="s">
        <v>895</v>
      </c>
      <c r="G140">
        <v>18</v>
      </c>
      <c r="H140">
        <v>22</v>
      </c>
      <c r="I140">
        <v>18</v>
      </c>
      <c r="J140">
        <v>22</v>
      </c>
      <c r="K140">
        <v>18</v>
      </c>
      <c r="L140">
        <v>18</v>
      </c>
      <c r="M140">
        <v>19</v>
      </c>
      <c r="N140">
        <v>10</v>
      </c>
      <c r="V140" s="2">
        <v>0.02</v>
      </c>
      <c r="W140" s="2">
        <v>0.02</v>
      </c>
      <c r="X140" s="2"/>
      <c r="Y140" s="2"/>
      <c r="Z140" s="2"/>
      <c r="AA140" s="2"/>
      <c r="AB140" s="34">
        <v>71</v>
      </c>
      <c r="AC140" s="2"/>
      <c r="AD140" s="2"/>
      <c r="AE140" s="34"/>
      <c r="AF140" s="2"/>
      <c r="AG140" s="34"/>
      <c r="AH140" s="2"/>
      <c r="AL140" s="2"/>
    </row>
    <row r="141" spans="1:38">
      <c r="A141" s="31" t="s">
        <v>1179</v>
      </c>
      <c r="G141">
        <v>28</v>
      </c>
      <c r="H141">
        <v>24</v>
      </c>
      <c r="I141">
        <v>7</v>
      </c>
      <c r="J141">
        <v>1</v>
      </c>
      <c r="K141">
        <v>33</v>
      </c>
      <c r="L141">
        <v>21</v>
      </c>
      <c r="M141">
        <v>20</v>
      </c>
      <c r="N141">
        <v>38</v>
      </c>
      <c r="O141">
        <v>38</v>
      </c>
      <c r="S141">
        <v>38</v>
      </c>
      <c r="T141">
        <v>38</v>
      </c>
      <c r="V141" s="2"/>
      <c r="W141" s="2"/>
      <c r="X141" s="2"/>
      <c r="Y141" s="2"/>
      <c r="Z141" s="2"/>
      <c r="AA141" s="2"/>
      <c r="AB141" s="34">
        <v>31</v>
      </c>
      <c r="AC141" s="2"/>
      <c r="AD141" s="2"/>
      <c r="AE141" s="34"/>
      <c r="AF141" s="2"/>
      <c r="AG141" s="34"/>
      <c r="AH141" s="2"/>
      <c r="AL141" s="2"/>
    </row>
    <row r="142" spans="1:38">
      <c r="A142" s="31" t="s">
        <v>1195</v>
      </c>
      <c r="G142">
        <v>31</v>
      </c>
      <c r="H142">
        <v>27</v>
      </c>
      <c r="I142">
        <v>7</v>
      </c>
      <c r="J142">
        <v>1</v>
      </c>
      <c r="K142">
        <v>36</v>
      </c>
      <c r="L142">
        <v>21</v>
      </c>
      <c r="M142">
        <v>20</v>
      </c>
      <c r="N142">
        <v>44</v>
      </c>
      <c r="O142">
        <v>44</v>
      </c>
      <c r="S142">
        <v>44</v>
      </c>
      <c r="T142">
        <v>41</v>
      </c>
      <c r="V142" s="2"/>
      <c r="W142" s="2"/>
      <c r="X142" s="2"/>
      <c r="Y142" s="2"/>
      <c r="Z142" s="2"/>
      <c r="AA142" s="2"/>
      <c r="AB142" s="34">
        <v>31</v>
      </c>
      <c r="AC142" s="2"/>
      <c r="AD142" s="2"/>
      <c r="AE142" s="34"/>
      <c r="AF142" s="2"/>
      <c r="AG142" s="34"/>
      <c r="AH142" s="2"/>
      <c r="AL142" s="2"/>
    </row>
    <row r="143" spans="1:38">
      <c r="A143" s="31" t="s">
        <v>1048</v>
      </c>
      <c r="G143">
        <f>22+10</f>
        <v>32</v>
      </c>
      <c r="H143">
        <f>26+10</f>
        <v>36</v>
      </c>
      <c r="I143">
        <v>18</v>
      </c>
      <c r="J143">
        <v>22</v>
      </c>
      <c r="K143">
        <v>18</v>
      </c>
      <c r="L143">
        <v>18</v>
      </c>
      <c r="M143">
        <v>19</v>
      </c>
      <c r="O143">
        <v>35</v>
      </c>
      <c r="V143" s="2"/>
      <c r="W143" s="2"/>
      <c r="X143" s="2"/>
      <c r="Y143" s="2"/>
      <c r="Z143" s="2"/>
      <c r="AA143" s="2"/>
      <c r="AB143" s="34">
        <v>81</v>
      </c>
      <c r="AC143" s="2"/>
      <c r="AD143" s="2"/>
      <c r="AE143" s="34"/>
      <c r="AF143" s="2"/>
      <c r="AG143" s="34"/>
      <c r="AH143" s="2">
        <v>0.01</v>
      </c>
      <c r="AL143" s="2"/>
    </row>
    <row r="144" spans="1:38">
      <c r="A144" s="31" t="s">
        <v>903</v>
      </c>
      <c r="G144">
        <v>20</v>
      </c>
      <c r="H144">
        <v>19</v>
      </c>
      <c r="I144">
        <v>20</v>
      </c>
      <c r="J144">
        <v>19</v>
      </c>
      <c r="K144">
        <v>20</v>
      </c>
      <c r="L144">
        <v>20</v>
      </c>
      <c r="M144">
        <v>16</v>
      </c>
      <c r="S144" s="2"/>
      <c r="T144" s="34"/>
      <c r="U144" s="34"/>
      <c r="V144" s="2"/>
      <c r="W144" s="2"/>
      <c r="X144" s="2"/>
      <c r="Y144" s="2"/>
      <c r="Z144" s="2"/>
      <c r="AA144" s="2"/>
      <c r="AB144" s="34">
        <v>81</v>
      </c>
      <c r="AC144" s="2"/>
      <c r="AD144" s="2"/>
      <c r="AE144" s="34"/>
      <c r="AF144" s="2"/>
      <c r="AG144" s="2"/>
      <c r="AH144" s="2"/>
      <c r="AL144" s="34"/>
    </row>
    <row r="145" spans="1:40">
      <c r="A145" s="31" t="s">
        <v>1083</v>
      </c>
      <c r="G145">
        <f>18+7</f>
        <v>25</v>
      </c>
      <c r="H145">
        <f>26+10</f>
        <v>36</v>
      </c>
      <c r="I145">
        <v>18</v>
      </c>
      <c r="J145">
        <v>26</v>
      </c>
      <c r="K145">
        <f>18+7</f>
        <v>25</v>
      </c>
      <c r="L145">
        <v>18</v>
      </c>
      <c r="M145">
        <v>19</v>
      </c>
      <c r="O145">
        <v>18</v>
      </c>
      <c r="S145" s="2"/>
      <c r="T145" s="34"/>
      <c r="U145" s="34"/>
      <c r="V145" s="2"/>
      <c r="W145" s="2"/>
      <c r="X145" s="2"/>
      <c r="Y145" s="2"/>
      <c r="Z145" s="2"/>
      <c r="AA145" s="2"/>
      <c r="AB145" s="34">
        <v>81</v>
      </c>
      <c r="AC145" s="2"/>
      <c r="AD145" s="2"/>
      <c r="AE145" s="34"/>
      <c r="AF145" s="2"/>
      <c r="AG145" s="2"/>
      <c r="AH145" s="2"/>
      <c r="AL145" s="34"/>
    </row>
    <row r="146" spans="1:40">
      <c r="A146" s="31" t="s">
        <v>1044</v>
      </c>
      <c r="B146" s="31"/>
      <c r="C146" s="31"/>
      <c r="D146" s="31"/>
      <c r="E146" s="31"/>
      <c r="F146" s="31"/>
      <c r="G146" s="31">
        <v>16</v>
      </c>
      <c r="H146" s="31">
        <v>23</v>
      </c>
      <c r="I146" s="31">
        <v>16</v>
      </c>
      <c r="J146" s="31">
        <v>23</v>
      </c>
      <c r="K146" s="31">
        <v>16</v>
      </c>
      <c r="L146" s="31">
        <v>16</v>
      </c>
      <c r="M146" s="31">
        <v>17</v>
      </c>
      <c r="N146" s="31">
        <v>10</v>
      </c>
      <c r="O146" s="31"/>
      <c r="V146" s="12"/>
      <c r="W146" s="12"/>
      <c r="X146" s="12"/>
      <c r="Y146" s="12"/>
      <c r="Z146" s="12"/>
      <c r="AA146" s="12"/>
      <c r="AB146" s="48">
        <v>81</v>
      </c>
      <c r="AC146" s="12">
        <v>0.02</v>
      </c>
      <c r="AD146" s="12"/>
      <c r="AE146" s="34"/>
      <c r="AF146" s="12"/>
      <c r="AG146" s="34"/>
      <c r="AH146" s="12"/>
      <c r="AI146" s="48"/>
      <c r="AJ146" s="48"/>
      <c r="AK146" s="48"/>
      <c r="AL146" s="12"/>
    </row>
    <row r="147" spans="1:40">
      <c r="A147" s="31" t="s">
        <v>1071</v>
      </c>
      <c r="B147" s="31"/>
      <c r="C147" s="31"/>
      <c r="D147" s="31"/>
      <c r="E147" s="31"/>
      <c r="F147" s="31"/>
      <c r="G147" s="31">
        <v>16</v>
      </c>
      <c r="H147" s="31">
        <v>33</v>
      </c>
      <c r="I147" s="31">
        <v>16</v>
      </c>
      <c r="J147" s="31">
        <v>23</v>
      </c>
      <c r="K147" s="31">
        <v>16</v>
      </c>
      <c r="L147" s="31">
        <v>16</v>
      </c>
      <c r="M147" s="31">
        <v>17</v>
      </c>
      <c r="N147" s="31">
        <v>33</v>
      </c>
      <c r="O147" s="31"/>
      <c r="V147" s="12"/>
      <c r="W147" s="12"/>
      <c r="X147" s="12"/>
      <c r="Y147" s="12"/>
      <c r="Z147" s="12"/>
      <c r="AA147" s="12">
        <v>0.04</v>
      </c>
      <c r="AB147" s="48">
        <v>81</v>
      </c>
      <c r="AC147" s="12">
        <v>0.02</v>
      </c>
      <c r="AD147" s="12"/>
      <c r="AE147" s="34"/>
      <c r="AF147" s="12"/>
      <c r="AG147" s="34"/>
      <c r="AH147" s="12"/>
      <c r="AI147" s="48"/>
      <c r="AJ147" s="48"/>
      <c r="AK147" s="48"/>
      <c r="AL147" s="12"/>
    </row>
    <row r="148" spans="1:40">
      <c r="A148" s="31" t="s">
        <v>1045</v>
      </c>
      <c r="B148" s="31"/>
      <c r="C148" s="31"/>
      <c r="D148" s="31"/>
      <c r="E148" s="31"/>
      <c r="F148" s="31"/>
      <c r="G148" s="31">
        <f>16+7</f>
        <v>23</v>
      </c>
      <c r="H148" s="31">
        <f>23+7</f>
        <v>30</v>
      </c>
      <c r="I148" s="31">
        <v>16</v>
      </c>
      <c r="J148" s="31">
        <v>23</v>
      </c>
      <c r="K148" s="31">
        <v>16</v>
      </c>
      <c r="L148" s="31">
        <v>16</v>
      </c>
      <c r="M148" s="31">
        <v>17</v>
      </c>
      <c r="N148" s="31">
        <v>30</v>
      </c>
      <c r="O148" s="31">
        <v>20</v>
      </c>
      <c r="V148" s="12"/>
      <c r="W148" s="12">
        <v>0.02</v>
      </c>
      <c r="X148" s="12"/>
      <c r="Y148" s="12"/>
      <c r="Z148" s="12"/>
      <c r="AA148" s="12"/>
      <c r="AB148" s="48">
        <v>81</v>
      </c>
      <c r="AC148" s="12">
        <v>0.02</v>
      </c>
      <c r="AD148" s="12"/>
      <c r="AE148" s="34"/>
      <c r="AF148" s="12"/>
      <c r="AG148" s="34"/>
      <c r="AH148" s="12"/>
      <c r="AI148" s="48"/>
      <c r="AJ148" s="48"/>
      <c r="AK148" s="48"/>
      <c r="AL148" s="12"/>
    </row>
    <row r="149" spans="1:40">
      <c r="A149" s="31" t="s">
        <v>1046</v>
      </c>
      <c r="B149" s="31"/>
      <c r="C149" s="31"/>
      <c r="D149" s="31"/>
      <c r="E149" s="31"/>
      <c r="F149" s="31"/>
      <c r="G149" s="31">
        <f>16+7</f>
        <v>23</v>
      </c>
      <c r="H149" s="31">
        <f>23+7</f>
        <v>30</v>
      </c>
      <c r="I149" s="31">
        <v>16</v>
      </c>
      <c r="J149" s="31">
        <v>23</v>
      </c>
      <c r="K149" s="31">
        <v>16</v>
      </c>
      <c r="L149" s="31">
        <v>16</v>
      </c>
      <c r="M149" s="31">
        <v>17</v>
      </c>
      <c r="N149" s="31">
        <v>30</v>
      </c>
      <c r="O149" s="31">
        <v>20</v>
      </c>
      <c r="V149" s="12"/>
      <c r="W149" s="12"/>
      <c r="X149" s="12"/>
      <c r="Y149" s="12"/>
      <c r="Z149" s="12"/>
      <c r="AA149" s="12">
        <v>0.05</v>
      </c>
      <c r="AB149" s="48">
        <v>81</v>
      </c>
      <c r="AC149" s="12">
        <v>0.02</v>
      </c>
      <c r="AD149" s="12"/>
      <c r="AE149" s="34"/>
      <c r="AF149" s="12"/>
      <c r="AG149" s="34"/>
      <c r="AH149" s="12"/>
      <c r="AI149" s="48"/>
      <c r="AJ149" s="48"/>
      <c r="AK149" s="48"/>
      <c r="AL149" s="12"/>
    </row>
    <row r="150" spans="1:40" s="137" customFormat="1" ht="14.25">
      <c r="A150" s="31" t="s">
        <v>1009</v>
      </c>
      <c r="B150" s="31"/>
      <c r="C150" s="31"/>
      <c r="D150" s="31"/>
      <c r="E150" s="31"/>
      <c r="F150" s="31"/>
      <c r="G150" s="31">
        <v>22</v>
      </c>
      <c r="H150" s="31">
        <v>33</v>
      </c>
      <c r="I150" s="31">
        <v>22</v>
      </c>
      <c r="J150" s="31">
        <v>25</v>
      </c>
      <c r="K150" s="31">
        <v>22</v>
      </c>
      <c r="L150" s="31">
        <v>22</v>
      </c>
      <c r="M150" s="31">
        <v>23</v>
      </c>
      <c r="N150" s="31"/>
      <c r="O150" s="31"/>
      <c r="P150"/>
      <c r="Q150"/>
      <c r="R150"/>
      <c r="V150" s="12"/>
      <c r="W150" s="12"/>
      <c r="X150" s="12"/>
      <c r="Y150" s="12"/>
      <c r="Z150" s="12"/>
      <c r="AA150" s="12"/>
      <c r="AB150" s="48">
        <v>91</v>
      </c>
      <c r="AC150" s="12">
        <v>0.03</v>
      </c>
      <c r="AD150" s="12"/>
      <c r="AE150" s="34"/>
      <c r="AF150" s="12"/>
      <c r="AG150" s="34"/>
      <c r="AH150" s="12"/>
      <c r="AI150" s="48"/>
      <c r="AJ150" s="48"/>
      <c r="AK150" s="48"/>
      <c r="AL150" s="12"/>
    </row>
    <row r="151" spans="1:40">
      <c r="A151" s="31" t="s">
        <v>946</v>
      </c>
      <c r="G151">
        <v>6</v>
      </c>
      <c r="H151">
        <v>6</v>
      </c>
      <c r="I151">
        <v>6</v>
      </c>
      <c r="J151">
        <v>6</v>
      </c>
      <c r="K151">
        <v>25</v>
      </c>
      <c r="L151">
        <v>25</v>
      </c>
      <c r="M151">
        <v>25</v>
      </c>
      <c r="V151" s="2"/>
      <c r="W151" s="2"/>
      <c r="X151" s="2"/>
      <c r="Y151" s="2"/>
      <c r="Z151" s="2"/>
      <c r="AA151" s="2"/>
      <c r="AB151" s="34">
        <v>61</v>
      </c>
      <c r="AC151" s="2"/>
      <c r="AD151" s="2"/>
      <c r="AE151" s="34"/>
      <c r="AF151" s="34"/>
      <c r="AG151" s="34"/>
      <c r="AH151" s="2"/>
      <c r="AI151" s="2"/>
      <c r="AJ151" s="2"/>
      <c r="AK151" s="2"/>
      <c r="AL151" s="2"/>
    </row>
    <row r="152" spans="1:40">
      <c r="A152" t="s">
        <v>760</v>
      </c>
      <c r="G152">
        <v>24</v>
      </c>
      <c r="H152">
        <v>20</v>
      </c>
      <c r="I152">
        <v>22</v>
      </c>
      <c r="J152">
        <v>20</v>
      </c>
      <c r="K152">
        <v>19</v>
      </c>
      <c r="L152">
        <v>19</v>
      </c>
      <c r="M152">
        <v>19</v>
      </c>
      <c r="N152">
        <v>25</v>
      </c>
      <c r="O152">
        <v>25</v>
      </c>
      <c r="V152" s="2"/>
      <c r="W152" s="2"/>
      <c r="X152" s="2"/>
      <c r="Y152" s="2"/>
      <c r="Z152" s="2"/>
      <c r="AA152" s="2"/>
      <c r="AB152" s="34">
        <v>71</v>
      </c>
      <c r="AC152" s="2"/>
      <c r="AD152" s="2"/>
      <c r="AE152" s="34"/>
      <c r="AF152" s="2"/>
      <c r="AG152" s="34"/>
      <c r="AH152" s="2"/>
      <c r="AL152" s="2"/>
    </row>
    <row r="155" spans="1:40">
      <c r="A155" t="s">
        <v>17</v>
      </c>
      <c r="B155" t="s">
        <v>30</v>
      </c>
      <c r="C155" t="s">
        <v>616</v>
      </c>
      <c r="D155" s="31" t="s">
        <v>798</v>
      </c>
      <c r="E155" t="s">
        <v>769</v>
      </c>
      <c r="F155" s="31" t="s">
        <v>820</v>
      </c>
      <c r="G155" t="s">
        <v>3</v>
      </c>
      <c r="H155" t="s">
        <v>4</v>
      </c>
      <c r="I155" t="s">
        <v>5</v>
      </c>
      <c r="J155" t="s">
        <v>42</v>
      </c>
      <c r="K155" t="s">
        <v>269</v>
      </c>
      <c r="L155" t="s">
        <v>270</v>
      </c>
      <c r="M155" t="s">
        <v>271</v>
      </c>
      <c r="N155" t="s">
        <v>10</v>
      </c>
      <c r="O155" t="s">
        <v>9</v>
      </c>
      <c r="P155" t="s">
        <v>390</v>
      </c>
      <c r="Q155" t="s">
        <v>1017</v>
      </c>
      <c r="R155" t="s">
        <v>1018</v>
      </c>
      <c r="S155" t="s">
        <v>1019</v>
      </c>
      <c r="T155" s="34" t="s">
        <v>620</v>
      </c>
      <c r="U155" s="152" t="s">
        <v>1020</v>
      </c>
      <c r="V155" t="s">
        <v>12</v>
      </c>
      <c r="W155" t="s">
        <v>166</v>
      </c>
      <c r="X155" t="s">
        <v>311</v>
      </c>
      <c r="Y155" t="s">
        <v>766</v>
      </c>
      <c r="Z155" t="s">
        <v>767</v>
      </c>
      <c r="AA155" t="s">
        <v>141</v>
      </c>
      <c r="AB155" t="s">
        <v>11</v>
      </c>
      <c r="AC155" t="s">
        <v>137</v>
      </c>
      <c r="AD155" t="s">
        <v>136</v>
      </c>
      <c r="AE155" t="s">
        <v>13</v>
      </c>
      <c r="AF155" t="s">
        <v>134</v>
      </c>
      <c r="AG155" t="s">
        <v>240</v>
      </c>
      <c r="AH155" t="s">
        <v>173</v>
      </c>
      <c r="AI155" s="34" t="s">
        <v>718</v>
      </c>
      <c r="AJ155" s="34" t="s">
        <v>743</v>
      </c>
      <c r="AK155" s="152" t="s">
        <v>717</v>
      </c>
      <c r="AL155" t="s">
        <v>312</v>
      </c>
      <c r="AM155" t="s">
        <v>268</v>
      </c>
      <c r="AN155" t="s">
        <v>618</v>
      </c>
    </row>
    <row r="156" spans="1:40">
      <c r="A156" t="s">
        <v>370</v>
      </c>
      <c r="K156">
        <v>6</v>
      </c>
      <c r="L156">
        <v>6</v>
      </c>
      <c r="V156" s="2"/>
      <c r="W156" s="2"/>
      <c r="X156" s="2"/>
      <c r="Y156" s="2"/>
      <c r="Z156" s="2"/>
      <c r="AA156" s="2"/>
      <c r="AB156" s="34"/>
      <c r="AC156" s="2"/>
      <c r="AD156" s="2"/>
      <c r="AF156" s="34"/>
      <c r="AG156" s="34"/>
      <c r="AH156" s="2"/>
      <c r="AL156" s="2"/>
      <c r="AN156" s="2"/>
    </row>
    <row r="157" spans="1:40">
      <c r="A157" t="s">
        <v>1175</v>
      </c>
      <c r="N157">
        <v>-10</v>
      </c>
      <c r="V157" s="2"/>
      <c r="W157" s="2"/>
      <c r="X157" s="2"/>
      <c r="Y157" s="2"/>
      <c r="Z157" s="2"/>
      <c r="AA157" s="2"/>
      <c r="AB157" s="34"/>
      <c r="AC157" s="2"/>
      <c r="AD157" s="2"/>
      <c r="AE157">
        <v>8</v>
      </c>
      <c r="AF157" s="34"/>
      <c r="AG157" s="34"/>
      <c r="AH157" s="2"/>
      <c r="AL157" s="2"/>
      <c r="AN157" s="2"/>
    </row>
    <row r="158" spans="1:40">
      <c r="A158" t="s">
        <v>770</v>
      </c>
      <c r="O158">
        <v>8</v>
      </c>
      <c r="V158" s="2">
        <v>0.02</v>
      </c>
      <c r="AE158">
        <v>3</v>
      </c>
      <c r="AF158" s="34"/>
      <c r="AG158" s="34"/>
      <c r="AH158" s="2"/>
      <c r="AL158" s="2"/>
      <c r="AN158" s="2"/>
    </row>
    <row r="159" spans="1:40">
      <c r="A159" t="s">
        <v>1101</v>
      </c>
      <c r="G159">
        <v>6</v>
      </c>
      <c r="H159">
        <v>6</v>
      </c>
      <c r="O159">
        <v>10</v>
      </c>
      <c r="V159" s="2"/>
      <c r="AF159" s="34"/>
      <c r="AG159" s="34"/>
      <c r="AH159" s="2"/>
      <c r="AL159" s="2"/>
      <c r="AN159" s="2"/>
    </row>
    <row r="160" spans="1:40">
      <c r="A160" t="s">
        <v>1137</v>
      </c>
      <c r="B160">
        <v>15</v>
      </c>
      <c r="V160" s="2"/>
      <c r="AF160" s="34"/>
      <c r="AG160" s="34"/>
      <c r="AH160" s="2"/>
      <c r="AL160" s="2"/>
      <c r="AN160" s="2"/>
    </row>
    <row r="161" spans="1:40">
      <c r="A161" t="s">
        <v>112</v>
      </c>
      <c r="G161">
        <v>3</v>
      </c>
      <c r="N161">
        <v>5</v>
      </c>
      <c r="V161" s="2"/>
      <c r="W161" s="2"/>
      <c r="X161" s="2"/>
      <c r="Y161" s="2"/>
      <c r="Z161" s="2"/>
      <c r="AA161" s="2"/>
      <c r="AB161" s="34"/>
      <c r="AC161" s="2"/>
      <c r="AD161" s="2"/>
      <c r="AE161">
        <v>1</v>
      </c>
      <c r="AF161" s="34"/>
      <c r="AG161" s="34"/>
      <c r="AH161" s="2"/>
      <c r="AL161" s="2"/>
      <c r="AN161" s="2"/>
    </row>
    <row r="162" spans="1:40">
      <c r="A162" s="31" t="s">
        <v>1107</v>
      </c>
      <c r="N162">
        <v>8</v>
      </c>
      <c r="V162" s="2"/>
      <c r="W162" s="2">
        <v>0.01</v>
      </c>
      <c r="X162" s="2"/>
      <c r="Y162" s="2"/>
      <c r="Z162" s="2"/>
      <c r="AA162" s="2"/>
      <c r="AB162" s="34"/>
      <c r="AC162" s="2"/>
      <c r="AD162" s="2"/>
      <c r="AF162" s="34"/>
      <c r="AG162" s="34"/>
      <c r="AH162" s="2"/>
      <c r="AL162" s="2"/>
      <c r="AN162" s="2"/>
    </row>
    <row r="163" spans="1:40">
      <c r="A163" t="s">
        <v>771</v>
      </c>
      <c r="S163">
        <v>5</v>
      </c>
      <c r="T163">
        <v>15</v>
      </c>
      <c r="V163" s="2"/>
      <c r="W163" s="2"/>
      <c r="X163" s="2"/>
      <c r="Y163" s="2"/>
      <c r="Z163" s="2"/>
      <c r="AA163" s="2"/>
      <c r="AB163" s="34"/>
      <c r="AC163" s="2"/>
      <c r="AD163" s="2"/>
      <c r="AF163" s="34"/>
      <c r="AG163" s="34"/>
      <c r="AH163" s="2"/>
      <c r="AL163" s="2"/>
      <c r="AN163" s="2"/>
    </row>
    <row r="164" spans="1:40">
      <c r="A164" t="s">
        <v>764</v>
      </c>
      <c r="N164">
        <v>15</v>
      </c>
      <c r="V164" s="2"/>
      <c r="W164" s="2"/>
      <c r="X164" s="2"/>
      <c r="Y164" s="2"/>
      <c r="Z164" s="2"/>
      <c r="AA164" s="2"/>
      <c r="AB164" s="34"/>
      <c r="AC164" s="2"/>
      <c r="AD164" s="2"/>
      <c r="AF164" s="34"/>
      <c r="AG164" s="34"/>
      <c r="AH164" s="2"/>
      <c r="AL164" s="2"/>
      <c r="AN164" s="2"/>
    </row>
    <row r="165" spans="1:40">
      <c r="A165" t="s">
        <v>765</v>
      </c>
      <c r="N165">
        <v>16</v>
      </c>
      <c r="V165" s="2"/>
      <c r="W165" s="2"/>
      <c r="X165" s="2"/>
      <c r="Y165" s="2"/>
      <c r="Z165" s="2"/>
      <c r="AA165" s="2"/>
      <c r="AB165" s="34"/>
      <c r="AC165" s="2"/>
      <c r="AD165" s="2"/>
      <c r="AF165" s="34"/>
      <c r="AG165" s="34"/>
      <c r="AH165" s="2"/>
      <c r="AL165" s="2"/>
      <c r="AN165" s="2"/>
    </row>
    <row r="166" spans="1:40">
      <c r="A166" t="s">
        <v>169</v>
      </c>
      <c r="B166">
        <v>7</v>
      </c>
      <c r="I166">
        <v>5</v>
      </c>
      <c r="V166" s="2"/>
      <c r="W166" s="2"/>
      <c r="X166" s="2"/>
      <c r="Y166" s="2"/>
      <c r="Z166" s="2"/>
      <c r="AA166" s="2"/>
      <c r="AB166" s="34"/>
      <c r="AC166" s="2"/>
      <c r="AD166" s="2"/>
      <c r="AF166" s="34"/>
      <c r="AG166" s="34"/>
      <c r="AH166" s="2"/>
      <c r="AL166" s="2"/>
      <c r="AN166" s="2"/>
    </row>
    <row r="167" spans="1:40">
      <c r="A167" t="s">
        <v>27</v>
      </c>
      <c r="N167">
        <v>10</v>
      </c>
      <c r="V167" s="2"/>
      <c r="W167" s="2"/>
      <c r="X167" s="2"/>
      <c r="Y167" s="2"/>
      <c r="Z167" s="2"/>
      <c r="AA167" s="2"/>
      <c r="AB167" s="34"/>
      <c r="AC167" s="2"/>
      <c r="AD167" s="2"/>
      <c r="AF167" s="34"/>
      <c r="AG167" s="34"/>
      <c r="AH167" s="2"/>
      <c r="AI167" s="34">
        <v>100</v>
      </c>
      <c r="AL167" s="2"/>
      <c r="AN167" s="2"/>
    </row>
    <row r="168" spans="1:40">
      <c r="A168" t="s">
        <v>633</v>
      </c>
      <c r="J168">
        <v>6</v>
      </c>
      <c r="N168">
        <v>6</v>
      </c>
      <c r="V168" s="2"/>
      <c r="W168" s="2"/>
      <c r="X168" s="2"/>
      <c r="Y168" s="2"/>
      <c r="Z168" s="2"/>
      <c r="AA168" s="2"/>
      <c r="AB168" s="34"/>
      <c r="AC168" s="2"/>
      <c r="AD168" s="2"/>
      <c r="AE168">
        <v>3</v>
      </c>
      <c r="AF168" s="34"/>
      <c r="AG168" s="34"/>
      <c r="AH168" s="2"/>
      <c r="AL168" s="2"/>
      <c r="AN168" s="2"/>
    </row>
    <row r="169" spans="1:40">
      <c r="A169" s="31" t="s">
        <v>898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>
        <v>13</v>
      </c>
      <c r="O169" s="31"/>
      <c r="T169" s="2"/>
      <c r="U169" s="2"/>
      <c r="V169" s="12"/>
      <c r="W169" s="12"/>
      <c r="X169" s="12"/>
      <c r="Y169" s="12"/>
      <c r="Z169" s="12"/>
      <c r="AA169" s="12"/>
      <c r="AB169" s="48"/>
      <c r="AC169" s="12"/>
      <c r="AD169" s="12"/>
      <c r="AE169" s="31"/>
      <c r="AF169" s="12"/>
      <c r="AG169" s="48"/>
      <c r="AH169" s="12"/>
      <c r="AI169" s="48"/>
      <c r="AJ169" s="48"/>
      <c r="AK169" s="48"/>
      <c r="AL169" s="12"/>
    </row>
    <row r="170" spans="1:40">
      <c r="A170" t="s">
        <v>676</v>
      </c>
      <c r="G170">
        <v>6</v>
      </c>
      <c r="N170">
        <v>-4</v>
      </c>
      <c r="V170" s="2"/>
      <c r="W170" s="2"/>
      <c r="X170" s="2"/>
      <c r="Y170" s="2"/>
      <c r="Z170" s="2"/>
      <c r="AA170" s="2"/>
      <c r="AB170" s="34"/>
      <c r="AC170" s="2"/>
      <c r="AD170" s="2"/>
      <c r="AF170" s="34"/>
      <c r="AG170" s="34"/>
      <c r="AH170" s="2"/>
      <c r="AL170" s="2"/>
      <c r="AN170" s="2"/>
    </row>
    <row r="171" spans="1:40">
      <c r="A171" t="s">
        <v>677</v>
      </c>
      <c r="G171">
        <v>7</v>
      </c>
      <c r="N171">
        <v>-3</v>
      </c>
      <c r="V171" s="2"/>
      <c r="W171" s="2"/>
      <c r="X171" s="2"/>
      <c r="Y171" s="2"/>
      <c r="Z171" s="2"/>
      <c r="AA171" s="2"/>
      <c r="AB171" s="34"/>
      <c r="AC171" s="2"/>
      <c r="AD171" s="2"/>
      <c r="AF171" s="34"/>
      <c r="AG171" s="34"/>
      <c r="AH171" s="2"/>
      <c r="AL171" s="2"/>
      <c r="AN171" s="2"/>
    </row>
    <row r="172" spans="1:40">
      <c r="A172" t="s">
        <v>170</v>
      </c>
      <c r="G172">
        <v>5</v>
      </c>
      <c r="V172" s="2"/>
      <c r="W172" s="2"/>
      <c r="X172" s="2"/>
      <c r="Y172" s="2"/>
      <c r="Z172" s="2"/>
      <c r="AA172" s="2"/>
      <c r="AB172" s="34"/>
      <c r="AC172" s="2"/>
      <c r="AD172" s="2"/>
      <c r="AF172" s="34"/>
      <c r="AG172" s="34"/>
      <c r="AH172" s="2"/>
      <c r="AL172" s="2"/>
      <c r="AN172" s="2"/>
    </row>
    <row r="173" spans="1:40">
      <c r="A173" s="31" t="s">
        <v>1028</v>
      </c>
      <c r="G173">
        <v>7</v>
      </c>
      <c r="I173">
        <v>-5</v>
      </c>
      <c r="O173">
        <v>8</v>
      </c>
      <c r="V173" s="2"/>
      <c r="W173" s="2"/>
      <c r="X173" s="2"/>
      <c r="Y173" s="2"/>
      <c r="Z173" s="2"/>
      <c r="AA173" s="2"/>
      <c r="AB173" s="34"/>
      <c r="AC173" s="2"/>
      <c r="AD173" s="2"/>
      <c r="AF173" s="34"/>
      <c r="AG173" s="34"/>
      <c r="AH173" s="2"/>
      <c r="AI173" s="2"/>
      <c r="AJ173" s="2"/>
      <c r="AK173" s="2"/>
      <c r="AL173" s="2"/>
    </row>
    <row r="174" spans="1:40">
      <c r="A174" s="31" t="s">
        <v>1089</v>
      </c>
      <c r="N174">
        <v>8</v>
      </c>
      <c r="V174" s="2">
        <v>0.01</v>
      </c>
      <c r="W174" s="2"/>
      <c r="X174" s="2"/>
      <c r="Y174" s="2"/>
      <c r="Z174" s="2"/>
      <c r="AA174" s="2"/>
      <c r="AB174" s="34"/>
      <c r="AC174" s="2"/>
      <c r="AD174" s="2"/>
      <c r="AE174">
        <v>4</v>
      </c>
      <c r="AF174" s="34"/>
      <c r="AG174" s="34"/>
      <c r="AH174" s="2"/>
      <c r="AI174" s="2"/>
      <c r="AJ174" s="2"/>
      <c r="AK174" s="2"/>
      <c r="AL174" s="2"/>
    </row>
    <row r="175" spans="1:40">
      <c r="A175" t="s">
        <v>636</v>
      </c>
      <c r="B175">
        <v>4</v>
      </c>
      <c r="C175">
        <v>4</v>
      </c>
      <c r="V175" s="2"/>
      <c r="W175" s="2"/>
      <c r="X175" s="2"/>
      <c r="Y175" s="2"/>
      <c r="Z175" s="2"/>
      <c r="AA175" s="2"/>
      <c r="AB175" s="34"/>
      <c r="AC175" s="2"/>
      <c r="AD175" s="2"/>
      <c r="AF175" s="34"/>
      <c r="AG175" s="34"/>
      <c r="AH175" s="2"/>
      <c r="AL175" s="2"/>
      <c r="AN175" s="2"/>
    </row>
    <row r="176" spans="1:40">
      <c r="A176" t="s">
        <v>634</v>
      </c>
      <c r="H176">
        <v>6</v>
      </c>
      <c r="J176">
        <v>6</v>
      </c>
      <c r="V176" s="2"/>
      <c r="W176" s="2"/>
      <c r="X176" s="2"/>
      <c r="Y176" s="2"/>
      <c r="Z176" s="2"/>
      <c r="AA176" s="2"/>
      <c r="AB176" s="34"/>
      <c r="AC176" s="2"/>
      <c r="AD176" s="2"/>
      <c r="AF176" s="34"/>
      <c r="AG176" s="34"/>
      <c r="AH176" s="2"/>
      <c r="AL176" s="2"/>
      <c r="AN176" s="2"/>
    </row>
    <row r="177" spans="1:40">
      <c r="A177" t="s">
        <v>632</v>
      </c>
      <c r="V177" s="2"/>
      <c r="W177" s="2"/>
      <c r="X177" s="2"/>
      <c r="Y177" s="2"/>
      <c r="Z177" s="2"/>
      <c r="AA177" s="2"/>
      <c r="AB177" s="34"/>
      <c r="AC177" s="2">
        <v>0.03</v>
      </c>
      <c r="AD177" s="2"/>
      <c r="AF177" s="34"/>
      <c r="AG177" s="34"/>
      <c r="AH177" s="2"/>
      <c r="AL177" s="2"/>
      <c r="AN177" s="2"/>
    </row>
    <row r="178" spans="1:40">
      <c r="A178" s="31" t="s">
        <v>1029</v>
      </c>
      <c r="N178">
        <v>3</v>
      </c>
      <c r="S178">
        <v>3</v>
      </c>
      <c r="V178" s="2"/>
      <c r="W178" s="2"/>
      <c r="X178" s="2"/>
      <c r="Y178" s="2"/>
      <c r="Z178" s="2"/>
      <c r="AA178" s="2"/>
      <c r="AB178" s="34"/>
      <c r="AC178" s="2">
        <v>0.03</v>
      </c>
      <c r="AD178" s="2"/>
      <c r="AF178" s="34"/>
      <c r="AG178" s="34"/>
      <c r="AH178" s="2"/>
      <c r="AI178" s="2"/>
      <c r="AJ178" s="2"/>
      <c r="AK178" s="2"/>
      <c r="AL178" s="2"/>
    </row>
    <row r="179" spans="1:40">
      <c r="A179" s="31" t="s">
        <v>821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V179" s="12"/>
      <c r="W179" s="12"/>
      <c r="X179" s="12"/>
      <c r="Y179" s="12"/>
      <c r="Z179" s="12"/>
      <c r="AA179" s="12"/>
      <c r="AB179" s="48"/>
      <c r="AC179" s="12"/>
      <c r="AD179" s="12"/>
      <c r="AE179" s="31">
        <v>5</v>
      </c>
      <c r="AF179" s="12"/>
      <c r="AG179" s="48"/>
      <c r="AH179" s="12"/>
      <c r="AI179" s="48"/>
      <c r="AJ179" s="48"/>
      <c r="AK179" s="48"/>
      <c r="AL179" s="12"/>
    </row>
    <row r="180" spans="1:40">
      <c r="A180" t="s">
        <v>72</v>
      </c>
      <c r="N180">
        <v>10</v>
      </c>
      <c r="V180" s="2"/>
      <c r="W180" s="2"/>
      <c r="X180" s="2"/>
      <c r="Y180" s="2"/>
      <c r="Z180" s="2"/>
      <c r="AA180" s="2"/>
      <c r="AB180" s="34"/>
      <c r="AC180" s="2"/>
      <c r="AD180" s="2"/>
      <c r="AF180" s="34"/>
      <c r="AG180" s="34"/>
      <c r="AH180" s="2"/>
      <c r="AL180" s="2"/>
      <c r="AN180" s="2"/>
    </row>
    <row r="181" spans="1:40">
      <c r="A181" t="s">
        <v>635</v>
      </c>
      <c r="N181">
        <v>3</v>
      </c>
      <c r="V181" s="2">
        <v>0.03</v>
      </c>
      <c r="W181" s="2"/>
      <c r="X181" s="2"/>
      <c r="Y181" s="2"/>
      <c r="Z181" s="2"/>
      <c r="AA181" s="2"/>
      <c r="AB181" s="34"/>
      <c r="AC181" s="2"/>
      <c r="AD181" s="2"/>
      <c r="AF181" s="34"/>
      <c r="AG181" s="34"/>
      <c r="AH181" s="2"/>
      <c r="AL181" s="2"/>
      <c r="AN181" s="2"/>
    </row>
    <row r="182" spans="1:40">
      <c r="A182" t="s">
        <v>381</v>
      </c>
      <c r="N182">
        <v>6</v>
      </c>
      <c r="V182" s="2"/>
      <c r="W182" s="2"/>
      <c r="X182" s="2"/>
      <c r="Y182" s="2"/>
      <c r="Z182" s="2"/>
      <c r="AA182" s="2"/>
      <c r="AB182" s="34"/>
      <c r="AC182" s="2">
        <v>0.05</v>
      </c>
      <c r="AD182" s="2"/>
      <c r="AF182" s="34"/>
      <c r="AG182" s="34"/>
      <c r="AH182" s="2"/>
      <c r="AL182" s="2"/>
      <c r="AN182" s="2"/>
    </row>
    <row r="183" spans="1:40">
      <c r="A183" t="s">
        <v>1183</v>
      </c>
      <c r="N183">
        <v>10</v>
      </c>
      <c r="O183">
        <v>10</v>
      </c>
      <c r="S183">
        <v>10</v>
      </c>
      <c r="T183">
        <v>10</v>
      </c>
      <c r="V183" s="2"/>
      <c r="W183" s="2"/>
      <c r="X183" s="2"/>
      <c r="Y183" s="2"/>
      <c r="Z183" s="2"/>
      <c r="AA183" s="2"/>
      <c r="AB183" s="34"/>
      <c r="AC183" s="2"/>
      <c r="AD183" s="2"/>
      <c r="AF183" s="34"/>
      <c r="AG183" s="34"/>
      <c r="AH183" s="2"/>
      <c r="AL183" s="2"/>
      <c r="AN183" s="2"/>
    </row>
    <row r="184" spans="1:40">
      <c r="A184" s="31" t="s">
        <v>1027</v>
      </c>
      <c r="H184">
        <v>7</v>
      </c>
      <c r="J184">
        <v>-5</v>
      </c>
      <c r="N184">
        <v>8</v>
      </c>
      <c r="S184" s="31"/>
      <c r="V184" s="2"/>
      <c r="W184" s="2"/>
      <c r="X184" s="2"/>
      <c r="Y184" s="2"/>
      <c r="Z184" s="2"/>
      <c r="AA184" s="2"/>
      <c r="AB184" s="34"/>
      <c r="AC184" s="2"/>
      <c r="AD184" s="2"/>
      <c r="AF184" s="34"/>
      <c r="AG184" s="34"/>
      <c r="AH184" s="2"/>
      <c r="AI184" s="2"/>
      <c r="AJ184" s="2"/>
      <c r="AK184" s="2"/>
      <c r="AL184" s="2"/>
    </row>
    <row r="185" spans="1:40">
      <c r="A185" t="s">
        <v>637</v>
      </c>
      <c r="S185">
        <v>2</v>
      </c>
      <c r="T185">
        <v>8</v>
      </c>
      <c r="V185" s="2"/>
      <c r="W185" s="2"/>
      <c r="X185" s="2"/>
      <c r="Y185" s="2"/>
      <c r="Z185" s="2"/>
      <c r="AA185" s="2"/>
      <c r="AB185" s="34"/>
      <c r="AC185" s="2"/>
      <c r="AD185" s="2"/>
      <c r="AF185" s="34"/>
      <c r="AG185" s="34"/>
      <c r="AH185" s="2"/>
      <c r="AL185" s="2"/>
      <c r="AN185" s="2"/>
    </row>
    <row r="186" spans="1:40">
      <c r="A186" s="31" t="s">
        <v>1109</v>
      </c>
      <c r="N186">
        <v>15</v>
      </c>
      <c r="V186" s="2"/>
      <c r="W186" s="2"/>
      <c r="X186" s="2"/>
      <c r="Y186" s="2"/>
      <c r="Z186" s="2"/>
      <c r="AA186" s="2"/>
      <c r="AB186" s="34"/>
      <c r="AC186" s="2"/>
      <c r="AD186" s="2"/>
      <c r="AF186" s="34"/>
      <c r="AG186" s="34"/>
      <c r="AH186" s="2"/>
      <c r="AL186" s="2"/>
      <c r="AN186" s="2"/>
    </row>
    <row r="187" spans="1:40">
      <c r="A187" t="s">
        <v>90</v>
      </c>
      <c r="V187" s="2"/>
      <c r="W187" s="2"/>
      <c r="X187" s="2"/>
      <c r="Y187" s="2"/>
      <c r="Z187" s="2"/>
      <c r="AA187" s="2"/>
      <c r="AB187" s="34">
        <v>11</v>
      </c>
      <c r="AC187" s="2"/>
      <c r="AD187" s="2"/>
      <c r="AF187" s="34"/>
      <c r="AG187" s="34"/>
      <c r="AH187" s="2"/>
      <c r="AL187" s="2"/>
      <c r="AN187" s="2"/>
    </row>
    <row r="188" spans="1:40">
      <c r="A188" t="s">
        <v>378</v>
      </c>
      <c r="G188">
        <v>6</v>
      </c>
      <c r="I188">
        <v>6</v>
      </c>
      <c r="V188" s="2"/>
      <c r="W188" s="2"/>
      <c r="X188" s="2"/>
      <c r="Y188" s="2"/>
      <c r="Z188" s="2"/>
      <c r="AA188" s="2"/>
      <c r="AB188" s="34"/>
      <c r="AC188" s="2"/>
      <c r="AD188" s="2"/>
      <c r="AF188" s="34"/>
      <c r="AG188" s="34"/>
      <c r="AH188" s="2"/>
      <c r="AL188" s="2"/>
      <c r="AN188" s="2"/>
    </row>
    <row r="189" spans="1:40" s="31" customFormat="1">
      <c r="A189" s="31" t="s">
        <v>847</v>
      </c>
      <c r="O189" s="31">
        <v>20</v>
      </c>
      <c r="V189" s="12">
        <v>-0.01</v>
      </c>
      <c r="W189" s="12"/>
      <c r="X189" s="12"/>
      <c r="Y189" s="12"/>
      <c r="Z189" s="12"/>
      <c r="AA189" s="12"/>
      <c r="AB189" s="48"/>
      <c r="AC189" s="12"/>
      <c r="AD189" s="12"/>
      <c r="AF189" s="48"/>
      <c r="AG189" s="12"/>
      <c r="AH189" s="12"/>
      <c r="AI189" s="48"/>
      <c r="AJ189" s="48"/>
      <c r="AK189" s="48"/>
      <c r="AL189" s="48"/>
    </row>
    <row r="190" spans="1:40" s="31" customFormat="1">
      <c r="A190" s="31" t="s">
        <v>1005</v>
      </c>
      <c r="V190" s="12"/>
      <c r="W190" s="12"/>
      <c r="X190" s="12"/>
      <c r="Y190" s="12"/>
      <c r="Z190" s="12"/>
      <c r="AA190" s="12"/>
      <c r="AB190" s="48"/>
      <c r="AC190" s="12"/>
      <c r="AD190" s="12"/>
      <c r="AF190" s="48">
        <v>30</v>
      </c>
      <c r="AG190" s="12"/>
      <c r="AH190" s="12"/>
      <c r="AI190" s="48"/>
      <c r="AJ190" s="48"/>
      <c r="AK190" s="48"/>
      <c r="AL190" s="48"/>
    </row>
    <row r="191" spans="1:40" s="31" customFormat="1">
      <c r="A191" s="31" t="s">
        <v>1006</v>
      </c>
      <c r="V191" s="12"/>
      <c r="W191" s="12"/>
      <c r="X191" s="12"/>
      <c r="Y191" s="12"/>
      <c r="Z191" s="12"/>
      <c r="AA191" s="12"/>
      <c r="AB191" s="48"/>
      <c r="AC191" s="12"/>
      <c r="AD191" s="12"/>
      <c r="AF191" s="48">
        <v>30</v>
      </c>
      <c r="AG191" s="12"/>
      <c r="AH191" s="12">
        <v>0.25</v>
      </c>
      <c r="AI191" s="48"/>
      <c r="AJ191" s="48"/>
      <c r="AK191" s="48"/>
      <c r="AL191" s="48"/>
    </row>
    <row r="192" spans="1:40">
      <c r="A192" t="s">
        <v>86</v>
      </c>
      <c r="N192">
        <v>12</v>
      </c>
      <c r="V192" s="2"/>
      <c r="W192" s="2"/>
      <c r="X192" s="2"/>
      <c r="Y192" s="2"/>
      <c r="Z192" s="2"/>
      <c r="AA192" s="2"/>
      <c r="AB192" s="34"/>
      <c r="AC192" s="2"/>
      <c r="AD192" s="2"/>
      <c r="AF192" s="34"/>
      <c r="AG192" s="34"/>
      <c r="AH192" s="2"/>
      <c r="AL192" s="2"/>
      <c r="AN192" s="2"/>
    </row>
    <row r="195" spans="1:40">
      <c r="A195" t="s">
        <v>65</v>
      </c>
      <c r="B195" t="s">
        <v>30</v>
      </c>
      <c r="C195" t="s">
        <v>616</v>
      </c>
      <c r="D195" s="31" t="s">
        <v>798</v>
      </c>
      <c r="E195" t="s">
        <v>769</v>
      </c>
      <c r="F195" s="31" t="s">
        <v>820</v>
      </c>
      <c r="G195" t="s">
        <v>3</v>
      </c>
      <c r="H195" t="s">
        <v>4</v>
      </c>
      <c r="I195" t="s">
        <v>5</v>
      </c>
      <c r="J195" t="s">
        <v>42</v>
      </c>
      <c r="K195" t="s">
        <v>269</v>
      </c>
      <c r="L195" t="s">
        <v>270</v>
      </c>
      <c r="M195" t="s">
        <v>271</v>
      </c>
      <c r="N195" t="s">
        <v>10</v>
      </c>
      <c r="O195" t="s">
        <v>9</v>
      </c>
      <c r="P195" t="s">
        <v>390</v>
      </c>
      <c r="Q195" t="s">
        <v>1017</v>
      </c>
      <c r="R195" t="s">
        <v>1018</v>
      </c>
      <c r="S195" t="s">
        <v>1019</v>
      </c>
      <c r="T195" s="34" t="s">
        <v>620</v>
      </c>
      <c r="U195" s="152" t="s">
        <v>1020</v>
      </c>
      <c r="V195" t="s">
        <v>12</v>
      </c>
      <c r="W195" t="s">
        <v>166</v>
      </c>
      <c r="X195" t="s">
        <v>311</v>
      </c>
      <c r="Y195" t="s">
        <v>766</v>
      </c>
      <c r="Z195" t="s">
        <v>767</v>
      </c>
      <c r="AA195" t="s">
        <v>141</v>
      </c>
      <c r="AB195" t="s">
        <v>11</v>
      </c>
      <c r="AC195" t="s">
        <v>137</v>
      </c>
      <c r="AD195" t="s">
        <v>136</v>
      </c>
      <c r="AE195" t="s">
        <v>13</v>
      </c>
      <c r="AF195" t="s">
        <v>134</v>
      </c>
      <c r="AG195" t="s">
        <v>240</v>
      </c>
      <c r="AH195" t="s">
        <v>173</v>
      </c>
      <c r="AI195" s="34" t="s">
        <v>718</v>
      </c>
      <c r="AJ195" s="34" t="s">
        <v>743</v>
      </c>
      <c r="AK195" s="152" t="s">
        <v>717</v>
      </c>
      <c r="AL195" t="s">
        <v>312</v>
      </c>
      <c r="AM195" t="s">
        <v>268</v>
      </c>
      <c r="AN195" t="s">
        <v>618</v>
      </c>
    </row>
    <row r="196" spans="1:40">
      <c r="A196" t="s">
        <v>55</v>
      </c>
      <c r="O196">
        <v>7</v>
      </c>
      <c r="V196" s="2"/>
      <c r="W196" s="2"/>
      <c r="X196" s="2"/>
      <c r="Y196" s="2"/>
      <c r="Z196" s="2"/>
      <c r="AA196" s="2"/>
      <c r="AB196" s="34"/>
      <c r="AC196" s="2"/>
      <c r="AD196" s="2"/>
      <c r="AF196" s="34"/>
      <c r="AG196" s="34"/>
      <c r="AH196" s="2"/>
      <c r="AL196" s="2">
        <v>0.03</v>
      </c>
      <c r="AN196" s="2"/>
    </row>
    <row r="197" spans="1:40">
      <c r="A197" t="s">
        <v>785</v>
      </c>
      <c r="O197">
        <v>8</v>
      </c>
      <c r="V197" s="2"/>
      <c r="W197" s="2"/>
      <c r="X197" s="2"/>
      <c r="Y197" s="2"/>
      <c r="Z197" s="2"/>
      <c r="AA197" s="2"/>
      <c r="AB197" s="34"/>
      <c r="AC197" s="2"/>
      <c r="AD197" s="2"/>
      <c r="AE197">
        <v>1</v>
      </c>
      <c r="AF197" s="34"/>
      <c r="AG197" s="34"/>
      <c r="AH197" s="2"/>
      <c r="AI197" s="2"/>
      <c r="AJ197" s="2"/>
      <c r="AK197" s="2"/>
      <c r="AL197" s="2"/>
    </row>
    <row r="198" spans="1:40">
      <c r="A198" t="s">
        <v>25</v>
      </c>
      <c r="V198" s="2">
        <v>0.05</v>
      </c>
      <c r="W198" s="2"/>
      <c r="X198" s="2"/>
      <c r="Y198" s="2"/>
      <c r="Z198" s="2"/>
      <c r="AA198" s="2"/>
      <c r="AB198" s="34"/>
      <c r="AC198" s="2"/>
      <c r="AD198" s="2"/>
      <c r="AE198">
        <v>1</v>
      </c>
      <c r="AF198" s="34"/>
      <c r="AG198" s="34"/>
      <c r="AH198" s="2"/>
      <c r="AL198" s="2"/>
      <c r="AN198" s="2"/>
    </row>
    <row r="199" spans="1:40">
      <c r="A199" s="31" t="s">
        <v>1126</v>
      </c>
      <c r="N199">
        <v>6</v>
      </c>
      <c r="V199" s="2">
        <v>0.03</v>
      </c>
      <c r="W199" s="2"/>
      <c r="X199" s="2"/>
      <c r="Y199" s="2"/>
      <c r="Z199" s="2"/>
      <c r="AA199" s="2"/>
      <c r="AB199" s="34"/>
      <c r="AC199" s="2"/>
      <c r="AD199" s="2"/>
      <c r="AE199">
        <v>3</v>
      </c>
      <c r="AF199" s="34"/>
      <c r="AG199" s="34"/>
      <c r="AH199" s="2"/>
      <c r="AL199" s="2"/>
      <c r="AN199" s="2"/>
    </row>
    <row r="200" spans="1:40">
      <c r="A200" t="s">
        <v>647</v>
      </c>
      <c r="G200">
        <v>2</v>
      </c>
      <c r="O200">
        <v>4</v>
      </c>
      <c r="V200" s="2"/>
      <c r="W200" s="2"/>
      <c r="X200" s="2"/>
      <c r="Y200" s="2"/>
      <c r="Z200" s="2"/>
      <c r="AA200" s="2"/>
      <c r="AB200" s="34"/>
      <c r="AC200" s="2"/>
      <c r="AD200" s="2"/>
      <c r="AF200" s="34"/>
      <c r="AG200" s="34"/>
      <c r="AH200" s="2"/>
      <c r="AL200" s="2"/>
      <c r="AN200" s="2"/>
    </row>
    <row r="201" spans="1:40">
      <c r="A201" t="s">
        <v>1134</v>
      </c>
      <c r="N201">
        <v>-10</v>
      </c>
      <c r="O201">
        <v>-10</v>
      </c>
      <c r="V201" s="2"/>
      <c r="W201" s="2"/>
      <c r="X201" s="2"/>
      <c r="Y201" s="2"/>
      <c r="Z201" s="2"/>
      <c r="AA201" s="2"/>
      <c r="AB201" s="34"/>
      <c r="AC201" s="2"/>
      <c r="AD201" s="2"/>
      <c r="AE201">
        <v>8</v>
      </c>
      <c r="AF201" s="34"/>
      <c r="AG201" s="34"/>
      <c r="AH201" s="2"/>
      <c r="AL201" s="2"/>
      <c r="AN201" s="2"/>
    </row>
    <row r="202" spans="1:40">
      <c r="A202" s="31" t="s">
        <v>1106</v>
      </c>
      <c r="H202">
        <v>4</v>
      </c>
      <c r="N202">
        <v>5</v>
      </c>
      <c r="V202" s="2"/>
      <c r="W202" s="2"/>
      <c r="X202" s="2"/>
      <c r="Y202" s="2"/>
      <c r="Z202" s="2"/>
      <c r="AA202" s="2"/>
      <c r="AB202" s="34"/>
      <c r="AC202" s="2"/>
      <c r="AD202" s="2"/>
      <c r="AF202" s="34"/>
      <c r="AG202" s="34"/>
      <c r="AH202" s="2"/>
      <c r="AL202" s="2"/>
      <c r="AN202" s="2"/>
    </row>
    <row r="203" spans="1:40">
      <c r="A203" t="s">
        <v>783</v>
      </c>
      <c r="O203">
        <v>8</v>
      </c>
      <c r="V203" s="2"/>
      <c r="W203" s="2"/>
      <c r="X203" s="2"/>
      <c r="Y203" s="2"/>
      <c r="Z203" s="2"/>
      <c r="AA203" s="2"/>
      <c r="AB203" s="34"/>
      <c r="AC203" s="2"/>
      <c r="AD203" s="2"/>
      <c r="AF203" s="34"/>
      <c r="AG203" s="34"/>
      <c r="AH203" s="2"/>
      <c r="AI203" s="2"/>
      <c r="AJ203" s="2"/>
      <c r="AK203" s="2"/>
      <c r="AL203" s="2"/>
    </row>
    <row r="204" spans="1:40">
      <c r="A204" s="31" t="s">
        <v>1116</v>
      </c>
      <c r="V204" s="2"/>
      <c r="W204" s="2"/>
      <c r="X204" s="2"/>
      <c r="Y204" s="2"/>
      <c r="Z204" s="2"/>
      <c r="AA204" s="2">
        <v>0.04</v>
      </c>
      <c r="AB204" s="34"/>
      <c r="AC204" s="2"/>
      <c r="AD204" s="2"/>
      <c r="AF204" s="34"/>
      <c r="AG204" s="34"/>
      <c r="AH204" s="2"/>
      <c r="AI204" s="2"/>
      <c r="AJ204" s="2"/>
      <c r="AK204" s="2"/>
      <c r="AL204" s="2"/>
    </row>
    <row r="205" spans="1:40">
      <c r="A205" s="31" t="s">
        <v>1184</v>
      </c>
      <c r="T205">
        <v>10</v>
      </c>
      <c r="V205" s="2"/>
      <c r="W205" s="2"/>
      <c r="X205" s="2"/>
      <c r="Y205" s="2"/>
      <c r="Z205" s="2"/>
      <c r="AA205" s="2"/>
      <c r="AB205" s="34"/>
      <c r="AC205" s="2"/>
      <c r="AD205" s="2"/>
      <c r="AF205" s="34"/>
      <c r="AG205" s="34"/>
      <c r="AH205" s="2"/>
      <c r="AI205" s="2"/>
      <c r="AJ205" s="2"/>
      <c r="AK205" s="2"/>
      <c r="AL205" s="2"/>
    </row>
    <row r="206" spans="1:40">
      <c r="A206" t="s">
        <v>784</v>
      </c>
      <c r="N206">
        <v>8</v>
      </c>
      <c r="V206" s="2"/>
      <c r="W206" s="2"/>
      <c r="X206" s="2"/>
      <c r="Y206" s="2"/>
      <c r="Z206" s="2"/>
      <c r="AA206" s="2"/>
      <c r="AB206" s="34"/>
      <c r="AC206" s="2"/>
      <c r="AD206" s="2"/>
      <c r="AF206" s="34"/>
      <c r="AG206" s="34"/>
      <c r="AH206" s="2"/>
      <c r="AI206" s="2"/>
      <c r="AJ206" s="2"/>
      <c r="AK206" s="2"/>
      <c r="AL206" s="2"/>
    </row>
    <row r="207" spans="1:40">
      <c r="A207" t="s">
        <v>1185</v>
      </c>
      <c r="T207">
        <v>6</v>
      </c>
      <c r="V207" s="2"/>
      <c r="W207" s="2"/>
      <c r="X207" s="2"/>
      <c r="Y207" s="2"/>
      <c r="Z207" s="2"/>
      <c r="AA207" s="2"/>
      <c r="AB207" s="34"/>
      <c r="AC207" s="2"/>
      <c r="AD207" s="2"/>
      <c r="AF207" s="34"/>
      <c r="AG207" s="34"/>
      <c r="AH207" s="2"/>
      <c r="AI207" s="2"/>
      <c r="AJ207" s="2"/>
      <c r="AK207" s="2"/>
      <c r="AL207" s="2"/>
    </row>
    <row r="208" spans="1:40">
      <c r="A208" t="s">
        <v>87</v>
      </c>
      <c r="H208">
        <v>2</v>
      </c>
      <c r="N208">
        <v>3</v>
      </c>
      <c r="V208" s="2"/>
      <c r="W208" s="2"/>
      <c r="X208" s="2"/>
      <c r="Y208" s="2"/>
      <c r="Z208" s="2"/>
      <c r="AA208" s="2"/>
      <c r="AB208" s="34"/>
      <c r="AC208" s="2"/>
      <c r="AD208" s="2"/>
      <c r="AF208" s="34"/>
      <c r="AG208" s="34"/>
      <c r="AH208" s="2"/>
      <c r="AL208" s="2"/>
      <c r="AN208" s="2"/>
    </row>
    <row r="209" spans="1:40">
      <c r="A209" t="s">
        <v>1138</v>
      </c>
      <c r="V209" s="2"/>
      <c r="W209" s="2"/>
      <c r="X209" s="2"/>
      <c r="Y209" s="2"/>
      <c r="Z209" s="2"/>
      <c r="AA209" s="2"/>
      <c r="AB209" s="34"/>
      <c r="AC209" s="2"/>
      <c r="AD209" s="2"/>
      <c r="AF209" s="34"/>
      <c r="AG209" s="34"/>
      <c r="AH209" s="2">
        <v>0.02</v>
      </c>
      <c r="AL209" s="2"/>
      <c r="AN209" s="2"/>
    </row>
    <row r="210" spans="1:40">
      <c r="A210" t="s">
        <v>157</v>
      </c>
      <c r="H210">
        <v>3</v>
      </c>
      <c r="V210" s="2"/>
      <c r="W210" s="2"/>
      <c r="X210" s="2"/>
      <c r="Y210" s="2"/>
      <c r="Z210" s="2"/>
      <c r="AA210" s="2"/>
      <c r="AB210" s="34"/>
      <c r="AC210" s="2"/>
      <c r="AD210" s="2"/>
      <c r="AF210" s="34"/>
      <c r="AG210" s="34"/>
      <c r="AH210" s="2"/>
      <c r="AL210" s="2"/>
      <c r="AN210" s="2"/>
    </row>
    <row r="211" spans="1:40">
      <c r="A211" t="s">
        <v>371</v>
      </c>
      <c r="H211">
        <v>4</v>
      </c>
      <c r="V211" s="2"/>
      <c r="W211" s="2"/>
      <c r="X211" s="2"/>
      <c r="Y211" s="2"/>
      <c r="Z211" s="2"/>
      <c r="AA211" s="2"/>
      <c r="AB211" s="34"/>
      <c r="AC211" s="2"/>
      <c r="AD211" s="2"/>
      <c r="AF211" s="34"/>
      <c r="AG211" s="34"/>
      <c r="AH211" s="2"/>
      <c r="AL211" s="2"/>
      <c r="AN211" s="2"/>
    </row>
    <row r="212" spans="1:40">
      <c r="A212" t="s">
        <v>897</v>
      </c>
      <c r="G212">
        <v>2</v>
      </c>
      <c r="H212">
        <v>2</v>
      </c>
      <c r="O212">
        <v>17</v>
      </c>
      <c r="V212" s="2"/>
      <c r="W212" s="2"/>
      <c r="X212" s="2"/>
      <c r="Y212" s="2"/>
      <c r="Z212" s="2"/>
      <c r="AA212" s="2"/>
      <c r="AB212" s="34"/>
      <c r="AC212" s="2"/>
      <c r="AD212" s="2"/>
      <c r="AF212" s="2"/>
      <c r="AG212" s="34"/>
      <c r="AH212" s="2"/>
      <c r="AL212" s="2"/>
    </row>
    <row r="213" spans="1:40">
      <c r="A213" t="s">
        <v>1139</v>
      </c>
      <c r="H213">
        <v>5</v>
      </c>
      <c r="N213">
        <v>7</v>
      </c>
      <c r="V213" s="2">
        <v>0.01</v>
      </c>
      <c r="W213" s="2"/>
      <c r="X213" s="2"/>
      <c r="Y213" s="2"/>
      <c r="Z213" s="2"/>
      <c r="AA213" s="2"/>
      <c r="AB213" s="34"/>
      <c r="AC213" s="2"/>
      <c r="AD213" s="2"/>
      <c r="AF213" s="2"/>
      <c r="AG213" s="34"/>
      <c r="AH213" s="2"/>
      <c r="AL213" s="2"/>
    </row>
    <row r="214" spans="1:40">
      <c r="A214" t="s">
        <v>1140</v>
      </c>
      <c r="H214">
        <v>8</v>
      </c>
      <c r="N214">
        <v>10</v>
      </c>
      <c r="V214" s="2">
        <v>0.02</v>
      </c>
      <c r="W214" s="2"/>
      <c r="X214" s="2"/>
      <c r="Y214" s="2"/>
      <c r="Z214" s="2"/>
      <c r="AA214" s="2"/>
      <c r="AB214" s="34"/>
      <c r="AC214" s="2"/>
      <c r="AD214" s="2"/>
      <c r="AF214" s="2"/>
      <c r="AG214" s="34"/>
      <c r="AH214" s="2"/>
      <c r="AL214" s="2"/>
    </row>
    <row r="215" spans="1:40">
      <c r="A215" t="s">
        <v>631</v>
      </c>
      <c r="N215">
        <v>4</v>
      </c>
      <c r="V215" s="2"/>
      <c r="W215" s="2"/>
      <c r="X215" s="2"/>
      <c r="Y215" s="2"/>
      <c r="Z215" s="2"/>
      <c r="AA215" s="2"/>
      <c r="AB215" s="34"/>
      <c r="AC215" s="2"/>
      <c r="AD215" s="2"/>
      <c r="AF215" s="34"/>
      <c r="AG215" s="34">
        <v>250</v>
      </c>
      <c r="AH215" s="2"/>
      <c r="AL215" s="2"/>
      <c r="AN215" s="2"/>
    </row>
    <row r="216" spans="1:40">
      <c r="A216" t="s">
        <v>630</v>
      </c>
      <c r="O216">
        <v>4</v>
      </c>
      <c r="V216" s="2"/>
      <c r="W216" s="2"/>
      <c r="X216" s="2"/>
      <c r="Y216" s="2"/>
      <c r="Z216" s="2"/>
      <c r="AA216" s="2"/>
      <c r="AB216" s="34"/>
      <c r="AC216" s="2"/>
      <c r="AD216" s="2"/>
      <c r="AF216" s="34"/>
      <c r="AG216" s="34">
        <v>250</v>
      </c>
      <c r="AH216" s="2"/>
      <c r="AL216" s="2"/>
      <c r="AN216" s="2"/>
    </row>
    <row r="217" spans="1:40">
      <c r="A217" t="s">
        <v>374</v>
      </c>
      <c r="L217">
        <v>3</v>
      </c>
      <c r="V217" s="2"/>
      <c r="W217" s="2"/>
      <c r="X217" s="2"/>
      <c r="Y217" s="2"/>
      <c r="Z217" s="2"/>
      <c r="AA217" s="2"/>
      <c r="AB217" s="34"/>
      <c r="AC217" s="2"/>
      <c r="AD217" s="2"/>
      <c r="AF217" s="34"/>
      <c r="AG217" s="34"/>
      <c r="AH217" s="2"/>
      <c r="AL217" s="2"/>
      <c r="AN217" s="2"/>
    </row>
    <row r="218" spans="1:40">
      <c r="A218" t="s">
        <v>375</v>
      </c>
      <c r="L218">
        <v>4</v>
      </c>
      <c r="V218" s="2"/>
      <c r="W218" s="2"/>
      <c r="X218" s="2"/>
      <c r="Y218" s="2"/>
      <c r="Z218" s="2"/>
      <c r="AA218" s="2"/>
      <c r="AB218" s="34"/>
      <c r="AC218" s="2"/>
      <c r="AD218" s="2"/>
      <c r="AF218" s="34"/>
      <c r="AG218" s="34"/>
      <c r="AH218" s="2"/>
      <c r="AL218" s="2"/>
      <c r="AN218" s="2"/>
    </row>
    <row r="219" spans="1:40">
      <c r="A219" t="s">
        <v>1133</v>
      </c>
      <c r="J219">
        <v>2</v>
      </c>
      <c r="V219" s="2"/>
      <c r="W219" s="2"/>
      <c r="X219" s="2"/>
      <c r="Y219" s="2"/>
      <c r="Z219" s="2"/>
      <c r="AA219" s="2"/>
      <c r="AB219" s="34"/>
      <c r="AC219" s="2"/>
      <c r="AD219" s="2"/>
      <c r="AE219">
        <v>4</v>
      </c>
      <c r="AF219" s="34"/>
      <c r="AG219" s="34"/>
      <c r="AH219" s="2"/>
      <c r="AL219" s="2"/>
      <c r="AN219" s="2"/>
    </row>
    <row r="220" spans="1:40">
      <c r="A220" s="31" t="s">
        <v>892</v>
      </c>
      <c r="D220">
        <v>5</v>
      </c>
      <c r="V220" s="2"/>
      <c r="W220" s="2"/>
      <c r="X220" s="2"/>
      <c r="Y220" s="2"/>
      <c r="Z220" s="2"/>
      <c r="AA220" s="2"/>
      <c r="AB220" s="34"/>
      <c r="AC220" s="2"/>
      <c r="AD220" s="2"/>
      <c r="AF220" s="34"/>
      <c r="AG220" s="34"/>
      <c r="AH220" s="2"/>
      <c r="AI220" s="2"/>
      <c r="AJ220" s="2"/>
      <c r="AK220" s="2"/>
      <c r="AL220" s="2"/>
    </row>
    <row r="221" spans="1:40">
      <c r="A221" t="s">
        <v>786</v>
      </c>
      <c r="N221">
        <v>8</v>
      </c>
      <c r="V221" s="2"/>
      <c r="W221" s="2"/>
      <c r="X221" s="2"/>
      <c r="Y221" s="2"/>
      <c r="Z221" s="2"/>
      <c r="AA221" s="2"/>
      <c r="AB221" s="34"/>
      <c r="AC221" s="2"/>
      <c r="AD221" s="2"/>
      <c r="AE221">
        <v>1</v>
      </c>
      <c r="AF221" s="34"/>
      <c r="AG221" s="34"/>
      <c r="AH221" s="2"/>
      <c r="AI221" s="2"/>
      <c r="AJ221" s="2"/>
      <c r="AK221" s="2"/>
      <c r="AL221" s="2"/>
    </row>
    <row r="222" spans="1:40">
      <c r="A222" t="s">
        <v>143</v>
      </c>
      <c r="B222">
        <v>5</v>
      </c>
      <c r="V222" s="2"/>
      <c r="W222" s="2"/>
      <c r="X222" s="2"/>
      <c r="Y222" s="2"/>
      <c r="Z222" s="2"/>
      <c r="AA222" s="2">
        <v>0.05</v>
      </c>
      <c r="AB222" s="34"/>
      <c r="AC222" s="2"/>
      <c r="AD222" s="2"/>
      <c r="AF222" s="34"/>
      <c r="AG222" s="34"/>
      <c r="AH222" s="2"/>
      <c r="AL222" s="2"/>
      <c r="AN222" s="2"/>
    </row>
    <row r="223" spans="1:40">
      <c r="A223" t="s">
        <v>781</v>
      </c>
      <c r="N223">
        <v>5</v>
      </c>
      <c r="O223">
        <v>15</v>
      </c>
      <c r="V223" s="2"/>
      <c r="W223" s="2"/>
      <c r="X223" s="2"/>
      <c r="Y223" s="2"/>
      <c r="Z223" s="34"/>
      <c r="AA223" s="2"/>
      <c r="AB223" s="34"/>
      <c r="AC223" s="2"/>
      <c r="AD223" s="2"/>
      <c r="AF223" s="34"/>
      <c r="AG223" s="34"/>
      <c r="AH223" s="2"/>
      <c r="AL223" s="34"/>
    </row>
    <row r="224" spans="1:40">
      <c r="A224" t="s">
        <v>782</v>
      </c>
      <c r="N224">
        <v>6</v>
      </c>
      <c r="O224">
        <v>16</v>
      </c>
      <c r="V224" s="2"/>
      <c r="W224" s="2"/>
      <c r="X224" s="2"/>
      <c r="Y224" s="2"/>
      <c r="Z224" s="34"/>
      <c r="AA224" s="2"/>
      <c r="AB224" s="34"/>
      <c r="AC224" s="2"/>
      <c r="AD224" s="2"/>
      <c r="AF224" s="34"/>
      <c r="AG224" s="34"/>
      <c r="AH224" s="2"/>
      <c r="AL224" s="34"/>
    </row>
    <row r="225" spans="1:40">
      <c r="A225" t="s">
        <v>1187</v>
      </c>
      <c r="N225">
        <v>10</v>
      </c>
      <c r="O225">
        <v>10</v>
      </c>
      <c r="V225" s="2">
        <v>0.01</v>
      </c>
      <c r="W225" s="2"/>
      <c r="X225" s="2"/>
      <c r="Y225" s="2"/>
      <c r="Z225" s="34"/>
      <c r="AA225" s="2"/>
      <c r="AB225" s="34"/>
      <c r="AC225" s="2"/>
      <c r="AD225" s="2"/>
      <c r="AE225">
        <v>5</v>
      </c>
      <c r="AF225" s="34"/>
      <c r="AG225" s="34"/>
      <c r="AH225" s="2"/>
      <c r="AL225" s="34"/>
    </row>
    <row r="226" spans="1:40">
      <c r="A226" t="s">
        <v>893</v>
      </c>
      <c r="O226">
        <v>6</v>
      </c>
      <c r="S226" s="34"/>
      <c r="T226" s="34"/>
      <c r="U226" s="34"/>
      <c r="V226" s="2"/>
      <c r="W226" s="2"/>
      <c r="X226" s="2"/>
      <c r="Y226" s="2"/>
      <c r="Z226" s="34"/>
      <c r="AA226" s="2"/>
      <c r="AB226" s="34"/>
      <c r="AC226" s="2"/>
      <c r="AD226" s="2"/>
      <c r="AE226" s="34">
        <v>5</v>
      </c>
      <c r="AF226" s="34"/>
      <c r="AG226" s="34"/>
      <c r="AH226" s="2"/>
      <c r="AL226" s="34"/>
    </row>
    <row r="227" spans="1:40">
      <c r="A227" t="s">
        <v>89</v>
      </c>
      <c r="G227">
        <v>2</v>
      </c>
      <c r="V227" s="2"/>
      <c r="W227" s="2"/>
      <c r="X227" s="2"/>
      <c r="Y227" s="2"/>
      <c r="Z227" s="2"/>
      <c r="AA227" s="2"/>
      <c r="AB227" s="34"/>
      <c r="AC227" s="2"/>
      <c r="AD227" s="2"/>
      <c r="AF227" s="34"/>
      <c r="AG227" s="34"/>
      <c r="AH227" s="2"/>
      <c r="AL227" s="2"/>
      <c r="AN227" s="2"/>
    </row>
    <row r="228" spans="1:40">
      <c r="A228" s="31" t="s">
        <v>894</v>
      </c>
      <c r="V228" s="2">
        <v>0.03</v>
      </c>
      <c r="W228" s="2"/>
      <c r="X228" s="2"/>
      <c r="Y228" s="2"/>
      <c r="Z228" s="2"/>
      <c r="AA228" s="2"/>
      <c r="AB228" s="34"/>
      <c r="AC228" s="2"/>
      <c r="AD228" s="2"/>
      <c r="AF228" s="34"/>
      <c r="AG228" s="34"/>
      <c r="AH228" s="2"/>
      <c r="AL228" s="34"/>
    </row>
    <row r="229" spans="1:40">
      <c r="A229" t="s">
        <v>372</v>
      </c>
      <c r="G229">
        <v>3</v>
      </c>
      <c r="V229" s="2"/>
      <c r="W229" s="2"/>
      <c r="X229" s="2"/>
      <c r="Y229" s="2"/>
      <c r="Z229" s="2"/>
      <c r="AA229" s="2"/>
      <c r="AB229" s="34"/>
      <c r="AC229" s="2"/>
      <c r="AD229" s="2"/>
      <c r="AF229" s="34"/>
      <c r="AG229" s="34"/>
      <c r="AH229" s="2"/>
      <c r="AL229" s="2"/>
      <c r="AN229" s="2"/>
    </row>
    <row r="230" spans="1:40">
      <c r="A230" t="s">
        <v>373</v>
      </c>
      <c r="G230">
        <v>4</v>
      </c>
      <c r="V230" s="2"/>
      <c r="W230" s="2"/>
      <c r="X230" s="2"/>
      <c r="Y230" s="2"/>
      <c r="Z230" s="2"/>
      <c r="AA230" s="2"/>
      <c r="AB230" s="34"/>
      <c r="AC230" s="2"/>
      <c r="AD230" s="2"/>
      <c r="AF230" s="34"/>
      <c r="AG230" s="34"/>
      <c r="AH230" s="2"/>
      <c r="AL230" s="2"/>
      <c r="AN230" s="2"/>
    </row>
    <row r="231" spans="1:40">
      <c r="A231" s="31" t="s">
        <v>1034</v>
      </c>
      <c r="N231">
        <v>12</v>
      </c>
      <c r="V231" s="2"/>
      <c r="W231" s="2"/>
      <c r="X231" s="2"/>
      <c r="Y231" s="2"/>
      <c r="Z231" s="2"/>
      <c r="AA231" s="2"/>
      <c r="AB231" s="34"/>
      <c r="AC231" s="2"/>
      <c r="AD231" s="2"/>
      <c r="AF231" s="34"/>
      <c r="AG231" s="34"/>
      <c r="AH231" s="2"/>
      <c r="AI231" s="2"/>
      <c r="AJ231" s="2"/>
      <c r="AK231" s="2"/>
      <c r="AL231" s="2"/>
    </row>
    <row r="234" spans="1:40">
      <c r="A234" t="s">
        <v>18</v>
      </c>
      <c r="B234" t="s">
        <v>30</v>
      </c>
      <c r="C234" t="s">
        <v>616</v>
      </c>
      <c r="D234" s="31" t="s">
        <v>798</v>
      </c>
      <c r="E234" t="s">
        <v>769</v>
      </c>
      <c r="F234" s="31" t="s">
        <v>820</v>
      </c>
      <c r="G234" t="s">
        <v>3</v>
      </c>
      <c r="H234" t="s">
        <v>4</v>
      </c>
      <c r="I234" t="s">
        <v>5</v>
      </c>
      <c r="J234" t="s">
        <v>42</v>
      </c>
      <c r="K234" t="s">
        <v>269</v>
      </c>
      <c r="L234" t="s">
        <v>270</v>
      </c>
      <c r="M234" t="s">
        <v>271</v>
      </c>
      <c r="N234" t="s">
        <v>10</v>
      </c>
      <c r="O234" t="s">
        <v>9</v>
      </c>
      <c r="P234" t="s">
        <v>390</v>
      </c>
      <c r="Q234" t="s">
        <v>1017</v>
      </c>
      <c r="R234" t="s">
        <v>1018</v>
      </c>
      <c r="S234" t="s">
        <v>1019</v>
      </c>
      <c r="T234" s="34" t="s">
        <v>620</v>
      </c>
      <c r="U234" s="152" t="s">
        <v>1020</v>
      </c>
      <c r="V234" t="s">
        <v>12</v>
      </c>
      <c r="W234" t="s">
        <v>166</v>
      </c>
      <c r="X234" t="s">
        <v>311</v>
      </c>
      <c r="Y234" t="s">
        <v>766</v>
      </c>
      <c r="Z234" t="s">
        <v>767</v>
      </c>
      <c r="AA234" t="s">
        <v>141</v>
      </c>
      <c r="AB234" t="s">
        <v>11</v>
      </c>
      <c r="AC234" t="s">
        <v>137</v>
      </c>
      <c r="AD234" t="s">
        <v>136</v>
      </c>
      <c r="AE234" t="s">
        <v>13</v>
      </c>
      <c r="AF234" t="s">
        <v>134</v>
      </c>
      <c r="AG234" t="s">
        <v>240</v>
      </c>
      <c r="AH234" t="s">
        <v>173</v>
      </c>
      <c r="AI234" s="34" t="s">
        <v>718</v>
      </c>
      <c r="AJ234" s="34" t="s">
        <v>743</v>
      </c>
      <c r="AK234" s="152" t="s">
        <v>717</v>
      </c>
      <c r="AL234" t="s">
        <v>312</v>
      </c>
      <c r="AM234" t="s">
        <v>268</v>
      </c>
      <c r="AN234" t="s">
        <v>618</v>
      </c>
    </row>
    <row r="235" spans="1:40">
      <c r="A235" s="31" t="s">
        <v>1110</v>
      </c>
      <c r="G235">
        <v>25</v>
      </c>
      <c r="H235">
        <v>38</v>
      </c>
      <c r="I235">
        <v>24</v>
      </c>
      <c r="J235">
        <v>28</v>
      </c>
      <c r="K235">
        <v>21</v>
      </c>
      <c r="L235">
        <v>21</v>
      </c>
      <c r="M235">
        <v>21</v>
      </c>
      <c r="N235">
        <v>22</v>
      </c>
      <c r="O235">
        <v>22</v>
      </c>
      <c r="V235" s="2"/>
      <c r="W235" s="2"/>
      <c r="X235" s="2"/>
      <c r="Y235" s="2"/>
      <c r="Z235" s="2"/>
      <c r="AA235" s="2"/>
      <c r="AB235" s="34">
        <v>41</v>
      </c>
      <c r="AC235" s="2">
        <v>0.05</v>
      </c>
      <c r="AD235" s="2">
        <v>0.05</v>
      </c>
      <c r="AE235" s="34"/>
      <c r="AF235" s="34"/>
      <c r="AG235" s="34"/>
      <c r="AH235" s="2"/>
      <c r="AL235" s="2"/>
      <c r="AM235">
        <v>63</v>
      </c>
      <c r="AN235" s="2"/>
    </row>
    <row r="236" spans="1:40">
      <c r="A236" s="31" t="s">
        <v>1085</v>
      </c>
      <c r="G236">
        <v>26</v>
      </c>
      <c r="H236">
        <v>43</v>
      </c>
      <c r="I236">
        <v>23</v>
      </c>
      <c r="J236">
        <v>39</v>
      </c>
      <c r="K236">
        <v>20</v>
      </c>
      <c r="L236">
        <v>20</v>
      </c>
      <c r="M236">
        <v>20</v>
      </c>
      <c r="N236">
        <v>35</v>
      </c>
      <c r="O236">
        <v>20</v>
      </c>
      <c r="V236" s="2"/>
      <c r="W236" s="2">
        <v>0.03</v>
      </c>
      <c r="X236" s="2"/>
      <c r="Y236" s="2"/>
      <c r="Z236" s="2"/>
      <c r="AA236" s="2">
        <v>0.05</v>
      </c>
      <c r="AB236" s="34">
        <v>41</v>
      </c>
      <c r="AC236" s="2"/>
      <c r="AD236" s="2"/>
      <c r="AE236" s="34"/>
      <c r="AF236" s="34"/>
      <c r="AG236" s="34"/>
      <c r="AH236" s="2"/>
      <c r="AL236" s="2"/>
      <c r="AM236">
        <v>69</v>
      </c>
      <c r="AN236" s="2"/>
    </row>
    <row r="237" spans="1:40">
      <c r="A237" s="31" t="s">
        <v>1086</v>
      </c>
      <c r="G237">
        <v>26</v>
      </c>
      <c r="H237">
        <v>45</v>
      </c>
      <c r="I237">
        <v>23</v>
      </c>
      <c r="J237">
        <v>41</v>
      </c>
      <c r="K237">
        <v>20</v>
      </c>
      <c r="L237">
        <v>20</v>
      </c>
      <c r="M237">
        <v>20</v>
      </c>
      <c r="N237">
        <v>55</v>
      </c>
      <c r="O237">
        <v>35</v>
      </c>
      <c r="V237" s="2"/>
      <c r="W237" s="2">
        <v>0.04</v>
      </c>
      <c r="X237" s="2"/>
      <c r="Y237" s="2"/>
      <c r="Z237" s="2"/>
      <c r="AA237" s="2">
        <v>0.06</v>
      </c>
      <c r="AB237" s="34">
        <v>41</v>
      </c>
      <c r="AC237" s="2"/>
      <c r="AD237" s="2"/>
      <c r="AE237" s="34"/>
      <c r="AF237" s="34"/>
      <c r="AG237" s="34"/>
      <c r="AH237" s="2"/>
      <c r="AL237" s="2"/>
      <c r="AM237">
        <v>69</v>
      </c>
      <c r="AN237" s="2"/>
    </row>
    <row r="238" spans="1:40">
      <c r="A238" s="31" t="s">
        <v>889</v>
      </c>
      <c r="C238">
        <v>20</v>
      </c>
      <c r="G238">
        <v>29</v>
      </c>
      <c r="H238">
        <v>34</v>
      </c>
      <c r="I238">
        <v>24</v>
      </c>
      <c r="J238">
        <v>28</v>
      </c>
      <c r="K238">
        <v>23</v>
      </c>
      <c r="L238">
        <v>23</v>
      </c>
      <c r="M238">
        <v>23</v>
      </c>
      <c r="V238" s="2"/>
      <c r="W238" s="2"/>
      <c r="X238" s="2"/>
      <c r="Y238" s="2"/>
      <c r="Z238" s="2"/>
      <c r="AA238" s="2"/>
      <c r="AB238" s="34">
        <v>40</v>
      </c>
      <c r="AC238" s="2"/>
      <c r="AD238" s="2"/>
      <c r="AE238" s="34"/>
      <c r="AF238" s="34"/>
      <c r="AG238" s="34"/>
      <c r="AH238" s="2"/>
      <c r="AL238" s="2"/>
      <c r="AM238">
        <v>69</v>
      </c>
      <c r="AN238" s="2"/>
    </row>
    <row r="239" spans="1:40">
      <c r="A239" s="31" t="s">
        <v>1189</v>
      </c>
      <c r="C239">
        <v>22</v>
      </c>
      <c r="G239">
        <v>34</v>
      </c>
      <c r="H239">
        <v>39</v>
      </c>
      <c r="I239">
        <v>29</v>
      </c>
      <c r="J239">
        <v>33</v>
      </c>
      <c r="K239">
        <v>28</v>
      </c>
      <c r="L239">
        <v>28</v>
      </c>
      <c r="M239">
        <v>28</v>
      </c>
      <c r="N239">
        <v>40</v>
      </c>
      <c r="V239" s="2"/>
      <c r="W239" s="2"/>
      <c r="X239" s="2"/>
      <c r="Y239" s="2"/>
      <c r="Z239" s="2"/>
      <c r="AA239" s="2"/>
      <c r="AB239" s="34">
        <v>40</v>
      </c>
      <c r="AC239" s="2"/>
      <c r="AD239" s="2"/>
      <c r="AE239" s="34"/>
      <c r="AF239" s="34"/>
      <c r="AG239" s="34"/>
      <c r="AH239" s="2">
        <v>0.05</v>
      </c>
      <c r="AL239" s="2"/>
      <c r="AM239">
        <v>103</v>
      </c>
      <c r="AN239" s="2"/>
    </row>
    <row r="240" spans="1:40">
      <c r="A240" s="31" t="s">
        <v>1190</v>
      </c>
      <c r="C240">
        <v>24</v>
      </c>
      <c r="G240">
        <v>39</v>
      </c>
      <c r="H240">
        <v>44</v>
      </c>
      <c r="I240">
        <v>34</v>
      </c>
      <c r="J240">
        <v>38</v>
      </c>
      <c r="K240">
        <v>33</v>
      </c>
      <c r="L240">
        <v>33</v>
      </c>
      <c r="M240">
        <v>33</v>
      </c>
      <c r="N240">
        <v>50</v>
      </c>
      <c r="V240" s="2"/>
      <c r="W240" s="2"/>
      <c r="X240" s="2"/>
      <c r="Y240" s="2"/>
      <c r="Z240" s="2"/>
      <c r="AA240" s="2"/>
      <c r="AB240" s="34">
        <v>40</v>
      </c>
      <c r="AC240" s="2"/>
      <c r="AD240" s="2"/>
      <c r="AE240" s="34"/>
      <c r="AF240" s="34"/>
      <c r="AG240" s="34"/>
      <c r="AH240" s="2">
        <v>0.1</v>
      </c>
      <c r="AL240" s="2"/>
      <c r="AM240">
        <v>113</v>
      </c>
      <c r="AN240" s="2"/>
    </row>
    <row r="241" spans="1:40">
      <c r="A241" s="31" t="s">
        <v>1130</v>
      </c>
      <c r="G241">
        <v>25</v>
      </c>
      <c r="H241">
        <v>24</v>
      </c>
      <c r="I241">
        <v>25</v>
      </c>
      <c r="J241">
        <v>23</v>
      </c>
      <c r="K241">
        <v>23</v>
      </c>
      <c r="L241">
        <v>23</v>
      </c>
      <c r="M241">
        <v>23</v>
      </c>
      <c r="N241">
        <v>20</v>
      </c>
      <c r="V241" s="2"/>
      <c r="W241" s="2"/>
      <c r="X241" s="2"/>
      <c r="Y241" s="2"/>
      <c r="Z241" s="2"/>
      <c r="AA241" s="2"/>
      <c r="AB241" s="34">
        <v>41</v>
      </c>
      <c r="AC241" s="2"/>
      <c r="AD241" s="2"/>
      <c r="AE241" s="34"/>
      <c r="AF241" s="34"/>
      <c r="AG241" s="34"/>
      <c r="AH241" s="2"/>
      <c r="AL241" s="2"/>
      <c r="AN241" s="2"/>
    </row>
    <row r="242" spans="1:40">
      <c r="A242" s="31" t="s">
        <v>1079</v>
      </c>
      <c r="G242">
        <v>19</v>
      </c>
      <c r="H242">
        <v>19</v>
      </c>
      <c r="I242">
        <v>19</v>
      </c>
      <c r="J242">
        <v>19</v>
      </c>
      <c r="K242">
        <v>32</v>
      </c>
      <c r="L242">
        <v>27</v>
      </c>
      <c r="M242">
        <v>27</v>
      </c>
      <c r="S242" s="34">
        <v>25</v>
      </c>
      <c r="T242">
        <v>10</v>
      </c>
      <c r="V242" s="2"/>
      <c r="W242" s="2"/>
      <c r="X242" s="2"/>
      <c r="Y242" s="2"/>
      <c r="Z242" s="2"/>
      <c r="AA242" s="2"/>
      <c r="AB242" s="34">
        <v>30</v>
      </c>
      <c r="AC242" s="2"/>
      <c r="AD242" s="2"/>
      <c r="AF242" s="34"/>
      <c r="AG242" s="34"/>
      <c r="AH242" s="2"/>
      <c r="AJ242" s="2"/>
      <c r="AK242" s="2"/>
      <c r="AL242" s="2"/>
    </row>
    <row r="243" spans="1:40">
      <c r="A243" s="31" t="s">
        <v>1087</v>
      </c>
      <c r="G243">
        <v>28</v>
      </c>
      <c r="H243">
        <v>34</v>
      </c>
      <c r="I243">
        <v>24</v>
      </c>
      <c r="J243">
        <v>30</v>
      </c>
      <c r="K243">
        <v>21</v>
      </c>
      <c r="L243">
        <v>20</v>
      </c>
      <c r="M243">
        <v>21</v>
      </c>
      <c r="N243">
        <v>15</v>
      </c>
      <c r="S243" s="34"/>
      <c r="V243" s="2"/>
      <c r="W243" s="2"/>
      <c r="X243" s="2"/>
      <c r="Y243" s="2"/>
      <c r="Z243" s="2"/>
      <c r="AA243" s="2"/>
      <c r="AB243" s="34">
        <v>41</v>
      </c>
      <c r="AC243" s="2">
        <v>0.03</v>
      </c>
      <c r="AD243" s="2"/>
      <c r="AE243">
        <v>3</v>
      </c>
      <c r="AF243" s="34"/>
      <c r="AG243" s="34"/>
      <c r="AH243" s="2"/>
      <c r="AJ243" s="2"/>
      <c r="AK243" s="2"/>
      <c r="AL243" s="2"/>
    </row>
    <row r="244" spans="1:40">
      <c r="A244" s="31" t="s">
        <v>1125</v>
      </c>
      <c r="G244">
        <v>28</v>
      </c>
      <c r="H244">
        <v>34</v>
      </c>
      <c r="I244">
        <v>24</v>
      </c>
      <c r="J244">
        <v>30</v>
      </c>
      <c r="K244">
        <v>21</v>
      </c>
      <c r="L244">
        <v>20</v>
      </c>
      <c r="M244">
        <v>21</v>
      </c>
      <c r="N244">
        <f>15+38</f>
        <v>53</v>
      </c>
      <c r="O244">
        <v>35</v>
      </c>
      <c r="S244" s="34"/>
      <c r="V244" s="2"/>
      <c r="W244" s="2">
        <v>0.03</v>
      </c>
      <c r="X244" s="2"/>
      <c r="Y244" s="2"/>
      <c r="Z244" s="2"/>
      <c r="AA244" s="2"/>
      <c r="AB244" s="34">
        <v>41</v>
      </c>
      <c r="AC244" s="2">
        <v>0.03</v>
      </c>
      <c r="AD244" s="2"/>
      <c r="AE244">
        <v>3</v>
      </c>
      <c r="AF244" s="34"/>
      <c r="AG244" s="34"/>
      <c r="AH244" s="2"/>
      <c r="AJ244" s="2"/>
      <c r="AK244" s="2"/>
      <c r="AL244" s="2"/>
    </row>
    <row r="245" spans="1:40">
      <c r="A245" s="31" t="s">
        <v>1151</v>
      </c>
      <c r="G245">
        <f>28+10</f>
        <v>38</v>
      </c>
      <c r="H245">
        <v>34</v>
      </c>
      <c r="I245">
        <v>24</v>
      </c>
      <c r="J245">
        <v>30</v>
      </c>
      <c r="K245">
        <v>21</v>
      </c>
      <c r="L245">
        <v>20</v>
      </c>
      <c r="M245">
        <v>21</v>
      </c>
      <c r="N245">
        <v>55</v>
      </c>
      <c r="O245">
        <v>40</v>
      </c>
      <c r="S245" s="34"/>
      <c r="V245" s="2"/>
      <c r="W245" s="2">
        <v>0.04</v>
      </c>
      <c r="X245" s="2"/>
      <c r="Y245" s="2"/>
      <c r="Z245" s="2"/>
      <c r="AA245" s="2"/>
      <c r="AB245" s="34">
        <v>41</v>
      </c>
      <c r="AC245" s="2">
        <v>0.03</v>
      </c>
      <c r="AD245" s="2"/>
      <c r="AE245">
        <v>3</v>
      </c>
      <c r="AF245" s="34"/>
      <c r="AG245" s="34"/>
      <c r="AH245" s="2"/>
      <c r="AJ245" s="2"/>
      <c r="AK245" s="2"/>
      <c r="AL245" s="2"/>
    </row>
    <row r="246" spans="1:40">
      <c r="A246" s="31" t="s">
        <v>1141</v>
      </c>
      <c r="G246">
        <v>28</v>
      </c>
      <c r="H246">
        <v>34</v>
      </c>
      <c r="I246">
        <v>24</v>
      </c>
      <c r="J246">
        <v>30</v>
      </c>
      <c r="K246">
        <v>21</v>
      </c>
      <c r="L246">
        <v>20</v>
      </c>
      <c r="M246">
        <v>21</v>
      </c>
      <c r="N246">
        <v>45</v>
      </c>
      <c r="O246">
        <v>30</v>
      </c>
      <c r="S246" s="34"/>
      <c r="V246" s="2"/>
      <c r="W246" s="2"/>
      <c r="X246" s="2"/>
      <c r="Y246" s="2"/>
      <c r="Z246" s="2"/>
      <c r="AA246" s="2"/>
      <c r="AB246" s="34">
        <v>41</v>
      </c>
      <c r="AC246" s="2">
        <v>0.03</v>
      </c>
      <c r="AD246" s="2"/>
      <c r="AE246">
        <f>3+6</f>
        <v>9</v>
      </c>
      <c r="AF246" s="34"/>
      <c r="AG246" s="34"/>
      <c r="AH246" s="2"/>
      <c r="AJ246" s="2"/>
      <c r="AK246" s="2"/>
      <c r="AL246" s="2"/>
    </row>
    <row r="247" spans="1:40">
      <c r="A247" s="31" t="s">
        <v>1142</v>
      </c>
      <c r="G247">
        <v>28</v>
      </c>
      <c r="H247">
        <v>44</v>
      </c>
      <c r="I247">
        <v>24</v>
      </c>
      <c r="J247">
        <v>30</v>
      </c>
      <c r="K247">
        <v>21</v>
      </c>
      <c r="L247">
        <v>20</v>
      </c>
      <c r="M247">
        <v>21</v>
      </c>
      <c r="N247">
        <v>45</v>
      </c>
      <c r="O247">
        <v>30</v>
      </c>
      <c r="S247" s="34"/>
      <c r="V247" s="2"/>
      <c r="W247" s="2"/>
      <c r="X247" s="2"/>
      <c r="Y247" s="2"/>
      <c r="Z247" s="2"/>
      <c r="AA247" s="2"/>
      <c r="AB247" s="34">
        <v>41</v>
      </c>
      <c r="AC247" s="2">
        <v>0.08</v>
      </c>
      <c r="AD247" s="2"/>
      <c r="AE247">
        <v>3</v>
      </c>
      <c r="AF247" s="34"/>
      <c r="AG247" s="34"/>
      <c r="AH247" s="2"/>
      <c r="AJ247" s="2"/>
      <c r="AK247" s="2"/>
      <c r="AL247" s="2"/>
    </row>
    <row r="248" spans="1:40">
      <c r="A248" s="31" t="s">
        <v>1143</v>
      </c>
      <c r="G248">
        <v>28</v>
      </c>
      <c r="H248">
        <v>44</v>
      </c>
      <c r="I248">
        <v>24</v>
      </c>
      <c r="J248">
        <v>30</v>
      </c>
      <c r="K248">
        <v>21</v>
      </c>
      <c r="L248">
        <v>20</v>
      </c>
      <c r="M248">
        <v>21</v>
      </c>
      <c r="N248">
        <v>45</v>
      </c>
      <c r="O248">
        <v>30</v>
      </c>
      <c r="S248" s="34"/>
      <c r="V248" s="2"/>
      <c r="W248" s="2"/>
      <c r="X248" s="2"/>
      <c r="Y248" s="2"/>
      <c r="Z248" s="2"/>
      <c r="AA248" s="2"/>
      <c r="AB248" s="34">
        <v>41</v>
      </c>
      <c r="AC248" s="2">
        <v>0.03</v>
      </c>
      <c r="AD248" s="2">
        <v>0.05</v>
      </c>
      <c r="AE248">
        <v>3</v>
      </c>
      <c r="AF248" s="34"/>
      <c r="AG248" s="34"/>
      <c r="AH248" s="2"/>
      <c r="AJ248" s="2"/>
      <c r="AK248" s="2"/>
      <c r="AL248" s="2"/>
    </row>
    <row r="249" spans="1:40">
      <c r="A249" s="31" t="s">
        <v>1152</v>
      </c>
      <c r="G249">
        <f>28+15</f>
        <v>43</v>
      </c>
      <c r="H249">
        <v>34</v>
      </c>
      <c r="I249">
        <v>24</v>
      </c>
      <c r="J249">
        <v>30</v>
      </c>
      <c r="K249">
        <v>21</v>
      </c>
      <c r="L249">
        <v>20</v>
      </c>
      <c r="M249">
        <v>21</v>
      </c>
      <c r="N249">
        <v>55</v>
      </c>
      <c r="O249">
        <v>40</v>
      </c>
      <c r="S249" s="34"/>
      <c r="V249" s="2"/>
      <c r="W249" s="2"/>
      <c r="X249" s="2"/>
      <c r="Y249" s="2"/>
      <c r="Z249" s="2"/>
      <c r="AA249" s="2"/>
      <c r="AB249" s="34">
        <v>41</v>
      </c>
      <c r="AC249" s="2">
        <v>0.03</v>
      </c>
      <c r="AD249" s="2"/>
      <c r="AE249">
        <v>3</v>
      </c>
      <c r="AF249" s="34"/>
      <c r="AG249" s="34"/>
      <c r="AH249" s="2">
        <v>0.04</v>
      </c>
      <c r="AJ249" s="2"/>
      <c r="AK249" s="2"/>
      <c r="AL249" s="2"/>
    </row>
    <row r="250" spans="1:40">
      <c r="A250" s="31" t="s">
        <v>1179</v>
      </c>
      <c r="G250">
        <v>34</v>
      </c>
      <c r="H250">
        <v>30</v>
      </c>
      <c r="I250">
        <v>14</v>
      </c>
      <c r="J250">
        <v>16</v>
      </c>
      <c r="K250">
        <v>47</v>
      </c>
      <c r="L250">
        <v>32</v>
      </c>
      <c r="M250">
        <v>30</v>
      </c>
      <c r="N250">
        <v>40</v>
      </c>
      <c r="O250">
        <v>40</v>
      </c>
      <c r="S250" s="34">
        <v>40</v>
      </c>
      <c r="T250">
        <v>40</v>
      </c>
      <c r="V250" s="2"/>
      <c r="W250" s="2"/>
      <c r="X250" s="2"/>
      <c r="Y250" s="2"/>
      <c r="Z250" s="2"/>
      <c r="AA250" s="2"/>
      <c r="AB250" s="34">
        <v>11</v>
      </c>
      <c r="AC250" s="2"/>
      <c r="AD250" s="2"/>
      <c r="AF250" s="34"/>
      <c r="AG250" s="34"/>
      <c r="AH250" s="2"/>
      <c r="AJ250" s="2"/>
      <c r="AK250" s="2"/>
      <c r="AL250" s="2"/>
    </row>
    <row r="251" spans="1:40">
      <c r="A251" s="31" t="s">
        <v>1195</v>
      </c>
      <c r="G251">
        <v>37</v>
      </c>
      <c r="H251">
        <v>33</v>
      </c>
      <c r="I251">
        <v>14</v>
      </c>
      <c r="J251">
        <v>16</v>
      </c>
      <c r="K251">
        <v>50</v>
      </c>
      <c r="L251">
        <v>32</v>
      </c>
      <c r="M251">
        <v>30</v>
      </c>
      <c r="N251">
        <v>46</v>
      </c>
      <c r="O251">
        <v>46</v>
      </c>
      <c r="S251" s="34">
        <v>46</v>
      </c>
      <c r="T251">
        <v>43</v>
      </c>
      <c r="V251" s="2"/>
      <c r="W251" s="2"/>
      <c r="X251" s="2"/>
      <c r="Y251" s="2"/>
      <c r="Z251" s="2"/>
      <c r="AA251" s="2"/>
      <c r="AB251" s="34">
        <v>11</v>
      </c>
      <c r="AC251" s="2"/>
      <c r="AD251" s="2"/>
      <c r="AF251" s="34"/>
      <c r="AG251" s="34"/>
      <c r="AH251" s="2"/>
      <c r="AJ251" s="2"/>
      <c r="AK251" s="2"/>
      <c r="AL251" s="2"/>
    </row>
    <row r="252" spans="1:40">
      <c r="A252" s="31" t="s">
        <v>1050</v>
      </c>
      <c r="G252">
        <v>26</v>
      </c>
      <c r="H252">
        <v>32</v>
      </c>
      <c r="I252">
        <v>23</v>
      </c>
      <c r="J252">
        <v>32</v>
      </c>
      <c r="K252">
        <v>23</v>
      </c>
      <c r="L252">
        <v>19</v>
      </c>
      <c r="M252">
        <v>19</v>
      </c>
      <c r="O252">
        <v>25</v>
      </c>
      <c r="S252" s="34"/>
      <c r="T252">
        <v>20</v>
      </c>
      <c r="V252" s="2"/>
      <c r="W252" s="2"/>
      <c r="X252" s="2"/>
      <c r="Y252" s="2"/>
      <c r="Z252" s="2"/>
      <c r="AA252" s="2"/>
      <c r="AB252" s="34">
        <v>61</v>
      </c>
      <c r="AC252" s="2"/>
      <c r="AD252" s="2"/>
      <c r="AF252" s="34"/>
      <c r="AG252" s="34"/>
      <c r="AH252" s="2"/>
      <c r="AJ252" s="2"/>
      <c r="AK252" s="2"/>
      <c r="AL252" s="2"/>
    </row>
    <row r="253" spans="1:40">
      <c r="A253" s="31" t="s">
        <v>903</v>
      </c>
      <c r="G253">
        <v>27</v>
      </c>
      <c r="H253">
        <v>32</v>
      </c>
      <c r="I253">
        <v>24</v>
      </c>
      <c r="J253">
        <v>28</v>
      </c>
      <c r="K253">
        <v>23</v>
      </c>
      <c r="L253">
        <v>23</v>
      </c>
      <c r="M253">
        <v>23</v>
      </c>
      <c r="N253">
        <v>21</v>
      </c>
      <c r="O253">
        <v>21</v>
      </c>
      <c r="T253" s="34"/>
      <c r="U253" s="34"/>
      <c r="V253" s="2"/>
      <c r="W253" s="2"/>
      <c r="X253" s="2"/>
      <c r="Y253" s="2"/>
      <c r="Z253" s="2"/>
      <c r="AA253" s="2"/>
      <c r="AB253" s="34">
        <v>40</v>
      </c>
      <c r="AC253" s="2"/>
      <c r="AD253" s="2"/>
      <c r="AF253" s="34"/>
      <c r="AG253" s="34"/>
      <c r="AH253" s="2"/>
      <c r="AL253" s="2"/>
      <c r="AN253" s="2"/>
    </row>
    <row r="254" spans="1:40">
      <c r="A254" s="31" t="s">
        <v>1083</v>
      </c>
      <c r="G254">
        <v>30</v>
      </c>
      <c r="H254">
        <v>35</v>
      </c>
      <c r="I254">
        <v>26</v>
      </c>
      <c r="J254">
        <v>30</v>
      </c>
      <c r="K254">
        <v>25</v>
      </c>
      <c r="L254">
        <v>25</v>
      </c>
      <c r="M254">
        <v>25</v>
      </c>
      <c r="N254">
        <v>15</v>
      </c>
      <c r="O254">
        <v>15</v>
      </c>
      <c r="T254" s="34"/>
      <c r="U254" s="34"/>
      <c r="V254" s="2"/>
      <c r="W254" s="2">
        <v>0.04</v>
      </c>
      <c r="X254" s="2"/>
      <c r="Y254" s="2"/>
      <c r="Z254" s="2"/>
      <c r="AA254" s="2"/>
      <c r="AB254" s="34">
        <v>41</v>
      </c>
      <c r="AC254" s="2"/>
      <c r="AD254" s="2"/>
      <c r="AF254" s="34"/>
      <c r="AG254" s="34"/>
      <c r="AH254" s="2"/>
      <c r="AL254" s="2"/>
      <c r="AN254" s="2"/>
    </row>
    <row r="255" spans="1:40">
      <c r="A255" s="31" t="s">
        <v>1088</v>
      </c>
      <c r="G255">
        <v>37</v>
      </c>
      <c r="H255">
        <v>45</v>
      </c>
      <c r="I255">
        <v>26</v>
      </c>
      <c r="J255">
        <v>30</v>
      </c>
      <c r="K255">
        <v>32</v>
      </c>
      <c r="L255">
        <v>25</v>
      </c>
      <c r="M255">
        <v>25</v>
      </c>
      <c r="N255">
        <v>15</v>
      </c>
      <c r="O255">
        <v>15</v>
      </c>
      <c r="T255" s="34"/>
      <c r="U255" s="34"/>
      <c r="V255" s="2"/>
      <c r="W255" s="2">
        <v>0.02</v>
      </c>
      <c r="X255" s="2"/>
      <c r="Y255" s="2"/>
      <c r="Z255" s="2"/>
      <c r="AA255" s="2"/>
      <c r="AB255" s="34">
        <v>41</v>
      </c>
      <c r="AC255" s="2"/>
      <c r="AD255" s="2"/>
      <c r="AF255" s="34"/>
      <c r="AG255" s="34"/>
      <c r="AH255" s="2"/>
      <c r="AL255" s="2"/>
      <c r="AN255" s="2"/>
    </row>
    <row r="256" spans="1:40">
      <c r="A256" t="s">
        <v>1071</v>
      </c>
      <c r="G256">
        <v>29</v>
      </c>
      <c r="H256">
        <v>36</v>
      </c>
      <c r="I256">
        <v>22</v>
      </c>
      <c r="J256">
        <v>28</v>
      </c>
      <c r="K256">
        <v>21</v>
      </c>
      <c r="L256">
        <v>21</v>
      </c>
      <c r="M256">
        <v>21</v>
      </c>
      <c r="N256">
        <v>24</v>
      </c>
      <c r="O256">
        <v>10</v>
      </c>
      <c r="V256" s="2"/>
      <c r="W256" s="2">
        <v>0.01</v>
      </c>
      <c r="X256" s="2"/>
      <c r="Y256" s="2"/>
      <c r="Z256" s="2"/>
      <c r="AA256" s="2"/>
      <c r="AB256" s="34">
        <v>41</v>
      </c>
      <c r="AC256" s="2"/>
      <c r="AD256" s="2"/>
      <c r="AF256" s="2"/>
      <c r="AG256" s="34"/>
      <c r="AH256" s="2"/>
      <c r="AL256" s="2"/>
    </row>
    <row r="257" spans="1:49">
      <c r="A257" t="s">
        <v>1045</v>
      </c>
      <c r="G257">
        <v>29</v>
      </c>
      <c r="H257">
        <v>36</v>
      </c>
      <c r="I257">
        <v>22</v>
      </c>
      <c r="J257">
        <v>28</v>
      </c>
      <c r="K257">
        <v>21</v>
      </c>
      <c r="L257">
        <v>21</v>
      </c>
      <c r="M257">
        <v>21</v>
      </c>
      <c r="N257">
        <v>20</v>
      </c>
      <c r="O257">
        <v>30</v>
      </c>
      <c r="V257" s="2"/>
      <c r="W257" s="2">
        <v>0.02</v>
      </c>
      <c r="X257" s="2"/>
      <c r="Y257" s="2"/>
      <c r="Z257" s="2"/>
      <c r="AA257" s="2"/>
      <c r="AB257" s="34">
        <v>41</v>
      </c>
      <c r="AC257" s="2"/>
      <c r="AD257" s="2"/>
      <c r="AF257" s="2"/>
      <c r="AG257" s="34"/>
      <c r="AH257" s="2"/>
      <c r="AL257" s="2"/>
    </row>
    <row r="258" spans="1:49">
      <c r="A258" t="s">
        <v>1046</v>
      </c>
      <c r="G258">
        <v>29</v>
      </c>
      <c r="H258">
        <v>36</v>
      </c>
      <c r="I258">
        <v>22</v>
      </c>
      <c r="J258">
        <v>28</v>
      </c>
      <c r="K258">
        <v>21</v>
      </c>
      <c r="L258">
        <v>21</v>
      </c>
      <c r="M258">
        <v>21</v>
      </c>
      <c r="N258">
        <v>20</v>
      </c>
      <c r="O258">
        <v>30</v>
      </c>
      <c r="V258" s="2"/>
      <c r="W258" s="2"/>
      <c r="X258" s="2"/>
      <c r="Y258" s="2"/>
      <c r="Z258" s="2"/>
      <c r="AA258" s="2">
        <v>0.05</v>
      </c>
      <c r="AB258" s="34">
        <v>41</v>
      </c>
      <c r="AC258" s="2"/>
      <c r="AD258" s="2"/>
      <c r="AF258" s="2"/>
      <c r="AG258" s="34"/>
      <c r="AH258" s="2"/>
      <c r="AL258" s="2"/>
    </row>
    <row r="259" spans="1:49">
      <c r="A259" t="s">
        <v>1049</v>
      </c>
      <c r="G259">
        <v>26</v>
      </c>
      <c r="H259">
        <v>33</v>
      </c>
      <c r="I259">
        <v>23</v>
      </c>
      <c r="J259">
        <v>29</v>
      </c>
      <c r="K259">
        <v>20</v>
      </c>
      <c r="L259">
        <v>20</v>
      </c>
      <c r="M259">
        <v>20</v>
      </c>
      <c r="N259">
        <v>23</v>
      </c>
      <c r="S259">
        <v>15</v>
      </c>
      <c r="T259">
        <v>35</v>
      </c>
      <c r="V259" s="2"/>
      <c r="W259" s="2"/>
      <c r="X259" s="2"/>
      <c r="Y259" s="2"/>
      <c r="Z259" s="2"/>
      <c r="AA259" s="2"/>
      <c r="AB259" s="34">
        <v>41</v>
      </c>
      <c r="AC259" s="2"/>
      <c r="AD259" s="2"/>
      <c r="AF259" s="2"/>
      <c r="AG259" s="34"/>
      <c r="AH259" s="2"/>
      <c r="AL259" s="2"/>
    </row>
    <row r="260" spans="1:49">
      <c r="A260" t="s">
        <v>1080</v>
      </c>
      <c r="G260">
        <v>21</v>
      </c>
      <c r="H260">
        <v>21</v>
      </c>
      <c r="I260">
        <v>21</v>
      </c>
      <c r="J260">
        <v>21</v>
      </c>
      <c r="K260">
        <v>29</v>
      </c>
      <c r="L260">
        <v>29</v>
      </c>
      <c r="M260">
        <v>29</v>
      </c>
      <c r="V260" s="2"/>
      <c r="W260" s="2"/>
      <c r="X260" s="2"/>
      <c r="Y260" s="2"/>
      <c r="Z260" s="2"/>
      <c r="AA260" s="2"/>
      <c r="AB260" s="34">
        <v>31</v>
      </c>
      <c r="AC260" s="2"/>
      <c r="AD260" s="2"/>
      <c r="AF260" s="2"/>
      <c r="AG260" s="34"/>
      <c r="AH260" s="2"/>
      <c r="AL260" s="2"/>
    </row>
    <row r="261" spans="1:49">
      <c r="A261" s="31" t="s">
        <v>946</v>
      </c>
      <c r="B261" s="31"/>
      <c r="C261" s="31"/>
      <c r="D261" s="31"/>
      <c r="E261" s="31"/>
      <c r="F261" s="31"/>
      <c r="G261" s="31">
        <v>25</v>
      </c>
      <c r="H261" s="31">
        <v>25</v>
      </c>
      <c r="I261" s="31">
        <v>25</v>
      </c>
      <c r="J261" s="31">
        <v>25</v>
      </c>
      <c r="K261" s="31">
        <v>32</v>
      </c>
      <c r="L261" s="31">
        <v>32</v>
      </c>
      <c r="M261" s="31">
        <v>32</v>
      </c>
      <c r="N261" s="31"/>
      <c r="O261" s="31"/>
      <c r="P261" s="31"/>
      <c r="Q261" s="31"/>
      <c r="R261" s="31"/>
      <c r="S261" s="31"/>
      <c r="T261" s="31"/>
      <c r="U261" s="31"/>
      <c r="V261" s="12"/>
      <c r="W261" s="12"/>
      <c r="X261" s="12"/>
      <c r="Y261" s="12"/>
      <c r="Z261" s="12"/>
      <c r="AA261" s="12"/>
      <c r="AB261" s="48">
        <v>31</v>
      </c>
      <c r="AC261" s="12"/>
      <c r="AD261" s="31"/>
      <c r="AE261" s="31"/>
      <c r="AF261" s="48"/>
      <c r="AG261" s="12"/>
      <c r="AH261" s="12"/>
      <c r="AI261" s="48"/>
      <c r="AJ261" s="48"/>
      <c r="AK261" s="48"/>
      <c r="AL261" s="48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</row>
    <row r="264" spans="1:49">
      <c r="A264" t="s">
        <v>19</v>
      </c>
      <c r="B264" t="s">
        <v>30</v>
      </c>
      <c r="C264" t="s">
        <v>616</v>
      </c>
      <c r="D264" s="31" t="s">
        <v>798</v>
      </c>
      <c r="E264" t="s">
        <v>769</v>
      </c>
      <c r="F264" s="31" t="s">
        <v>820</v>
      </c>
      <c r="G264" t="s">
        <v>3</v>
      </c>
      <c r="H264" t="s">
        <v>4</v>
      </c>
      <c r="I264" t="s">
        <v>5</v>
      </c>
      <c r="J264" t="s">
        <v>42</v>
      </c>
      <c r="K264" t="s">
        <v>269</v>
      </c>
      <c r="L264" t="s">
        <v>270</v>
      </c>
      <c r="M264" t="s">
        <v>271</v>
      </c>
      <c r="N264" t="s">
        <v>10</v>
      </c>
      <c r="O264" t="s">
        <v>9</v>
      </c>
      <c r="P264" t="s">
        <v>390</v>
      </c>
      <c r="Q264" t="s">
        <v>1017</v>
      </c>
      <c r="R264" t="s">
        <v>1018</v>
      </c>
      <c r="S264" t="s">
        <v>1019</v>
      </c>
      <c r="T264" s="34" t="s">
        <v>620</v>
      </c>
      <c r="U264" s="152" t="s">
        <v>1020</v>
      </c>
      <c r="V264" t="s">
        <v>12</v>
      </c>
      <c r="W264" t="s">
        <v>166</v>
      </c>
      <c r="X264" t="s">
        <v>311</v>
      </c>
      <c r="Y264" t="s">
        <v>766</v>
      </c>
      <c r="Z264" t="s">
        <v>767</v>
      </c>
      <c r="AA264" t="s">
        <v>141</v>
      </c>
      <c r="AB264" t="s">
        <v>11</v>
      </c>
      <c r="AC264" t="s">
        <v>137</v>
      </c>
      <c r="AD264" t="s">
        <v>136</v>
      </c>
      <c r="AE264" t="s">
        <v>13</v>
      </c>
      <c r="AF264" t="s">
        <v>134</v>
      </c>
      <c r="AG264" t="s">
        <v>240</v>
      </c>
      <c r="AH264" t="s">
        <v>173</v>
      </c>
      <c r="AI264" s="34" t="s">
        <v>718</v>
      </c>
      <c r="AJ264" s="34" t="s">
        <v>743</v>
      </c>
      <c r="AK264" s="152" t="s">
        <v>717</v>
      </c>
      <c r="AL264" t="s">
        <v>312</v>
      </c>
      <c r="AM264" t="s">
        <v>268</v>
      </c>
      <c r="AN264" t="s">
        <v>618</v>
      </c>
    </row>
    <row r="265" spans="1:49">
      <c r="A265" s="31" t="s">
        <v>1091</v>
      </c>
      <c r="G265">
        <v>15</v>
      </c>
      <c r="H265">
        <v>53</v>
      </c>
      <c r="I265">
        <v>29</v>
      </c>
      <c r="J265">
        <v>17</v>
      </c>
      <c r="K265">
        <v>12</v>
      </c>
      <c r="L265">
        <v>30</v>
      </c>
      <c r="M265">
        <v>17</v>
      </c>
      <c r="N265">
        <v>37</v>
      </c>
      <c r="V265" s="2"/>
      <c r="W265" s="2">
        <v>0.03</v>
      </c>
      <c r="X265" s="2"/>
      <c r="Y265" s="2"/>
      <c r="Z265" s="2"/>
      <c r="AA265" s="2"/>
      <c r="AB265" s="34">
        <v>51</v>
      </c>
      <c r="AC265" s="2"/>
      <c r="AD265" s="2"/>
      <c r="AE265" s="34">
        <v>6</v>
      </c>
      <c r="AF265" s="34"/>
      <c r="AG265" s="34"/>
      <c r="AH265" s="2"/>
      <c r="AL265" s="2"/>
      <c r="AN265" s="2"/>
    </row>
    <row r="266" spans="1:49">
      <c r="A266" s="31" t="s">
        <v>1092</v>
      </c>
      <c r="G266">
        <v>25</v>
      </c>
      <c r="H266">
        <v>53</v>
      </c>
      <c r="I266">
        <v>29</v>
      </c>
      <c r="J266">
        <v>7</v>
      </c>
      <c r="K266">
        <v>12</v>
      </c>
      <c r="L266">
        <v>30</v>
      </c>
      <c r="M266">
        <v>17</v>
      </c>
      <c r="N266">
        <v>22</v>
      </c>
      <c r="O266">
        <v>15</v>
      </c>
      <c r="V266" s="2"/>
      <c r="W266" s="2">
        <v>0.03</v>
      </c>
      <c r="X266" s="2"/>
      <c r="Y266" s="2"/>
      <c r="Z266" s="2"/>
      <c r="AA266" s="2"/>
      <c r="AB266" s="34">
        <v>51</v>
      </c>
      <c r="AC266" s="2"/>
      <c r="AD266" s="2"/>
      <c r="AE266" s="34">
        <v>6</v>
      </c>
      <c r="AF266" s="34"/>
      <c r="AG266" s="34"/>
      <c r="AH266" s="2"/>
      <c r="AL266" s="2"/>
      <c r="AN266" s="2"/>
    </row>
    <row r="267" spans="1:49">
      <c r="A267" s="31" t="s">
        <v>1086</v>
      </c>
      <c r="G267">
        <v>15</v>
      </c>
      <c r="H267">
        <v>56</v>
      </c>
      <c r="I267">
        <v>29</v>
      </c>
      <c r="J267">
        <v>19</v>
      </c>
      <c r="K267">
        <v>12</v>
      </c>
      <c r="L267">
        <v>30</v>
      </c>
      <c r="M267">
        <v>17</v>
      </c>
      <c r="N267">
        <f>32+20</f>
        <v>52</v>
      </c>
      <c r="V267" s="2"/>
      <c r="W267" s="2">
        <v>0.04</v>
      </c>
      <c r="X267" s="2"/>
      <c r="Y267" s="2"/>
      <c r="Z267" s="2"/>
      <c r="AA267" s="2"/>
      <c r="AB267" s="34">
        <v>51</v>
      </c>
      <c r="AC267" s="2"/>
      <c r="AD267" s="2"/>
      <c r="AE267" s="34">
        <v>7</v>
      </c>
      <c r="AF267" s="34"/>
      <c r="AG267" s="34"/>
      <c r="AH267" s="2"/>
      <c r="AL267" s="2"/>
      <c r="AN267" s="2"/>
    </row>
    <row r="268" spans="1:49">
      <c r="A268" s="31" t="s">
        <v>1186</v>
      </c>
      <c r="G268">
        <v>3</v>
      </c>
      <c r="H268">
        <v>23</v>
      </c>
      <c r="I268">
        <v>20</v>
      </c>
      <c r="J268">
        <v>2</v>
      </c>
      <c r="K268">
        <f>24+10</f>
        <v>34</v>
      </c>
      <c r="L268">
        <v>34</v>
      </c>
      <c r="M268">
        <v>19</v>
      </c>
      <c r="S268">
        <v>15</v>
      </c>
      <c r="T268">
        <f>23+15</f>
        <v>38</v>
      </c>
      <c r="V268" s="2"/>
      <c r="W268" s="2"/>
      <c r="X268" s="2"/>
      <c r="Y268" s="2"/>
      <c r="Z268" s="2"/>
      <c r="AA268" s="2"/>
      <c r="AB268" s="34">
        <v>31</v>
      </c>
      <c r="AC268" s="2"/>
      <c r="AD268" s="2"/>
      <c r="AE268" s="34"/>
      <c r="AF268" s="34"/>
      <c r="AG268" s="34"/>
      <c r="AH268" s="2"/>
      <c r="AL268" s="2"/>
      <c r="AN268" s="2"/>
    </row>
    <row r="269" spans="1:49">
      <c r="A269" s="31" t="s">
        <v>889</v>
      </c>
      <c r="G269">
        <v>11</v>
      </c>
      <c r="H269">
        <v>35</v>
      </c>
      <c r="I269">
        <v>32</v>
      </c>
      <c r="J269">
        <v>5</v>
      </c>
      <c r="K269">
        <v>22</v>
      </c>
      <c r="L269">
        <v>30</v>
      </c>
      <c r="M269">
        <v>17</v>
      </c>
      <c r="V269" s="2"/>
      <c r="W269" s="2"/>
      <c r="X269" s="2"/>
      <c r="Y269" s="2"/>
      <c r="Z269" s="2"/>
      <c r="AA269" s="2"/>
      <c r="AB269" s="34">
        <v>51</v>
      </c>
      <c r="AC269" s="2"/>
      <c r="AD269" s="2"/>
      <c r="AE269" s="34"/>
      <c r="AF269" s="34"/>
      <c r="AG269" s="34"/>
      <c r="AH269" s="2"/>
      <c r="AL269" s="2"/>
      <c r="AN269" s="2"/>
    </row>
    <row r="270" spans="1:49">
      <c r="A270" s="31" t="s">
        <v>1189</v>
      </c>
      <c r="G270">
        <v>16</v>
      </c>
      <c r="H270">
        <v>40</v>
      </c>
      <c r="I270">
        <v>37</v>
      </c>
      <c r="J270">
        <v>10</v>
      </c>
      <c r="K270">
        <v>27</v>
      </c>
      <c r="L270">
        <v>35</v>
      </c>
      <c r="M270">
        <v>22</v>
      </c>
      <c r="N270">
        <v>38</v>
      </c>
      <c r="V270" s="2"/>
      <c r="W270" s="2"/>
      <c r="X270" s="2"/>
      <c r="Y270" s="2"/>
      <c r="Z270" s="2"/>
      <c r="AA270" s="2"/>
      <c r="AB270" s="34">
        <v>51</v>
      </c>
      <c r="AC270" s="2"/>
      <c r="AD270" s="2"/>
      <c r="AE270" s="34"/>
      <c r="AF270" s="34"/>
      <c r="AG270" s="34"/>
      <c r="AH270" s="2"/>
      <c r="AL270" s="2"/>
      <c r="AN270" s="2"/>
    </row>
    <row r="271" spans="1:49">
      <c r="A271" s="31" t="s">
        <v>1190</v>
      </c>
      <c r="G271">
        <v>21</v>
      </c>
      <c r="H271">
        <v>45</v>
      </c>
      <c r="I271">
        <v>42</v>
      </c>
      <c r="J271">
        <v>15</v>
      </c>
      <c r="K271">
        <v>32</v>
      </c>
      <c r="L271">
        <v>40</v>
      </c>
      <c r="M271">
        <v>27</v>
      </c>
      <c r="N271">
        <v>48</v>
      </c>
      <c r="V271" s="2"/>
      <c r="W271" s="2"/>
      <c r="X271" s="2"/>
      <c r="Y271" s="2"/>
      <c r="Z271" s="2"/>
      <c r="AA271" s="2"/>
      <c r="AB271" s="34">
        <v>51</v>
      </c>
      <c r="AC271" s="2"/>
      <c r="AD271" s="2"/>
      <c r="AE271" s="34"/>
      <c r="AF271" s="34"/>
      <c r="AG271" s="34"/>
      <c r="AH271" s="2"/>
      <c r="AL271" s="2"/>
      <c r="AN271" s="2"/>
    </row>
    <row r="272" spans="1:49">
      <c r="A272" s="31" t="s">
        <v>1060</v>
      </c>
      <c r="G272">
        <v>9</v>
      </c>
      <c r="H272">
        <v>39</v>
      </c>
      <c r="I272">
        <v>27</v>
      </c>
      <c r="J272">
        <v>4</v>
      </c>
      <c r="K272">
        <v>11</v>
      </c>
      <c r="L272">
        <v>26</v>
      </c>
      <c r="M272">
        <v>15</v>
      </c>
      <c r="N272">
        <v>20</v>
      </c>
      <c r="V272" s="2"/>
      <c r="W272" s="2"/>
      <c r="X272" s="2"/>
      <c r="Y272" s="2"/>
      <c r="Z272" s="2"/>
      <c r="AA272" s="2"/>
      <c r="AB272" s="34">
        <v>30</v>
      </c>
      <c r="AC272" s="2"/>
      <c r="AD272" s="2"/>
      <c r="AF272" s="2"/>
      <c r="AG272" s="34"/>
      <c r="AH272" s="2"/>
      <c r="AL272" s="2"/>
    </row>
    <row r="273" spans="1:40">
      <c r="A273" s="31" t="s">
        <v>1103</v>
      </c>
      <c r="G273">
        <f>15+12</f>
        <v>27</v>
      </c>
      <c r="H273">
        <v>34</v>
      </c>
      <c r="I273">
        <f>34+7</f>
        <v>41</v>
      </c>
      <c r="J273">
        <v>8</v>
      </c>
      <c r="K273">
        <v>16</v>
      </c>
      <c r="L273">
        <v>31</v>
      </c>
      <c r="M273">
        <v>21</v>
      </c>
      <c r="N273">
        <v>18</v>
      </c>
      <c r="O273">
        <v>18</v>
      </c>
      <c r="V273" s="2"/>
      <c r="W273" s="2"/>
      <c r="X273" s="2"/>
      <c r="Y273" s="2"/>
      <c r="Z273" s="2"/>
      <c r="AA273" s="2"/>
      <c r="AB273" s="34">
        <v>51</v>
      </c>
      <c r="AC273" s="2"/>
      <c r="AD273" s="2"/>
      <c r="AF273" s="2"/>
      <c r="AG273" s="34"/>
      <c r="AH273" s="2"/>
      <c r="AL273" s="2"/>
    </row>
    <row r="274" spans="1:40">
      <c r="A274" s="31" t="s">
        <v>935</v>
      </c>
      <c r="G274">
        <v>6</v>
      </c>
      <c r="H274">
        <v>26</v>
      </c>
      <c r="I274">
        <v>23</v>
      </c>
      <c r="J274">
        <v>3</v>
      </c>
      <c r="K274">
        <v>17</v>
      </c>
      <c r="L274">
        <v>31</v>
      </c>
      <c r="M274">
        <v>17</v>
      </c>
      <c r="S274" s="34">
        <v>20</v>
      </c>
      <c r="V274" s="2"/>
      <c r="W274" s="2"/>
      <c r="X274" s="2"/>
      <c r="Y274" s="2"/>
      <c r="Z274" s="2"/>
      <c r="AA274" s="2"/>
      <c r="AB274" s="34">
        <v>30</v>
      </c>
      <c r="AC274" s="2"/>
      <c r="AD274" s="2"/>
      <c r="AF274" s="34"/>
      <c r="AG274" s="34"/>
      <c r="AH274" s="2"/>
      <c r="AJ274" s="2"/>
      <c r="AK274" s="2"/>
      <c r="AL274" s="2"/>
    </row>
    <row r="275" spans="1:40">
      <c r="A275" s="31" t="s">
        <v>1058</v>
      </c>
      <c r="G275">
        <v>3</v>
      </c>
      <c r="H275">
        <v>25</v>
      </c>
      <c r="I275">
        <v>22</v>
      </c>
      <c r="J275">
        <v>2</v>
      </c>
      <c r="K275">
        <f>17+10</f>
        <v>27</v>
      </c>
      <c r="L275">
        <v>30</v>
      </c>
      <c r="M275">
        <v>16</v>
      </c>
      <c r="S275" s="34">
        <v>13</v>
      </c>
      <c r="T275">
        <v>23</v>
      </c>
      <c r="V275" s="2"/>
      <c r="W275" s="2"/>
      <c r="X275" s="2"/>
      <c r="Y275" s="2"/>
      <c r="Z275" s="2"/>
      <c r="AA275" s="2"/>
      <c r="AB275" s="34">
        <v>31</v>
      </c>
      <c r="AC275" s="2"/>
      <c r="AD275" s="2"/>
      <c r="AF275" s="34"/>
      <c r="AG275" s="34"/>
      <c r="AH275" s="2"/>
      <c r="AJ275" s="2"/>
      <c r="AK275" s="2"/>
      <c r="AL275" s="2"/>
    </row>
    <row r="276" spans="1:40">
      <c r="A276" s="31" t="s">
        <v>1087</v>
      </c>
      <c r="G276">
        <v>16</v>
      </c>
      <c r="H276">
        <v>39</v>
      </c>
      <c r="I276">
        <v>30</v>
      </c>
      <c r="J276">
        <v>8</v>
      </c>
      <c r="K276">
        <v>14</v>
      </c>
      <c r="L276">
        <v>26</v>
      </c>
      <c r="M276">
        <v>19</v>
      </c>
      <c r="N276">
        <v>12</v>
      </c>
      <c r="S276" s="34"/>
      <c r="V276" s="2"/>
      <c r="W276" s="2">
        <v>0.02</v>
      </c>
      <c r="X276" s="2"/>
      <c r="Y276" s="2"/>
      <c r="Z276" s="2"/>
      <c r="AA276" s="2"/>
      <c r="AB276" s="34">
        <v>51</v>
      </c>
      <c r="AC276" s="2"/>
      <c r="AD276" s="2"/>
      <c r="AF276" s="34"/>
      <c r="AG276" s="34"/>
      <c r="AH276" s="2"/>
      <c r="AJ276" s="2"/>
      <c r="AK276" s="2"/>
      <c r="AL276" s="2"/>
    </row>
    <row r="277" spans="1:40">
      <c r="A277" s="31" t="s">
        <v>1154</v>
      </c>
      <c r="G277">
        <f>16+13</f>
        <v>29</v>
      </c>
      <c r="H277">
        <v>39</v>
      </c>
      <c r="I277">
        <v>30</v>
      </c>
      <c r="J277">
        <v>8</v>
      </c>
      <c r="K277">
        <v>14</v>
      </c>
      <c r="L277">
        <v>26</v>
      </c>
      <c r="M277">
        <v>19</v>
      </c>
      <c r="N277">
        <f>12+8</f>
        <v>20</v>
      </c>
      <c r="S277" s="34"/>
      <c r="V277" s="2"/>
      <c r="W277" s="2">
        <v>0.02</v>
      </c>
      <c r="X277" s="2"/>
      <c r="Y277" s="2"/>
      <c r="Z277" s="2"/>
      <c r="AA277" s="2"/>
      <c r="AB277" s="34">
        <v>51</v>
      </c>
      <c r="AC277" s="2"/>
      <c r="AD277" s="2"/>
      <c r="AF277" s="34"/>
      <c r="AG277" s="34"/>
      <c r="AH277" s="2">
        <v>0.02</v>
      </c>
      <c r="AJ277" s="2"/>
      <c r="AK277" s="2"/>
      <c r="AL277" s="2"/>
    </row>
    <row r="278" spans="1:40">
      <c r="A278" s="31" t="s">
        <v>1173</v>
      </c>
      <c r="G278">
        <v>29</v>
      </c>
      <c r="H278">
        <v>39</v>
      </c>
      <c r="I278">
        <v>30</v>
      </c>
      <c r="J278">
        <v>8</v>
      </c>
      <c r="K278">
        <v>14</v>
      </c>
      <c r="L278">
        <v>26</v>
      </c>
      <c r="M278">
        <v>19</v>
      </c>
      <c r="N278">
        <v>52</v>
      </c>
      <c r="O278">
        <v>40</v>
      </c>
      <c r="S278" s="34"/>
      <c r="V278" s="2"/>
      <c r="W278" s="2">
        <v>0.02</v>
      </c>
      <c r="X278" s="2"/>
      <c r="Y278" s="2"/>
      <c r="Z278" s="2"/>
      <c r="AA278" s="2">
        <v>0.05</v>
      </c>
      <c r="AB278" s="34">
        <v>51</v>
      </c>
      <c r="AC278" s="2"/>
      <c r="AD278" s="2"/>
      <c r="AF278" s="34"/>
      <c r="AG278" s="34"/>
      <c r="AH278" s="2"/>
      <c r="AJ278" s="2"/>
      <c r="AK278" s="2"/>
      <c r="AL278" s="2"/>
    </row>
    <row r="279" spans="1:40">
      <c r="A279" s="31" t="s">
        <v>1151</v>
      </c>
      <c r="G279">
        <f>16+10</f>
        <v>26</v>
      </c>
      <c r="H279">
        <f>39</f>
        <v>39</v>
      </c>
      <c r="I279">
        <v>30</v>
      </c>
      <c r="J279">
        <v>8</v>
      </c>
      <c r="K279">
        <v>14</v>
      </c>
      <c r="L279">
        <v>26</v>
      </c>
      <c r="M279">
        <v>19</v>
      </c>
      <c r="N279">
        <f>12+40</f>
        <v>52</v>
      </c>
      <c r="O279">
        <v>40</v>
      </c>
      <c r="S279" s="34"/>
      <c r="V279" s="2"/>
      <c r="W279" s="2">
        <v>0.06</v>
      </c>
      <c r="X279" s="2"/>
      <c r="Y279" s="2"/>
      <c r="Z279" s="2"/>
      <c r="AA279" s="2"/>
      <c r="AB279" s="34">
        <v>51</v>
      </c>
      <c r="AC279" s="2"/>
      <c r="AD279" s="2"/>
      <c r="AF279" s="34"/>
      <c r="AG279" s="34"/>
      <c r="AH279" s="2"/>
      <c r="AJ279" s="2"/>
      <c r="AK279" s="2"/>
      <c r="AL279" s="2"/>
    </row>
    <row r="280" spans="1:40">
      <c r="A280" s="31" t="s">
        <v>1131</v>
      </c>
      <c r="G280">
        <v>16</v>
      </c>
      <c r="H280">
        <v>39</v>
      </c>
      <c r="I280">
        <v>30</v>
      </c>
      <c r="J280">
        <v>8</v>
      </c>
      <c r="K280">
        <v>14</v>
      </c>
      <c r="L280">
        <v>26</v>
      </c>
      <c r="M280">
        <v>19</v>
      </c>
      <c r="N280">
        <f>12+13</f>
        <v>25</v>
      </c>
      <c r="O280">
        <v>13</v>
      </c>
      <c r="S280" s="34"/>
      <c r="V280" s="2"/>
      <c r="W280" s="2">
        <v>0.02</v>
      </c>
      <c r="X280" s="2"/>
      <c r="Y280" s="2"/>
      <c r="Z280" s="2"/>
      <c r="AA280" s="2"/>
      <c r="AB280" s="34">
        <v>51</v>
      </c>
      <c r="AC280" s="2"/>
      <c r="AD280" s="2"/>
      <c r="AF280" s="34"/>
      <c r="AG280" s="34"/>
      <c r="AH280" s="2"/>
      <c r="AJ280" s="2"/>
      <c r="AK280" s="2"/>
      <c r="AL280" s="2"/>
    </row>
    <row r="281" spans="1:40">
      <c r="A281" s="31" t="s">
        <v>1152</v>
      </c>
      <c r="G281">
        <f>16+15</f>
        <v>31</v>
      </c>
      <c r="H281">
        <v>39</v>
      </c>
      <c r="I281">
        <v>30</v>
      </c>
      <c r="J281">
        <v>8</v>
      </c>
      <c r="K281">
        <v>14</v>
      </c>
      <c r="L281">
        <v>26</v>
      </c>
      <c r="M281">
        <v>19</v>
      </c>
      <c r="N281">
        <f>12+40</f>
        <v>52</v>
      </c>
      <c r="O281">
        <v>40</v>
      </c>
      <c r="S281" s="34"/>
      <c r="V281" s="2"/>
      <c r="W281" s="2">
        <v>0.02</v>
      </c>
      <c r="X281" s="2"/>
      <c r="Y281" s="2"/>
      <c r="Z281" s="2"/>
      <c r="AA281" s="2"/>
      <c r="AB281" s="34">
        <v>51</v>
      </c>
      <c r="AC281" s="2"/>
      <c r="AD281" s="2"/>
      <c r="AF281" s="34"/>
      <c r="AG281" s="34"/>
      <c r="AH281" s="2">
        <v>0.04</v>
      </c>
      <c r="AJ281" s="2"/>
      <c r="AK281" s="2"/>
      <c r="AL281" s="2"/>
    </row>
    <row r="282" spans="1:40">
      <c r="A282" s="31" t="s">
        <v>1146</v>
      </c>
      <c r="G282">
        <v>16</v>
      </c>
      <c r="H282">
        <v>49</v>
      </c>
      <c r="I282">
        <v>30</v>
      </c>
      <c r="J282">
        <v>8</v>
      </c>
      <c r="K282">
        <v>14</v>
      </c>
      <c r="L282">
        <v>26</v>
      </c>
      <c r="M282">
        <v>19</v>
      </c>
      <c r="N282">
        <v>42</v>
      </c>
      <c r="O282">
        <v>30</v>
      </c>
      <c r="S282" s="34"/>
      <c r="V282" s="2"/>
      <c r="W282" s="2">
        <v>0.02</v>
      </c>
      <c r="X282" s="2"/>
      <c r="Y282" s="2"/>
      <c r="Z282" s="2"/>
      <c r="AA282" s="2"/>
      <c r="AB282" s="34">
        <v>51</v>
      </c>
      <c r="AC282" s="2"/>
      <c r="AD282" s="2">
        <v>0.05</v>
      </c>
      <c r="AF282" s="34"/>
      <c r="AG282" s="34"/>
      <c r="AH282" s="2"/>
      <c r="AJ282" s="2"/>
      <c r="AK282" s="2"/>
      <c r="AL282" s="2"/>
    </row>
    <row r="283" spans="1:40">
      <c r="A283" s="31" t="s">
        <v>1179</v>
      </c>
      <c r="G283">
        <v>15</v>
      </c>
      <c r="H283">
        <v>38</v>
      </c>
      <c r="I283">
        <v>17</v>
      </c>
      <c r="J283">
        <v>2</v>
      </c>
      <c r="K283">
        <v>33</v>
      </c>
      <c r="L283">
        <v>35</v>
      </c>
      <c r="M283">
        <v>20</v>
      </c>
      <c r="N283">
        <v>37</v>
      </c>
      <c r="O283">
        <v>37</v>
      </c>
      <c r="S283" s="34">
        <v>37</v>
      </c>
      <c r="T283">
        <v>37</v>
      </c>
      <c r="V283" s="2"/>
      <c r="W283" s="2"/>
      <c r="X283" s="2"/>
      <c r="Y283" s="2"/>
      <c r="Z283" s="2"/>
      <c r="AA283" s="2"/>
      <c r="AB283" s="34"/>
      <c r="AC283" s="2"/>
      <c r="AD283" s="2"/>
      <c r="AF283" s="34"/>
      <c r="AG283" s="34"/>
      <c r="AH283" s="2">
        <v>0.05</v>
      </c>
      <c r="AJ283" s="2"/>
      <c r="AK283" s="2"/>
      <c r="AL283" s="2"/>
    </row>
    <row r="284" spans="1:40">
      <c r="A284" s="31" t="s">
        <v>1195</v>
      </c>
      <c r="G284">
        <v>18</v>
      </c>
      <c r="H284">
        <v>41</v>
      </c>
      <c r="I284">
        <v>17</v>
      </c>
      <c r="J284">
        <v>2</v>
      </c>
      <c r="K284">
        <v>36</v>
      </c>
      <c r="L284">
        <v>35</v>
      </c>
      <c r="M284">
        <v>20</v>
      </c>
      <c r="N284">
        <v>43</v>
      </c>
      <c r="O284">
        <v>43</v>
      </c>
      <c r="S284" s="34">
        <v>43</v>
      </c>
      <c r="T284">
        <v>40</v>
      </c>
      <c r="V284" s="2"/>
      <c r="W284" s="2"/>
      <c r="X284" s="2"/>
      <c r="Y284" s="2"/>
      <c r="Z284" s="2"/>
      <c r="AA284" s="2"/>
      <c r="AB284" s="34"/>
      <c r="AC284" s="2"/>
      <c r="AD284" s="2"/>
      <c r="AF284" s="34"/>
      <c r="AG284" s="34"/>
      <c r="AH284" s="2">
        <v>7.0000000000000007E-2</v>
      </c>
      <c r="AJ284" s="2"/>
      <c r="AK284" s="2"/>
      <c r="AL284" s="2"/>
    </row>
    <row r="285" spans="1:40">
      <c r="A285" s="31" t="s">
        <v>1051</v>
      </c>
      <c r="G285">
        <v>11</v>
      </c>
      <c r="H285">
        <v>35</v>
      </c>
      <c r="I285">
        <v>32</v>
      </c>
      <c r="J285">
        <v>5</v>
      </c>
      <c r="K285">
        <v>12</v>
      </c>
      <c r="L285">
        <v>30</v>
      </c>
      <c r="M285">
        <v>17</v>
      </c>
      <c r="N285">
        <v>32</v>
      </c>
      <c r="S285" s="34">
        <v>31</v>
      </c>
      <c r="T285">
        <v>28</v>
      </c>
      <c r="V285" s="2"/>
      <c r="W285" s="2"/>
      <c r="X285" s="2"/>
      <c r="Y285" s="2"/>
      <c r="Z285" s="2"/>
      <c r="AA285" s="2"/>
      <c r="AB285" s="34">
        <v>51</v>
      </c>
      <c r="AC285" s="2"/>
      <c r="AD285" s="2"/>
      <c r="AF285" s="34"/>
      <c r="AG285" s="34"/>
      <c r="AH285" s="2"/>
      <c r="AJ285" s="2"/>
      <c r="AK285" s="2"/>
      <c r="AL285" s="2"/>
    </row>
    <row r="286" spans="1:40">
      <c r="A286" s="31" t="s">
        <v>903</v>
      </c>
      <c r="G286">
        <v>11</v>
      </c>
      <c r="H286">
        <v>39</v>
      </c>
      <c r="I286">
        <v>32</v>
      </c>
      <c r="J286">
        <v>5</v>
      </c>
      <c r="K286">
        <v>12</v>
      </c>
      <c r="L286">
        <v>34</v>
      </c>
      <c r="M286">
        <v>17</v>
      </c>
      <c r="N286">
        <v>13</v>
      </c>
      <c r="V286" s="2"/>
      <c r="W286" s="2"/>
      <c r="X286" s="2"/>
      <c r="Y286" s="2"/>
      <c r="Z286" s="2"/>
      <c r="AA286" s="2"/>
      <c r="AB286" s="34">
        <v>51</v>
      </c>
      <c r="AC286" s="2"/>
      <c r="AD286" s="2"/>
      <c r="AF286" s="34"/>
      <c r="AG286" s="34"/>
      <c r="AH286" s="2"/>
      <c r="AL286" s="2"/>
      <c r="AN286" s="2"/>
    </row>
    <row r="287" spans="1:40">
      <c r="A287" s="31" t="s">
        <v>1022</v>
      </c>
      <c r="G287">
        <v>14</v>
      </c>
      <c r="H287">
        <v>34</v>
      </c>
      <c r="I287">
        <v>31</v>
      </c>
      <c r="J287">
        <v>4</v>
      </c>
      <c r="K287">
        <v>12</v>
      </c>
      <c r="L287">
        <v>29</v>
      </c>
      <c r="M287">
        <v>17</v>
      </c>
      <c r="O287">
        <v>15</v>
      </c>
      <c r="V287" s="2">
        <v>0.03</v>
      </c>
      <c r="W287" s="2"/>
      <c r="X287" s="2"/>
      <c r="Y287" s="2"/>
      <c r="Z287" s="2"/>
      <c r="AA287" s="2"/>
      <c r="AB287" s="34">
        <v>61</v>
      </c>
      <c r="AC287" s="2"/>
      <c r="AD287" s="2"/>
      <c r="AF287" s="2"/>
      <c r="AG287" s="34"/>
      <c r="AH287" s="2"/>
      <c r="AL287" s="2"/>
    </row>
    <row r="288" spans="1:40">
      <c r="A288" s="31" t="s">
        <v>1083</v>
      </c>
      <c r="C288">
        <v>10</v>
      </c>
      <c r="G288">
        <v>20</v>
      </c>
      <c r="H288">
        <v>51</v>
      </c>
      <c r="I288">
        <v>34</v>
      </c>
      <c r="J288">
        <v>7</v>
      </c>
      <c r="K288">
        <v>21</v>
      </c>
      <c r="L288">
        <v>32</v>
      </c>
      <c r="M288">
        <v>19</v>
      </c>
      <c r="N288">
        <v>20</v>
      </c>
      <c r="V288" s="2"/>
      <c r="W288" s="2"/>
      <c r="X288" s="2"/>
      <c r="Y288" s="2"/>
      <c r="Z288" s="2"/>
      <c r="AA288" s="2"/>
      <c r="AB288" s="34">
        <v>51</v>
      </c>
      <c r="AC288" s="2"/>
      <c r="AD288" s="2"/>
      <c r="AF288" s="2"/>
      <c r="AG288" s="34"/>
      <c r="AH288" s="2"/>
      <c r="AL288" s="2"/>
    </row>
    <row r="289" spans="1:61">
      <c r="A289" s="31" t="s">
        <v>1044</v>
      </c>
      <c r="B289" s="31"/>
      <c r="C289" s="31"/>
      <c r="D289" s="31"/>
      <c r="E289" s="31"/>
      <c r="F289" s="31"/>
      <c r="G289" s="31">
        <v>9</v>
      </c>
      <c r="H289" s="31">
        <v>35</v>
      </c>
      <c r="I289" s="31">
        <v>30</v>
      </c>
      <c r="J289" s="31">
        <v>3</v>
      </c>
      <c r="K289" s="31">
        <v>10</v>
      </c>
      <c r="L289" s="31">
        <v>28</v>
      </c>
      <c r="M289" s="31">
        <v>15</v>
      </c>
      <c r="N289" s="31"/>
      <c r="O289" s="31"/>
      <c r="V289" s="12"/>
      <c r="W289" s="12"/>
      <c r="X289" s="12"/>
      <c r="Y289" s="12"/>
      <c r="Z289" s="12"/>
      <c r="AA289" s="12"/>
      <c r="AB289" s="48">
        <v>51</v>
      </c>
      <c r="AC289" s="12"/>
      <c r="AD289" s="12"/>
      <c r="AE289" s="34"/>
      <c r="AF289" s="12"/>
      <c r="AG289" s="34"/>
      <c r="AH289" s="12"/>
      <c r="AI289" s="48"/>
      <c r="AJ289" s="48"/>
      <c r="AK289" s="48"/>
      <c r="AL289" s="12"/>
    </row>
    <row r="290" spans="1:61">
      <c r="A290" s="31" t="s">
        <v>1071</v>
      </c>
      <c r="B290" s="31"/>
      <c r="C290" s="31"/>
      <c r="D290" s="31"/>
      <c r="E290" s="31"/>
      <c r="F290" s="31"/>
      <c r="G290" s="31">
        <v>15</v>
      </c>
      <c r="H290" s="31">
        <v>41</v>
      </c>
      <c r="I290" s="31">
        <v>30</v>
      </c>
      <c r="J290" s="31">
        <v>3</v>
      </c>
      <c r="K290" s="31">
        <v>10</v>
      </c>
      <c r="L290" s="31">
        <v>28</v>
      </c>
      <c r="M290" s="31">
        <v>15</v>
      </c>
      <c r="N290" s="31">
        <v>22</v>
      </c>
      <c r="O290" s="31"/>
      <c r="V290" s="12"/>
      <c r="W290" s="12"/>
      <c r="X290" s="12"/>
      <c r="Y290" s="12"/>
      <c r="Z290" s="12"/>
      <c r="AA290" s="12">
        <v>0.05</v>
      </c>
      <c r="AB290" s="48">
        <v>51</v>
      </c>
      <c r="AC290" s="12"/>
      <c r="AD290" s="12"/>
      <c r="AE290" s="34"/>
      <c r="AF290" s="12"/>
      <c r="AG290" s="34"/>
      <c r="AH290" s="12"/>
      <c r="AI290" s="48"/>
      <c r="AJ290" s="48"/>
      <c r="AK290" s="48"/>
      <c r="AL290" s="12"/>
    </row>
    <row r="291" spans="1:61">
      <c r="A291" s="31" t="s">
        <v>1045</v>
      </c>
      <c r="B291" s="31"/>
      <c r="C291" s="31"/>
      <c r="D291" s="31"/>
      <c r="E291" s="31"/>
      <c r="F291" s="31"/>
      <c r="G291" s="31">
        <f>9+7</f>
        <v>16</v>
      </c>
      <c r="H291" s="31">
        <f>35+7</f>
        <v>42</v>
      </c>
      <c r="I291" s="31">
        <v>30</v>
      </c>
      <c r="J291" s="31">
        <v>3</v>
      </c>
      <c r="K291" s="31">
        <v>10</v>
      </c>
      <c r="L291" s="31">
        <v>28</v>
      </c>
      <c r="M291" s="31">
        <v>15</v>
      </c>
      <c r="N291" s="31">
        <v>20</v>
      </c>
      <c r="O291" s="31">
        <v>20</v>
      </c>
      <c r="V291" s="12"/>
      <c r="W291" s="12">
        <v>0.02</v>
      </c>
      <c r="X291" s="12"/>
      <c r="Y291" s="12"/>
      <c r="Z291" s="12"/>
      <c r="AA291" s="12"/>
      <c r="AB291" s="48">
        <v>51</v>
      </c>
      <c r="AC291" s="12"/>
      <c r="AD291" s="12"/>
      <c r="AE291" s="34"/>
      <c r="AF291" s="12"/>
      <c r="AG291" s="34"/>
      <c r="AH291" s="12"/>
      <c r="AI291" s="48"/>
      <c r="AJ291" s="48"/>
      <c r="AK291" s="48"/>
      <c r="AL291" s="12"/>
    </row>
    <row r="292" spans="1:61">
      <c r="A292" s="31" t="s">
        <v>1046</v>
      </c>
      <c r="B292" s="31"/>
      <c r="C292" s="31"/>
      <c r="D292" s="31"/>
      <c r="E292" s="31"/>
      <c r="F292" s="31"/>
      <c r="G292" s="31">
        <f>9+7</f>
        <v>16</v>
      </c>
      <c r="H292" s="31">
        <f>35+7</f>
        <v>42</v>
      </c>
      <c r="I292" s="31">
        <v>30</v>
      </c>
      <c r="J292" s="31">
        <v>3</v>
      </c>
      <c r="K292" s="31">
        <v>10</v>
      </c>
      <c r="L292" s="31">
        <v>28</v>
      </c>
      <c r="M292" s="31">
        <v>15</v>
      </c>
      <c r="N292" s="31">
        <v>20</v>
      </c>
      <c r="O292" s="31">
        <v>20</v>
      </c>
      <c r="V292" s="12"/>
      <c r="W292" s="12"/>
      <c r="X292" s="12"/>
      <c r="Y292" s="12"/>
      <c r="Z292" s="12"/>
      <c r="AA292" s="12">
        <v>0.05</v>
      </c>
      <c r="AB292" s="48">
        <v>51</v>
      </c>
      <c r="AC292" s="12"/>
      <c r="AD292" s="12"/>
      <c r="AE292" s="34"/>
      <c r="AF292" s="12"/>
      <c r="AG292" s="34"/>
      <c r="AH292" s="12"/>
      <c r="AI292" s="48"/>
      <c r="AJ292" s="48"/>
      <c r="AK292" s="48"/>
      <c r="AL292" s="12"/>
    </row>
    <row r="293" spans="1:61" s="31" customFormat="1">
      <c r="A293" s="31" t="s">
        <v>837</v>
      </c>
      <c r="G293" s="31">
        <v>7</v>
      </c>
      <c r="H293" s="31">
        <v>25</v>
      </c>
      <c r="I293" s="31">
        <v>20</v>
      </c>
      <c r="J293" s="31">
        <v>16</v>
      </c>
      <c r="K293" s="31">
        <v>8</v>
      </c>
      <c r="L293" s="31">
        <v>19</v>
      </c>
      <c r="M293" s="31">
        <v>11</v>
      </c>
      <c r="N293" s="31">
        <v>11</v>
      </c>
      <c r="V293" s="12"/>
      <c r="W293" s="12"/>
      <c r="X293" s="12"/>
      <c r="Y293" s="12"/>
      <c r="Z293" s="12"/>
      <c r="AA293" s="12"/>
      <c r="AB293" s="48">
        <v>40</v>
      </c>
      <c r="AC293" s="12"/>
      <c r="AD293" s="12"/>
      <c r="AF293" s="48"/>
      <c r="AG293" s="12"/>
      <c r="AH293" s="12"/>
      <c r="AI293" s="48"/>
      <c r="AJ293" s="48"/>
      <c r="AK293" s="48"/>
      <c r="AL293" s="48"/>
    </row>
    <row r="294" spans="1:61" s="31" customFormat="1">
      <c r="A294" s="31" t="s">
        <v>896</v>
      </c>
      <c r="G294" s="31">
        <v>11</v>
      </c>
      <c r="H294" s="31">
        <v>35</v>
      </c>
      <c r="I294" s="31">
        <v>36</v>
      </c>
      <c r="J294" s="31">
        <v>5</v>
      </c>
      <c r="K294" s="31">
        <v>12</v>
      </c>
      <c r="L294" s="31">
        <v>30</v>
      </c>
      <c r="M294" s="31">
        <v>17</v>
      </c>
      <c r="N294" s="31">
        <v>13</v>
      </c>
      <c r="V294" s="12"/>
      <c r="W294" s="12"/>
      <c r="X294" s="12"/>
      <c r="Y294" s="12"/>
      <c r="Z294" s="12"/>
      <c r="AA294" s="12"/>
      <c r="AB294" s="48">
        <v>51</v>
      </c>
      <c r="AC294" s="12"/>
      <c r="AD294" s="12"/>
      <c r="AF294" s="48"/>
      <c r="AG294" s="12"/>
      <c r="AH294" s="12"/>
      <c r="AI294" s="48"/>
      <c r="AJ294" s="48"/>
      <c r="AK294" s="48"/>
      <c r="AL294" s="48"/>
    </row>
    <row r="295" spans="1:61" s="31" customFormat="1">
      <c r="A295" s="31" t="s">
        <v>946</v>
      </c>
      <c r="B295"/>
      <c r="C295"/>
      <c r="D295"/>
      <c r="E295"/>
      <c r="F295"/>
      <c r="G295">
        <v>6</v>
      </c>
      <c r="H295">
        <v>26</v>
      </c>
      <c r="I295">
        <v>24</v>
      </c>
      <c r="J295">
        <v>4</v>
      </c>
      <c r="K295">
        <v>18</v>
      </c>
      <c r="L295">
        <v>31</v>
      </c>
      <c r="M295">
        <v>18</v>
      </c>
      <c r="N295"/>
      <c r="O295"/>
      <c r="P295"/>
      <c r="Q295"/>
      <c r="R295"/>
      <c r="S295"/>
      <c r="T295"/>
      <c r="U295"/>
      <c r="V295" s="2"/>
      <c r="W295" s="2"/>
      <c r="X295" s="2"/>
      <c r="Y295" s="2"/>
      <c r="Z295" s="2"/>
      <c r="AA295" s="2"/>
      <c r="AB295" s="34">
        <v>30</v>
      </c>
      <c r="AC295" s="2"/>
      <c r="AD295" s="2"/>
      <c r="AE295"/>
      <c r="AF295" s="34"/>
      <c r="AG295" s="34"/>
      <c r="AH295" s="2"/>
      <c r="AI295" s="2"/>
      <c r="AJ295" s="2"/>
      <c r="AK295" s="2"/>
      <c r="AL295" s="2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</row>
    <row r="298" spans="1:61">
      <c r="A298" t="s">
        <v>66</v>
      </c>
      <c r="B298" t="s">
        <v>30</v>
      </c>
      <c r="C298" t="s">
        <v>616</v>
      </c>
      <c r="D298" s="31" t="s">
        <v>798</v>
      </c>
      <c r="E298" t="s">
        <v>769</v>
      </c>
      <c r="F298" s="31" t="s">
        <v>820</v>
      </c>
      <c r="G298" t="s">
        <v>3</v>
      </c>
      <c r="H298" t="s">
        <v>4</v>
      </c>
      <c r="I298" t="s">
        <v>5</v>
      </c>
      <c r="J298" t="s">
        <v>42</v>
      </c>
      <c r="K298" t="s">
        <v>269</v>
      </c>
      <c r="L298" t="s">
        <v>270</v>
      </c>
      <c r="M298" t="s">
        <v>271</v>
      </c>
      <c r="N298" t="s">
        <v>10</v>
      </c>
      <c r="O298" t="s">
        <v>9</v>
      </c>
      <c r="P298" t="s">
        <v>390</v>
      </c>
      <c r="Q298" t="s">
        <v>1017</v>
      </c>
      <c r="R298" t="s">
        <v>1018</v>
      </c>
      <c r="S298" t="s">
        <v>1019</v>
      </c>
      <c r="T298" s="34" t="s">
        <v>620</v>
      </c>
      <c r="U298" s="152" t="s">
        <v>1020</v>
      </c>
      <c r="V298" t="s">
        <v>12</v>
      </c>
      <c r="W298" t="s">
        <v>166</v>
      </c>
      <c r="X298" t="s">
        <v>311</v>
      </c>
      <c r="Y298" t="s">
        <v>766</v>
      </c>
      <c r="Z298" t="s">
        <v>767</v>
      </c>
      <c r="AA298" t="s">
        <v>141</v>
      </c>
      <c r="AB298" t="s">
        <v>11</v>
      </c>
      <c r="AC298" t="s">
        <v>137</v>
      </c>
      <c r="AD298" t="s">
        <v>136</v>
      </c>
      <c r="AE298" t="s">
        <v>13</v>
      </c>
      <c r="AF298" t="s">
        <v>134</v>
      </c>
      <c r="AG298" t="s">
        <v>240</v>
      </c>
      <c r="AH298" t="s">
        <v>173</v>
      </c>
      <c r="AI298" s="34" t="s">
        <v>718</v>
      </c>
      <c r="AJ298" s="34" t="s">
        <v>743</v>
      </c>
      <c r="AK298" s="152" t="s">
        <v>717</v>
      </c>
      <c r="AL298" t="s">
        <v>312</v>
      </c>
      <c r="AM298" t="s">
        <v>268</v>
      </c>
      <c r="AN298" t="s">
        <v>618</v>
      </c>
    </row>
    <row r="299" spans="1:61">
      <c r="A299" s="31" t="s">
        <v>947</v>
      </c>
      <c r="K299">
        <v>2</v>
      </c>
      <c r="S299" s="2"/>
      <c r="T299" s="34">
        <v>4</v>
      </c>
      <c r="U299" s="34"/>
      <c r="V299" s="2"/>
      <c r="W299" s="2"/>
      <c r="X299" s="2"/>
      <c r="Y299" s="2"/>
      <c r="Z299" s="2"/>
      <c r="AA299" s="2"/>
      <c r="AB299" s="34"/>
      <c r="AC299" s="2"/>
      <c r="AD299" s="2"/>
      <c r="AF299" s="34"/>
      <c r="AG299" s="34"/>
      <c r="AH299" s="2"/>
      <c r="AJ299" s="2"/>
      <c r="AK299" s="2"/>
      <c r="AL299" s="2"/>
      <c r="AP299" s="34"/>
      <c r="AR299" s="34"/>
      <c r="AS299" s="34"/>
    </row>
    <row r="300" spans="1:61">
      <c r="A300" s="31" t="s">
        <v>1119</v>
      </c>
      <c r="G300">
        <v>6</v>
      </c>
      <c r="H300">
        <v>6</v>
      </c>
      <c r="J300">
        <v>6</v>
      </c>
      <c r="S300" s="2"/>
      <c r="T300" s="34"/>
      <c r="U300" s="34"/>
      <c r="V300" s="2"/>
      <c r="W300" s="2"/>
      <c r="X300" s="2"/>
      <c r="Y300" s="2"/>
      <c r="Z300" s="2"/>
      <c r="AA300" s="2"/>
      <c r="AB300" s="34"/>
      <c r="AC300" s="2"/>
      <c r="AD300" s="2"/>
      <c r="AE300">
        <v>3</v>
      </c>
      <c r="AF300" s="34"/>
      <c r="AG300" s="34"/>
      <c r="AH300" s="2"/>
      <c r="AJ300" s="2"/>
      <c r="AK300" s="2"/>
      <c r="AL300" s="2"/>
      <c r="AP300" s="34"/>
      <c r="AR300" s="34"/>
      <c r="AS300" s="34"/>
    </row>
    <row r="301" spans="1:61">
      <c r="A301" t="s">
        <v>364</v>
      </c>
      <c r="H301">
        <v>-3</v>
      </c>
      <c r="L301">
        <v>7</v>
      </c>
      <c r="V301" s="2"/>
      <c r="W301" s="2"/>
      <c r="X301" s="2"/>
      <c r="Y301" s="2"/>
      <c r="Z301" s="2"/>
      <c r="AA301" s="2"/>
      <c r="AB301" s="34"/>
      <c r="AC301" s="2"/>
      <c r="AD301" s="2"/>
      <c r="AF301" s="34"/>
      <c r="AG301" s="34"/>
      <c r="AH301" s="2"/>
      <c r="AL301" s="2"/>
      <c r="AN301" s="2"/>
    </row>
    <row r="302" spans="1:61">
      <c r="A302" s="31" t="s">
        <v>1033</v>
      </c>
      <c r="J302">
        <v>5</v>
      </c>
      <c r="S302">
        <v>3</v>
      </c>
      <c r="T302">
        <v>3</v>
      </c>
      <c r="V302" s="2"/>
      <c r="W302" s="2"/>
      <c r="X302" s="2"/>
      <c r="Y302" s="2"/>
      <c r="Z302" s="2"/>
      <c r="AA302" s="2"/>
      <c r="AB302" s="34"/>
      <c r="AC302" s="2"/>
      <c r="AD302" s="2"/>
      <c r="AF302" s="34"/>
      <c r="AG302" s="34"/>
      <c r="AH302" s="2"/>
      <c r="AI302" s="2"/>
      <c r="AJ302" s="2"/>
      <c r="AK302" s="2"/>
      <c r="AL302" s="2"/>
    </row>
    <row r="303" spans="1:61">
      <c r="A303" t="s">
        <v>779</v>
      </c>
      <c r="N303">
        <v>6</v>
      </c>
      <c r="V303" s="2"/>
      <c r="W303" s="2"/>
      <c r="X303" s="2"/>
      <c r="Y303" s="2"/>
      <c r="Z303" s="2"/>
      <c r="AA303" s="2"/>
      <c r="AB303" s="34"/>
      <c r="AC303" s="2"/>
      <c r="AD303" s="2"/>
      <c r="AF303" s="2"/>
      <c r="AG303" s="2"/>
      <c r="AH303" s="2"/>
      <c r="AL303" s="2"/>
      <c r="AM303">
        <v>50</v>
      </c>
    </row>
    <row r="304" spans="1:61">
      <c r="A304" s="31" t="s">
        <v>1118</v>
      </c>
      <c r="N304">
        <v>7</v>
      </c>
      <c r="O304">
        <v>7</v>
      </c>
      <c r="V304" s="2"/>
      <c r="W304" s="2"/>
      <c r="X304" s="2"/>
      <c r="Y304" s="2"/>
      <c r="Z304" s="2"/>
      <c r="AA304" s="2"/>
      <c r="AB304" s="34"/>
      <c r="AC304" s="2">
        <v>0.05</v>
      </c>
      <c r="AD304" s="2"/>
      <c r="AF304" s="2"/>
      <c r="AG304" s="2"/>
      <c r="AH304" s="2"/>
      <c r="AL304" s="2"/>
    </row>
    <row r="305" spans="1:61">
      <c r="A305" t="s">
        <v>740</v>
      </c>
      <c r="G305">
        <v>6</v>
      </c>
      <c r="N305">
        <v>3</v>
      </c>
      <c r="V305" s="2"/>
      <c r="W305" s="2"/>
      <c r="X305" s="2"/>
      <c r="Y305" s="2"/>
      <c r="Z305" s="2"/>
      <c r="AA305" s="2"/>
      <c r="AB305" s="34"/>
      <c r="AC305" s="2"/>
      <c r="AD305" s="2"/>
      <c r="AF305" s="34"/>
      <c r="AG305" s="34"/>
      <c r="AH305" s="2"/>
      <c r="AL305" s="2"/>
      <c r="AN305" s="2"/>
    </row>
    <row r="306" spans="1:61">
      <c r="A306" s="31" t="s">
        <v>997</v>
      </c>
      <c r="M306">
        <v>8</v>
      </c>
      <c r="V306" s="2"/>
      <c r="W306" s="2"/>
      <c r="X306" s="2"/>
      <c r="Y306" s="2"/>
      <c r="Z306" s="2"/>
      <c r="AA306" s="2"/>
      <c r="AB306" s="34"/>
      <c r="AC306" s="2"/>
      <c r="AD306" s="2"/>
      <c r="AF306" s="34"/>
      <c r="AG306" s="34"/>
      <c r="AH306" s="2"/>
      <c r="AL306" s="2"/>
      <c r="AN306" s="2"/>
    </row>
    <row r="307" spans="1:61">
      <c r="A307" s="31" t="s">
        <v>998</v>
      </c>
      <c r="M307">
        <v>9</v>
      </c>
      <c r="V307" s="2"/>
      <c r="W307" s="2"/>
      <c r="X307" s="2"/>
      <c r="Y307" s="2"/>
      <c r="Z307" s="2"/>
      <c r="AA307" s="2"/>
      <c r="AB307" s="34"/>
      <c r="AC307" s="2"/>
      <c r="AD307" s="2"/>
      <c r="AF307" s="34"/>
      <c r="AG307" s="34"/>
      <c r="AH307" s="2"/>
      <c r="AL307" s="2"/>
      <c r="AN307" s="2"/>
    </row>
    <row r="308" spans="1:61">
      <c r="A308" s="31" t="s">
        <v>1156</v>
      </c>
      <c r="N308">
        <v>7</v>
      </c>
      <c r="V308" s="2"/>
      <c r="W308" s="2"/>
      <c r="X308" s="2"/>
      <c r="Y308" s="2"/>
      <c r="Z308" s="2"/>
      <c r="AA308" s="2"/>
      <c r="AB308" s="34"/>
      <c r="AC308" s="2"/>
      <c r="AD308" s="2"/>
      <c r="AE308">
        <v>5</v>
      </c>
      <c r="AF308" s="34"/>
      <c r="AG308" s="34"/>
      <c r="AH308" s="2"/>
      <c r="AL308" s="2"/>
      <c r="AN308" s="2"/>
    </row>
    <row r="309" spans="1:61">
      <c r="A309" t="s">
        <v>841</v>
      </c>
      <c r="O309">
        <v>14</v>
      </c>
      <c r="V309" s="2"/>
      <c r="W309" s="2"/>
      <c r="X309" s="2"/>
      <c r="Y309" s="2"/>
      <c r="Z309" s="2"/>
      <c r="AA309" s="2"/>
      <c r="AB309" s="34"/>
      <c r="AC309" s="2"/>
      <c r="AD309" s="2"/>
      <c r="AF309" s="2"/>
      <c r="AG309" s="34"/>
      <c r="AH309" s="2"/>
      <c r="AL309" s="2"/>
    </row>
    <row r="310" spans="1:61">
      <c r="A310" t="s">
        <v>1135</v>
      </c>
      <c r="N310">
        <v>10</v>
      </c>
      <c r="Q310">
        <v>15</v>
      </c>
      <c r="V310" s="2"/>
      <c r="W310" s="2"/>
      <c r="X310" s="2"/>
      <c r="Y310" s="2"/>
      <c r="Z310" s="2"/>
      <c r="AA310" s="2"/>
      <c r="AB310" s="34"/>
      <c r="AC310" s="2"/>
      <c r="AD310" s="2"/>
      <c r="AF310" s="2"/>
      <c r="AG310" s="34"/>
      <c r="AH310" s="2"/>
      <c r="AL310" s="2"/>
    </row>
    <row r="311" spans="1:61">
      <c r="A311" t="s">
        <v>1136</v>
      </c>
      <c r="N311">
        <v>11</v>
      </c>
      <c r="Q311">
        <v>16</v>
      </c>
      <c r="V311" s="2"/>
      <c r="W311" s="2"/>
      <c r="X311" s="2"/>
      <c r="Y311" s="2"/>
      <c r="Z311" s="2"/>
      <c r="AA311" s="2"/>
      <c r="AB311" s="34"/>
      <c r="AC311" s="2"/>
      <c r="AD311" s="2"/>
      <c r="AF311" s="2"/>
      <c r="AG311" s="34"/>
      <c r="AH311" s="2"/>
      <c r="AL311" s="2"/>
    </row>
    <row r="312" spans="1:61" s="31" customFormat="1">
      <c r="A312" t="s">
        <v>741</v>
      </c>
      <c r="B312"/>
      <c r="C312"/>
      <c r="D312"/>
      <c r="E312"/>
      <c r="F312"/>
      <c r="G312"/>
      <c r="H312">
        <v>4</v>
      </c>
      <c r="I312"/>
      <c r="J312">
        <v>4</v>
      </c>
      <c r="K312"/>
      <c r="L312"/>
      <c r="M312"/>
      <c r="N312"/>
      <c r="O312">
        <v>3</v>
      </c>
      <c r="P312"/>
      <c r="Q312"/>
      <c r="R312"/>
      <c r="S312"/>
      <c r="T312"/>
      <c r="U312"/>
      <c r="V312" s="2"/>
      <c r="W312" s="2"/>
      <c r="X312" s="2"/>
      <c r="Y312" s="2"/>
      <c r="Z312" s="2"/>
      <c r="AA312" s="2"/>
      <c r="AB312" s="34"/>
      <c r="AC312" s="2"/>
      <c r="AD312" s="2"/>
      <c r="AE312">
        <v>2</v>
      </c>
      <c r="AF312" s="34"/>
      <c r="AG312" s="34"/>
      <c r="AH312" s="2"/>
      <c r="AI312" s="34"/>
      <c r="AJ312" s="34"/>
      <c r="AK312" s="34"/>
      <c r="AL312" s="2"/>
      <c r="AM312"/>
      <c r="AN312" s="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>
      <c r="A313" t="s">
        <v>110</v>
      </c>
      <c r="N313">
        <v>4</v>
      </c>
      <c r="V313" s="2"/>
      <c r="W313" s="2"/>
      <c r="X313" s="2"/>
      <c r="Y313" s="2"/>
      <c r="Z313" s="2"/>
      <c r="AA313" s="2"/>
      <c r="AB313" s="34"/>
      <c r="AC313" s="2"/>
      <c r="AD313" s="2"/>
      <c r="AE313">
        <v>1</v>
      </c>
      <c r="AF313" s="34"/>
      <c r="AG313" s="34"/>
      <c r="AH313" s="2"/>
      <c r="AL313" s="2"/>
      <c r="AN313" s="2"/>
    </row>
    <row r="314" spans="1:61">
      <c r="A314" s="31" t="s">
        <v>948</v>
      </c>
      <c r="B314" s="31"/>
      <c r="C314" s="31"/>
      <c r="D314" s="31"/>
      <c r="E314" s="31"/>
      <c r="F314" s="31"/>
      <c r="G314" s="31"/>
      <c r="H314" s="31">
        <v>2</v>
      </c>
      <c r="I314" s="31"/>
      <c r="J314" s="31"/>
      <c r="K314" s="31"/>
      <c r="L314" s="31"/>
      <c r="M314" s="31"/>
      <c r="N314" s="31">
        <v>7</v>
      </c>
      <c r="O314" s="31"/>
      <c r="P314" s="31"/>
      <c r="Q314" s="31"/>
      <c r="R314" s="31"/>
      <c r="S314" s="31"/>
      <c r="T314" s="31"/>
      <c r="U314" s="31"/>
      <c r="V314" s="12"/>
      <c r="W314" s="12"/>
      <c r="X314" s="12"/>
      <c r="Y314" s="12"/>
      <c r="Z314" s="12"/>
      <c r="AA314" s="12"/>
      <c r="AB314" s="48"/>
      <c r="AC314" s="12"/>
      <c r="AD314" s="12"/>
      <c r="AE314" s="31"/>
      <c r="AF314" s="48"/>
      <c r="AG314" s="12"/>
      <c r="AH314" s="12"/>
      <c r="AI314" s="48"/>
      <c r="AJ314" s="48"/>
      <c r="AK314" s="48"/>
      <c r="AL314" s="48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</row>
    <row r="315" spans="1:61">
      <c r="A315" t="s">
        <v>669</v>
      </c>
      <c r="V315" s="2">
        <v>0.03</v>
      </c>
      <c r="W315" s="2">
        <v>0.03</v>
      </c>
      <c r="X315" s="2"/>
      <c r="Y315" s="2"/>
      <c r="Z315" s="2"/>
      <c r="AA315" s="2"/>
      <c r="AB315" s="34"/>
      <c r="AC315" s="2"/>
      <c r="AD315" s="2"/>
      <c r="AF315" s="34"/>
      <c r="AG315" s="34"/>
      <c r="AH315" s="2"/>
      <c r="AL315" s="2"/>
      <c r="AN315" s="2"/>
    </row>
    <row r="316" spans="1:61">
      <c r="A316" t="s">
        <v>79</v>
      </c>
      <c r="O316">
        <v>8</v>
      </c>
      <c r="V316" s="2"/>
      <c r="W316" s="2"/>
      <c r="X316" s="2"/>
      <c r="Y316" s="2"/>
      <c r="Z316" s="2"/>
      <c r="AA316" s="2"/>
      <c r="AB316" s="34"/>
      <c r="AC316" s="2"/>
      <c r="AD316" s="2"/>
      <c r="AF316" s="34"/>
      <c r="AG316" s="34"/>
      <c r="AH316" s="2"/>
      <c r="AL316" s="2"/>
      <c r="AN316" s="2"/>
    </row>
    <row r="317" spans="1:61">
      <c r="A317" s="31" t="s">
        <v>999</v>
      </c>
      <c r="S317">
        <v>2</v>
      </c>
      <c r="T317">
        <v>2</v>
      </c>
      <c r="V317" s="2"/>
      <c r="W317" s="2"/>
      <c r="X317" s="2"/>
      <c r="Y317" s="2"/>
      <c r="Z317" s="2"/>
      <c r="AA317" s="2"/>
      <c r="AB317" s="34"/>
      <c r="AC317" s="2"/>
      <c r="AD317" s="2"/>
      <c r="AF317" s="34"/>
      <c r="AG317" s="34"/>
      <c r="AH317" s="2"/>
      <c r="AL317" s="2"/>
      <c r="AP317" s="2"/>
    </row>
    <row r="318" spans="1:61">
      <c r="A318" s="31" t="s">
        <v>1000</v>
      </c>
      <c r="S318">
        <v>3</v>
      </c>
      <c r="T318">
        <v>3</v>
      </c>
      <c r="U318">
        <v>5</v>
      </c>
      <c r="V318" s="2"/>
      <c r="W318" s="2"/>
      <c r="X318" s="2"/>
      <c r="Y318" s="2"/>
      <c r="Z318" s="2"/>
      <c r="AA318" s="2"/>
      <c r="AB318" s="34"/>
      <c r="AC318" s="2"/>
      <c r="AD318" s="2"/>
      <c r="AF318" s="34"/>
      <c r="AG318" s="34"/>
      <c r="AH318" s="2"/>
      <c r="AL318" s="2"/>
      <c r="AP318" s="2"/>
    </row>
    <row r="319" spans="1:61">
      <c r="A319" t="s">
        <v>67</v>
      </c>
      <c r="G319">
        <v>5</v>
      </c>
      <c r="V319" s="2"/>
      <c r="W319" s="2"/>
      <c r="X319" s="2"/>
      <c r="Y319" s="2"/>
      <c r="Z319" s="2"/>
      <c r="AA319" s="2"/>
      <c r="AB319" s="34"/>
      <c r="AC319" s="2"/>
      <c r="AD319" s="2"/>
      <c r="AF319" s="34"/>
      <c r="AG319" s="34"/>
      <c r="AH319" s="2"/>
      <c r="AL319" s="2"/>
      <c r="AN319" s="2"/>
    </row>
    <row r="320" spans="1:61">
      <c r="A320" s="31" t="s">
        <v>993</v>
      </c>
      <c r="J320">
        <v>8</v>
      </c>
      <c r="V320" s="2"/>
      <c r="W320" s="2"/>
      <c r="X320" s="2"/>
      <c r="Y320" s="2"/>
      <c r="Z320" s="2"/>
      <c r="AA320" s="2"/>
      <c r="AB320" s="34"/>
      <c r="AC320" s="2"/>
      <c r="AD320" s="2"/>
      <c r="AF320" s="34"/>
      <c r="AG320" s="34"/>
      <c r="AH320" s="2"/>
      <c r="AL320" s="2"/>
      <c r="AN320" s="2"/>
    </row>
    <row r="321" spans="1:40">
      <c r="A321" s="31" t="s">
        <v>994</v>
      </c>
      <c r="J321">
        <v>9</v>
      </c>
      <c r="V321" s="2"/>
      <c r="W321" s="2"/>
      <c r="X321" s="2"/>
      <c r="Y321" s="2"/>
      <c r="Z321" s="2"/>
      <c r="AA321" s="2"/>
      <c r="AB321" s="34"/>
      <c r="AC321" s="2"/>
      <c r="AD321" s="2"/>
      <c r="AF321" s="34"/>
      <c r="AG321" s="34"/>
      <c r="AH321" s="2"/>
      <c r="AL321" s="2"/>
      <c r="AN321" s="2"/>
    </row>
    <row r="322" spans="1:40">
      <c r="A322" s="31" t="s">
        <v>1117</v>
      </c>
      <c r="V322" s="2"/>
      <c r="W322" s="2">
        <v>0.02</v>
      </c>
      <c r="X322" s="2"/>
      <c r="Y322" s="2"/>
      <c r="Z322" s="2"/>
      <c r="AA322" s="2"/>
      <c r="AB322" s="34"/>
      <c r="AC322" s="2">
        <v>0.01</v>
      </c>
      <c r="AD322" s="2"/>
      <c r="AF322" s="34"/>
      <c r="AG322" s="34"/>
      <c r="AH322" s="2"/>
      <c r="AL322" s="2"/>
      <c r="AN322" s="2"/>
    </row>
    <row r="323" spans="1:40">
      <c r="A323" t="s">
        <v>140</v>
      </c>
      <c r="G323">
        <v>-4</v>
      </c>
      <c r="H323">
        <v>-4</v>
      </c>
      <c r="V323" s="2"/>
      <c r="W323" s="2"/>
      <c r="X323" s="2"/>
      <c r="Y323" s="2"/>
      <c r="Z323" s="2"/>
      <c r="AA323" s="2"/>
      <c r="AB323" s="34"/>
      <c r="AC323" s="2"/>
      <c r="AD323" s="2"/>
      <c r="AE323">
        <v>4</v>
      </c>
      <c r="AF323" s="34"/>
      <c r="AG323" s="34"/>
      <c r="AH323" s="2"/>
      <c r="AL323" s="2"/>
      <c r="AN323" s="2"/>
    </row>
    <row r="324" spans="1:40">
      <c r="A324" s="31" t="s">
        <v>985</v>
      </c>
      <c r="G324">
        <v>8</v>
      </c>
      <c r="V324" s="2"/>
      <c r="W324" s="2"/>
      <c r="X324" s="2"/>
      <c r="Y324" s="2"/>
      <c r="Z324" s="2"/>
      <c r="AA324" s="2"/>
      <c r="AB324" s="34"/>
      <c r="AC324" s="2"/>
      <c r="AD324" s="2"/>
      <c r="AF324" s="34"/>
      <c r="AG324" s="34"/>
      <c r="AH324" s="2"/>
      <c r="AL324" s="2"/>
      <c r="AN324" s="2"/>
    </row>
    <row r="325" spans="1:40">
      <c r="A325" s="31" t="s">
        <v>986</v>
      </c>
      <c r="G325">
        <v>9</v>
      </c>
      <c r="O325">
        <v>5</v>
      </c>
      <c r="V325" s="2"/>
      <c r="W325" s="2"/>
      <c r="X325" s="2"/>
      <c r="Y325" s="2"/>
      <c r="Z325" s="2"/>
      <c r="AA325" s="2"/>
      <c r="AB325" s="34"/>
      <c r="AC325" s="2"/>
      <c r="AD325" s="2"/>
      <c r="AF325" s="34"/>
      <c r="AG325" s="34"/>
      <c r="AH325" s="2"/>
      <c r="AL325" s="2"/>
      <c r="AN325" s="2"/>
    </row>
    <row r="326" spans="1:40">
      <c r="A326" s="31" t="s">
        <v>1194</v>
      </c>
      <c r="H326">
        <v>10</v>
      </c>
      <c r="J326">
        <v>10</v>
      </c>
      <c r="O326">
        <v>25</v>
      </c>
      <c r="V326" s="2"/>
      <c r="W326" s="2"/>
      <c r="X326" s="2"/>
      <c r="Y326" s="2"/>
      <c r="Z326" s="2"/>
      <c r="AA326" s="2"/>
      <c r="AB326" s="34"/>
      <c r="AC326" s="2"/>
      <c r="AD326" s="2"/>
      <c r="AE326">
        <v>5</v>
      </c>
      <c r="AF326" s="34"/>
      <c r="AG326" s="34"/>
      <c r="AH326" s="2"/>
      <c r="AL326" s="2"/>
      <c r="AN326" s="2"/>
    </row>
    <row r="327" spans="1:40">
      <c r="A327" s="31" t="s">
        <v>1090</v>
      </c>
      <c r="N327">
        <v>5</v>
      </c>
      <c r="V327" s="2"/>
      <c r="W327" s="2"/>
      <c r="X327" s="2"/>
      <c r="Y327" s="2"/>
      <c r="Z327" s="2"/>
      <c r="AA327" s="2"/>
      <c r="AB327" s="34"/>
      <c r="AC327" s="2"/>
      <c r="AD327" s="2"/>
      <c r="AF327" s="34"/>
      <c r="AG327" s="34"/>
      <c r="AH327" s="2">
        <v>0.03</v>
      </c>
      <c r="AL327" s="2"/>
      <c r="AN327" s="2"/>
    </row>
    <row r="328" spans="1:40">
      <c r="A328" t="s">
        <v>780</v>
      </c>
      <c r="O328">
        <v>5</v>
      </c>
      <c r="V328" s="2"/>
      <c r="W328" s="2"/>
      <c r="X328" s="2"/>
      <c r="Y328" s="2"/>
      <c r="Z328" s="2"/>
      <c r="AA328" s="2"/>
      <c r="AB328" s="34"/>
      <c r="AC328" s="2"/>
      <c r="AD328" s="2"/>
      <c r="AE328">
        <v>5</v>
      </c>
      <c r="AF328" s="34"/>
      <c r="AG328" s="34"/>
      <c r="AH328" s="2"/>
      <c r="AI328" s="2"/>
      <c r="AJ328" s="2"/>
      <c r="AK328" s="2"/>
      <c r="AL328" s="2"/>
      <c r="AM328">
        <v>70</v>
      </c>
    </row>
    <row r="329" spans="1:40">
      <c r="A329" t="s">
        <v>183</v>
      </c>
      <c r="N329">
        <v>3</v>
      </c>
      <c r="O329">
        <v>7</v>
      </c>
      <c r="V329" s="2"/>
      <c r="W329" s="2"/>
      <c r="X329" s="2"/>
      <c r="Y329" s="2"/>
      <c r="Z329" s="2"/>
      <c r="AA329" s="2"/>
      <c r="AB329" s="34"/>
      <c r="AC329" s="2"/>
      <c r="AD329" s="2"/>
      <c r="AF329" s="34"/>
      <c r="AG329" s="34"/>
      <c r="AH329" s="2"/>
      <c r="AL329" s="2"/>
      <c r="AN329" s="2"/>
    </row>
    <row r="330" spans="1:40">
      <c r="A330" t="s">
        <v>763</v>
      </c>
      <c r="V330" s="2"/>
      <c r="W330" s="2"/>
      <c r="X330" s="2"/>
      <c r="Y330" s="2"/>
      <c r="Z330" s="2"/>
      <c r="AA330" s="2"/>
      <c r="AB330" s="34"/>
      <c r="AC330" s="2"/>
      <c r="AD330" s="2"/>
      <c r="AF330" s="34"/>
      <c r="AG330" s="34"/>
      <c r="AH330" s="2"/>
      <c r="AL330" s="2"/>
      <c r="AN330" s="2"/>
    </row>
    <row r="331" spans="1:40">
      <c r="A331" t="s">
        <v>762</v>
      </c>
      <c r="V331" s="2"/>
      <c r="W331" s="2"/>
      <c r="X331" s="2"/>
      <c r="Y331" s="2"/>
      <c r="Z331" s="2"/>
      <c r="AA331" s="2"/>
      <c r="AB331" s="34"/>
      <c r="AC331" s="2"/>
      <c r="AD331" s="2"/>
      <c r="AF331" s="34"/>
      <c r="AG331" s="34"/>
      <c r="AH331" s="2"/>
      <c r="AL331" s="2"/>
      <c r="AN331" s="2"/>
    </row>
    <row r="332" spans="1:40">
      <c r="A332" s="31" t="s">
        <v>987</v>
      </c>
      <c r="L332">
        <v>8</v>
      </c>
      <c r="V332" s="2"/>
      <c r="W332" s="2"/>
      <c r="X332" s="2"/>
      <c r="Y332" s="2"/>
      <c r="Z332" s="2"/>
      <c r="AA332" s="2"/>
      <c r="AB332" s="34"/>
      <c r="AC332" s="2"/>
      <c r="AD332" s="2"/>
      <c r="AF332" s="34"/>
      <c r="AG332" s="34"/>
      <c r="AH332" s="2"/>
      <c r="AL332" s="2"/>
      <c r="AN332" s="2"/>
    </row>
    <row r="333" spans="1:40">
      <c r="A333" s="31" t="s">
        <v>988</v>
      </c>
      <c r="L333">
        <v>9</v>
      </c>
      <c r="V333" s="2"/>
      <c r="W333" s="2"/>
      <c r="X333" s="2"/>
      <c r="Y333" s="2"/>
      <c r="Z333" s="2"/>
      <c r="AA333" s="2"/>
      <c r="AB333" s="34"/>
      <c r="AC333" s="2"/>
      <c r="AD333" s="2"/>
      <c r="AF333" s="34"/>
      <c r="AG333" s="34"/>
      <c r="AH333" s="2"/>
      <c r="AL333" s="2"/>
      <c r="AN333" s="2"/>
    </row>
    <row r="334" spans="1:40">
      <c r="A334" s="31" t="s">
        <v>1180</v>
      </c>
      <c r="K334">
        <v>6</v>
      </c>
      <c r="L334">
        <v>6</v>
      </c>
      <c r="M334">
        <v>6</v>
      </c>
      <c r="S334">
        <v>5</v>
      </c>
      <c r="V334" s="2"/>
      <c r="W334" s="2"/>
      <c r="X334" s="2"/>
      <c r="Y334" s="2"/>
      <c r="Z334" s="2"/>
      <c r="AA334" s="2"/>
      <c r="AB334" s="34"/>
      <c r="AC334" s="2"/>
      <c r="AD334" s="2"/>
      <c r="AF334" s="34"/>
      <c r="AG334" s="34"/>
      <c r="AH334" s="2"/>
      <c r="AL334" s="2"/>
      <c r="AN334" s="2"/>
    </row>
    <row r="335" spans="1:40">
      <c r="A335" s="31" t="s">
        <v>891</v>
      </c>
      <c r="N335">
        <v>7</v>
      </c>
      <c r="V335" s="2"/>
      <c r="W335" s="2"/>
      <c r="X335" s="2"/>
      <c r="Y335" s="2"/>
      <c r="Z335" s="2"/>
      <c r="AA335" s="2"/>
      <c r="AB335" s="34"/>
      <c r="AC335" s="2"/>
      <c r="AD335" s="2"/>
      <c r="AF335" s="34"/>
      <c r="AG335" s="34"/>
      <c r="AH335" s="2"/>
      <c r="AL335" s="2"/>
      <c r="AN335" s="2"/>
    </row>
    <row r="336" spans="1:40">
      <c r="A336" s="31" t="s">
        <v>1100</v>
      </c>
      <c r="G336">
        <v>3</v>
      </c>
      <c r="H336">
        <v>3</v>
      </c>
      <c r="I336">
        <v>3</v>
      </c>
      <c r="J336">
        <v>3</v>
      </c>
      <c r="V336" s="2">
        <v>0.01</v>
      </c>
      <c r="W336" s="2"/>
      <c r="X336" s="2"/>
      <c r="Y336" s="2"/>
      <c r="Z336" s="2"/>
      <c r="AA336" s="2"/>
      <c r="AB336" s="34"/>
      <c r="AC336" s="2"/>
      <c r="AD336" s="2"/>
      <c r="AE336">
        <v>5</v>
      </c>
      <c r="AF336" s="34"/>
      <c r="AG336" s="34"/>
      <c r="AH336" s="2"/>
      <c r="AL336" s="2"/>
      <c r="AN336" s="2"/>
    </row>
    <row r="337" spans="1:40">
      <c r="A337" t="s">
        <v>362</v>
      </c>
      <c r="G337">
        <v>7</v>
      </c>
      <c r="L337">
        <v>-3</v>
      </c>
      <c r="V337" s="2"/>
      <c r="W337" s="2"/>
      <c r="X337" s="2"/>
      <c r="Y337" s="2"/>
      <c r="Z337" s="2"/>
      <c r="AA337" s="2"/>
      <c r="AB337" s="34"/>
      <c r="AC337" s="2"/>
      <c r="AD337" s="2"/>
      <c r="AF337" s="34"/>
      <c r="AG337" s="34"/>
      <c r="AH337" s="2"/>
      <c r="AL337" s="2"/>
      <c r="AN337" s="2"/>
    </row>
    <row r="338" spans="1:40">
      <c r="A338" t="s">
        <v>26</v>
      </c>
      <c r="G338">
        <v>5</v>
      </c>
      <c r="H338">
        <v>5</v>
      </c>
      <c r="V338" s="2"/>
      <c r="W338" s="2"/>
      <c r="X338" s="2"/>
      <c r="Y338" s="2"/>
      <c r="Z338" s="2"/>
      <c r="AA338" s="2"/>
      <c r="AB338" s="34"/>
      <c r="AC338" s="2"/>
      <c r="AD338" s="2"/>
      <c r="AE338">
        <v>5</v>
      </c>
      <c r="AF338" s="34"/>
      <c r="AG338" s="34"/>
      <c r="AH338" s="2"/>
      <c r="AL338" s="2"/>
      <c r="AN338" s="2"/>
    </row>
    <row r="339" spans="1:40">
      <c r="A339" s="31" t="s">
        <v>989</v>
      </c>
      <c r="H339">
        <v>8</v>
      </c>
      <c r="V339" s="2"/>
      <c r="W339" s="2"/>
      <c r="X339" s="2"/>
      <c r="Y339" s="2"/>
      <c r="Z339" s="2"/>
      <c r="AA339" s="2"/>
      <c r="AB339" s="34"/>
      <c r="AC339" s="2"/>
      <c r="AD339" s="2"/>
      <c r="AF339" s="34"/>
      <c r="AG339" s="34"/>
      <c r="AH339" s="2"/>
      <c r="AL339" s="2"/>
      <c r="AN339" s="2"/>
    </row>
    <row r="340" spans="1:40">
      <c r="A340" s="31" t="s">
        <v>990</v>
      </c>
      <c r="H340">
        <v>9</v>
      </c>
      <c r="N340">
        <v>5</v>
      </c>
      <c r="V340" s="2"/>
      <c r="W340" s="2"/>
      <c r="X340" s="2"/>
      <c r="Y340" s="2"/>
      <c r="Z340" s="2"/>
      <c r="AA340" s="2"/>
      <c r="AB340" s="34"/>
      <c r="AC340" s="2"/>
      <c r="AD340" s="2"/>
      <c r="AF340" s="34"/>
      <c r="AG340" s="34"/>
      <c r="AH340" s="2"/>
      <c r="AL340" s="2"/>
      <c r="AN340" s="2"/>
    </row>
    <row r="341" spans="1:40">
      <c r="A341" t="s">
        <v>84</v>
      </c>
      <c r="G341">
        <v>4</v>
      </c>
      <c r="V341" s="2"/>
      <c r="W341" s="2"/>
      <c r="X341" s="2"/>
      <c r="Y341" s="2"/>
      <c r="Z341" s="2"/>
      <c r="AA341" s="2"/>
      <c r="AB341" s="34"/>
      <c r="AC341" s="2"/>
      <c r="AD341" s="2"/>
      <c r="AF341" s="34"/>
      <c r="AG341" s="34"/>
      <c r="AH341" s="2"/>
      <c r="AL341" s="2"/>
      <c r="AN341" s="2"/>
    </row>
    <row r="342" spans="1:40">
      <c r="A342" t="s">
        <v>1144</v>
      </c>
      <c r="G342">
        <v>7</v>
      </c>
      <c r="O342">
        <v>15</v>
      </c>
      <c r="V342" s="2"/>
      <c r="W342" s="2"/>
      <c r="X342" s="2"/>
      <c r="Y342" s="2"/>
      <c r="Z342" s="2"/>
      <c r="AA342" s="2"/>
      <c r="AB342" s="34"/>
      <c r="AC342" s="2"/>
      <c r="AD342" s="2"/>
      <c r="AF342" s="34"/>
      <c r="AG342" s="34"/>
      <c r="AH342" s="2"/>
      <c r="AL342" s="2"/>
      <c r="AN342" s="2"/>
    </row>
    <row r="343" spans="1:40">
      <c r="A343" s="31" t="s">
        <v>995</v>
      </c>
      <c r="K343">
        <v>8</v>
      </c>
      <c r="V343" s="2"/>
      <c r="W343" s="2"/>
      <c r="X343" s="2"/>
      <c r="Y343" s="2"/>
      <c r="Z343" s="2"/>
      <c r="AA343" s="2"/>
      <c r="AB343" s="34"/>
      <c r="AC343" s="2"/>
      <c r="AD343" s="2"/>
      <c r="AF343" s="34"/>
      <c r="AG343" s="34"/>
      <c r="AH343" s="2"/>
      <c r="AL343" s="2"/>
      <c r="AN343" s="2"/>
    </row>
    <row r="344" spans="1:40">
      <c r="A344" s="31" t="s">
        <v>996</v>
      </c>
      <c r="K344">
        <v>9</v>
      </c>
      <c r="T344">
        <v>3</v>
      </c>
      <c r="V344" s="2"/>
      <c r="W344" s="2"/>
      <c r="X344" s="2"/>
      <c r="Y344" s="2"/>
      <c r="Z344" s="2"/>
      <c r="AA344" s="2"/>
      <c r="AB344" s="34"/>
      <c r="AC344" s="2"/>
      <c r="AD344" s="2"/>
      <c r="AF344" s="34"/>
      <c r="AG344" s="34"/>
      <c r="AH344" s="2"/>
      <c r="AL344" s="2"/>
      <c r="AN344" s="2"/>
    </row>
    <row r="345" spans="1:40">
      <c r="A345" t="s">
        <v>682</v>
      </c>
      <c r="G345">
        <v>3</v>
      </c>
      <c r="V345" s="2">
        <v>0.01</v>
      </c>
      <c r="W345" s="2"/>
      <c r="X345" s="2"/>
      <c r="Y345" s="2"/>
      <c r="Z345" s="2"/>
      <c r="AA345" s="2"/>
      <c r="AB345" s="34">
        <v>-20</v>
      </c>
      <c r="AC345" s="2"/>
      <c r="AD345" s="2"/>
      <c r="AF345" s="34"/>
      <c r="AG345" s="34"/>
      <c r="AH345" s="2"/>
      <c r="AL345" s="2"/>
      <c r="AN345" s="2"/>
    </row>
    <row r="346" spans="1:40">
      <c r="A346" t="s">
        <v>76</v>
      </c>
      <c r="N346">
        <v>5</v>
      </c>
      <c r="V346" s="2"/>
      <c r="W346" s="2"/>
      <c r="X346" s="2"/>
      <c r="Y346" s="2"/>
      <c r="Z346" s="2"/>
      <c r="AA346" s="2"/>
      <c r="AB346" s="34"/>
      <c r="AC346" s="2"/>
      <c r="AD346" s="2"/>
      <c r="AF346" s="34"/>
      <c r="AG346" s="34"/>
      <c r="AH346" s="2"/>
      <c r="AL346" s="2"/>
      <c r="AN346" s="2"/>
    </row>
    <row r="347" spans="1:40">
      <c r="A347" t="s">
        <v>182</v>
      </c>
      <c r="G347">
        <v>5</v>
      </c>
      <c r="I347">
        <v>5</v>
      </c>
      <c r="V347" s="2"/>
      <c r="W347" s="2"/>
      <c r="X347" s="2"/>
      <c r="Y347" s="2"/>
      <c r="Z347" s="2"/>
      <c r="AA347" s="2"/>
      <c r="AB347" s="34"/>
      <c r="AC347" s="2"/>
      <c r="AD347" s="2"/>
      <c r="AF347" s="34"/>
      <c r="AG347" s="34"/>
      <c r="AH347" s="2"/>
      <c r="AL347" s="2"/>
      <c r="AN347" s="2"/>
    </row>
    <row r="348" spans="1:40">
      <c r="A348" t="s">
        <v>78</v>
      </c>
      <c r="G348">
        <v>6</v>
      </c>
      <c r="O348">
        <v>3</v>
      </c>
      <c r="V348" s="2"/>
      <c r="W348" s="2"/>
      <c r="X348" s="2"/>
      <c r="Y348" s="2"/>
      <c r="Z348" s="2"/>
      <c r="AA348" s="2"/>
      <c r="AB348" s="34"/>
      <c r="AC348" s="2"/>
      <c r="AD348" s="2"/>
      <c r="AF348" s="34"/>
      <c r="AG348" s="34"/>
      <c r="AH348" s="2"/>
      <c r="AL348" s="2"/>
      <c r="AN348" s="2"/>
    </row>
    <row r="349" spans="1:40">
      <c r="A349" t="s">
        <v>363</v>
      </c>
      <c r="H349">
        <v>7</v>
      </c>
      <c r="I349">
        <v>-3</v>
      </c>
      <c r="V349" s="2"/>
      <c r="W349" s="2"/>
      <c r="X349" s="2"/>
      <c r="Y349" s="2"/>
      <c r="Z349" s="2"/>
      <c r="AA349" s="2"/>
      <c r="AB349" s="34"/>
      <c r="AC349" s="2"/>
      <c r="AD349" s="2"/>
      <c r="AF349" s="34"/>
      <c r="AG349" s="34"/>
      <c r="AH349" s="2"/>
      <c r="AL349" s="2"/>
      <c r="AN349" s="2"/>
    </row>
    <row r="350" spans="1:40">
      <c r="A350" s="31" t="s">
        <v>991</v>
      </c>
      <c r="I350">
        <v>8</v>
      </c>
      <c r="V350" s="2"/>
      <c r="W350" s="2"/>
      <c r="X350" s="2"/>
      <c r="Y350" s="2"/>
      <c r="Z350" s="2"/>
      <c r="AA350" s="2"/>
      <c r="AB350" s="34"/>
      <c r="AC350" s="2"/>
      <c r="AD350" s="2"/>
      <c r="AF350" s="34"/>
      <c r="AG350" s="34"/>
      <c r="AH350" s="2"/>
      <c r="AL350" s="2"/>
      <c r="AN350" s="2"/>
    </row>
    <row r="351" spans="1:40">
      <c r="A351" s="31" t="s">
        <v>992</v>
      </c>
      <c r="I351">
        <v>9</v>
      </c>
      <c r="V351" s="2"/>
      <c r="W351" s="2"/>
      <c r="X351" s="2"/>
      <c r="Y351" s="2"/>
      <c r="Z351" s="2"/>
      <c r="AA351" s="2"/>
      <c r="AB351" s="34"/>
      <c r="AC351" s="2"/>
      <c r="AD351" s="2"/>
      <c r="AF351" s="34"/>
      <c r="AG351" s="34"/>
      <c r="AH351" s="2"/>
      <c r="AL351" s="2"/>
      <c r="AN351" s="2"/>
    </row>
    <row r="352" spans="1:40">
      <c r="A352" t="s">
        <v>378</v>
      </c>
      <c r="B352">
        <v>5</v>
      </c>
      <c r="L352">
        <v>5</v>
      </c>
      <c r="V352" s="2"/>
      <c r="W352" s="2"/>
      <c r="X352" s="2"/>
      <c r="Y352" s="2"/>
      <c r="Z352" s="2"/>
      <c r="AA352" s="2"/>
      <c r="AB352" s="34"/>
      <c r="AC352" s="2"/>
      <c r="AD352" s="2"/>
      <c r="AF352" s="34"/>
      <c r="AG352" s="34"/>
      <c r="AH352" s="2"/>
      <c r="AL352" s="2"/>
      <c r="AN352" s="2"/>
    </row>
    <row r="353" spans="1:61">
      <c r="A353" t="s">
        <v>77</v>
      </c>
      <c r="N353">
        <v>7</v>
      </c>
      <c r="V353" s="2"/>
      <c r="W353" s="2"/>
      <c r="X353" s="2"/>
      <c r="Y353" s="2"/>
      <c r="Z353" s="2"/>
      <c r="AA353" s="2"/>
      <c r="AB353" s="34"/>
      <c r="AC353" s="2"/>
      <c r="AD353" s="2"/>
      <c r="AF353" s="34"/>
      <c r="AG353" s="34"/>
      <c r="AH353" s="2"/>
      <c r="AL353" s="2"/>
      <c r="AN353" s="2"/>
    </row>
    <row r="354" spans="1:61">
      <c r="A354" t="s">
        <v>648</v>
      </c>
      <c r="J354">
        <v>-4</v>
      </c>
      <c r="O354">
        <v>8</v>
      </c>
      <c r="V354" s="2"/>
      <c r="W354" s="2"/>
      <c r="X354" s="2"/>
      <c r="Y354" s="2"/>
      <c r="Z354" s="2"/>
      <c r="AA354" s="2"/>
      <c r="AB354" s="34"/>
      <c r="AC354" s="2"/>
      <c r="AD354" s="2"/>
      <c r="AE354">
        <v>4</v>
      </c>
      <c r="AF354" s="34"/>
      <c r="AG354" s="34"/>
      <c r="AH354" s="2"/>
      <c r="AL354" s="2"/>
      <c r="AN354" s="2"/>
    </row>
    <row r="355" spans="1:61">
      <c r="A355" t="s">
        <v>75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4"/>
      <c r="AC355" s="2"/>
      <c r="AD355" s="2"/>
      <c r="AF355" s="34"/>
      <c r="AG355" s="34"/>
      <c r="AH355" s="2"/>
      <c r="AL355" s="2"/>
      <c r="AN355" s="2"/>
    </row>
    <row r="356" spans="1:61">
      <c r="A356" s="31" t="s">
        <v>949</v>
      </c>
      <c r="B356" s="31"/>
      <c r="C356" s="31"/>
      <c r="D356" s="31"/>
      <c r="E356" s="31"/>
      <c r="F356" s="31"/>
      <c r="G356" s="31">
        <v>2</v>
      </c>
      <c r="H356" s="31"/>
      <c r="I356" s="31"/>
      <c r="J356" s="31"/>
      <c r="K356" s="31"/>
      <c r="L356" s="31"/>
      <c r="M356" s="31"/>
      <c r="N356" s="31"/>
      <c r="O356" s="31">
        <v>10</v>
      </c>
      <c r="P356" s="31"/>
      <c r="Q356" s="31"/>
      <c r="R356" s="31"/>
      <c r="S356" s="31"/>
      <c r="T356" s="31"/>
      <c r="U356" s="31"/>
      <c r="V356" s="12"/>
      <c r="W356" s="12"/>
      <c r="X356" s="12"/>
      <c r="Y356" s="12"/>
      <c r="Z356" s="12"/>
      <c r="AA356" s="12"/>
      <c r="AB356" s="48"/>
      <c r="AC356" s="12"/>
      <c r="AD356" s="12"/>
      <c r="AE356" s="31"/>
      <c r="AF356" s="48"/>
      <c r="AG356" s="12"/>
      <c r="AH356" s="12"/>
      <c r="AI356" s="48"/>
      <c r="AJ356" s="48"/>
      <c r="AK356" s="48"/>
      <c r="AL356" s="48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</row>
    <row r="357" spans="1:61">
      <c r="A357" s="31" t="s">
        <v>1001</v>
      </c>
      <c r="N357">
        <v>7</v>
      </c>
      <c r="V357" s="2"/>
      <c r="W357" s="2"/>
      <c r="X357" s="2"/>
      <c r="Y357" s="2"/>
      <c r="Z357" s="2"/>
      <c r="AA357" s="2"/>
      <c r="AB357" s="34"/>
      <c r="AC357" s="2"/>
      <c r="AD357" s="2"/>
      <c r="AF357" s="34"/>
      <c r="AG357" s="34"/>
      <c r="AH357" s="2"/>
      <c r="AL357" s="2"/>
      <c r="AN357" s="2"/>
    </row>
    <row r="358" spans="1:61">
      <c r="A358" s="31" t="s">
        <v>1002</v>
      </c>
      <c r="N358">
        <v>8</v>
      </c>
      <c r="V358" s="2"/>
      <c r="W358" s="2"/>
      <c r="X358" s="2"/>
      <c r="Y358" s="2"/>
      <c r="Z358" s="2"/>
      <c r="AA358" s="2"/>
      <c r="AB358" s="34"/>
      <c r="AC358" s="2"/>
      <c r="AD358" s="2"/>
      <c r="AF358" s="34"/>
      <c r="AG358" s="34"/>
      <c r="AH358" s="2"/>
      <c r="AL358" s="2"/>
      <c r="AN358" s="2"/>
    </row>
    <row r="361" spans="1:61">
      <c r="A361" t="s">
        <v>20</v>
      </c>
      <c r="B361" t="s">
        <v>30</v>
      </c>
      <c r="C361" t="s">
        <v>616</v>
      </c>
      <c r="D361" s="31" t="s">
        <v>798</v>
      </c>
      <c r="E361" t="s">
        <v>769</v>
      </c>
      <c r="F361" s="31" t="s">
        <v>820</v>
      </c>
      <c r="G361" t="s">
        <v>3</v>
      </c>
      <c r="H361" t="s">
        <v>4</v>
      </c>
      <c r="I361" t="s">
        <v>5</v>
      </c>
      <c r="J361" t="s">
        <v>42</v>
      </c>
      <c r="K361" t="s">
        <v>269</v>
      </c>
      <c r="L361" t="s">
        <v>270</v>
      </c>
      <c r="M361" t="s">
        <v>271</v>
      </c>
      <c r="N361" t="s">
        <v>10</v>
      </c>
      <c r="O361" t="s">
        <v>9</v>
      </c>
      <c r="P361" t="s">
        <v>390</v>
      </c>
      <c r="Q361" t="s">
        <v>1017</v>
      </c>
      <c r="R361" t="s">
        <v>1018</v>
      </c>
      <c r="S361" t="s">
        <v>1019</v>
      </c>
      <c r="T361" s="34" t="s">
        <v>620</v>
      </c>
      <c r="U361" s="152" t="s">
        <v>1020</v>
      </c>
      <c r="V361" t="s">
        <v>12</v>
      </c>
      <c r="W361" t="s">
        <v>166</v>
      </c>
      <c r="X361" t="s">
        <v>311</v>
      </c>
      <c r="Y361" t="s">
        <v>766</v>
      </c>
      <c r="Z361" t="s">
        <v>767</v>
      </c>
      <c r="AA361" t="s">
        <v>141</v>
      </c>
      <c r="AB361" t="s">
        <v>11</v>
      </c>
      <c r="AC361" t="s">
        <v>137</v>
      </c>
      <c r="AD361" t="s">
        <v>136</v>
      </c>
      <c r="AE361" t="s">
        <v>13</v>
      </c>
      <c r="AF361" t="s">
        <v>134</v>
      </c>
      <c r="AG361" t="s">
        <v>240</v>
      </c>
      <c r="AH361" t="s">
        <v>173</v>
      </c>
      <c r="AI361" s="34" t="s">
        <v>718</v>
      </c>
      <c r="AJ361" s="34" t="s">
        <v>743</v>
      </c>
      <c r="AK361" s="152" t="s">
        <v>717</v>
      </c>
      <c r="AL361" t="s">
        <v>312</v>
      </c>
      <c r="AM361" t="s">
        <v>268</v>
      </c>
      <c r="AN361" t="s">
        <v>618</v>
      </c>
    </row>
    <row r="362" spans="1:61">
      <c r="A362" t="s">
        <v>55</v>
      </c>
      <c r="O362">
        <v>8</v>
      </c>
      <c r="V362" s="2">
        <v>0.01</v>
      </c>
      <c r="W362" s="2"/>
      <c r="X362" s="2"/>
      <c r="Y362" s="2"/>
      <c r="Z362" s="2"/>
      <c r="AA362" s="2"/>
      <c r="AB362" s="34"/>
      <c r="AC362" s="2"/>
      <c r="AD362" s="2"/>
      <c r="AF362" s="34"/>
      <c r="AG362" s="34"/>
      <c r="AH362" s="2"/>
      <c r="AL362" s="2"/>
      <c r="AN362" s="2"/>
    </row>
    <row r="363" spans="1:61">
      <c r="A363" t="s">
        <v>80</v>
      </c>
      <c r="G363">
        <v>1</v>
      </c>
      <c r="O363">
        <v>10</v>
      </c>
      <c r="V363" s="2"/>
      <c r="W363" s="2"/>
      <c r="X363" s="2"/>
      <c r="Y363" s="2"/>
      <c r="Z363" s="2"/>
      <c r="AA363" s="2"/>
      <c r="AB363" s="34"/>
      <c r="AC363" s="2"/>
      <c r="AD363" s="2"/>
      <c r="AF363" s="34"/>
      <c r="AG363" s="34"/>
      <c r="AH363" s="2"/>
      <c r="AL363" s="2"/>
      <c r="AN363" s="2"/>
    </row>
    <row r="364" spans="1:61">
      <c r="A364" t="s">
        <v>85</v>
      </c>
      <c r="G364">
        <v>2</v>
      </c>
      <c r="O364">
        <v>15</v>
      </c>
      <c r="V364" s="2"/>
      <c r="W364" s="2"/>
      <c r="X364" s="2"/>
      <c r="Y364" s="2"/>
      <c r="Z364" s="2"/>
      <c r="AA364" s="2"/>
      <c r="AB364" s="34"/>
      <c r="AC364" s="2"/>
      <c r="AD364" s="2"/>
      <c r="AF364" s="34"/>
      <c r="AG364" s="34"/>
      <c r="AH364" s="2"/>
      <c r="AL364" s="2"/>
      <c r="AN364" s="2"/>
    </row>
    <row r="365" spans="1:61">
      <c r="A365" s="31" t="s">
        <v>1016</v>
      </c>
      <c r="O365">
        <v>12</v>
      </c>
      <c r="T365">
        <v>12</v>
      </c>
      <c r="V365" s="2"/>
      <c r="W365" s="2"/>
      <c r="X365" s="2"/>
      <c r="Y365" s="2"/>
      <c r="Z365" s="2"/>
      <c r="AA365" s="2"/>
      <c r="AB365" s="34"/>
      <c r="AC365" s="2"/>
      <c r="AD365" s="2"/>
      <c r="AF365" s="34"/>
      <c r="AG365" s="34"/>
      <c r="AH365" s="2"/>
      <c r="AI365" s="2"/>
      <c r="AJ365" s="2"/>
      <c r="AK365" s="2"/>
      <c r="AL365" s="2"/>
      <c r="AM365" s="34"/>
    </row>
    <row r="366" spans="1:61">
      <c r="A366" t="s">
        <v>184</v>
      </c>
      <c r="O366">
        <v>20</v>
      </c>
      <c r="V366" s="2">
        <v>0.03</v>
      </c>
      <c r="W366" s="2"/>
      <c r="X366" s="2"/>
      <c r="Y366" s="2"/>
      <c r="Z366" s="2"/>
      <c r="AA366" s="2"/>
      <c r="AB366" s="34"/>
      <c r="AC366" s="2"/>
      <c r="AD366" s="2"/>
      <c r="AF366" s="34"/>
      <c r="AG366" s="34"/>
      <c r="AH366" s="2"/>
      <c r="AL366" s="2"/>
      <c r="AN366" s="2"/>
    </row>
    <row r="367" spans="1:61">
      <c r="A367" t="s">
        <v>650</v>
      </c>
      <c r="N367">
        <v>12</v>
      </c>
      <c r="O367">
        <v>12</v>
      </c>
      <c r="V367" s="2"/>
      <c r="W367" s="2"/>
      <c r="X367" s="2"/>
      <c r="Y367" s="2"/>
      <c r="Z367" s="2"/>
      <c r="AA367" s="2"/>
      <c r="AB367" s="34"/>
      <c r="AC367" s="2"/>
      <c r="AD367" s="2"/>
      <c r="AF367" s="34"/>
      <c r="AG367" s="34"/>
      <c r="AH367" s="2"/>
      <c r="AL367" s="2"/>
      <c r="AN367" s="2"/>
    </row>
    <row r="368" spans="1:61">
      <c r="A368" t="s">
        <v>655</v>
      </c>
      <c r="M368">
        <v>9</v>
      </c>
      <c r="V368" s="2"/>
      <c r="W368" s="2"/>
      <c r="X368" s="2"/>
      <c r="Y368" s="2"/>
      <c r="Z368" s="2"/>
      <c r="AA368" s="2"/>
      <c r="AB368" s="34"/>
      <c r="AC368" s="2"/>
      <c r="AD368" s="2"/>
      <c r="AF368" s="34"/>
      <c r="AG368" s="34"/>
      <c r="AH368" s="2"/>
      <c r="AL368" s="2"/>
      <c r="AN368" s="2"/>
    </row>
    <row r="369" spans="1:40">
      <c r="A369" s="31" t="s">
        <v>1099</v>
      </c>
      <c r="O369">
        <v>20</v>
      </c>
      <c r="V369" s="2"/>
      <c r="W369" s="2">
        <v>0.02</v>
      </c>
      <c r="X369" s="2"/>
      <c r="Y369" s="2"/>
      <c r="Z369" s="2"/>
      <c r="AA369" s="2"/>
      <c r="AB369" s="34"/>
      <c r="AC369" s="2"/>
      <c r="AD369" s="2"/>
      <c r="AF369" s="34"/>
      <c r="AG369" s="34"/>
      <c r="AH369" s="2"/>
      <c r="AL369" s="2"/>
      <c r="AN369" s="2"/>
    </row>
    <row r="370" spans="1:40">
      <c r="A370" t="s">
        <v>842</v>
      </c>
      <c r="G370">
        <v>8</v>
      </c>
      <c r="O370">
        <v>10</v>
      </c>
      <c r="V370" s="2"/>
      <c r="W370" s="2"/>
      <c r="X370" s="2"/>
      <c r="Y370" s="2"/>
      <c r="Z370" s="2"/>
      <c r="AA370" s="2"/>
      <c r="AB370" s="34"/>
      <c r="AC370" s="2"/>
      <c r="AD370" s="2"/>
      <c r="AF370" s="34"/>
      <c r="AG370" s="34"/>
      <c r="AH370" s="2"/>
      <c r="AL370" s="2"/>
      <c r="AN370" s="2"/>
    </row>
    <row r="371" spans="1:40">
      <c r="A371" t="s">
        <v>120</v>
      </c>
      <c r="G371">
        <v>4</v>
      </c>
      <c r="O371">
        <v>15</v>
      </c>
      <c r="V371" s="2"/>
      <c r="W371" s="2"/>
      <c r="X371" s="2"/>
      <c r="Y371" s="2"/>
      <c r="Z371" s="2"/>
      <c r="AA371" s="2"/>
      <c r="AB371" s="34"/>
      <c r="AC371" s="2"/>
      <c r="AD371" s="2"/>
      <c r="AF371" s="34"/>
      <c r="AG371" s="34"/>
      <c r="AH371" s="2"/>
      <c r="AL371" s="2"/>
      <c r="AN371" s="2"/>
    </row>
    <row r="372" spans="1:40">
      <c r="A372" t="s">
        <v>151</v>
      </c>
      <c r="G372">
        <v>3</v>
      </c>
      <c r="H372">
        <v>3</v>
      </c>
      <c r="J372">
        <v>3</v>
      </c>
      <c r="V372" s="2"/>
      <c r="W372" s="2"/>
      <c r="X372" s="2"/>
      <c r="Y372" s="2"/>
      <c r="Z372" s="2"/>
      <c r="AA372" s="2"/>
      <c r="AB372" s="34"/>
      <c r="AC372" s="2"/>
      <c r="AD372" s="2"/>
      <c r="AF372" s="34"/>
      <c r="AG372" s="34"/>
      <c r="AH372" s="2"/>
      <c r="AL372" s="2"/>
      <c r="AN372" s="2"/>
    </row>
    <row r="373" spans="1:40">
      <c r="A373" s="31" t="s">
        <v>822</v>
      </c>
      <c r="C373">
        <v>15</v>
      </c>
      <c r="G373">
        <v>5</v>
      </c>
      <c r="H373">
        <v>3</v>
      </c>
      <c r="K373">
        <v>5</v>
      </c>
      <c r="L373">
        <v>5</v>
      </c>
      <c r="S373">
        <v>15</v>
      </c>
      <c r="T373">
        <v>15</v>
      </c>
      <c r="V373" s="2"/>
      <c r="W373" s="2"/>
      <c r="X373" s="2"/>
      <c r="Y373" s="2"/>
      <c r="Z373" s="2"/>
      <c r="AA373" s="2"/>
      <c r="AB373" s="34"/>
      <c r="AC373" s="2"/>
      <c r="AD373" s="2"/>
      <c r="AF373" s="34"/>
      <c r="AG373" s="34"/>
      <c r="AH373" s="2"/>
      <c r="AL373" s="2"/>
      <c r="AN373" s="2"/>
    </row>
    <row r="374" spans="1:40">
      <c r="A374" t="s">
        <v>81</v>
      </c>
      <c r="G374">
        <v>4</v>
      </c>
      <c r="H374">
        <v>4</v>
      </c>
      <c r="N374">
        <v>5</v>
      </c>
      <c r="V374" s="2"/>
      <c r="W374" s="2"/>
      <c r="X374" s="2"/>
      <c r="Y374" s="2"/>
      <c r="Z374" s="2"/>
      <c r="AA374" s="2"/>
      <c r="AB374" s="34"/>
      <c r="AC374" s="2"/>
      <c r="AD374" s="2"/>
      <c r="AF374" s="34"/>
      <c r="AG374" s="34"/>
      <c r="AH374" s="2"/>
      <c r="AL374" s="2"/>
      <c r="AN374" s="2"/>
    </row>
    <row r="375" spans="1:40">
      <c r="A375" t="s">
        <v>651</v>
      </c>
      <c r="N375">
        <v>13</v>
      </c>
      <c r="O375">
        <v>13</v>
      </c>
      <c r="V375" s="2"/>
      <c r="W375" s="2"/>
      <c r="X375" s="2"/>
      <c r="Y375" s="2"/>
      <c r="Z375" s="2"/>
      <c r="AA375" s="2"/>
      <c r="AB375" s="34"/>
      <c r="AC375" s="2"/>
      <c r="AD375" s="2"/>
      <c r="AF375" s="34"/>
      <c r="AG375" s="34"/>
      <c r="AH375" s="2"/>
      <c r="AL375" s="2"/>
      <c r="AN375" s="2"/>
    </row>
    <row r="376" spans="1:40">
      <c r="A376" t="s">
        <v>736</v>
      </c>
      <c r="H376">
        <v>3</v>
      </c>
      <c r="J376">
        <v>3</v>
      </c>
      <c r="N376">
        <v>10</v>
      </c>
      <c r="V376" s="2"/>
      <c r="W376" s="2"/>
      <c r="X376" s="2"/>
      <c r="Y376" s="2"/>
      <c r="Z376" s="2"/>
      <c r="AA376" s="2"/>
      <c r="AB376" s="34"/>
      <c r="AC376" s="2"/>
      <c r="AD376" s="2"/>
      <c r="AF376" s="34"/>
      <c r="AG376" s="34"/>
      <c r="AH376" s="2"/>
      <c r="AL376" s="2"/>
      <c r="AN376" s="2"/>
    </row>
    <row r="377" spans="1:40">
      <c r="A377" t="s">
        <v>56</v>
      </c>
      <c r="G377">
        <v>3</v>
      </c>
      <c r="O377">
        <v>15</v>
      </c>
      <c r="V377" s="2"/>
      <c r="W377" s="2"/>
      <c r="X377" s="2"/>
      <c r="Y377" s="2"/>
      <c r="Z377" s="2"/>
      <c r="AA377" s="2"/>
      <c r="AB377" s="34"/>
      <c r="AC377" s="2"/>
      <c r="AD377" s="2"/>
      <c r="AF377" s="34"/>
      <c r="AG377" s="34"/>
      <c r="AH377" s="2"/>
      <c r="AL377" s="2"/>
      <c r="AN377" s="2"/>
    </row>
    <row r="378" spans="1:40">
      <c r="A378" s="31" t="s">
        <v>1098</v>
      </c>
      <c r="H378">
        <v>7</v>
      </c>
      <c r="N378">
        <v>21</v>
      </c>
      <c r="V378" s="2"/>
      <c r="W378" s="2"/>
      <c r="X378" s="2"/>
      <c r="Y378" s="2"/>
      <c r="Z378" s="2"/>
      <c r="AA378" s="2"/>
      <c r="AB378" s="34"/>
      <c r="AC378" s="2"/>
      <c r="AD378" s="2"/>
      <c r="AF378" s="34"/>
      <c r="AG378" s="34"/>
      <c r="AH378" s="2"/>
      <c r="AL378" s="2"/>
      <c r="AN378" s="2"/>
    </row>
    <row r="379" spans="1:40">
      <c r="A379" t="s">
        <v>737</v>
      </c>
      <c r="K379">
        <v>6</v>
      </c>
      <c r="L379">
        <v>6</v>
      </c>
      <c r="M379">
        <v>6</v>
      </c>
      <c r="S379">
        <v>2</v>
      </c>
      <c r="V379" s="2"/>
      <c r="W379" s="2"/>
      <c r="X379" s="2"/>
      <c r="Y379" s="2"/>
      <c r="Z379" s="2"/>
      <c r="AA379" s="2"/>
      <c r="AB379" s="34"/>
      <c r="AC379" s="2"/>
      <c r="AD379" s="2"/>
      <c r="AF379" s="34"/>
      <c r="AG379" s="34"/>
      <c r="AH379" s="2"/>
      <c r="AL379" s="2"/>
      <c r="AN379" s="2"/>
    </row>
    <row r="380" spans="1:40">
      <c r="A380" t="s">
        <v>843</v>
      </c>
      <c r="J380">
        <v>8</v>
      </c>
      <c r="V380" s="2"/>
      <c r="W380" s="2"/>
      <c r="X380" s="2"/>
      <c r="Y380" s="2"/>
      <c r="Z380" s="2"/>
      <c r="AA380" s="2"/>
      <c r="AB380" s="34"/>
      <c r="AC380" s="2"/>
      <c r="AD380" s="2"/>
      <c r="AF380" s="34"/>
      <c r="AG380" s="34"/>
      <c r="AH380" s="2"/>
      <c r="AL380" s="2"/>
      <c r="AN380" s="2"/>
    </row>
    <row r="381" spans="1:40">
      <c r="A381" t="s">
        <v>844</v>
      </c>
      <c r="I381">
        <v>8</v>
      </c>
      <c r="V381" s="2"/>
      <c r="W381" s="2"/>
      <c r="X381" s="2"/>
      <c r="Y381" s="2"/>
      <c r="Z381" s="2"/>
      <c r="AA381" s="2"/>
      <c r="AB381" s="34"/>
      <c r="AC381" s="2"/>
      <c r="AD381" s="2"/>
      <c r="AF381" s="34"/>
      <c r="AG381" s="34"/>
      <c r="AH381" s="2"/>
      <c r="AL381" s="2"/>
      <c r="AN381" s="2"/>
    </row>
    <row r="382" spans="1:40">
      <c r="A382" t="s">
        <v>672</v>
      </c>
      <c r="K382">
        <v>6</v>
      </c>
      <c r="L382">
        <v>6</v>
      </c>
      <c r="V382" s="2"/>
      <c r="W382" s="2"/>
      <c r="X382" s="2"/>
      <c r="Y382" s="2"/>
      <c r="Z382" s="2"/>
      <c r="AA382" s="2"/>
      <c r="AB382" s="34"/>
      <c r="AC382" s="2"/>
      <c r="AD382" s="2"/>
      <c r="AF382" s="34"/>
      <c r="AG382" s="34"/>
      <c r="AH382" s="2"/>
      <c r="AL382" s="2"/>
      <c r="AN382" s="2"/>
    </row>
    <row r="383" spans="1:40">
      <c r="A383" t="s">
        <v>673</v>
      </c>
      <c r="K383">
        <v>6</v>
      </c>
      <c r="L383">
        <v>6</v>
      </c>
      <c r="S383">
        <v>4</v>
      </c>
      <c r="T383">
        <v>4</v>
      </c>
      <c r="V383" s="2"/>
      <c r="W383" s="2"/>
      <c r="X383" s="2"/>
      <c r="Y383" s="2"/>
      <c r="Z383" s="2"/>
      <c r="AA383" s="2"/>
      <c r="AB383" s="34"/>
      <c r="AC383" s="2"/>
      <c r="AD383" s="2"/>
      <c r="AF383" s="34"/>
      <c r="AG383" s="34"/>
      <c r="AH383" s="2"/>
      <c r="AL383" s="2"/>
      <c r="AN383" s="2"/>
    </row>
    <row r="384" spans="1:40">
      <c r="A384" t="s">
        <v>845</v>
      </c>
      <c r="H384">
        <v>8</v>
      </c>
      <c r="N384">
        <v>10</v>
      </c>
      <c r="V384" s="2"/>
      <c r="W384" s="2"/>
      <c r="X384" s="2"/>
      <c r="Y384" s="2"/>
      <c r="Z384" s="2"/>
      <c r="AA384" s="2"/>
      <c r="AB384" s="34"/>
      <c r="AC384" s="2"/>
      <c r="AD384" s="2"/>
      <c r="AF384" s="34"/>
      <c r="AG384" s="34"/>
      <c r="AH384" s="2"/>
      <c r="AL384" s="2"/>
      <c r="AN384" s="2"/>
    </row>
    <row r="385" spans="1:40">
      <c r="A385" t="s">
        <v>831</v>
      </c>
      <c r="N385">
        <v>15</v>
      </c>
      <c r="O385">
        <v>5</v>
      </c>
      <c r="V385" s="2">
        <v>0.03</v>
      </c>
      <c r="W385" s="2"/>
      <c r="X385" s="2"/>
      <c r="Y385" s="2"/>
      <c r="Z385" s="2"/>
      <c r="AA385" s="2"/>
      <c r="AB385" s="34"/>
      <c r="AC385" s="2"/>
      <c r="AD385" s="2"/>
      <c r="AF385" s="34"/>
      <c r="AG385" s="34"/>
      <c r="AH385" s="2"/>
      <c r="AL385" s="2"/>
      <c r="AN385" s="2"/>
    </row>
    <row r="386" spans="1:40">
      <c r="A386" t="s">
        <v>1053</v>
      </c>
      <c r="G386">
        <v>5</v>
      </c>
      <c r="J386">
        <v>5</v>
      </c>
      <c r="N386">
        <v>15</v>
      </c>
      <c r="V386" s="2"/>
      <c r="W386" s="2"/>
      <c r="X386" s="2"/>
      <c r="Y386" s="2"/>
      <c r="Z386" s="2"/>
      <c r="AA386" s="2"/>
      <c r="AB386" s="34"/>
      <c r="AC386" s="2"/>
      <c r="AD386" s="2"/>
      <c r="AE386">
        <v>4</v>
      </c>
      <c r="AF386" s="34"/>
      <c r="AG386" s="34"/>
      <c r="AH386" s="2"/>
      <c r="AL386" s="2"/>
      <c r="AN386" s="2"/>
    </row>
    <row r="387" spans="1:40">
      <c r="A387" s="31" t="s">
        <v>1026</v>
      </c>
      <c r="H387">
        <v>7</v>
      </c>
      <c r="J387">
        <v>7</v>
      </c>
      <c r="N387">
        <v>10</v>
      </c>
      <c r="V387" s="2"/>
      <c r="W387" s="2"/>
      <c r="X387" s="2"/>
      <c r="Y387" s="2"/>
      <c r="Z387" s="2"/>
      <c r="AA387" s="2"/>
      <c r="AB387" s="34"/>
      <c r="AC387" s="2"/>
      <c r="AD387" s="2"/>
      <c r="AF387" s="2"/>
      <c r="AG387" s="34"/>
      <c r="AH387" s="2"/>
      <c r="AL387" s="2"/>
    </row>
    <row r="388" spans="1:40">
      <c r="A388" s="31" t="s">
        <v>1025</v>
      </c>
      <c r="N388">
        <v>12</v>
      </c>
      <c r="O388">
        <v>12</v>
      </c>
      <c r="Q388">
        <v>12</v>
      </c>
      <c r="R388">
        <v>12</v>
      </c>
      <c r="V388" s="2"/>
      <c r="W388" s="2"/>
      <c r="X388" s="2"/>
      <c r="Y388" s="2"/>
      <c r="Z388" s="2"/>
      <c r="AA388" s="2"/>
      <c r="AB388" s="34"/>
      <c r="AC388" s="2"/>
      <c r="AD388" s="2"/>
      <c r="AF388" s="2"/>
      <c r="AG388" s="2"/>
      <c r="AH388" s="2"/>
      <c r="AL388" s="34"/>
      <c r="AM388" s="2"/>
      <c r="AN388" s="34"/>
    </row>
    <row r="389" spans="1:40">
      <c r="A389" t="s">
        <v>674</v>
      </c>
      <c r="G389">
        <v>6</v>
      </c>
      <c r="K389">
        <v>6</v>
      </c>
      <c r="V389" s="2"/>
      <c r="W389" s="2"/>
      <c r="X389" s="2"/>
      <c r="Y389" s="2"/>
      <c r="Z389" s="2"/>
      <c r="AA389" s="2"/>
      <c r="AB389" s="34"/>
      <c r="AC389" s="2"/>
      <c r="AD389" s="2"/>
      <c r="AF389" s="34"/>
      <c r="AG389" s="34"/>
      <c r="AH389" s="2"/>
      <c r="AL389" s="2"/>
      <c r="AN389" s="2"/>
    </row>
    <row r="390" spans="1:40">
      <c r="A390" t="s">
        <v>654</v>
      </c>
      <c r="I390">
        <v>4</v>
      </c>
      <c r="V390" s="2"/>
      <c r="W390" s="2"/>
      <c r="X390" s="2"/>
      <c r="Y390" s="2"/>
      <c r="Z390" s="2"/>
      <c r="AA390" s="2"/>
      <c r="AB390" s="34"/>
      <c r="AC390" s="2"/>
      <c r="AD390" s="2"/>
      <c r="AF390" s="34"/>
      <c r="AG390" s="34"/>
      <c r="AH390" s="2"/>
      <c r="AL390" s="2"/>
      <c r="AM390">
        <v>80</v>
      </c>
      <c r="AN390" s="2"/>
    </row>
    <row r="391" spans="1:40">
      <c r="A391" t="s">
        <v>381</v>
      </c>
      <c r="O391">
        <v>17</v>
      </c>
      <c r="V391" s="2"/>
      <c r="W391" s="2"/>
      <c r="X391" s="2"/>
      <c r="Y391" s="2"/>
      <c r="Z391" s="2"/>
      <c r="AA391" s="2"/>
      <c r="AB391" s="34"/>
      <c r="AC391" s="2">
        <v>0.05</v>
      </c>
      <c r="AD391" s="2"/>
      <c r="AF391" s="34"/>
      <c r="AG391" s="34"/>
      <c r="AH391" s="2"/>
      <c r="AL391" s="2"/>
      <c r="AN391" s="2"/>
    </row>
    <row r="392" spans="1:40">
      <c r="A392" t="s">
        <v>774</v>
      </c>
      <c r="K392">
        <v>8</v>
      </c>
      <c r="L392">
        <v>8</v>
      </c>
      <c r="M392">
        <v>8</v>
      </c>
      <c r="V392" s="2"/>
      <c r="W392" s="2"/>
      <c r="X392" s="2"/>
      <c r="Y392" s="2"/>
      <c r="Z392" s="2"/>
      <c r="AA392" s="2"/>
      <c r="AB392" s="34"/>
      <c r="AC392" s="2"/>
      <c r="AD392" s="2"/>
      <c r="AF392" s="34"/>
      <c r="AG392" s="34"/>
      <c r="AH392" s="2"/>
      <c r="AI392" s="2"/>
      <c r="AJ392" s="2"/>
      <c r="AK392" s="2"/>
      <c r="AL392" s="2"/>
    </row>
    <row r="393" spans="1:40">
      <c r="A393" t="s">
        <v>671</v>
      </c>
      <c r="K393">
        <v>4</v>
      </c>
      <c r="T393">
        <v>4</v>
      </c>
      <c r="V393" s="2"/>
      <c r="W393" s="2"/>
      <c r="X393" s="2"/>
      <c r="Y393" s="2"/>
      <c r="Z393" s="2"/>
      <c r="AA393" s="2"/>
      <c r="AB393" s="34"/>
      <c r="AC393" s="2"/>
      <c r="AD393" s="2"/>
      <c r="AF393" s="34"/>
      <c r="AG393" s="34"/>
      <c r="AH393" s="2"/>
      <c r="AL393" s="2"/>
      <c r="AN393" s="2"/>
    </row>
    <row r="394" spans="1:40">
      <c r="A394" s="31" t="s">
        <v>1121</v>
      </c>
      <c r="H394">
        <v>30</v>
      </c>
      <c r="N394">
        <v>20</v>
      </c>
      <c r="O394">
        <v>20</v>
      </c>
      <c r="V394" s="2"/>
      <c r="W394" s="2"/>
      <c r="X394" s="2"/>
      <c r="Y394" s="2"/>
      <c r="Z394" s="2"/>
      <c r="AA394" s="2"/>
      <c r="AB394" s="34"/>
      <c r="AC394" s="2">
        <v>0.1</v>
      </c>
      <c r="AD394" s="2"/>
      <c r="AF394" s="34"/>
      <c r="AG394" s="34"/>
      <c r="AH394" s="2"/>
      <c r="AL394" s="2"/>
      <c r="AN394" s="2"/>
    </row>
    <row r="395" spans="1:40">
      <c r="A395" s="31" t="s">
        <v>1122</v>
      </c>
      <c r="H395">
        <v>30</v>
      </c>
      <c r="N395">
        <v>20</v>
      </c>
      <c r="O395">
        <v>20</v>
      </c>
      <c r="V395" s="2"/>
      <c r="W395" s="2"/>
      <c r="X395" s="2"/>
      <c r="Y395" s="2"/>
      <c r="Z395" s="2"/>
      <c r="AA395" s="2"/>
      <c r="AB395" s="34"/>
      <c r="AC395" s="2"/>
      <c r="AD395" s="2"/>
      <c r="AE395">
        <v>10</v>
      </c>
      <c r="AF395" s="34"/>
      <c r="AG395" s="34"/>
      <c r="AH395" s="2"/>
      <c r="AL395" s="2"/>
      <c r="AN395" s="2"/>
    </row>
    <row r="396" spans="1:40">
      <c r="A396" s="31" t="s">
        <v>1123</v>
      </c>
      <c r="H396">
        <v>30</v>
      </c>
      <c r="N396">
        <v>20</v>
      </c>
      <c r="O396">
        <v>20</v>
      </c>
      <c r="V396" s="2">
        <v>0.1</v>
      </c>
      <c r="W396" s="2"/>
      <c r="X396" s="2"/>
      <c r="Y396" s="2"/>
      <c r="Z396" s="2"/>
      <c r="AA396" s="2"/>
      <c r="AB396" s="34"/>
      <c r="AC396" s="2"/>
      <c r="AD396" s="2"/>
      <c r="AF396" s="34"/>
      <c r="AG396" s="34"/>
      <c r="AH396" s="2"/>
      <c r="AL396" s="2"/>
      <c r="AN396" s="2"/>
    </row>
    <row r="397" spans="1:40">
      <c r="A397" s="31" t="s">
        <v>1128</v>
      </c>
      <c r="H397">
        <v>30</v>
      </c>
      <c r="N397">
        <v>20</v>
      </c>
      <c r="O397">
        <v>20</v>
      </c>
      <c r="V397" s="2"/>
      <c r="W397" s="2"/>
      <c r="X397" s="2"/>
      <c r="Y397" s="2"/>
      <c r="Z397" s="2"/>
      <c r="AA397" s="2">
        <v>0.1</v>
      </c>
      <c r="AB397" s="34"/>
      <c r="AC397" s="2"/>
      <c r="AD397" s="2"/>
      <c r="AF397" s="34"/>
      <c r="AG397" s="34"/>
      <c r="AH397" s="2"/>
      <c r="AL397" s="2"/>
      <c r="AN397" s="2"/>
    </row>
    <row r="398" spans="1:40">
      <c r="A398" s="31" t="s">
        <v>1145</v>
      </c>
      <c r="G398">
        <v>30</v>
      </c>
      <c r="N398">
        <v>20</v>
      </c>
      <c r="O398">
        <v>20</v>
      </c>
      <c r="V398" s="2"/>
      <c r="W398" s="2"/>
      <c r="X398" s="2"/>
      <c r="Y398" s="2"/>
      <c r="Z398" s="2"/>
      <c r="AA398" s="2"/>
      <c r="AB398" s="34"/>
      <c r="AC398" s="2"/>
      <c r="AD398" s="2"/>
      <c r="AF398" s="34"/>
      <c r="AG398" s="34"/>
      <c r="AH398" s="2">
        <v>0.1</v>
      </c>
      <c r="AL398" s="2"/>
      <c r="AN398" s="2"/>
    </row>
    <row r="399" spans="1:40">
      <c r="A399" t="s">
        <v>82</v>
      </c>
      <c r="N399">
        <v>12</v>
      </c>
      <c r="V399" s="2"/>
      <c r="W399" s="2"/>
      <c r="X399" s="2"/>
      <c r="Y399" s="2"/>
      <c r="Z399" s="2"/>
      <c r="AA399" s="2"/>
      <c r="AB399" s="34"/>
      <c r="AC399" s="2"/>
      <c r="AD399" s="2"/>
      <c r="AF399" s="34"/>
      <c r="AG399" s="34"/>
      <c r="AH399" s="2"/>
      <c r="AL399" s="2"/>
      <c r="AN399" s="2"/>
    </row>
    <row r="400" spans="1:40">
      <c r="A400" t="s">
        <v>652</v>
      </c>
      <c r="L400">
        <v>5</v>
      </c>
      <c r="M400">
        <v>5</v>
      </c>
      <c r="V400" s="2"/>
      <c r="W400" s="2"/>
      <c r="X400" s="2"/>
      <c r="Y400" s="2"/>
      <c r="Z400" s="2"/>
      <c r="AA400" s="2"/>
      <c r="AB400" s="34"/>
      <c r="AC400" s="2"/>
      <c r="AD400" s="2"/>
      <c r="AF400" s="34"/>
      <c r="AG400" s="34"/>
      <c r="AH400" s="2"/>
      <c r="AL400" s="2"/>
      <c r="AN400" s="2"/>
    </row>
    <row r="401" spans="1:40">
      <c r="A401" t="s">
        <v>653</v>
      </c>
      <c r="L401">
        <v>6</v>
      </c>
      <c r="M401">
        <v>6</v>
      </c>
      <c r="V401" s="2"/>
      <c r="W401" s="2"/>
      <c r="X401" s="2"/>
      <c r="Y401" s="2"/>
      <c r="Z401" s="2"/>
      <c r="AA401" s="2"/>
      <c r="AB401" s="34"/>
      <c r="AC401" s="2"/>
      <c r="AD401" s="2"/>
      <c r="AF401" s="34"/>
      <c r="AG401" s="34"/>
      <c r="AH401" s="2"/>
      <c r="AL401" s="2"/>
      <c r="AN401" s="2"/>
    </row>
    <row r="402" spans="1:40">
      <c r="A402" t="s">
        <v>738</v>
      </c>
      <c r="K402">
        <v>7</v>
      </c>
      <c r="S402">
        <v>3</v>
      </c>
      <c r="T402">
        <v>3</v>
      </c>
      <c r="V402" s="2"/>
      <c r="W402" s="2"/>
      <c r="X402" s="2"/>
      <c r="Y402" s="2"/>
      <c r="Z402" s="2"/>
      <c r="AA402" s="2"/>
      <c r="AB402" s="34"/>
      <c r="AC402" s="2"/>
      <c r="AD402" s="2"/>
      <c r="AF402" s="34"/>
      <c r="AG402" s="34"/>
      <c r="AH402" s="2"/>
      <c r="AL402" s="2"/>
      <c r="AN402" s="2"/>
    </row>
    <row r="403" spans="1:40">
      <c r="A403" t="s">
        <v>1081</v>
      </c>
      <c r="K403">
        <v>8</v>
      </c>
      <c r="T403">
        <v>10</v>
      </c>
      <c r="V403" s="2"/>
      <c r="W403" s="2"/>
      <c r="X403" s="2"/>
      <c r="Y403" s="2"/>
      <c r="Z403" s="2"/>
      <c r="AA403" s="2"/>
      <c r="AB403" s="34"/>
      <c r="AC403" s="2"/>
      <c r="AD403" s="2"/>
      <c r="AF403" s="34"/>
      <c r="AG403" s="34"/>
      <c r="AH403" s="2"/>
      <c r="AL403" s="2"/>
      <c r="AN403" s="2"/>
    </row>
    <row r="404" spans="1:40">
      <c r="A404" s="31" t="s">
        <v>984</v>
      </c>
      <c r="G404">
        <v>10</v>
      </c>
      <c r="H404">
        <v>10</v>
      </c>
      <c r="I404">
        <v>10</v>
      </c>
      <c r="J404">
        <v>10</v>
      </c>
      <c r="K404">
        <v>10</v>
      </c>
      <c r="L404">
        <v>10</v>
      </c>
      <c r="M404">
        <v>10</v>
      </c>
      <c r="V404" s="2"/>
      <c r="W404" s="2"/>
      <c r="X404" s="2"/>
      <c r="Y404" s="2"/>
      <c r="Z404" s="2"/>
      <c r="AA404" s="2"/>
      <c r="AB404" s="34"/>
      <c r="AC404" s="2"/>
      <c r="AD404" s="2"/>
      <c r="AF404" s="34"/>
      <c r="AG404" s="34"/>
      <c r="AH404" s="2"/>
      <c r="AL404" s="2"/>
      <c r="AN404" s="2"/>
    </row>
    <row r="405" spans="1:40">
      <c r="A405" t="s">
        <v>144</v>
      </c>
      <c r="O405">
        <v>20</v>
      </c>
      <c r="V405" s="2"/>
      <c r="W405" s="2"/>
      <c r="X405" s="2"/>
      <c r="Y405" s="2"/>
      <c r="Z405" s="2"/>
      <c r="AA405" s="2"/>
      <c r="AB405" s="34"/>
      <c r="AC405" s="2"/>
      <c r="AD405" s="2"/>
      <c r="AF405" s="34"/>
      <c r="AG405" s="34"/>
      <c r="AH405" s="2"/>
      <c r="AL405" s="2"/>
      <c r="AN405" s="2"/>
    </row>
    <row r="406" spans="1:40">
      <c r="A406" t="s">
        <v>775</v>
      </c>
      <c r="N406">
        <v>10</v>
      </c>
      <c r="O406">
        <v>35</v>
      </c>
      <c r="V406" s="2"/>
      <c r="W406" s="2"/>
      <c r="X406" s="2"/>
      <c r="Y406" s="2"/>
      <c r="Z406" s="2"/>
      <c r="AA406" s="2"/>
      <c r="AB406" s="34"/>
      <c r="AC406" s="2"/>
      <c r="AD406" s="2"/>
      <c r="AF406" s="2"/>
      <c r="AG406" s="2"/>
      <c r="AH406" s="2"/>
      <c r="AL406" s="2"/>
    </row>
    <row r="407" spans="1:40">
      <c r="A407" t="s">
        <v>675</v>
      </c>
      <c r="G407">
        <v>5</v>
      </c>
      <c r="H407">
        <v>5</v>
      </c>
      <c r="V407" s="2"/>
      <c r="W407" s="2"/>
      <c r="X407" s="2"/>
      <c r="Y407" s="2"/>
      <c r="Z407" s="2"/>
      <c r="AA407" s="2"/>
      <c r="AB407" s="34"/>
      <c r="AC407" s="2"/>
      <c r="AD407" s="2"/>
      <c r="AF407" s="34"/>
      <c r="AG407" s="34"/>
      <c r="AH407" s="2"/>
      <c r="AL407" s="2"/>
      <c r="AN407" s="2"/>
    </row>
    <row r="408" spans="1:40">
      <c r="A408" t="s">
        <v>656</v>
      </c>
      <c r="O408">
        <v>25</v>
      </c>
      <c r="V408" s="2"/>
      <c r="W408" s="2"/>
      <c r="X408" s="2"/>
      <c r="Y408" s="2"/>
      <c r="Z408" s="2"/>
      <c r="AA408" s="2"/>
      <c r="AB408" s="34"/>
      <c r="AC408" s="2"/>
      <c r="AD408" s="2"/>
      <c r="AF408" s="34"/>
      <c r="AG408" s="34"/>
      <c r="AH408" s="2"/>
      <c r="AL408" s="2"/>
      <c r="AN408" s="2"/>
    </row>
    <row r="409" spans="1:40">
      <c r="A409" t="s">
        <v>649</v>
      </c>
      <c r="C409">
        <v>3</v>
      </c>
      <c r="G409">
        <v>3</v>
      </c>
      <c r="H409">
        <v>3</v>
      </c>
      <c r="I409">
        <v>3</v>
      </c>
      <c r="V409" s="2"/>
      <c r="W409" s="2"/>
      <c r="X409" s="2"/>
      <c r="Y409" s="2"/>
      <c r="Z409" s="2"/>
      <c r="AA409" s="2"/>
      <c r="AB409" s="34"/>
      <c r="AC409" s="2"/>
      <c r="AD409" s="2"/>
      <c r="AF409" s="34"/>
      <c r="AG409" s="34"/>
      <c r="AH409" s="2"/>
      <c r="AL409" s="2"/>
      <c r="AN409" s="2"/>
    </row>
    <row r="410" spans="1:40">
      <c r="AB410" s="34"/>
      <c r="AC410" s="2"/>
      <c r="AD410" s="2"/>
      <c r="AF410" s="34"/>
      <c r="AG410" s="34"/>
      <c r="AH410" s="2"/>
      <c r="AL410" s="2"/>
      <c r="AN410" s="2"/>
    </row>
    <row r="412" spans="1:40">
      <c r="A412" t="s">
        <v>21</v>
      </c>
      <c r="B412" t="s">
        <v>30</v>
      </c>
      <c r="C412" t="s">
        <v>616</v>
      </c>
      <c r="D412" s="31" t="s">
        <v>798</v>
      </c>
      <c r="E412" t="s">
        <v>769</v>
      </c>
      <c r="F412" s="31" t="s">
        <v>820</v>
      </c>
      <c r="G412" t="s">
        <v>3</v>
      </c>
      <c r="H412" t="s">
        <v>4</v>
      </c>
      <c r="I412" t="s">
        <v>5</v>
      </c>
      <c r="J412" t="s">
        <v>42</v>
      </c>
      <c r="K412" t="s">
        <v>269</v>
      </c>
      <c r="L412" t="s">
        <v>270</v>
      </c>
      <c r="M412" t="s">
        <v>271</v>
      </c>
      <c r="N412" t="s">
        <v>10</v>
      </c>
      <c r="O412" t="s">
        <v>9</v>
      </c>
      <c r="P412" t="s">
        <v>390</v>
      </c>
      <c r="Q412" t="s">
        <v>1017</v>
      </c>
      <c r="R412" t="s">
        <v>1018</v>
      </c>
      <c r="S412" t="s">
        <v>1019</v>
      </c>
      <c r="T412" s="34" t="s">
        <v>620</v>
      </c>
      <c r="U412" s="152" t="s">
        <v>1020</v>
      </c>
      <c r="V412" t="s">
        <v>12</v>
      </c>
      <c r="W412" t="s">
        <v>166</v>
      </c>
      <c r="X412" t="s">
        <v>311</v>
      </c>
      <c r="Y412" t="s">
        <v>766</v>
      </c>
      <c r="Z412" t="s">
        <v>767</v>
      </c>
      <c r="AA412" t="s">
        <v>141</v>
      </c>
      <c r="AB412" t="s">
        <v>11</v>
      </c>
      <c r="AC412" t="s">
        <v>137</v>
      </c>
      <c r="AD412" t="s">
        <v>136</v>
      </c>
      <c r="AE412" t="s">
        <v>13</v>
      </c>
      <c r="AF412" t="s">
        <v>134</v>
      </c>
      <c r="AG412" t="s">
        <v>240</v>
      </c>
      <c r="AH412" t="s">
        <v>173</v>
      </c>
      <c r="AI412" s="34" t="s">
        <v>718</v>
      </c>
      <c r="AJ412" s="34" t="s">
        <v>743</v>
      </c>
      <c r="AK412" s="152" t="s">
        <v>717</v>
      </c>
      <c r="AL412" t="s">
        <v>312</v>
      </c>
      <c r="AM412" t="s">
        <v>268</v>
      </c>
      <c r="AN412" t="s">
        <v>618</v>
      </c>
    </row>
    <row r="413" spans="1:40">
      <c r="A413" t="s">
        <v>88</v>
      </c>
      <c r="N413">
        <v>15</v>
      </c>
      <c r="O413">
        <v>15</v>
      </c>
      <c r="V413" s="2">
        <v>0.01</v>
      </c>
      <c r="W413" s="2"/>
      <c r="X413" s="2"/>
      <c r="Y413" s="2"/>
      <c r="Z413" s="2"/>
      <c r="AA413" s="2"/>
      <c r="AB413" s="34"/>
      <c r="AC413" s="2"/>
      <c r="AD413" s="2"/>
      <c r="AF413" s="34"/>
      <c r="AG413" s="34"/>
      <c r="AH413" s="2"/>
      <c r="AL413" s="2"/>
      <c r="AN413" s="2"/>
    </row>
    <row r="414" spans="1:40">
      <c r="A414" t="s">
        <v>641</v>
      </c>
      <c r="H414">
        <v>9</v>
      </c>
      <c r="J414">
        <v>-7</v>
      </c>
      <c r="V414" s="2"/>
      <c r="W414" s="2"/>
      <c r="X414" s="2"/>
      <c r="Y414" s="2"/>
      <c r="Z414" s="2"/>
      <c r="AA414" s="2"/>
      <c r="AB414" s="34"/>
      <c r="AC414" s="2"/>
      <c r="AD414" s="2"/>
      <c r="AF414" s="34"/>
      <c r="AG414" s="34"/>
      <c r="AH414" s="2"/>
      <c r="AL414" s="2"/>
      <c r="AN414" s="2"/>
    </row>
    <row r="415" spans="1:40">
      <c r="A415" t="s">
        <v>642</v>
      </c>
      <c r="H415">
        <v>10</v>
      </c>
      <c r="V415" s="2"/>
      <c r="W415" s="2"/>
      <c r="X415" s="2"/>
      <c r="Y415" s="2"/>
      <c r="Z415" s="2"/>
      <c r="AA415" s="2"/>
      <c r="AB415" s="34"/>
      <c r="AC415" s="2"/>
      <c r="AD415" s="2"/>
      <c r="AF415" s="34"/>
      <c r="AG415" s="34"/>
      <c r="AH415" s="2"/>
      <c r="AL415" s="2"/>
      <c r="AN415" s="2"/>
    </row>
    <row r="416" spans="1:40">
      <c r="A416" t="s">
        <v>171</v>
      </c>
      <c r="G416">
        <v>8</v>
      </c>
      <c r="H416">
        <v>-8</v>
      </c>
      <c r="V416" s="2"/>
      <c r="W416" s="2"/>
      <c r="X416" s="2"/>
      <c r="Y416" s="2"/>
      <c r="Z416" s="2"/>
      <c r="AA416" s="2"/>
      <c r="AB416" s="34"/>
      <c r="AC416" s="2"/>
      <c r="AD416" s="2"/>
      <c r="AF416" s="34"/>
      <c r="AG416" s="34"/>
      <c r="AH416" s="2"/>
      <c r="AL416" s="2"/>
      <c r="AN416" s="2"/>
    </row>
    <row r="417" spans="1:40">
      <c r="A417" t="s">
        <v>186</v>
      </c>
      <c r="G417">
        <v>9</v>
      </c>
      <c r="H417">
        <v>-7</v>
      </c>
      <c r="V417" s="2"/>
      <c r="W417" s="2"/>
      <c r="X417" s="2"/>
      <c r="Y417" s="2"/>
      <c r="Z417" s="2"/>
      <c r="AA417" s="2"/>
      <c r="AB417" s="34"/>
      <c r="AC417" s="2"/>
      <c r="AD417" s="2"/>
      <c r="AF417" s="34"/>
      <c r="AG417" s="34"/>
      <c r="AH417" s="2"/>
      <c r="AL417" s="2"/>
      <c r="AN417" s="2"/>
    </row>
    <row r="418" spans="1:40">
      <c r="A418" s="31" t="s">
        <v>1024</v>
      </c>
      <c r="U418">
        <v>9</v>
      </c>
      <c r="V418" s="2"/>
      <c r="W418" s="2"/>
      <c r="X418" s="2"/>
      <c r="Y418" s="2"/>
      <c r="Z418" s="2"/>
      <c r="AA418" s="2"/>
      <c r="AB418" s="34"/>
      <c r="AC418" s="2"/>
      <c r="AD418" s="2"/>
      <c r="AF418" s="34"/>
      <c r="AG418" s="34"/>
      <c r="AH418" s="2"/>
      <c r="AI418" s="2"/>
      <c r="AJ418" s="2"/>
      <c r="AK418" s="2"/>
      <c r="AL418" s="2"/>
    </row>
    <row r="419" spans="1:40">
      <c r="A419" t="s">
        <v>376</v>
      </c>
      <c r="L419">
        <v>7</v>
      </c>
      <c r="V419" s="2"/>
      <c r="W419" s="2"/>
      <c r="X419" s="2"/>
      <c r="Y419" s="2"/>
      <c r="Z419" s="2"/>
      <c r="AA419" s="2"/>
      <c r="AB419" s="34"/>
      <c r="AC419" s="2"/>
      <c r="AD419" s="2"/>
      <c r="AF419" s="34"/>
      <c r="AG419" s="34"/>
      <c r="AH419" s="2"/>
      <c r="AL419" s="2"/>
      <c r="AN419" s="2"/>
    </row>
    <row r="420" spans="1:40">
      <c r="A420" t="s">
        <v>735</v>
      </c>
      <c r="G420">
        <v>6</v>
      </c>
      <c r="I420">
        <v>6</v>
      </c>
      <c r="K420">
        <v>6</v>
      </c>
      <c r="N420">
        <v>10</v>
      </c>
      <c r="O420">
        <v>15</v>
      </c>
      <c r="V420" s="2"/>
      <c r="W420" s="2"/>
      <c r="X420" s="2"/>
      <c r="Y420" s="2"/>
      <c r="Z420" s="2"/>
      <c r="AA420" s="2"/>
      <c r="AB420" s="34"/>
      <c r="AC420" s="2"/>
      <c r="AD420" s="2"/>
      <c r="AF420" s="34"/>
      <c r="AG420" s="34"/>
      <c r="AH420" s="2"/>
      <c r="AL420" s="2"/>
      <c r="AN420" s="2"/>
    </row>
    <row r="421" spans="1:40">
      <c r="A421" t="s">
        <v>838</v>
      </c>
      <c r="V421" s="2">
        <v>0.04</v>
      </c>
      <c r="W421" s="2"/>
      <c r="X421" s="2"/>
      <c r="Y421" s="2"/>
      <c r="Z421" s="2"/>
      <c r="AA421" s="2"/>
      <c r="AB421" s="34">
        <v>51</v>
      </c>
      <c r="AC421" s="2"/>
      <c r="AD421" s="2"/>
      <c r="AF421" s="2"/>
      <c r="AG421" s="34"/>
      <c r="AH421" s="2"/>
      <c r="AL421" s="2"/>
    </row>
    <row r="422" spans="1:40">
      <c r="A422" t="s">
        <v>1174</v>
      </c>
      <c r="H422">
        <v>7</v>
      </c>
      <c r="V422" s="2"/>
      <c r="W422" s="2">
        <v>0.02</v>
      </c>
      <c r="X422" s="2"/>
      <c r="Y422" s="2"/>
      <c r="Z422" s="2"/>
      <c r="AA422" s="2"/>
      <c r="AB422" s="34"/>
      <c r="AC422" s="2"/>
      <c r="AD422" s="2"/>
      <c r="AF422" s="2"/>
      <c r="AG422" s="34"/>
      <c r="AH422" s="2"/>
      <c r="AL422" s="2"/>
    </row>
    <row r="423" spans="1:40">
      <c r="A423" t="s">
        <v>840</v>
      </c>
      <c r="G423">
        <v>7</v>
      </c>
      <c r="I423">
        <v>5</v>
      </c>
      <c r="V423" s="2"/>
      <c r="W423" s="2"/>
      <c r="X423" s="2"/>
      <c r="Y423" s="2"/>
      <c r="Z423" s="2"/>
      <c r="AA423" s="2"/>
      <c r="AB423" s="34">
        <v>51</v>
      </c>
      <c r="AC423" s="2"/>
      <c r="AD423" s="2"/>
      <c r="AF423" s="2"/>
      <c r="AG423" s="34"/>
      <c r="AH423" s="2"/>
      <c r="AL423" s="2"/>
    </row>
    <row r="424" spans="1:40">
      <c r="A424" t="s">
        <v>81</v>
      </c>
      <c r="H424">
        <v>6</v>
      </c>
      <c r="O424">
        <v>10</v>
      </c>
      <c r="V424" s="2"/>
      <c r="W424" s="2"/>
      <c r="X424" s="2"/>
      <c r="Y424" s="2"/>
      <c r="Z424" s="2"/>
      <c r="AA424" s="2"/>
      <c r="AB424" s="34"/>
      <c r="AC424" s="2"/>
      <c r="AD424" s="2"/>
      <c r="AF424" s="34"/>
      <c r="AG424" s="34"/>
      <c r="AH424" s="2"/>
      <c r="AL424" s="2"/>
      <c r="AM424">
        <v>15</v>
      </c>
      <c r="AN424" s="2"/>
    </row>
    <row r="425" spans="1:40">
      <c r="A425" t="s">
        <v>167</v>
      </c>
      <c r="N425">
        <v>10</v>
      </c>
      <c r="V425" s="2"/>
      <c r="W425" s="2"/>
      <c r="X425" s="2"/>
      <c r="Y425" s="2"/>
      <c r="Z425" s="2"/>
      <c r="AA425" s="2"/>
      <c r="AB425" s="34"/>
      <c r="AC425" s="2"/>
      <c r="AD425" s="2"/>
      <c r="AF425" s="34"/>
      <c r="AG425" s="34"/>
      <c r="AH425" s="2"/>
      <c r="AI425" s="34">
        <v>100</v>
      </c>
      <c r="AL425" s="2">
        <v>7.0000000000000007E-2</v>
      </c>
      <c r="AN425" s="2"/>
    </row>
    <row r="426" spans="1:40">
      <c r="A426" t="s">
        <v>146</v>
      </c>
      <c r="V426" s="2"/>
      <c r="W426" s="2"/>
      <c r="X426" s="2"/>
      <c r="Y426" s="2"/>
      <c r="Z426" s="2"/>
      <c r="AA426" s="2"/>
      <c r="AB426" s="34">
        <v>50</v>
      </c>
      <c r="AC426" s="2"/>
      <c r="AD426" s="2"/>
      <c r="AE426">
        <v>5</v>
      </c>
      <c r="AF426" s="34"/>
      <c r="AG426" s="34"/>
      <c r="AH426" s="2"/>
      <c r="AL426" s="2"/>
      <c r="AN426" s="2"/>
    </row>
    <row r="427" spans="1:40">
      <c r="A427" t="s">
        <v>768</v>
      </c>
      <c r="N427">
        <v>15</v>
      </c>
      <c r="V427" s="2"/>
      <c r="W427" s="2"/>
      <c r="X427" s="2"/>
      <c r="Y427" s="2"/>
      <c r="Z427" s="2"/>
      <c r="AA427" s="2"/>
      <c r="AB427" s="34">
        <v>71</v>
      </c>
      <c r="AC427" s="2"/>
      <c r="AD427" s="2"/>
      <c r="AF427" s="34"/>
      <c r="AG427" s="34"/>
      <c r="AH427" s="2"/>
      <c r="AL427" s="2"/>
      <c r="AN427" s="2"/>
    </row>
    <row r="428" spans="1:40">
      <c r="A428" t="s">
        <v>839</v>
      </c>
      <c r="V428" s="2"/>
      <c r="W428" s="2"/>
      <c r="X428" s="2"/>
      <c r="Y428" s="2"/>
      <c r="Z428" s="2"/>
      <c r="AA428" s="2"/>
      <c r="AB428" s="34">
        <v>40</v>
      </c>
      <c r="AC428" s="2"/>
      <c r="AD428" s="2"/>
      <c r="AF428" s="2"/>
      <c r="AG428" s="34"/>
      <c r="AH428" s="2"/>
      <c r="AL428" s="2"/>
    </row>
    <row r="429" spans="1:40">
      <c r="A429" s="31" t="s">
        <v>1115</v>
      </c>
      <c r="N429">
        <v>14</v>
      </c>
      <c r="V429" s="2">
        <v>0.03</v>
      </c>
      <c r="W429" s="2"/>
      <c r="X429" s="2"/>
      <c r="Y429" s="2"/>
      <c r="Z429" s="2"/>
      <c r="AA429" s="2"/>
      <c r="AB429" s="34"/>
      <c r="AC429" s="2"/>
      <c r="AD429" s="2"/>
      <c r="AE429">
        <v>5</v>
      </c>
      <c r="AF429" s="2"/>
      <c r="AG429" s="34"/>
      <c r="AH429" s="2"/>
      <c r="AL429" s="2"/>
    </row>
    <row r="430" spans="1:40">
      <c r="A430" t="s">
        <v>1055</v>
      </c>
      <c r="G430">
        <v>7</v>
      </c>
      <c r="H430">
        <v>5</v>
      </c>
      <c r="I430">
        <v>7</v>
      </c>
      <c r="J430">
        <v>5</v>
      </c>
      <c r="K430">
        <v>7</v>
      </c>
      <c r="L430">
        <v>5</v>
      </c>
      <c r="M430">
        <v>7</v>
      </c>
      <c r="V430" s="2"/>
      <c r="W430" s="2"/>
      <c r="X430" s="2"/>
      <c r="Y430" s="2"/>
      <c r="Z430" s="2"/>
      <c r="AA430" s="2"/>
      <c r="AB430" s="34"/>
      <c r="AC430" s="2"/>
      <c r="AD430" s="2"/>
      <c r="AF430" s="2"/>
      <c r="AG430" s="34"/>
      <c r="AH430" s="2"/>
      <c r="AL430" s="2"/>
    </row>
    <row r="431" spans="1:40">
      <c r="A431" s="31" t="s">
        <v>931</v>
      </c>
      <c r="G431">
        <v>13</v>
      </c>
      <c r="N431">
        <v>5</v>
      </c>
      <c r="S431" s="2"/>
      <c r="T431" s="34"/>
      <c r="U431" s="34"/>
      <c r="V431" s="2">
        <v>0.01</v>
      </c>
      <c r="W431" s="2"/>
      <c r="X431" s="2"/>
      <c r="Y431" s="2"/>
      <c r="Z431" s="2"/>
      <c r="AA431" s="2"/>
      <c r="AB431" s="34"/>
      <c r="AC431" s="2"/>
      <c r="AD431" s="2"/>
      <c r="AF431" s="2"/>
      <c r="AG431" s="2"/>
      <c r="AH431" s="2"/>
      <c r="AL431" s="34"/>
    </row>
    <row r="432" spans="1:40">
      <c r="A432" t="s">
        <v>646</v>
      </c>
      <c r="O432">
        <v>6</v>
      </c>
      <c r="V432" s="2"/>
      <c r="W432" s="2"/>
      <c r="X432" s="2"/>
      <c r="Y432" s="2"/>
      <c r="Z432" s="2"/>
      <c r="AA432" s="2"/>
      <c r="AB432" s="34">
        <v>61</v>
      </c>
      <c r="AC432" s="2"/>
      <c r="AD432" s="2"/>
      <c r="AF432" s="34"/>
      <c r="AG432" s="34"/>
      <c r="AH432" s="2"/>
      <c r="AL432" s="2"/>
      <c r="AN432" s="2"/>
    </row>
    <row r="433" spans="1:40">
      <c r="A433" s="31" t="s">
        <v>1032</v>
      </c>
      <c r="N433">
        <v>20</v>
      </c>
      <c r="O433">
        <v>-5</v>
      </c>
      <c r="V433" s="2"/>
      <c r="W433" s="2"/>
      <c r="X433" s="2"/>
      <c r="Y433" s="2"/>
      <c r="Z433" s="2"/>
      <c r="AA433" s="2"/>
      <c r="AB433" s="34"/>
      <c r="AC433" s="2"/>
      <c r="AD433" s="2"/>
      <c r="AE433">
        <v>3</v>
      </c>
      <c r="AF433" s="34"/>
      <c r="AG433" s="34"/>
      <c r="AH433" s="2"/>
      <c r="AI433" s="2"/>
      <c r="AJ433" s="2"/>
      <c r="AK433" s="2"/>
      <c r="AL433" s="2"/>
    </row>
    <row r="434" spans="1:40">
      <c r="A434" t="s">
        <v>644</v>
      </c>
      <c r="G434">
        <v>3</v>
      </c>
      <c r="V434" s="2"/>
      <c r="W434" s="2"/>
      <c r="X434" s="2"/>
      <c r="Y434" s="2"/>
      <c r="Z434" s="2"/>
      <c r="AA434" s="2"/>
      <c r="AB434" s="34"/>
      <c r="AC434" s="2"/>
      <c r="AD434" s="2"/>
      <c r="AF434" s="34"/>
      <c r="AG434" s="34"/>
      <c r="AH434" s="2"/>
      <c r="AL434" s="2"/>
      <c r="AM434">
        <v>55</v>
      </c>
      <c r="AN434" s="2"/>
    </row>
    <row r="435" spans="1:40">
      <c r="A435" t="s">
        <v>643</v>
      </c>
      <c r="O435">
        <v>10</v>
      </c>
      <c r="V435" s="2"/>
      <c r="W435" s="2"/>
      <c r="X435" s="2"/>
      <c r="Y435" s="2"/>
      <c r="Z435" s="2"/>
      <c r="AA435" s="2"/>
      <c r="AB435" s="34">
        <v>40</v>
      </c>
      <c r="AC435" s="2"/>
      <c r="AD435" s="2"/>
      <c r="AF435" s="34"/>
      <c r="AG435" s="34"/>
      <c r="AH435" s="2"/>
      <c r="AL435" s="2"/>
      <c r="AN435" s="2"/>
    </row>
    <row r="436" spans="1:40">
      <c r="A436" t="s">
        <v>397</v>
      </c>
      <c r="N436">
        <v>6</v>
      </c>
      <c r="V436" s="2"/>
      <c r="W436" s="2"/>
      <c r="X436" s="2"/>
      <c r="Y436" s="2"/>
      <c r="Z436" s="2"/>
      <c r="AA436" s="2"/>
      <c r="AB436" s="34">
        <v>61</v>
      </c>
      <c r="AC436" s="2"/>
      <c r="AD436" s="2"/>
      <c r="AF436" s="34"/>
      <c r="AG436" s="34"/>
      <c r="AH436" s="2"/>
      <c r="AL436" s="2"/>
      <c r="AN436" s="2"/>
    </row>
    <row r="437" spans="1:40">
      <c r="A437" t="s">
        <v>639</v>
      </c>
      <c r="V437" s="2"/>
      <c r="W437" s="2"/>
      <c r="X437" s="2"/>
      <c r="Y437" s="2"/>
      <c r="Z437" s="2"/>
      <c r="AA437" s="2"/>
      <c r="AB437" s="34">
        <v>71</v>
      </c>
      <c r="AC437" s="2"/>
      <c r="AD437" s="2"/>
      <c r="AF437" s="34"/>
      <c r="AG437" s="34"/>
      <c r="AH437" s="2"/>
      <c r="AL437" s="2"/>
      <c r="AN437" s="2"/>
    </row>
    <row r="438" spans="1:40">
      <c r="A438" t="s">
        <v>640</v>
      </c>
      <c r="V438" s="2"/>
      <c r="W438" s="2"/>
      <c r="X438" s="2"/>
      <c r="Y438" s="2"/>
      <c r="Z438" s="2"/>
      <c r="AA438" s="2"/>
      <c r="AB438" s="34">
        <v>81</v>
      </c>
      <c r="AC438" s="2"/>
      <c r="AD438" s="2"/>
      <c r="AF438" s="34"/>
      <c r="AG438" s="34"/>
      <c r="AH438" s="2"/>
      <c r="AL438" s="2"/>
      <c r="AN438" s="2"/>
    </row>
    <row r="439" spans="1:40">
      <c r="A439" t="s">
        <v>645</v>
      </c>
      <c r="G439">
        <v>6</v>
      </c>
      <c r="H439">
        <v>6</v>
      </c>
      <c r="V439" s="2"/>
      <c r="W439" s="2"/>
      <c r="X439" s="2"/>
      <c r="Y439" s="2"/>
      <c r="Z439" s="2"/>
      <c r="AA439" s="2"/>
      <c r="AB439" s="34"/>
      <c r="AC439" s="2"/>
      <c r="AD439" s="2"/>
      <c r="AF439" s="34"/>
      <c r="AG439" s="34"/>
      <c r="AH439" s="2"/>
      <c r="AL439" s="2"/>
      <c r="AN439" s="2"/>
    </row>
    <row r="440" spans="1:40">
      <c r="A440" t="s">
        <v>379</v>
      </c>
      <c r="G440">
        <v>5</v>
      </c>
      <c r="O440">
        <v>25</v>
      </c>
      <c r="V440" s="2">
        <v>-0.05</v>
      </c>
      <c r="W440" s="2"/>
      <c r="X440" s="2"/>
      <c r="Y440" s="2"/>
      <c r="Z440" s="2"/>
      <c r="AA440" s="2"/>
      <c r="AB440" s="34"/>
      <c r="AC440" s="2"/>
      <c r="AD440" s="2"/>
      <c r="AF440" s="34"/>
      <c r="AG440" s="34"/>
      <c r="AH440" s="2"/>
      <c r="AL440" s="2"/>
      <c r="AN440" s="2"/>
    </row>
    <row r="441" spans="1:40">
      <c r="A441" s="31" t="s">
        <v>1030</v>
      </c>
      <c r="G441">
        <v>10</v>
      </c>
      <c r="N441">
        <v>5</v>
      </c>
      <c r="O441">
        <v>28</v>
      </c>
      <c r="V441" s="2">
        <v>-0.05</v>
      </c>
      <c r="W441" s="2"/>
      <c r="X441" s="2"/>
      <c r="Y441" s="2"/>
      <c r="Z441" s="2"/>
      <c r="AA441" s="2"/>
      <c r="AB441" s="34"/>
      <c r="AC441" s="2"/>
      <c r="AD441" s="2"/>
      <c r="AF441" s="34"/>
      <c r="AG441" s="34"/>
      <c r="AH441" s="2"/>
      <c r="AI441" s="2"/>
      <c r="AJ441" s="2"/>
      <c r="AK441" s="2"/>
      <c r="AL441" s="2"/>
    </row>
    <row r="442" spans="1:40">
      <c r="A442" t="s">
        <v>772</v>
      </c>
      <c r="V442" s="2"/>
      <c r="W442" s="2"/>
      <c r="X442" s="2"/>
      <c r="Y442" s="2"/>
      <c r="Z442" s="2"/>
      <c r="AA442" s="2"/>
      <c r="AB442" s="34">
        <v>91</v>
      </c>
      <c r="AC442" s="2"/>
      <c r="AD442" s="2"/>
      <c r="AF442" s="2"/>
      <c r="AG442" s="2"/>
      <c r="AH442" s="2"/>
      <c r="AL442" s="2"/>
    </row>
    <row r="443" spans="1:40">
      <c r="A443" t="s">
        <v>773</v>
      </c>
      <c r="V443" s="2"/>
      <c r="W443" s="2"/>
      <c r="X443" s="2"/>
      <c r="Y443" s="2"/>
      <c r="Z443" s="2"/>
      <c r="AA443" s="2"/>
      <c r="AB443" s="34">
        <v>102</v>
      </c>
      <c r="AC443" s="2"/>
      <c r="AD443" s="2"/>
      <c r="AF443" s="2"/>
      <c r="AG443" s="2"/>
      <c r="AH443" s="2"/>
      <c r="AL443" s="2"/>
    </row>
    <row r="444" spans="1:40">
      <c r="A444" t="s">
        <v>1192</v>
      </c>
      <c r="O444">
        <v>15</v>
      </c>
      <c r="V444" s="2"/>
      <c r="W444" s="2">
        <v>0.02</v>
      </c>
      <c r="X444" s="2"/>
      <c r="Y444" s="2"/>
      <c r="Z444" s="2"/>
      <c r="AA444" s="2"/>
      <c r="AB444" s="34">
        <v>91</v>
      </c>
      <c r="AC444" s="2"/>
      <c r="AD444" s="2"/>
      <c r="AF444" s="2"/>
      <c r="AG444" s="2"/>
      <c r="AH444" s="2"/>
      <c r="AL444" s="2"/>
    </row>
    <row r="445" spans="1:40">
      <c r="A445" t="s">
        <v>1054</v>
      </c>
      <c r="J445">
        <v>5</v>
      </c>
      <c r="M445">
        <v>5</v>
      </c>
      <c r="O445">
        <v>10</v>
      </c>
      <c r="V445" s="2"/>
      <c r="W445" s="2"/>
      <c r="X445" s="2"/>
      <c r="Y445" s="2"/>
      <c r="Z445" s="2"/>
      <c r="AA445" s="2">
        <v>0.06</v>
      </c>
      <c r="AB445" s="34"/>
      <c r="AC445" s="2"/>
      <c r="AD445" s="2"/>
      <c r="AF445" s="2"/>
      <c r="AG445" s="2"/>
      <c r="AH445" s="2"/>
      <c r="AL445" s="2"/>
    </row>
    <row r="446" spans="1:40">
      <c r="A446" t="s">
        <v>145</v>
      </c>
      <c r="V446" s="2"/>
      <c r="W446" s="2"/>
      <c r="X446" s="2"/>
      <c r="Y446" s="2"/>
      <c r="Z446" s="2"/>
      <c r="AA446" s="2"/>
      <c r="AB446" s="34">
        <v>61</v>
      </c>
      <c r="AC446" s="2"/>
      <c r="AD446" s="2"/>
      <c r="AF446" s="34"/>
      <c r="AG446" s="34"/>
      <c r="AH446" s="2"/>
      <c r="AL446" s="2"/>
      <c r="AN446" s="2"/>
    </row>
    <row r="447" spans="1:40">
      <c r="A447" s="31" t="s">
        <v>1003</v>
      </c>
      <c r="O447">
        <v>15</v>
      </c>
      <c r="S447" s="2"/>
      <c r="T447" s="34"/>
      <c r="U447" s="34"/>
      <c r="V447" s="2"/>
      <c r="W447" s="2"/>
      <c r="X447" s="2"/>
      <c r="Y447" s="2"/>
      <c r="Z447" s="2"/>
      <c r="AA447" s="2"/>
      <c r="AB447" s="34">
        <v>30</v>
      </c>
      <c r="AC447" s="2"/>
      <c r="AD447" s="2"/>
      <c r="AE447">
        <v>4</v>
      </c>
      <c r="AF447" s="2"/>
      <c r="AG447" s="2"/>
      <c r="AH447" s="2"/>
      <c r="AL447" s="34"/>
    </row>
    <row r="448" spans="1:40">
      <c r="A448" s="31" t="s">
        <v>1004</v>
      </c>
      <c r="O448">
        <v>18</v>
      </c>
      <c r="S448" s="2"/>
      <c r="T448" s="34"/>
      <c r="U448" s="34"/>
      <c r="V448" s="2"/>
      <c r="W448" s="2"/>
      <c r="X448" s="2"/>
      <c r="Y448" s="2"/>
      <c r="Z448" s="2"/>
      <c r="AA448" s="2"/>
      <c r="AB448" s="34">
        <v>40</v>
      </c>
      <c r="AC448" s="2"/>
      <c r="AD448" s="2"/>
      <c r="AE448">
        <v>6</v>
      </c>
      <c r="AF448" s="2"/>
      <c r="AG448" s="2"/>
      <c r="AH448" s="2"/>
      <c r="AL448" s="34"/>
    </row>
    <row r="449" spans="1:40">
      <c r="A449" t="s">
        <v>181</v>
      </c>
      <c r="V449" s="2">
        <v>0.02</v>
      </c>
      <c r="W449" s="2"/>
      <c r="X449" s="2"/>
      <c r="Y449" s="2"/>
      <c r="Z449" s="2"/>
      <c r="AA449" s="2"/>
      <c r="AB449" s="34">
        <v>71</v>
      </c>
      <c r="AC449" s="2"/>
      <c r="AD449" s="2"/>
      <c r="AF449" s="34"/>
      <c r="AG449" s="34"/>
      <c r="AH449" s="2"/>
      <c r="AL449" s="2"/>
      <c r="AN449" s="2"/>
    </row>
    <row r="450" spans="1:40">
      <c r="A450" t="s">
        <v>83</v>
      </c>
      <c r="N450">
        <v>12</v>
      </c>
      <c r="O450">
        <v>4</v>
      </c>
      <c r="V450" s="2"/>
      <c r="W450" s="2"/>
      <c r="X450" s="2"/>
      <c r="Y450" s="2"/>
      <c r="Z450" s="2"/>
      <c r="AA450" s="2"/>
      <c r="AB450" s="34"/>
      <c r="AC450" s="2"/>
      <c r="AD450" s="2"/>
      <c r="AF450" s="34"/>
      <c r="AG450" s="34"/>
      <c r="AH450" s="2"/>
      <c r="AL450" s="2"/>
      <c r="AN450" s="2"/>
    </row>
    <row r="451" spans="1:40">
      <c r="A451" t="s">
        <v>638</v>
      </c>
      <c r="G451">
        <v>8</v>
      </c>
      <c r="H451">
        <v>8</v>
      </c>
      <c r="I451">
        <v>-5</v>
      </c>
      <c r="J451">
        <v>-5</v>
      </c>
      <c r="K451">
        <v>8</v>
      </c>
      <c r="L451">
        <v>-5</v>
      </c>
      <c r="V451" s="2"/>
      <c r="W451" s="2"/>
      <c r="X451" s="2"/>
      <c r="Y451" s="2"/>
      <c r="Z451" s="2"/>
      <c r="AA451" s="2"/>
      <c r="AB451" s="34"/>
      <c r="AC451" s="2"/>
      <c r="AD451" s="2"/>
      <c r="AF451" s="34"/>
      <c r="AG451" s="34"/>
      <c r="AH451" s="2"/>
      <c r="AL451" s="2"/>
      <c r="AN451" s="2"/>
    </row>
    <row r="452" spans="1:40">
      <c r="A452" t="s">
        <v>380</v>
      </c>
      <c r="V452" s="2"/>
      <c r="W452" s="2">
        <v>0.02</v>
      </c>
      <c r="X452" s="2">
        <v>0.01</v>
      </c>
      <c r="Y452" s="2"/>
      <c r="Z452" s="2"/>
      <c r="AA452" s="2"/>
      <c r="AB452" s="34"/>
      <c r="AC452" s="2"/>
      <c r="AD452" s="2"/>
      <c r="AF452" s="34"/>
      <c r="AG452" s="34"/>
      <c r="AH452" s="2"/>
      <c r="AL452" s="2"/>
      <c r="AN452" s="2"/>
    </row>
    <row r="453" spans="1:40">
      <c r="A453" s="31" t="s">
        <v>1031</v>
      </c>
      <c r="N453">
        <v>2</v>
      </c>
      <c r="V453" s="2"/>
      <c r="W453" s="2">
        <v>0.02</v>
      </c>
      <c r="X453" s="2">
        <v>0.02</v>
      </c>
      <c r="Y453" s="2"/>
      <c r="Z453" s="2"/>
      <c r="AA453" s="2"/>
      <c r="AB453" s="34"/>
      <c r="AC453" s="2"/>
      <c r="AD453" s="2"/>
      <c r="AF453" s="34"/>
      <c r="AG453" s="34"/>
      <c r="AH453" s="2"/>
      <c r="AI453" s="2"/>
      <c r="AJ453" s="2"/>
      <c r="AK453" s="2"/>
      <c r="AL453" s="2"/>
    </row>
    <row r="456" spans="1:40">
      <c r="A456" t="s">
        <v>22</v>
      </c>
      <c r="B456" t="s">
        <v>30</v>
      </c>
      <c r="C456" t="s">
        <v>616</v>
      </c>
      <c r="D456" s="31" t="s">
        <v>798</v>
      </c>
      <c r="E456" t="s">
        <v>769</v>
      </c>
      <c r="F456" s="31" t="s">
        <v>820</v>
      </c>
      <c r="G456" t="s">
        <v>3</v>
      </c>
      <c r="H456" t="s">
        <v>4</v>
      </c>
      <c r="I456" t="s">
        <v>5</v>
      </c>
      <c r="J456" t="s">
        <v>42</v>
      </c>
      <c r="K456" t="s">
        <v>269</v>
      </c>
      <c r="L456" t="s">
        <v>270</v>
      </c>
      <c r="M456" t="s">
        <v>271</v>
      </c>
      <c r="N456" t="s">
        <v>10</v>
      </c>
      <c r="O456" t="s">
        <v>9</v>
      </c>
      <c r="P456" t="s">
        <v>390</v>
      </c>
      <c r="Q456" t="s">
        <v>1017</v>
      </c>
      <c r="R456" t="s">
        <v>1018</v>
      </c>
      <c r="S456" t="s">
        <v>1019</v>
      </c>
      <c r="T456" s="34" t="s">
        <v>620</v>
      </c>
      <c r="U456" s="152" t="s">
        <v>1020</v>
      </c>
      <c r="V456" t="s">
        <v>12</v>
      </c>
      <c r="W456" t="s">
        <v>166</v>
      </c>
      <c r="X456" t="s">
        <v>311</v>
      </c>
      <c r="Y456" t="s">
        <v>766</v>
      </c>
      <c r="Z456" t="s">
        <v>767</v>
      </c>
      <c r="AA456" t="s">
        <v>141</v>
      </c>
      <c r="AB456" t="s">
        <v>11</v>
      </c>
      <c r="AC456" t="s">
        <v>137</v>
      </c>
      <c r="AD456" t="s">
        <v>136</v>
      </c>
      <c r="AE456" t="s">
        <v>13</v>
      </c>
      <c r="AF456" t="s">
        <v>134</v>
      </c>
      <c r="AG456" t="s">
        <v>240</v>
      </c>
      <c r="AH456" t="s">
        <v>173</v>
      </c>
      <c r="AI456" s="34" t="s">
        <v>718</v>
      </c>
      <c r="AJ456" s="34" t="s">
        <v>743</v>
      </c>
      <c r="AK456" s="152" t="s">
        <v>717</v>
      </c>
      <c r="AL456" t="s">
        <v>312</v>
      </c>
      <c r="AM456" t="s">
        <v>268</v>
      </c>
      <c r="AN456" t="s">
        <v>618</v>
      </c>
    </row>
    <row r="457" spans="1:40">
      <c r="A457" s="31" t="s">
        <v>1085</v>
      </c>
      <c r="G457">
        <v>32</v>
      </c>
      <c r="H457">
        <v>10</v>
      </c>
      <c r="I457">
        <v>15</v>
      </c>
      <c r="J457">
        <v>40</v>
      </c>
      <c r="K457">
        <v>28</v>
      </c>
      <c r="L457">
        <v>16</v>
      </c>
      <c r="M457">
        <v>8</v>
      </c>
      <c r="N457">
        <v>32</v>
      </c>
      <c r="V457" s="2"/>
      <c r="W457" s="2"/>
      <c r="X457" s="2"/>
      <c r="Y457" s="2"/>
      <c r="Z457" s="2"/>
      <c r="AA457" s="2"/>
      <c r="AB457" s="34">
        <v>61</v>
      </c>
      <c r="AC457" s="2"/>
      <c r="AD457" s="2"/>
      <c r="AE457" s="34">
        <v>7</v>
      </c>
      <c r="AF457" s="34"/>
      <c r="AG457" s="34"/>
      <c r="AH457" s="2"/>
      <c r="AL457" s="2"/>
      <c r="AM457">
        <v>62</v>
      </c>
      <c r="AN457" s="2"/>
    </row>
    <row r="458" spans="1:40">
      <c r="A458" s="31" t="s">
        <v>1086</v>
      </c>
      <c r="G458">
        <v>32</v>
      </c>
      <c r="H458">
        <v>12</v>
      </c>
      <c r="I458">
        <v>15</v>
      </c>
      <c r="J458">
        <v>42</v>
      </c>
      <c r="K458">
        <v>28</v>
      </c>
      <c r="L458">
        <v>16</v>
      </c>
      <c r="M458">
        <v>8</v>
      </c>
      <c r="N458">
        <v>54</v>
      </c>
      <c r="V458" s="2"/>
      <c r="W458" s="2"/>
      <c r="X458" s="2"/>
      <c r="Y458" s="2"/>
      <c r="Z458" s="2"/>
      <c r="AA458" s="2"/>
      <c r="AB458" s="34">
        <v>61</v>
      </c>
      <c r="AC458" s="2"/>
      <c r="AD458" s="2"/>
      <c r="AE458" s="34">
        <v>8</v>
      </c>
      <c r="AF458" s="34"/>
      <c r="AG458" s="34"/>
      <c r="AH458" s="2"/>
      <c r="AL458" s="2"/>
      <c r="AM458">
        <v>62</v>
      </c>
      <c r="AN458" s="2"/>
    </row>
    <row r="459" spans="1:40">
      <c r="A459" s="31" t="s">
        <v>889</v>
      </c>
      <c r="G459">
        <v>32</v>
      </c>
      <c r="I459">
        <v>16</v>
      </c>
      <c r="J459">
        <v>20</v>
      </c>
      <c r="K459">
        <v>33</v>
      </c>
      <c r="L459">
        <v>17</v>
      </c>
      <c r="M459">
        <v>11</v>
      </c>
      <c r="V459" s="2"/>
      <c r="W459" s="2"/>
      <c r="X459" s="2"/>
      <c r="Y459" s="2"/>
      <c r="Z459" s="2"/>
      <c r="AA459" s="2"/>
      <c r="AB459" s="34">
        <v>61</v>
      </c>
      <c r="AC459" s="2"/>
      <c r="AD459" s="2"/>
      <c r="AE459" s="34"/>
      <c r="AF459" s="34"/>
      <c r="AG459" s="34"/>
      <c r="AH459" s="2"/>
      <c r="AL459" s="2"/>
      <c r="AM459">
        <v>62</v>
      </c>
      <c r="AN459" s="2"/>
    </row>
    <row r="460" spans="1:40">
      <c r="A460" s="31" t="s">
        <v>1189</v>
      </c>
      <c r="G460">
        <v>37</v>
      </c>
      <c r="I460">
        <v>21</v>
      </c>
      <c r="J460">
        <v>25</v>
      </c>
      <c r="K460">
        <v>38</v>
      </c>
      <c r="L460">
        <v>22</v>
      </c>
      <c r="M460">
        <v>16</v>
      </c>
      <c r="S460">
        <v>39</v>
      </c>
      <c r="V460" s="2"/>
      <c r="W460" s="2"/>
      <c r="X460" s="2"/>
      <c r="Y460" s="2"/>
      <c r="Z460" s="2"/>
      <c r="AA460" s="2"/>
      <c r="AB460" s="34">
        <v>61</v>
      </c>
      <c r="AC460" s="2"/>
      <c r="AD460" s="2"/>
      <c r="AE460" s="34"/>
      <c r="AF460" s="34"/>
      <c r="AG460" s="34"/>
      <c r="AH460" s="2"/>
      <c r="AL460" s="2"/>
      <c r="AM460">
        <v>62</v>
      </c>
      <c r="AN460" s="2"/>
    </row>
    <row r="461" spans="1:40">
      <c r="A461" s="31" t="s">
        <v>1190</v>
      </c>
      <c r="G461">
        <v>42</v>
      </c>
      <c r="I461">
        <v>26</v>
      </c>
      <c r="J461">
        <v>30</v>
      </c>
      <c r="K461">
        <v>43</v>
      </c>
      <c r="L461">
        <v>27</v>
      </c>
      <c r="M461">
        <v>21</v>
      </c>
      <c r="S461">
        <v>49</v>
      </c>
      <c r="V461" s="2"/>
      <c r="W461" s="2"/>
      <c r="X461" s="2"/>
      <c r="Y461" s="2"/>
      <c r="Z461" s="2"/>
      <c r="AA461" s="2"/>
      <c r="AB461" s="34">
        <v>61</v>
      </c>
      <c r="AC461" s="2"/>
      <c r="AD461" s="2"/>
      <c r="AE461" s="34"/>
      <c r="AF461" s="34"/>
      <c r="AG461" s="34"/>
      <c r="AH461" s="2"/>
      <c r="AL461" s="2"/>
      <c r="AM461">
        <v>62</v>
      </c>
      <c r="AN461" s="2"/>
    </row>
    <row r="462" spans="1:40">
      <c r="A462" s="31" t="s">
        <v>1114</v>
      </c>
      <c r="G462">
        <v>30</v>
      </c>
      <c r="H462">
        <v>10</v>
      </c>
      <c r="I462">
        <v>17</v>
      </c>
      <c r="J462">
        <v>17</v>
      </c>
      <c r="K462">
        <v>29</v>
      </c>
      <c r="L462">
        <f>16+15</f>
        <v>31</v>
      </c>
      <c r="M462">
        <v>16</v>
      </c>
      <c r="N462">
        <v>35</v>
      </c>
      <c r="O462">
        <v>25</v>
      </c>
      <c r="V462" s="2"/>
      <c r="W462" s="2"/>
      <c r="X462" s="2"/>
      <c r="Y462" s="2"/>
      <c r="Z462" s="2"/>
      <c r="AA462" s="2"/>
      <c r="AB462" s="34">
        <v>61</v>
      </c>
      <c r="AC462" s="2"/>
      <c r="AD462" s="2"/>
      <c r="AE462" s="34"/>
      <c r="AF462" s="34"/>
      <c r="AG462" s="34"/>
      <c r="AH462" s="2"/>
      <c r="AL462" s="2"/>
      <c r="AN462" s="2"/>
    </row>
    <row r="463" spans="1:40">
      <c r="A463" s="31" t="s">
        <v>1111</v>
      </c>
      <c r="G463">
        <v>30</v>
      </c>
      <c r="I463">
        <v>17</v>
      </c>
      <c r="J463">
        <v>17</v>
      </c>
      <c r="K463">
        <v>29</v>
      </c>
      <c r="L463">
        <v>16</v>
      </c>
      <c r="M463">
        <v>16</v>
      </c>
      <c r="N463">
        <f>25+15</f>
        <v>40</v>
      </c>
      <c r="O463">
        <v>35</v>
      </c>
      <c r="V463" s="2"/>
      <c r="W463" s="2"/>
      <c r="X463" s="2"/>
      <c r="Y463" s="2"/>
      <c r="Z463" s="2"/>
      <c r="AA463" s="2">
        <v>0.05</v>
      </c>
      <c r="AB463" s="34">
        <v>61</v>
      </c>
      <c r="AC463" s="2"/>
      <c r="AD463" s="2"/>
      <c r="AE463" s="34"/>
      <c r="AF463" s="34"/>
      <c r="AG463" s="34"/>
      <c r="AH463" s="2"/>
      <c r="AL463" s="2"/>
      <c r="AN463" s="2"/>
    </row>
    <row r="464" spans="1:40">
      <c r="A464" s="31" t="s">
        <v>1160</v>
      </c>
      <c r="G464">
        <v>30</v>
      </c>
      <c r="I464">
        <v>17</v>
      </c>
      <c r="J464">
        <v>17</v>
      </c>
      <c r="K464">
        <v>29</v>
      </c>
      <c r="L464">
        <v>16</v>
      </c>
      <c r="M464">
        <v>16</v>
      </c>
      <c r="N464">
        <f>35+20</f>
        <v>55</v>
      </c>
      <c r="O464">
        <f>35+12</f>
        <v>47</v>
      </c>
      <c r="V464" s="2"/>
      <c r="W464" s="2"/>
      <c r="X464" s="2"/>
      <c r="Y464" s="2"/>
      <c r="Z464" s="2"/>
      <c r="AA464" s="2">
        <v>0.06</v>
      </c>
      <c r="AB464" s="34">
        <v>61</v>
      </c>
      <c r="AC464" s="2"/>
      <c r="AD464" s="2"/>
      <c r="AE464" s="34"/>
      <c r="AF464" s="34"/>
      <c r="AG464" s="34"/>
      <c r="AH464" s="2"/>
      <c r="AL464" s="2"/>
      <c r="AN464" s="2"/>
    </row>
    <row r="465" spans="1:40">
      <c r="A465" s="31" t="s">
        <v>1082</v>
      </c>
      <c r="G465">
        <v>6</v>
      </c>
      <c r="H465">
        <v>21</v>
      </c>
      <c r="I465">
        <v>19</v>
      </c>
      <c r="J465">
        <v>5</v>
      </c>
      <c r="K465">
        <v>28</v>
      </c>
      <c r="L465">
        <v>35</v>
      </c>
      <c r="M465">
        <v>23</v>
      </c>
      <c r="T465">
        <v>40</v>
      </c>
      <c r="V465" s="2"/>
      <c r="W465" s="2"/>
      <c r="X465" s="2"/>
      <c r="Y465" s="2"/>
      <c r="Z465" s="2"/>
      <c r="AA465" s="2"/>
      <c r="AB465" s="34"/>
      <c r="AC465" s="2"/>
      <c r="AD465" s="2"/>
      <c r="AE465" s="34"/>
      <c r="AF465" s="34"/>
      <c r="AG465" s="34"/>
      <c r="AH465" s="2"/>
      <c r="AL465" s="2"/>
      <c r="AN465" s="2"/>
    </row>
    <row r="466" spans="1:40">
      <c r="A466" s="31" t="s">
        <v>935</v>
      </c>
      <c r="G466">
        <v>23</v>
      </c>
      <c r="I466">
        <v>10</v>
      </c>
      <c r="J466">
        <v>15</v>
      </c>
      <c r="K466">
        <v>32</v>
      </c>
      <c r="L466">
        <v>22</v>
      </c>
      <c r="M466">
        <v>17</v>
      </c>
      <c r="S466" s="34"/>
      <c r="T466">
        <v>25</v>
      </c>
      <c r="V466" s="2"/>
      <c r="W466" s="2"/>
      <c r="X466" s="2"/>
      <c r="Y466" s="2"/>
      <c r="Z466" s="2"/>
      <c r="AA466" s="2"/>
      <c r="AB466" s="34">
        <v>51</v>
      </c>
      <c r="AC466" s="2"/>
      <c r="AD466" s="2"/>
      <c r="AE466" s="34"/>
      <c r="AF466" s="34"/>
      <c r="AG466" s="34"/>
      <c r="AH466" s="2"/>
      <c r="AL466" s="2"/>
      <c r="AM466">
        <v>43</v>
      </c>
    </row>
    <row r="467" spans="1:40">
      <c r="A467" s="31" t="s">
        <v>1087</v>
      </c>
      <c r="G467">
        <v>33</v>
      </c>
      <c r="I467">
        <v>16</v>
      </c>
      <c r="J467">
        <v>32</v>
      </c>
      <c r="K467">
        <v>29</v>
      </c>
      <c r="L467">
        <v>15</v>
      </c>
      <c r="M467">
        <v>10</v>
      </c>
      <c r="O467">
        <v>15</v>
      </c>
      <c r="S467" s="34"/>
      <c r="V467" s="2"/>
      <c r="W467" s="2"/>
      <c r="X467" s="2"/>
      <c r="Y467" s="2"/>
      <c r="Z467" s="2"/>
      <c r="AA467" s="2"/>
      <c r="AB467" s="34">
        <v>61</v>
      </c>
      <c r="AC467" s="2"/>
      <c r="AD467" s="2"/>
      <c r="AE467" s="34">
        <v>4</v>
      </c>
      <c r="AF467" s="34"/>
      <c r="AG467" s="34"/>
      <c r="AH467" s="2"/>
      <c r="AL467" s="2"/>
    </row>
    <row r="468" spans="1:40">
      <c r="A468" s="31" t="s">
        <v>1146</v>
      </c>
      <c r="G468">
        <v>33</v>
      </c>
      <c r="H468">
        <v>5</v>
      </c>
      <c r="I468">
        <v>16</v>
      </c>
      <c r="J468">
        <v>32</v>
      </c>
      <c r="K468">
        <v>29</v>
      </c>
      <c r="L468">
        <v>15</v>
      </c>
      <c r="M468">
        <v>10</v>
      </c>
      <c r="N468">
        <v>32</v>
      </c>
      <c r="O468">
        <f>15+35</f>
        <v>50</v>
      </c>
      <c r="S468" s="34"/>
      <c r="V468" s="2"/>
      <c r="W468" s="2"/>
      <c r="X468" s="2"/>
      <c r="Y468" s="2"/>
      <c r="Z468" s="2"/>
      <c r="AA468" s="2"/>
      <c r="AB468" s="34">
        <v>61</v>
      </c>
      <c r="AC468" s="2"/>
      <c r="AD468" s="2">
        <v>0.03</v>
      </c>
      <c r="AE468" s="34">
        <v>4</v>
      </c>
      <c r="AF468" s="34"/>
      <c r="AG468" s="34"/>
      <c r="AH468" s="2"/>
      <c r="AL468" s="2"/>
    </row>
    <row r="469" spans="1:40">
      <c r="A469" s="31" t="s">
        <v>1153</v>
      </c>
      <c r="G469">
        <f>33+15</f>
        <v>48</v>
      </c>
      <c r="I469">
        <v>16</v>
      </c>
      <c r="J469">
        <v>32</v>
      </c>
      <c r="K469">
        <v>29</v>
      </c>
      <c r="L469">
        <v>15</v>
      </c>
      <c r="M469">
        <v>10</v>
      </c>
      <c r="O469">
        <v>21</v>
      </c>
      <c r="S469" s="34"/>
      <c r="V469" s="2"/>
      <c r="W469" s="2"/>
      <c r="X469" s="2"/>
      <c r="Y469" s="2"/>
      <c r="Z469" s="2"/>
      <c r="AA469" s="2"/>
      <c r="AB469" s="34">
        <v>61</v>
      </c>
      <c r="AC469" s="2"/>
      <c r="AD469" s="2"/>
      <c r="AE469" s="34">
        <v>4</v>
      </c>
      <c r="AF469" s="34"/>
      <c r="AG469" s="34"/>
      <c r="AH469" s="2">
        <v>0.03</v>
      </c>
      <c r="AL469" s="2"/>
    </row>
    <row r="470" spans="1:40">
      <c r="A470" s="31" t="s">
        <v>1151</v>
      </c>
      <c r="G470">
        <v>43</v>
      </c>
      <c r="I470">
        <v>16</v>
      </c>
      <c r="J470">
        <v>32</v>
      </c>
      <c r="K470">
        <v>29</v>
      </c>
      <c r="L470">
        <v>15</v>
      </c>
      <c r="M470">
        <v>10</v>
      </c>
      <c r="N470">
        <v>40</v>
      </c>
      <c r="O470">
        <f>15+40</f>
        <v>55</v>
      </c>
      <c r="S470" s="34"/>
      <c r="V470" s="2"/>
      <c r="W470" s="2">
        <v>0.04</v>
      </c>
      <c r="X470" s="2"/>
      <c r="Y470" s="2"/>
      <c r="Z470" s="2"/>
      <c r="AA470" s="2"/>
      <c r="AB470" s="34">
        <v>61</v>
      </c>
      <c r="AC470" s="2"/>
      <c r="AD470" s="2"/>
      <c r="AE470" s="34">
        <v>4</v>
      </c>
      <c r="AF470" s="34"/>
      <c r="AG470" s="34"/>
      <c r="AH470" s="2"/>
      <c r="AL470" s="2"/>
    </row>
    <row r="471" spans="1:40">
      <c r="A471" s="31" t="s">
        <v>1152</v>
      </c>
      <c r="G471">
        <f>33+7</f>
        <v>40</v>
      </c>
      <c r="I471">
        <v>16</v>
      </c>
      <c r="J471">
        <v>32</v>
      </c>
      <c r="K471">
        <v>29</v>
      </c>
      <c r="L471">
        <v>15</v>
      </c>
      <c r="M471">
        <v>10</v>
      </c>
      <c r="N471">
        <v>20</v>
      </c>
      <c r="O471">
        <f>15+20</f>
        <v>35</v>
      </c>
      <c r="S471" s="34"/>
      <c r="V471" s="2"/>
      <c r="W471" s="2"/>
      <c r="X471" s="2"/>
      <c r="Y471" s="2"/>
      <c r="Z471" s="2"/>
      <c r="AA471" s="2"/>
      <c r="AB471" s="34">
        <v>61</v>
      </c>
      <c r="AC471" s="2"/>
      <c r="AD471" s="2"/>
      <c r="AE471" s="34">
        <v>4</v>
      </c>
      <c r="AF471" s="34"/>
      <c r="AG471" s="34"/>
      <c r="AH471" s="2">
        <v>0.04</v>
      </c>
      <c r="AL471" s="2"/>
    </row>
    <row r="472" spans="1:40">
      <c r="A472" s="31" t="s">
        <v>1150</v>
      </c>
      <c r="G472">
        <v>33</v>
      </c>
      <c r="H472">
        <v>10</v>
      </c>
      <c r="I472">
        <v>16</v>
      </c>
      <c r="J472">
        <v>32</v>
      </c>
      <c r="K472">
        <v>29</v>
      </c>
      <c r="L472">
        <v>15</v>
      </c>
      <c r="M472">
        <v>10</v>
      </c>
      <c r="N472">
        <v>40</v>
      </c>
      <c r="O472">
        <v>55</v>
      </c>
      <c r="S472" s="34"/>
      <c r="V472" s="2"/>
      <c r="W472" s="2"/>
      <c r="X472" s="2"/>
      <c r="Y472" s="2"/>
      <c r="Z472" s="2"/>
      <c r="AA472" s="2"/>
      <c r="AB472" s="34">
        <v>61</v>
      </c>
      <c r="AC472" s="2"/>
      <c r="AD472" s="2">
        <v>0.05</v>
      </c>
      <c r="AE472" s="34">
        <v>4</v>
      </c>
      <c r="AF472" s="34"/>
      <c r="AG472" s="34"/>
      <c r="AH472" s="2"/>
      <c r="AL472" s="2"/>
    </row>
    <row r="473" spans="1:40">
      <c r="A473" s="31" t="s">
        <v>1023</v>
      </c>
      <c r="G473">
        <v>24</v>
      </c>
      <c r="I473">
        <v>12</v>
      </c>
      <c r="J473">
        <v>17</v>
      </c>
      <c r="K473">
        <v>33</v>
      </c>
      <c r="L473">
        <v>26</v>
      </c>
      <c r="M473">
        <v>21</v>
      </c>
      <c r="V473" s="2"/>
      <c r="W473" s="2"/>
      <c r="X473" s="2"/>
      <c r="Y473" s="2"/>
      <c r="Z473" s="2"/>
      <c r="AA473" s="2"/>
      <c r="AB473" s="34">
        <v>61</v>
      </c>
      <c r="AC473" s="2"/>
      <c r="AD473" s="2"/>
      <c r="AE473" s="34"/>
      <c r="AF473" s="34"/>
      <c r="AG473" s="34"/>
      <c r="AH473" s="2"/>
      <c r="AI473" s="2"/>
      <c r="AJ473" s="2"/>
      <c r="AK473" s="2"/>
      <c r="AL473" s="2"/>
    </row>
    <row r="474" spans="1:40">
      <c r="A474" s="31" t="s">
        <v>1179</v>
      </c>
      <c r="G474">
        <v>44</v>
      </c>
      <c r="I474">
        <v>3</v>
      </c>
      <c r="J474">
        <v>14</v>
      </c>
      <c r="K474">
        <v>49</v>
      </c>
      <c r="L474">
        <v>26</v>
      </c>
      <c r="M474">
        <v>20</v>
      </c>
      <c r="N474">
        <v>39</v>
      </c>
      <c r="O474">
        <v>39</v>
      </c>
      <c r="S474">
        <v>39</v>
      </c>
      <c r="T474">
        <v>39</v>
      </c>
      <c r="V474" s="2"/>
      <c r="W474" s="2"/>
      <c r="X474" s="2"/>
      <c r="Y474" s="2"/>
      <c r="Z474" s="2"/>
      <c r="AA474" s="2"/>
      <c r="AB474" s="34">
        <v>21</v>
      </c>
      <c r="AC474" s="2"/>
      <c r="AD474" s="2"/>
      <c r="AE474" s="34">
        <v>7</v>
      </c>
      <c r="AF474" s="34"/>
      <c r="AG474" s="34"/>
      <c r="AH474" s="2"/>
      <c r="AI474" s="2"/>
      <c r="AJ474" s="2"/>
      <c r="AK474" s="2"/>
      <c r="AL474" s="2"/>
    </row>
    <row r="475" spans="1:40">
      <c r="A475" s="31" t="s">
        <v>1195</v>
      </c>
      <c r="G475">
        <v>47</v>
      </c>
      <c r="I475">
        <v>3</v>
      </c>
      <c r="J475">
        <v>14</v>
      </c>
      <c r="K475">
        <v>52</v>
      </c>
      <c r="L475">
        <v>26</v>
      </c>
      <c r="M475">
        <v>20</v>
      </c>
      <c r="N475">
        <v>45</v>
      </c>
      <c r="O475">
        <v>45</v>
      </c>
      <c r="S475">
        <v>45</v>
      </c>
      <c r="T475">
        <v>42</v>
      </c>
      <c r="V475" s="2"/>
      <c r="W475" s="2"/>
      <c r="X475" s="2"/>
      <c r="Y475" s="2"/>
      <c r="Z475" s="2"/>
      <c r="AA475" s="2"/>
      <c r="AB475" s="34">
        <v>21</v>
      </c>
      <c r="AC475" s="2"/>
      <c r="AD475" s="2"/>
      <c r="AE475" s="34">
        <v>9</v>
      </c>
      <c r="AF475" s="34"/>
      <c r="AG475" s="34"/>
      <c r="AH475" s="2"/>
      <c r="AI475" s="2"/>
      <c r="AJ475" s="2"/>
      <c r="AK475" s="2"/>
      <c r="AL475" s="2"/>
    </row>
    <row r="476" spans="1:40">
      <c r="A476" s="31" t="s">
        <v>1056</v>
      </c>
      <c r="G476">
        <v>29</v>
      </c>
      <c r="I476">
        <v>12</v>
      </c>
      <c r="J476">
        <v>17</v>
      </c>
      <c r="K476">
        <v>34</v>
      </c>
      <c r="L476">
        <v>24</v>
      </c>
      <c r="M476">
        <v>19</v>
      </c>
      <c r="T476">
        <v>25</v>
      </c>
      <c r="V476" s="2"/>
      <c r="W476" s="2"/>
      <c r="X476" s="2"/>
      <c r="Y476" s="2"/>
      <c r="Z476" s="2"/>
      <c r="AA476" s="2"/>
      <c r="AB476" s="34">
        <v>51</v>
      </c>
      <c r="AC476" s="2"/>
      <c r="AD476" s="2"/>
      <c r="AE476" s="34"/>
      <c r="AF476" s="34"/>
      <c r="AG476" s="34"/>
      <c r="AH476" s="2"/>
      <c r="AI476" s="2"/>
      <c r="AJ476" s="2"/>
      <c r="AK476" s="2"/>
      <c r="AL476" s="2"/>
    </row>
    <row r="477" spans="1:40">
      <c r="A477" s="31" t="s">
        <v>903</v>
      </c>
      <c r="G477">
        <v>31</v>
      </c>
      <c r="I477">
        <v>16</v>
      </c>
      <c r="J477">
        <v>22</v>
      </c>
      <c r="K477">
        <v>30</v>
      </c>
      <c r="L477">
        <v>17</v>
      </c>
      <c r="M477">
        <v>11</v>
      </c>
      <c r="N477">
        <v>13</v>
      </c>
      <c r="S477">
        <v>13</v>
      </c>
      <c r="T477">
        <v>13</v>
      </c>
      <c r="V477" s="2"/>
      <c r="W477" s="2"/>
      <c r="X477" s="2"/>
      <c r="Y477" s="2"/>
      <c r="Z477" s="2"/>
      <c r="AA477" s="2"/>
      <c r="AB477" s="34">
        <v>61</v>
      </c>
      <c r="AC477" s="2"/>
      <c r="AD477" s="2"/>
      <c r="AE477" s="34"/>
      <c r="AF477" s="34"/>
      <c r="AG477" s="34"/>
      <c r="AH477" s="2"/>
      <c r="AL477" s="2"/>
      <c r="AN477" s="2"/>
    </row>
    <row r="478" spans="1:40" s="31" customFormat="1">
      <c r="A478" s="31" t="s">
        <v>1010</v>
      </c>
      <c r="G478" s="31">
        <v>33</v>
      </c>
      <c r="I478" s="31">
        <v>14</v>
      </c>
      <c r="J478" s="31">
        <v>17</v>
      </c>
      <c r="K478" s="31">
        <v>26</v>
      </c>
      <c r="L478" s="31">
        <v>21</v>
      </c>
      <c r="M478" s="31">
        <v>9</v>
      </c>
      <c r="O478" s="31">
        <v>25</v>
      </c>
      <c r="V478" s="12"/>
      <c r="W478" s="12"/>
      <c r="X478" s="12"/>
      <c r="Y478" s="12"/>
      <c r="Z478" s="12"/>
      <c r="AA478" s="12"/>
      <c r="AB478" s="48">
        <v>81</v>
      </c>
      <c r="AC478" s="12"/>
      <c r="AD478" s="12"/>
      <c r="AE478" s="48"/>
      <c r="AF478" s="48"/>
      <c r="AG478" s="12"/>
      <c r="AH478" s="12"/>
      <c r="AI478" s="48"/>
      <c r="AJ478" s="48"/>
      <c r="AK478" s="48"/>
      <c r="AL478" s="48"/>
    </row>
    <row r="479" spans="1:40" s="31" customFormat="1">
      <c r="A479" s="31" t="s">
        <v>1011</v>
      </c>
      <c r="G479" s="31">
        <v>25</v>
      </c>
      <c r="H479" s="31">
        <v>8</v>
      </c>
      <c r="I479" s="31">
        <v>14</v>
      </c>
      <c r="J479" s="31">
        <v>17</v>
      </c>
      <c r="K479" s="31">
        <v>26</v>
      </c>
      <c r="L479" s="31">
        <v>21</v>
      </c>
      <c r="M479" s="31">
        <v>9</v>
      </c>
      <c r="O479" s="31">
        <v>25</v>
      </c>
      <c r="V479" s="12"/>
      <c r="W479" s="12"/>
      <c r="X479" s="12"/>
      <c r="Y479" s="12"/>
      <c r="Z479" s="12"/>
      <c r="AA479" s="12"/>
      <c r="AB479" s="48">
        <v>81</v>
      </c>
      <c r="AC479" s="12"/>
      <c r="AD479" s="12"/>
      <c r="AE479" s="48"/>
      <c r="AF479" s="48"/>
      <c r="AG479" s="12"/>
      <c r="AH479" s="12"/>
      <c r="AI479" s="48"/>
      <c r="AJ479" s="48"/>
      <c r="AK479" s="48"/>
      <c r="AL479" s="48"/>
    </row>
    <row r="480" spans="1:40" s="31" customFormat="1">
      <c r="A480" s="31" t="s">
        <v>1083</v>
      </c>
      <c r="G480" s="31">
        <v>33</v>
      </c>
      <c r="I480" s="31">
        <v>16</v>
      </c>
      <c r="J480" s="31">
        <v>24</v>
      </c>
      <c r="K480" s="31">
        <v>30</v>
      </c>
      <c r="L480" s="31">
        <v>17</v>
      </c>
      <c r="M480" s="31">
        <v>11</v>
      </c>
      <c r="V480" s="12"/>
      <c r="W480" s="12"/>
      <c r="X480" s="12"/>
      <c r="Y480" s="12"/>
      <c r="Z480" s="12"/>
      <c r="AA480" s="12"/>
      <c r="AB480" s="48">
        <v>61</v>
      </c>
      <c r="AC480" s="12"/>
      <c r="AD480" s="12"/>
      <c r="AE480" s="48"/>
      <c r="AF480" s="48"/>
      <c r="AG480" s="12"/>
      <c r="AH480" s="12"/>
      <c r="AI480" s="48"/>
      <c r="AJ480" s="48"/>
      <c r="AK480" s="48"/>
      <c r="AL480" s="48"/>
    </row>
    <row r="481" spans="1:40" s="31" customFormat="1">
      <c r="A481" s="31" t="s">
        <v>1049</v>
      </c>
      <c r="G481" s="31">
        <v>48</v>
      </c>
      <c r="H481" s="31">
        <v>16</v>
      </c>
      <c r="I481" s="31">
        <v>15</v>
      </c>
      <c r="J481" s="31">
        <v>30</v>
      </c>
      <c r="K481" s="31">
        <v>28</v>
      </c>
      <c r="L481" s="31">
        <v>16</v>
      </c>
      <c r="M481" s="31">
        <v>8</v>
      </c>
      <c r="N481" s="31">
        <v>15</v>
      </c>
      <c r="V481" s="12">
        <v>0.03</v>
      </c>
      <c r="W481" s="12">
        <v>0.03</v>
      </c>
      <c r="X481" s="12"/>
      <c r="Y481" s="12"/>
      <c r="Z481" s="12"/>
      <c r="AA481" s="12"/>
      <c r="AB481" s="48">
        <v>61</v>
      </c>
      <c r="AC481" s="12"/>
      <c r="AD481" s="12"/>
      <c r="AE481" s="48">
        <v>7</v>
      </c>
      <c r="AF481" s="48"/>
      <c r="AG481" s="12"/>
      <c r="AH481" s="12"/>
      <c r="AI481" s="48"/>
      <c r="AJ481" s="48"/>
      <c r="AK481" s="48"/>
      <c r="AL481" s="48"/>
    </row>
    <row r="482" spans="1:40">
      <c r="A482" t="s">
        <v>1044</v>
      </c>
      <c r="G482">
        <v>27</v>
      </c>
      <c r="I482">
        <v>14</v>
      </c>
      <c r="J482">
        <v>18</v>
      </c>
      <c r="K482">
        <v>28</v>
      </c>
      <c r="L482">
        <v>15</v>
      </c>
      <c r="M482">
        <v>9</v>
      </c>
      <c r="N482">
        <v>7</v>
      </c>
      <c r="V482" s="2"/>
      <c r="W482" s="2">
        <v>0.02</v>
      </c>
      <c r="X482" s="2"/>
      <c r="Y482" s="2"/>
      <c r="Z482" s="2"/>
      <c r="AA482" s="2"/>
      <c r="AB482" s="34">
        <v>61</v>
      </c>
      <c r="AC482" s="2"/>
      <c r="AD482" s="2"/>
      <c r="AE482" s="34"/>
      <c r="AF482" s="2"/>
      <c r="AG482" s="34"/>
      <c r="AH482" s="2"/>
      <c r="AL482" s="2"/>
    </row>
    <row r="483" spans="1:40">
      <c r="A483" t="s">
        <v>1046</v>
      </c>
      <c r="G483">
        <v>27</v>
      </c>
      <c r="H483">
        <v>10</v>
      </c>
      <c r="I483">
        <v>14</v>
      </c>
      <c r="J483">
        <v>18</v>
      </c>
      <c r="K483">
        <v>28</v>
      </c>
      <c r="L483">
        <v>15</v>
      </c>
      <c r="M483">
        <v>9</v>
      </c>
      <c r="N483">
        <v>32</v>
      </c>
      <c r="V483" s="2"/>
      <c r="W483" s="2">
        <v>0.02</v>
      </c>
      <c r="X483" s="2"/>
      <c r="Y483" s="2"/>
      <c r="Z483" s="2"/>
      <c r="AA483" s="2">
        <v>0.05</v>
      </c>
      <c r="AB483" s="34">
        <v>61</v>
      </c>
      <c r="AC483" s="2"/>
      <c r="AD483" s="2"/>
      <c r="AE483" s="34"/>
      <c r="AF483" s="2"/>
      <c r="AG483" s="34"/>
      <c r="AH483" s="2"/>
      <c r="AL483" s="2"/>
    </row>
    <row r="484" spans="1:40">
      <c r="A484" t="s">
        <v>1045</v>
      </c>
      <c r="G484">
        <f>27+7</f>
        <v>34</v>
      </c>
      <c r="H484">
        <v>7</v>
      </c>
      <c r="I484">
        <v>14</v>
      </c>
      <c r="J484">
        <v>18</v>
      </c>
      <c r="K484">
        <v>28</v>
      </c>
      <c r="L484">
        <v>15</v>
      </c>
      <c r="M484">
        <v>9</v>
      </c>
      <c r="N484">
        <v>27</v>
      </c>
      <c r="O484">
        <v>20</v>
      </c>
      <c r="V484" s="2"/>
      <c r="W484" s="2">
        <v>0.04</v>
      </c>
      <c r="X484" s="2"/>
      <c r="Y484" s="2"/>
      <c r="Z484" s="2"/>
      <c r="AA484" s="2"/>
      <c r="AB484" s="34">
        <v>61</v>
      </c>
      <c r="AC484" s="2"/>
      <c r="AD484" s="2"/>
      <c r="AE484" s="34"/>
      <c r="AF484" s="2"/>
      <c r="AG484" s="34"/>
      <c r="AH484" s="2"/>
      <c r="AL484" s="2"/>
    </row>
    <row r="485" spans="1:40">
      <c r="A485" t="s">
        <v>629</v>
      </c>
      <c r="G485">
        <v>12</v>
      </c>
      <c r="K485">
        <v>-12</v>
      </c>
      <c r="V485" s="2">
        <v>0.03</v>
      </c>
      <c r="W485" s="2"/>
      <c r="X485" s="2"/>
      <c r="Y485" s="2"/>
      <c r="Z485" s="2"/>
      <c r="AA485" s="2"/>
      <c r="AB485" s="34"/>
      <c r="AC485" s="2"/>
      <c r="AD485" s="2"/>
      <c r="AE485" s="34"/>
      <c r="AF485" s="34"/>
      <c r="AG485" s="34"/>
      <c r="AH485" s="2"/>
      <c r="AL485" s="2"/>
      <c r="AN485" s="2"/>
    </row>
    <row r="486" spans="1:40">
      <c r="AC486" s="2"/>
      <c r="AD486" s="2"/>
      <c r="AH486" s="2"/>
      <c r="AL486" s="2"/>
      <c r="AN486" s="2"/>
    </row>
    <row r="488" spans="1:40">
      <c r="A488" t="s">
        <v>23</v>
      </c>
      <c r="B488" t="s">
        <v>30</v>
      </c>
      <c r="C488" t="s">
        <v>616</v>
      </c>
      <c r="D488" s="31" t="s">
        <v>798</v>
      </c>
      <c r="E488" t="s">
        <v>769</v>
      </c>
      <c r="F488" s="31" t="s">
        <v>820</v>
      </c>
      <c r="G488" t="s">
        <v>3</v>
      </c>
      <c r="H488" t="s">
        <v>4</v>
      </c>
      <c r="I488" t="s">
        <v>5</v>
      </c>
      <c r="J488" t="s">
        <v>42</v>
      </c>
      <c r="K488" t="s">
        <v>269</v>
      </c>
      <c r="L488" t="s">
        <v>270</v>
      </c>
      <c r="M488" t="s">
        <v>271</v>
      </c>
      <c r="N488" t="s">
        <v>10</v>
      </c>
      <c r="O488" t="s">
        <v>9</v>
      </c>
      <c r="P488" t="s">
        <v>390</v>
      </c>
      <c r="Q488" t="s">
        <v>1017</v>
      </c>
      <c r="R488" t="s">
        <v>1018</v>
      </c>
      <c r="S488" t="s">
        <v>1019</v>
      </c>
      <c r="T488" s="34" t="s">
        <v>620</v>
      </c>
      <c r="U488" s="152" t="s">
        <v>1020</v>
      </c>
      <c r="V488" t="s">
        <v>12</v>
      </c>
      <c r="W488" t="s">
        <v>166</v>
      </c>
      <c r="X488" t="s">
        <v>311</v>
      </c>
      <c r="Y488" t="s">
        <v>766</v>
      </c>
      <c r="Z488" t="s">
        <v>767</v>
      </c>
      <c r="AA488" t="s">
        <v>141</v>
      </c>
      <c r="AB488" t="s">
        <v>11</v>
      </c>
      <c r="AC488" t="s">
        <v>137</v>
      </c>
      <c r="AD488" t="s">
        <v>136</v>
      </c>
      <c r="AE488" t="s">
        <v>13</v>
      </c>
      <c r="AF488" t="s">
        <v>134</v>
      </c>
      <c r="AG488" t="s">
        <v>240</v>
      </c>
      <c r="AH488" t="s">
        <v>173</v>
      </c>
      <c r="AI488" s="34" t="s">
        <v>718</v>
      </c>
      <c r="AJ488" s="34" t="s">
        <v>743</v>
      </c>
      <c r="AK488" s="152" t="s">
        <v>717</v>
      </c>
      <c r="AL488" t="s">
        <v>312</v>
      </c>
      <c r="AM488" t="s">
        <v>268</v>
      </c>
      <c r="AN488" t="s">
        <v>618</v>
      </c>
    </row>
    <row r="489" spans="1:40">
      <c r="A489" s="31" t="s">
        <v>1091</v>
      </c>
      <c r="G489">
        <v>15</v>
      </c>
      <c r="H489">
        <f>23+10</f>
        <v>33</v>
      </c>
      <c r="I489">
        <v>8</v>
      </c>
      <c r="J489">
        <v>52</v>
      </c>
      <c r="L489">
        <v>11</v>
      </c>
      <c r="M489">
        <v>25</v>
      </c>
      <c r="N489">
        <v>15</v>
      </c>
      <c r="O489">
        <v>24</v>
      </c>
      <c r="V489" s="2"/>
      <c r="W489" s="2"/>
      <c r="X489" s="2"/>
      <c r="Y489" s="2"/>
      <c r="Z489" s="2"/>
      <c r="AA489" s="2"/>
      <c r="AB489" s="34">
        <v>41</v>
      </c>
      <c r="AC489" s="2">
        <v>0.03</v>
      </c>
      <c r="AD489" s="2"/>
      <c r="AE489" s="34"/>
      <c r="AF489" s="34"/>
      <c r="AG489" s="34"/>
      <c r="AH489" s="2"/>
      <c r="AL489" s="2"/>
      <c r="AM489">
        <v>33</v>
      </c>
      <c r="AN489" s="2"/>
    </row>
    <row r="490" spans="1:40">
      <c r="A490" s="31" t="s">
        <v>1086</v>
      </c>
      <c r="G490">
        <v>15</v>
      </c>
      <c r="H490">
        <v>35</v>
      </c>
      <c r="I490">
        <v>8</v>
      </c>
      <c r="J490">
        <v>54</v>
      </c>
      <c r="L490">
        <v>11</v>
      </c>
      <c r="M490">
        <v>25</v>
      </c>
      <c r="N490">
        <v>20</v>
      </c>
      <c r="O490">
        <v>34</v>
      </c>
      <c r="V490" s="2"/>
      <c r="W490" s="2"/>
      <c r="X490" s="2"/>
      <c r="Y490" s="2"/>
      <c r="Z490" s="2"/>
      <c r="AA490" s="2"/>
      <c r="AB490" s="34">
        <v>41</v>
      </c>
      <c r="AC490" s="2">
        <v>0.04</v>
      </c>
      <c r="AD490" s="2"/>
      <c r="AE490" s="34"/>
      <c r="AF490" s="34"/>
      <c r="AG490" s="34"/>
      <c r="AH490" s="2"/>
      <c r="AL490" s="2"/>
      <c r="AM490">
        <v>33</v>
      </c>
      <c r="AN490" s="2"/>
    </row>
    <row r="491" spans="1:40">
      <c r="A491" s="31" t="s">
        <v>889</v>
      </c>
      <c r="G491">
        <v>12</v>
      </c>
      <c r="H491">
        <v>24</v>
      </c>
      <c r="I491">
        <v>12</v>
      </c>
      <c r="J491">
        <v>37</v>
      </c>
      <c r="L491">
        <v>12</v>
      </c>
      <c r="M491">
        <v>30</v>
      </c>
      <c r="N491">
        <v>18</v>
      </c>
      <c r="O491">
        <v>18</v>
      </c>
      <c r="V491" s="2"/>
      <c r="W491" s="2"/>
      <c r="X491" s="2"/>
      <c r="Y491" s="2"/>
      <c r="Z491" s="2"/>
      <c r="AA491" s="2"/>
      <c r="AB491" s="34">
        <v>40</v>
      </c>
      <c r="AC491" s="2"/>
      <c r="AD491" s="2"/>
      <c r="AE491" s="34"/>
      <c r="AF491" s="34"/>
      <c r="AG491" s="34"/>
      <c r="AH491" s="2"/>
      <c r="AL491" s="2"/>
      <c r="AM491">
        <v>33</v>
      </c>
      <c r="AN491" s="2"/>
    </row>
    <row r="492" spans="1:40">
      <c r="A492" s="31" t="s">
        <v>1189</v>
      </c>
      <c r="G492">
        <v>17</v>
      </c>
      <c r="H492">
        <v>29</v>
      </c>
      <c r="I492">
        <v>17</v>
      </c>
      <c r="J492">
        <v>42</v>
      </c>
      <c r="L492">
        <v>17</v>
      </c>
      <c r="M492">
        <v>35</v>
      </c>
      <c r="N492">
        <v>45</v>
      </c>
      <c r="O492">
        <v>28</v>
      </c>
      <c r="V492" s="2"/>
      <c r="W492" s="2"/>
      <c r="X492" s="2"/>
      <c r="Y492" s="2"/>
      <c r="Z492" s="2"/>
      <c r="AA492" s="2"/>
      <c r="AB492" s="34">
        <v>40</v>
      </c>
      <c r="AC492" s="2"/>
      <c r="AD492" s="2"/>
      <c r="AE492" s="34"/>
      <c r="AF492" s="34"/>
      <c r="AG492" s="34"/>
      <c r="AH492" s="2"/>
      <c r="AL492" s="2"/>
      <c r="AM492">
        <v>33</v>
      </c>
      <c r="AN492" s="2"/>
    </row>
    <row r="493" spans="1:40">
      <c r="A493" s="31" t="s">
        <v>1190</v>
      </c>
      <c r="G493">
        <v>22</v>
      </c>
      <c r="H493">
        <v>34</v>
      </c>
      <c r="I493">
        <v>22</v>
      </c>
      <c r="J493">
        <v>47</v>
      </c>
      <c r="L493">
        <v>22</v>
      </c>
      <c r="M493">
        <v>40</v>
      </c>
      <c r="N493">
        <v>55</v>
      </c>
      <c r="O493">
        <v>38</v>
      </c>
      <c r="V493" s="2"/>
      <c r="W493" s="2"/>
      <c r="X493" s="2"/>
      <c r="Y493" s="2"/>
      <c r="Z493" s="2"/>
      <c r="AA493" s="2"/>
      <c r="AB493" s="34">
        <v>40</v>
      </c>
      <c r="AC493" s="2"/>
      <c r="AD493" s="2"/>
      <c r="AE493" s="34"/>
      <c r="AF493" s="34"/>
      <c r="AG493" s="34"/>
      <c r="AH493" s="2"/>
      <c r="AL493" s="2"/>
      <c r="AM493">
        <v>33</v>
      </c>
      <c r="AN493" s="2"/>
    </row>
    <row r="494" spans="1:40">
      <c r="A494" s="31" t="s">
        <v>1114</v>
      </c>
      <c r="G494">
        <v>14</v>
      </c>
      <c r="H494">
        <v>14</v>
      </c>
      <c r="I494">
        <v>15</v>
      </c>
      <c r="J494">
        <v>33</v>
      </c>
      <c r="L494">
        <v>11</v>
      </c>
      <c r="M494">
        <v>28</v>
      </c>
      <c r="V494" s="2">
        <v>0.03</v>
      </c>
      <c r="W494" s="2"/>
      <c r="X494" s="2"/>
      <c r="Y494" s="2"/>
      <c r="Z494" s="2"/>
      <c r="AA494" s="2"/>
      <c r="AB494" s="34">
        <v>31</v>
      </c>
      <c r="AC494" s="2"/>
      <c r="AD494" s="2"/>
      <c r="AE494" s="34">
        <v>7</v>
      </c>
      <c r="AF494" s="34"/>
      <c r="AG494" s="34"/>
      <c r="AH494" s="2"/>
      <c r="AL494" s="2"/>
      <c r="AN494" s="2"/>
    </row>
    <row r="495" spans="1:40">
      <c r="A495" s="31" t="s">
        <v>1102</v>
      </c>
      <c r="G495">
        <f>19+7</f>
        <v>26</v>
      </c>
      <c r="H495">
        <f>16+10</f>
        <v>26</v>
      </c>
      <c r="I495">
        <v>15</v>
      </c>
      <c r="J495">
        <v>33</v>
      </c>
      <c r="L495">
        <v>11</v>
      </c>
      <c r="M495">
        <v>28</v>
      </c>
      <c r="N495">
        <v>17</v>
      </c>
      <c r="V495" s="2">
        <v>0.02</v>
      </c>
      <c r="W495" s="2"/>
      <c r="X495" s="2"/>
      <c r="Y495" s="2"/>
      <c r="Z495" s="2"/>
      <c r="AA495" s="2"/>
      <c r="AB495" s="34">
        <v>41</v>
      </c>
      <c r="AC495" s="2"/>
      <c r="AD495" s="2"/>
      <c r="AE495" s="34"/>
      <c r="AF495" s="34"/>
      <c r="AG495" s="34"/>
      <c r="AH495" s="2"/>
      <c r="AL495" s="2"/>
      <c r="AN495" s="2"/>
    </row>
    <row r="496" spans="1:40">
      <c r="A496" s="31" t="s">
        <v>935</v>
      </c>
      <c r="G496">
        <v>8</v>
      </c>
      <c r="H496">
        <v>9</v>
      </c>
      <c r="I496">
        <v>8</v>
      </c>
      <c r="J496">
        <v>31</v>
      </c>
      <c r="K496">
        <v>17</v>
      </c>
      <c r="L496">
        <v>17</v>
      </c>
      <c r="M496">
        <v>32</v>
      </c>
      <c r="S496" s="34"/>
      <c r="V496" s="2"/>
      <c r="W496" s="2"/>
      <c r="X496" s="2"/>
      <c r="Y496" s="2"/>
      <c r="Z496" s="2"/>
      <c r="AA496" s="2"/>
      <c r="AB496" s="34">
        <v>40</v>
      </c>
      <c r="AC496" s="2"/>
      <c r="AD496" s="2"/>
      <c r="AF496" s="34"/>
      <c r="AG496" s="34"/>
      <c r="AH496" s="2"/>
      <c r="AJ496" s="2"/>
      <c r="AK496" s="2"/>
      <c r="AL496" s="2"/>
      <c r="AM496">
        <v>23</v>
      </c>
    </row>
    <row r="497" spans="1:40">
      <c r="A497" s="31" t="s">
        <v>1052</v>
      </c>
      <c r="G497">
        <v>8</v>
      </c>
      <c r="H497">
        <v>9</v>
      </c>
      <c r="I497">
        <v>8</v>
      </c>
      <c r="J497">
        <v>31</v>
      </c>
      <c r="K497">
        <f>16+10</f>
        <v>26</v>
      </c>
      <c r="L497">
        <v>17</v>
      </c>
      <c r="M497">
        <v>32</v>
      </c>
      <c r="S497" s="34">
        <v>7</v>
      </c>
      <c r="T497">
        <f>7+25</f>
        <v>32</v>
      </c>
      <c r="V497" s="2"/>
      <c r="W497" s="2"/>
      <c r="X497" s="2"/>
      <c r="Y497" s="2"/>
      <c r="Z497" s="2"/>
      <c r="AA497" s="2"/>
      <c r="AB497" s="34">
        <v>31</v>
      </c>
      <c r="AC497" s="2"/>
      <c r="AD497" s="2"/>
      <c r="AF497" s="34"/>
      <c r="AG497" s="34"/>
      <c r="AH497" s="2"/>
      <c r="AJ497" s="2"/>
      <c r="AK497" s="2"/>
      <c r="AL497" s="2"/>
    </row>
    <row r="498" spans="1:40">
      <c r="A498" s="31" t="s">
        <v>1087</v>
      </c>
      <c r="G498">
        <v>16</v>
      </c>
      <c r="H498">
        <v>24</v>
      </c>
      <c r="I498">
        <v>10</v>
      </c>
      <c r="J498">
        <v>43</v>
      </c>
      <c r="L498">
        <v>11</v>
      </c>
      <c r="M498">
        <v>26</v>
      </c>
      <c r="N498">
        <v>10</v>
      </c>
      <c r="O498">
        <v>10</v>
      </c>
      <c r="S498" s="34"/>
      <c r="V498" s="2"/>
      <c r="W498" s="2">
        <v>0.02</v>
      </c>
      <c r="X498" s="2"/>
      <c r="Y498" s="2"/>
      <c r="Z498" s="2"/>
      <c r="AA498" s="2"/>
      <c r="AB498" s="34">
        <v>41</v>
      </c>
      <c r="AC498" s="2"/>
      <c r="AD498" s="2"/>
      <c r="AF498" s="34"/>
      <c r="AG498" s="34"/>
      <c r="AH498" s="2"/>
      <c r="AJ498" s="2"/>
      <c r="AK498" s="2"/>
      <c r="AL498" s="2"/>
    </row>
    <row r="499" spans="1:40">
      <c r="A499" s="31" t="s">
        <v>1148</v>
      </c>
      <c r="G499" s="31">
        <f>16</f>
        <v>16</v>
      </c>
      <c r="H499">
        <f>24+11</f>
        <v>35</v>
      </c>
      <c r="I499">
        <v>10</v>
      </c>
      <c r="J499">
        <v>43</v>
      </c>
      <c r="L499">
        <v>11</v>
      </c>
      <c r="M499">
        <v>26</v>
      </c>
      <c r="N499">
        <f>10+39</f>
        <v>49</v>
      </c>
      <c r="O499">
        <f>10+36</f>
        <v>46</v>
      </c>
      <c r="S499" s="34"/>
      <c r="V499" s="2"/>
      <c r="W499" s="2">
        <v>0.02</v>
      </c>
      <c r="X499" s="2"/>
      <c r="Y499" s="2"/>
      <c r="Z499" s="2"/>
      <c r="AA499" s="2"/>
      <c r="AB499" s="34">
        <v>41</v>
      </c>
      <c r="AC499" s="2">
        <v>0.02</v>
      </c>
      <c r="AD499" s="2"/>
      <c r="AF499" s="34"/>
      <c r="AG499" s="34"/>
      <c r="AH499" s="2"/>
      <c r="AJ499" s="2"/>
      <c r="AK499" s="2"/>
      <c r="AL499" s="2"/>
    </row>
    <row r="500" spans="1:40">
      <c r="A500" s="31" t="s">
        <v>1129</v>
      </c>
      <c r="G500">
        <v>16</v>
      </c>
      <c r="H500">
        <v>24</v>
      </c>
      <c r="I500">
        <v>10</v>
      </c>
      <c r="J500">
        <v>43</v>
      </c>
      <c r="L500">
        <v>11</v>
      </c>
      <c r="M500">
        <v>26</v>
      </c>
      <c r="N500">
        <v>25</v>
      </c>
      <c r="O500">
        <v>27</v>
      </c>
      <c r="S500" s="34"/>
      <c r="V500" s="2"/>
      <c r="W500" s="2">
        <v>0.02</v>
      </c>
      <c r="X500" s="2"/>
      <c r="Y500" s="2"/>
      <c r="Z500" s="2"/>
      <c r="AA500" s="2">
        <v>0.06</v>
      </c>
      <c r="AB500" s="34">
        <v>41</v>
      </c>
      <c r="AC500" s="2"/>
      <c r="AD500" s="2"/>
      <c r="AF500" s="34"/>
      <c r="AG500" s="34"/>
      <c r="AH500" s="2"/>
      <c r="AJ500" s="2"/>
      <c r="AK500" s="2"/>
      <c r="AL500" s="2"/>
    </row>
    <row r="501" spans="1:40">
      <c r="A501" s="31" t="s">
        <v>1153</v>
      </c>
      <c r="G501">
        <f>16+12</f>
        <v>28</v>
      </c>
      <c r="H501">
        <f>24+14</f>
        <v>38</v>
      </c>
      <c r="I501">
        <v>10</v>
      </c>
      <c r="J501">
        <v>43</v>
      </c>
      <c r="L501">
        <v>11</v>
      </c>
      <c r="M501">
        <v>26</v>
      </c>
      <c r="N501">
        <v>10</v>
      </c>
      <c r="O501">
        <f>10+21</f>
        <v>31</v>
      </c>
      <c r="S501" s="34"/>
      <c r="V501" s="2"/>
      <c r="W501" s="2">
        <v>0.02</v>
      </c>
      <c r="X501" s="2"/>
      <c r="Y501" s="2"/>
      <c r="Z501" s="2"/>
      <c r="AA501" s="2"/>
      <c r="AB501" s="34">
        <v>41</v>
      </c>
      <c r="AC501" s="2"/>
      <c r="AD501" s="2"/>
      <c r="AF501" s="34"/>
      <c r="AG501" s="34"/>
      <c r="AH501" s="2">
        <v>0.02</v>
      </c>
      <c r="AJ501" s="2"/>
      <c r="AK501" s="2"/>
      <c r="AL501" s="2"/>
    </row>
    <row r="502" spans="1:40">
      <c r="A502" s="31" t="s">
        <v>1149</v>
      </c>
      <c r="G502" s="31">
        <f>16+10</f>
        <v>26</v>
      </c>
      <c r="H502">
        <v>34</v>
      </c>
      <c r="I502">
        <v>10</v>
      </c>
      <c r="J502">
        <v>43</v>
      </c>
      <c r="L502">
        <v>11</v>
      </c>
      <c r="M502">
        <v>26</v>
      </c>
      <c r="N502">
        <v>50</v>
      </c>
      <c r="O502">
        <v>50</v>
      </c>
      <c r="S502" s="34"/>
      <c r="V502" s="2"/>
      <c r="W502" s="2">
        <v>0.06</v>
      </c>
      <c r="X502" s="2"/>
      <c r="Y502" s="2"/>
      <c r="Z502" s="2"/>
      <c r="AA502" s="2"/>
      <c r="AB502" s="34">
        <v>41</v>
      </c>
      <c r="AC502" s="2"/>
      <c r="AD502" s="2"/>
      <c r="AF502" s="34"/>
      <c r="AG502" s="34"/>
      <c r="AH502" s="2"/>
      <c r="AJ502" s="2"/>
      <c r="AK502" s="2"/>
      <c r="AL502" s="2"/>
    </row>
    <row r="503" spans="1:40">
      <c r="A503" s="31" t="s">
        <v>1131</v>
      </c>
      <c r="G503">
        <v>16</v>
      </c>
      <c r="H503">
        <v>24</v>
      </c>
      <c r="I503">
        <v>10</v>
      </c>
      <c r="J503">
        <v>43</v>
      </c>
      <c r="L503">
        <v>11</v>
      </c>
      <c r="M503">
        <v>26</v>
      </c>
      <c r="N503">
        <f>10+12</f>
        <v>22</v>
      </c>
      <c r="O503">
        <v>10</v>
      </c>
      <c r="S503" s="34"/>
      <c r="V503" s="2"/>
      <c r="W503" s="2">
        <v>0.02</v>
      </c>
      <c r="X503" s="2"/>
      <c r="Y503" s="2"/>
      <c r="Z503" s="2"/>
      <c r="AA503" s="2"/>
      <c r="AB503" s="34">
        <v>41</v>
      </c>
      <c r="AC503" s="2"/>
      <c r="AD503" s="2"/>
      <c r="AF503" s="34"/>
      <c r="AG503" s="34"/>
      <c r="AH503" s="2"/>
      <c r="AJ503" s="2"/>
      <c r="AK503" s="2"/>
      <c r="AL503" s="2"/>
    </row>
    <row r="504" spans="1:40">
      <c r="A504" s="31" t="s">
        <v>1152</v>
      </c>
      <c r="G504">
        <f>16+15</f>
        <v>31</v>
      </c>
      <c r="H504">
        <v>24</v>
      </c>
      <c r="I504">
        <v>10</v>
      </c>
      <c r="J504">
        <v>43</v>
      </c>
      <c r="L504">
        <v>11</v>
      </c>
      <c r="M504">
        <v>26</v>
      </c>
      <c r="N504">
        <v>50</v>
      </c>
      <c r="O504">
        <v>50</v>
      </c>
      <c r="S504" s="34"/>
      <c r="V504" s="2"/>
      <c r="W504" s="2">
        <v>0.02</v>
      </c>
      <c r="X504" s="2"/>
      <c r="Y504" s="2"/>
      <c r="Z504" s="2"/>
      <c r="AA504" s="2"/>
      <c r="AB504" s="34">
        <v>41</v>
      </c>
      <c r="AC504" s="2"/>
      <c r="AD504" s="2"/>
      <c r="AF504" s="34"/>
      <c r="AG504" s="34"/>
      <c r="AH504" s="2">
        <v>0.05</v>
      </c>
      <c r="AJ504" s="2"/>
      <c r="AK504" s="2"/>
      <c r="AL504" s="2"/>
    </row>
    <row r="505" spans="1:40">
      <c r="A505" s="31" t="s">
        <v>1146</v>
      </c>
      <c r="G505">
        <v>16</v>
      </c>
      <c r="H505">
        <v>34</v>
      </c>
      <c r="I505">
        <v>10</v>
      </c>
      <c r="J505">
        <v>43</v>
      </c>
      <c r="L505">
        <v>11</v>
      </c>
      <c r="M505">
        <v>26</v>
      </c>
      <c r="N505">
        <v>40</v>
      </c>
      <c r="O505">
        <v>40</v>
      </c>
      <c r="S505" s="34"/>
      <c r="V505" s="2"/>
      <c r="W505" s="2">
        <v>0.02</v>
      </c>
      <c r="X505" s="2"/>
      <c r="Y505" s="2"/>
      <c r="Z505" s="2"/>
      <c r="AA505" s="2"/>
      <c r="AB505" s="34">
        <v>41</v>
      </c>
      <c r="AC505" s="2"/>
      <c r="AD505" s="2">
        <v>0.05</v>
      </c>
      <c r="AF505" s="34"/>
      <c r="AG505" s="34"/>
      <c r="AH505" s="2"/>
      <c r="AJ505" s="2"/>
      <c r="AK505" s="2"/>
      <c r="AL505" s="2"/>
    </row>
    <row r="506" spans="1:40">
      <c r="A506" s="31" t="s">
        <v>1179</v>
      </c>
      <c r="G506">
        <v>22</v>
      </c>
      <c r="H506">
        <v>25</v>
      </c>
      <c r="I506">
        <v>3</v>
      </c>
      <c r="J506">
        <v>28</v>
      </c>
      <c r="K506">
        <v>30</v>
      </c>
      <c r="L506">
        <v>21</v>
      </c>
      <c r="M506">
        <v>34</v>
      </c>
      <c r="N506">
        <v>36</v>
      </c>
      <c r="O506">
        <v>36</v>
      </c>
      <c r="S506" s="34">
        <v>36</v>
      </c>
      <c r="T506">
        <v>36</v>
      </c>
      <c r="V506" s="2"/>
      <c r="W506" s="2"/>
      <c r="X506" s="2"/>
      <c r="Y506" s="2"/>
      <c r="Z506" s="2"/>
      <c r="AA506" s="2"/>
      <c r="AB506" s="34"/>
      <c r="AC506" s="2"/>
      <c r="AD506" s="2"/>
      <c r="AF506" s="34"/>
      <c r="AG506" s="34"/>
      <c r="AH506" s="2"/>
      <c r="AJ506" s="2"/>
      <c r="AK506" s="2"/>
      <c r="AL506" s="2"/>
    </row>
    <row r="507" spans="1:40">
      <c r="A507" s="31" t="s">
        <v>1195</v>
      </c>
      <c r="G507">
        <v>25</v>
      </c>
      <c r="H507">
        <v>28</v>
      </c>
      <c r="I507">
        <v>3</v>
      </c>
      <c r="J507">
        <v>28</v>
      </c>
      <c r="K507">
        <v>33</v>
      </c>
      <c r="L507">
        <v>21</v>
      </c>
      <c r="M507">
        <v>34</v>
      </c>
      <c r="N507">
        <v>42</v>
      </c>
      <c r="O507">
        <v>42</v>
      </c>
      <c r="S507" s="34">
        <v>42</v>
      </c>
      <c r="T507">
        <v>39</v>
      </c>
      <c r="V507" s="2"/>
      <c r="W507" s="2"/>
      <c r="X507" s="2"/>
      <c r="Y507" s="2"/>
      <c r="Z507" s="2"/>
      <c r="AA507" s="2"/>
      <c r="AB507" s="34"/>
      <c r="AC507" s="2"/>
      <c r="AD507" s="2"/>
      <c r="AF507" s="34"/>
      <c r="AG507" s="34"/>
      <c r="AH507" s="2"/>
      <c r="AJ507" s="2"/>
      <c r="AK507" s="2"/>
      <c r="AL507" s="2"/>
    </row>
    <row r="508" spans="1:40">
      <c r="A508" s="31" t="s">
        <v>904</v>
      </c>
      <c r="C508">
        <v>8</v>
      </c>
      <c r="G508">
        <v>12</v>
      </c>
      <c r="H508">
        <v>24</v>
      </c>
      <c r="I508">
        <v>12</v>
      </c>
      <c r="J508">
        <v>37</v>
      </c>
      <c r="K508">
        <v>12</v>
      </c>
      <c r="L508">
        <v>12</v>
      </c>
      <c r="M508">
        <v>30</v>
      </c>
      <c r="O508">
        <v>25</v>
      </c>
      <c r="V508" s="2"/>
      <c r="W508" s="2"/>
      <c r="X508" s="2"/>
      <c r="Y508" s="2"/>
      <c r="Z508" s="2"/>
      <c r="AA508" s="2"/>
      <c r="AB508" s="34">
        <v>40</v>
      </c>
      <c r="AC508" s="2"/>
      <c r="AD508" s="2"/>
      <c r="AF508" s="34"/>
      <c r="AG508" s="34"/>
      <c r="AH508" s="2"/>
      <c r="AL508" s="2"/>
      <c r="AN508" s="2"/>
    </row>
    <row r="509" spans="1:40">
      <c r="A509" s="31" t="s">
        <v>1057</v>
      </c>
      <c r="G509">
        <v>10</v>
      </c>
      <c r="H509">
        <v>11</v>
      </c>
      <c r="I509">
        <v>10</v>
      </c>
      <c r="J509">
        <v>33</v>
      </c>
      <c r="K509">
        <v>17</v>
      </c>
      <c r="L509">
        <v>19</v>
      </c>
      <c r="M509">
        <v>34</v>
      </c>
      <c r="S509">
        <v>25</v>
      </c>
      <c r="V509" s="2"/>
      <c r="W509" s="2"/>
      <c r="X509" s="2"/>
      <c r="Y509" s="2"/>
      <c r="Z509" s="2"/>
      <c r="AA509" s="2"/>
      <c r="AB509" s="34">
        <v>31</v>
      </c>
      <c r="AC509" s="2"/>
      <c r="AD509" s="2"/>
      <c r="AF509" s="34"/>
      <c r="AG509" s="34"/>
      <c r="AH509" s="2"/>
      <c r="AL509" s="2"/>
      <c r="AN509" s="2"/>
    </row>
    <row r="510" spans="1:40">
      <c r="A510" s="31" t="s">
        <v>1083</v>
      </c>
      <c r="G510">
        <f>18+7</f>
        <v>25</v>
      </c>
      <c r="H510">
        <f>24+10</f>
        <v>34</v>
      </c>
      <c r="I510">
        <v>12</v>
      </c>
      <c r="J510">
        <v>37</v>
      </c>
      <c r="K510">
        <v>7</v>
      </c>
      <c r="L510">
        <v>18</v>
      </c>
      <c r="M510">
        <v>30</v>
      </c>
      <c r="N510">
        <v>23</v>
      </c>
      <c r="V510" s="2"/>
      <c r="W510" s="2"/>
      <c r="X510" s="2"/>
      <c r="Y510" s="2"/>
      <c r="Z510" s="2"/>
      <c r="AA510" s="2">
        <v>0.03</v>
      </c>
      <c r="AB510" s="34">
        <v>41</v>
      </c>
      <c r="AC510" s="2"/>
      <c r="AD510" s="2"/>
      <c r="AE510">
        <v>5</v>
      </c>
      <c r="AF510" s="34"/>
      <c r="AG510" s="34"/>
      <c r="AH510" s="2"/>
      <c r="AL510" s="2"/>
      <c r="AN510" s="2"/>
    </row>
    <row r="511" spans="1:40">
      <c r="A511" t="s">
        <v>1044</v>
      </c>
      <c r="G511">
        <v>10</v>
      </c>
      <c r="H511">
        <v>22</v>
      </c>
      <c r="I511">
        <v>10</v>
      </c>
      <c r="J511">
        <v>37</v>
      </c>
      <c r="L511">
        <v>10</v>
      </c>
      <c r="M511">
        <v>28</v>
      </c>
      <c r="N511">
        <v>7</v>
      </c>
      <c r="AA511" s="2">
        <v>0.04</v>
      </c>
      <c r="AB511">
        <v>41</v>
      </c>
    </row>
    <row r="512" spans="1:40">
      <c r="A512" t="s">
        <v>1045</v>
      </c>
      <c r="G512">
        <v>17</v>
      </c>
      <c r="H512">
        <v>29</v>
      </c>
      <c r="I512">
        <v>10</v>
      </c>
      <c r="J512">
        <v>37</v>
      </c>
      <c r="L512">
        <v>10</v>
      </c>
      <c r="M512">
        <v>28</v>
      </c>
      <c r="N512">
        <v>27</v>
      </c>
      <c r="O512">
        <v>20</v>
      </c>
      <c r="W512" s="2">
        <v>0.02</v>
      </c>
      <c r="AA512" s="2">
        <v>0.04</v>
      </c>
      <c r="AB512">
        <v>41</v>
      </c>
    </row>
    <row r="513" spans="1:40">
      <c r="A513" t="s">
        <v>1104</v>
      </c>
      <c r="G513">
        <v>13</v>
      </c>
      <c r="H513">
        <v>28</v>
      </c>
      <c r="I513">
        <v>13</v>
      </c>
      <c r="J513">
        <v>38</v>
      </c>
      <c r="K513">
        <v>1</v>
      </c>
      <c r="L513">
        <v>13</v>
      </c>
      <c r="M513">
        <v>31</v>
      </c>
      <c r="O513">
        <v>25</v>
      </c>
      <c r="W513" s="2"/>
      <c r="AA513" s="2"/>
      <c r="AB513">
        <v>41</v>
      </c>
      <c r="AC513" s="2">
        <v>0.04</v>
      </c>
      <c r="AD513" s="2">
        <v>0.05</v>
      </c>
    </row>
    <row r="514" spans="1:40">
      <c r="A514" s="31" t="s">
        <v>946</v>
      </c>
      <c r="G514">
        <v>9</v>
      </c>
      <c r="H514">
        <v>10</v>
      </c>
      <c r="I514">
        <v>9</v>
      </c>
      <c r="J514">
        <v>31</v>
      </c>
      <c r="K514">
        <v>16</v>
      </c>
      <c r="L514">
        <v>18</v>
      </c>
      <c r="M514">
        <v>32</v>
      </c>
      <c r="T514">
        <v>12</v>
      </c>
      <c r="V514" s="2"/>
      <c r="W514" s="2"/>
      <c r="X514" s="2"/>
      <c r="Y514" s="2"/>
      <c r="Z514" s="2"/>
      <c r="AA514" s="2"/>
      <c r="AB514" s="34">
        <v>30</v>
      </c>
      <c r="AC514" s="2"/>
      <c r="AD514" s="2"/>
      <c r="AF514" s="34"/>
      <c r="AG514" s="34"/>
      <c r="AH514" s="2"/>
      <c r="AI514" s="2"/>
      <c r="AJ514" s="2"/>
      <c r="AK514" s="2"/>
      <c r="AL514" s="2"/>
    </row>
    <row r="515" spans="1:40">
      <c r="AC515" s="2"/>
      <c r="AD515" s="2"/>
      <c r="AH515" s="2"/>
      <c r="AL515" s="2"/>
      <c r="AN515" s="2"/>
    </row>
    <row r="520" spans="1:40">
      <c r="AC520" s="2"/>
      <c r="AD520" s="2"/>
      <c r="AH520" s="2"/>
      <c r="AL520" s="2"/>
      <c r="AN520" s="2"/>
    </row>
  </sheetData>
  <sortState ref="A262:BP263">
    <sortCondition ref="A26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46"/>
  </sheetPr>
  <dimension ref="A1:AE358"/>
  <sheetViews>
    <sheetView workbookViewId="0">
      <pane ySplit="2" topLeftCell="A63" activePane="bottomLeft" state="frozenSplit"/>
      <selection pane="bottomLeft" activeCell="N92" sqref="N92"/>
    </sheetView>
  </sheetViews>
  <sheetFormatPr defaultRowHeight="12.75"/>
  <cols>
    <col min="1" max="1" width="24.28515625" customWidth="1"/>
    <col min="2" max="2" width="6.85546875" customWidth="1"/>
    <col min="3" max="3" width="9.85546875" customWidth="1"/>
    <col min="4" max="4" width="6.85546875" customWidth="1"/>
    <col min="5" max="12" width="5.28515625" customWidth="1"/>
    <col min="13" max="24" width="5.7109375" customWidth="1"/>
  </cols>
  <sheetData>
    <row r="1" spans="1:31">
      <c r="E1" t="s">
        <v>202</v>
      </c>
      <c r="M1" t="s">
        <v>587</v>
      </c>
      <c r="Y1" t="s">
        <v>608</v>
      </c>
    </row>
    <row r="2" spans="1:31">
      <c r="A2" t="s">
        <v>429</v>
      </c>
      <c r="B2" t="s">
        <v>32</v>
      </c>
      <c r="C2" t="s">
        <v>430</v>
      </c>
      <c r="D2" t="s">
        <v>431</v>
      </c>
      <c r="E2" t="s">
        <v>3</v>
      </c>
      <c r="F2" t="s">
        <v>4</v>
      </c>
      <c r="G2" t="s">
        <v>5</v>
      </c>
      <c r="H2" t="s">
        <v>42</v>
      </c>
      <c r="I2" t="s">
        <v>269</v>
      </c>
      <c r="J2" t="s">
        <v>270</v>
      </c>
      <c r="K2" t="s">
        <v>271</v>
      </c>
      <c r="L2" t="s">
        <v>268</v>
      </c>
      <c r="M2" t="s">
        <v>588</v>
      </c>
      <c r="N2" t="s">
        <v>589</v>
      </c>
      <c r="O2" t="s">
        <v>590</v>
      </c>
      <c r="P2" t="s">
        <v>591</v>
      </c>
      <c r="Q2" t="s">
        <v>592</v>
      </c>
      <c r="R2" t="s">
        <v>593</v>
      </c>
      <c r="S2" t="s">
        <v>594</v>
      </c>
      <c r="T2" t="s">
        <v>598</v>
      </c>
      <c r="U2" t="s">
        <v>595</v>
      </c>
      <c r="V2" t="s">
        <v>596</v>
      </c>
      <c r="W2" t="s">
        <v>597</v>
      </c>
      <c r="X2" t="s">
        <v>10</v>
      </c>
      <c r="Y2" t="s">
        <v>966</v>
      </c>
      <c r="Z2" t="s">
        <v>967</v>
      </c>
      <c r="AA2" s="31" t="s">
        <v>1039</v>
      </c>
      <c r="AB2" t="s">
        <v>968</v>
      </c>
      <c r="AC2" t="s">
        <v>969</v>
      </c>
      <c r="AD2" t="s">
        <v>970</v>
      </c>
      <c r="AE2" t="s">
        <v>971</v>
      </c>
    </row>
    <row r="3" spans="1:31">
      <c r="A3" t="s">
        <v>54</v>
      </c>
      <c r="B3">
        <v>0</v>
      </c>
      <c r="D3">
        <v>0</v>
      </c>
    </row>
    <row r="4" spans="1:31">
      <c r="A4" t="s">
        <v>439</v>
      </c>
      <c r="B4">
        <v>1</v>
      </c>
      <c r="C4" t="s">
        <v>426</v>
      </c>
      <c r="D4">
        <v>2</v>
      </c>
      <c r="G4">
        <v>1</v>
      </c>
    </row>
    <row r="5" spans="1:31">
      <c r="A5" t="s">
        <v>440</v>
      </c>
      <c r="B5">
        <v>1</v>
      </c>
      <c r="C5" t="s">
        <v>426</v>
      </c>
      <c r="D5">
        <v>1</v>
      </c>
      <c r="K5">
        <v>1</v>
      </c>
      <c r="L5">
        <v>5</v>
      </c>
    </row>
    <row r="6" spans="1:31">
      <c r="A6" t="s">
        <v>441</v>
      </c>
      <c r="B6">
        <v>1</v>
      </c>
      <c r="C6" t="s">
        <v>427</v>
      </c>
      <c r="D6">
        <v>2</v>
      </c>
      <c r="H6">
        <v>1</v>
      </c>
    </row>
    <row r="7" spans="1:31">
      <c r="A7" t="s">
        <v>442</v>
      </c>
      <c r="B7">
        <v>4</v>
      </c>
      <c r="C7" t="s">
        <v>322</v>
      </c>
      <c r="D7">
        <v>1</v>
      </c>
      <c r="J7">
        <v>1</v>
      </c>
    </row>
    <row r="8" spans="1:31">
      <c r="A8" t="s">
        <v>443</v>
      </c>
      <c r="B8">
        <v>4</v>
      </c>
      <c r="C8" t="s">
        <v>322</v>
      </c>
      <c r="D8">
        <v>2</v>
      </c>
      <c r="J8">
        <v>1</v>
      </c>
    </row>
    <row r="9" spans="1:31">
      <c r="A9" t="s">
        <v>438</v>
      </c>
      <c r="B9">
        <v>4</v>
      </c>
      <c r="C9" t="s">
        <v>428</v>
      </c>
      <c r="D9">
        <v>3</v>
      </c>
      <c r="K9">
        <v>1</v>
      </c>
      <c r="L9">
        <v>10</v>
      </c>
    </row>
    <row r="10" spans="1:31">
      <c r="A10" t="s">
        <v>444</v>
      </c>
      <c r="B10">
        <v>8</v>
      </c>
      <c r="C10" t="s">
        <v>426</v>
      </c>
      <c r="D10">
        <v>1</v>
      </c>
    </row>
    <row r="11" spans="1:31">
      <c r="A11" t="s">
        <v>445</v>
      </c>
      <c r="B11">
        <v>8</v>
      </c>
      <c r="C11" t="s">
        <v>426</v>
      </c>
      <c r="D11">
        <v>1</v>
      </c>
      <c r="G11">
        <v>3</v>
      </c>
    </row>
    <row r="12" spans="1:31">
      <c r="A12" t="s">
        <v>446</v>
      </c>
      <c r="B12">
        <v>8</v>
      </c>
      <c r="C12" t="s">
        <v>428</v>
      </c>
      <c r="D12">
        <v>2</v>
      </c>
      <c r="L12">
        <v>-5</v>
      </c>
    </row>
    <row r="13" spans="1:31">
      <c r="A13" t="s">
        <v>447</v>
      </c>
      <c r="B13">
        <v>12</v>
      </c>
      <c r="C13" t="s">
        <v>427</v>
      </c>
      <c r="D13">
        <v>3</v>
      </c>
      <c r="F13">
        <v>2</v>
      </c>
      <c r="Y13">
        <v>4</v>
      </c>
    </row>
    <row r="14" spans="1:31">
      <c r="A14" t="s">
        <v>448</v>
      </c>
      <c r="B14">
        <v>12</v>
      </c>
      <c r="C14" t="s">
        <v>322</v>
      </c>
      <c r="D14">
        <v>3</v>
      </c>
      <c r="F14">
        <v>2</v>
      </c>
    </row>
    <row r="15" spans="1:31">
      <c r="A15" t="s">
        <v>449</v>
      </c>
      <c r="B15">
        <v>12</v>
      </c>
      <c r="C15" t="s">
        <v>428</v>
      </c>
      <c r="D15">
        <v>3</v>
      </c>
      <c r="K15">
        <v>2</v>
      </c>
      <c r="L15">
        <v>5</v>
      </c>
    </row>
    <row r="16" spans="1:31">
      <c r="A16" t="s">
        <v>450</v>
      </c>
      <c r="B16">
        <v>16</v>
      </c>
      <c r="C16" t="s">
        <v>322</v>
      </c>
      <c r="D16">
        <v>2</v>
      </c>
      <c r="K16">
        <v>1</v>
      </c>
      <c r="L16">
        <v>5</v>
      </c>
    </row>
    <row r="17" spans="1:12">
      <c r="A17" t="s">
        <v>451</v>
      </c>
      <c r="B17">
        <v>16</v>
      </c>
      <c r="C17" t="s">
        <v>426</v>
      </c>
      <c r="D17">
        <v>4</v>
      </c>
      <c r="K17">
        <v>2</v>
      </c>
      <c r="L17">
        <v>10</v>
      </c>
    </row>
    <row r="18" spans="1:12">
      <c r="A18" t="s">
        <v>452</v>
      </c>
      <c r="B18">
        <v>16</v>
      </c>
      <c r="C18" t="s">
        <v>426</v>
      </c>
      <c r="D18">
        <v>2</v>
      </c>
      <c r="K18">
        <v>1</v>
      </c>
      <c r="L18">
        <v>5</v>
      </c>
    </row>
    <row r="19" spans="1:12">
      <c r="A19" t="s">
        <v>453</v>
      </c>
      <c r="B19">
        <v>18</v>
      </c>
      <c r="C19" t="s">
        <v>322</v>
      </c>
      <c r="D19">
        <v>2</v>
      </c>
      <c r="E19">
        <v>1</v>
      </c>
    </row>
    <row r="20" spans="1:12">
      <c r="A20" t="s">
        <v>454</v>
      </c>
      <c r="B20">
        <v>18</v>
      </c>
      <c r="C20" t="s">
        <v>426</v>
      </c>
      <c r="D20">
        <v>2</v>
      </c>
      <c r="J20">
        <v>1</v>
      </c>
    </row>
    <row r="21" spans="1:12">
      <c r="A21" t="s">
        <v>455</v>
      </c>
      <c r="B21">
        <v>18</v>
      </c>
      <c r="C21" t="s">
        <v>426</v>
      </c>
      <c r="D21">
        <v>2</v>
      </c>
      <c r="E21">
        <v>1</v>
      </c>
    </row>
    <row r="22" spans="1:12">
      <c r="A22" t="s">
        <v>456</v>
      </c>
      <c r="B22">
        <v>20</v>
      </c>
      <c r="C22" t="s">
        <v>426</v>
      </c>
      <c r="D22">
        <v>2</v>
      </c>
      <c r="L22">
        <v>-5</v>
      </c>
    </row>
    <row r="23" spans="1:12">
      <c r="A23" t="s">
        <v>457</v>
      </c>
      <c r="B23">
        <v>20</v>
      </c>
      <c r="C23" t="s">
        <v>427</v>
      </c>
      <c r="D23">
        <v>2</v>
      </c>
      <c r="G23">
        <v>1</v>
      </c>
    </row>
    <row r="24" spans="1:12">
      <c r="A24" t="s">
        <v>458</v>
      </c>
      <c r="B24">
        <v>22</v>
      </c>
      <c r="C24" t="s">
        <v>426</v>
      </c>
      <c r="D24">
        <v>1</v>
      </c>
      <c r="J24">
        <v>1</v>
      </c>
    </row>
    <row r="25" spans="1:12">
      <c r="A25" t="s">
        <v>459</v>
      </c>
      <c r="B25">
        <v>24</v>
      </c>
      <c r="C25" t="s">
        <v>426</v>
      </c>
      <c r="D25">
        <v>4</v>
      </c>
      <c r="L25">
        <v>-5</v>
      </c>
    </row>
    <row r="26" spans="1:12">
      <c r="A26" t="s">
        <v>460</v>
      </c>
      <c r="B26">
        <v>26</v>
      </c>
      <c r="C26" t="s">
        <v>428</v>
      </c>
      <c r="D26">
        <v>3</v>
      </c>
      <c r="G26">
        <v>1</v>
      </c>
      <c r="K26">
        <v>1</v>
      </c>
      <c r="L26">
        <v>10</v>
      </c>
    </row>
    <row r="27" spans="1:12">
      <c r="A27" t="s">
        <v>461</v>
      </c>
      <c r="B27">
        <v>28</v>
      </c>
      <c r="C27" t="s">
        <v>426</v>
      </c>
      <c r="D27">
        <v>3</v>
      </c>
      <c r="E27">
        <v>2</v>
      </c>
    </row>
    <row r="28" spans="1:12">
      <c r="A28" t="s">
        <v>462</v>
      </c>
      <c r="B28">
        <v>30</v>
      </c>
      <c r="C28" t="s">
        <v>426</v>
      </c>
      <c r="D28">
        <v>3</v>
      </c>
      <c r="L28">
        <v>5</v>
      </c>
    </row>
    <row r="29" spans="1:12">
      <c r="A29" t="s">
        <v>463</v>
      </c>
      <c r="B29">
        <v>30</v>
      </c>
      <c r="C29" t="s">
        <v>322</v>
      </c>
      <c r="D29">
        <v>2</v>
      </c>
      <c r="I29">
        <v>1</v>
      </c>
    </row>
    <row r="30" spans="1:12">
      <c r="A30" t="s">
        <v>464</v>
      </c>
      <c r="B30">
        <v>32</v>
      </c>
      <c r="C30" t="s">
        <v>426</v>
      </c>
      <c r="D30">
        <v>1</v>
      </c>
    </row>
    <row r="31" spans="1:12">
      <c r="A31" t="s">
        <v>465</v>
      </c>
      <c r="B31">
        <v>32</v>
      </c>
      <c r="C31" t="s">
        <v>426</v>
      </c>
      <c r="D31">
        <v>2</v>
      </c>
      <c r="H31">
        <v>1</v>
      </c>
    </row>
    <row r="32" spans="1:12">
      <c r="A32" t="s">
        <v>466</v>
      </c>
      <c r="B32">
        <v>34</v>
      </c>
      <c r="C32" t="s">
        <v>426</v>
      </c>
      <c r="D32">
        <v>2</v>
      </c>
      <c r="L32">
        <v>-5</v>
      </c>
    </row>
    <row r="33" spans="1:25">
      <c r="A33" t="s">
        <v>467</v>
      </c>
      <c r="B33">
        <v>34</v>
      </c>
      <c r="C33" t="s">
        <v>427</v>
      </c>
      <c r="D33">
        <v>3</v>
      </c>
      <c r="H33">
        <v>3</v>
      </c>
    </row>
    <row r="34" spans="1:25">
      <c r="A34" t="s">
        <v>468</v>
      </c>
      <c r="B34">
        <v>36</v>
      </c>
      <c r="C34" t="s">
        <v>426</v>
      </c>
      <c r="D34">
        <v>2</v>
      </c>
      <c r="L34">
        <v>-5</v>
      </c>
    </row>
    <row r="35" spans="1:25">
      <c r="A35" t="s">
        <v>469</v>
      </c>
      <c r="B35">
        <v>36</v>
      </c>
      <c r="C35" t="s">
        <v>428</v>
      </c>
      <c r="D35">
        <v>2</v>
      </c>
      <c r="E35">
        <v>1</v>
      </c>
    </row>
    <row r="36" spans="1:25">
      <c r="A36" t="s">
        <v>470</v>
      </c>
      <c r="B36">
        <v>38</v>
      </c>
      <c r="C36" t="s">
        <v>426</v>
      </c>
      <c r="D36">
        <v>2</v>
      </c>
    </row>
    <row r="37" spans="1:25">
      <c r="A37" t="s">
        <v>471</v>
      </c>
      <c r="B37">
        <v>38</v>
      </c>
      <c r="C37" t="s">
        <v>322</v>
      </c>
      <c r="D37">
        <v>4</v>
      </c>
      <c r="F37">
        <v>2</v>
      </c>
    </row>
    <row r="38" spans="1:25">
      <c r="A38" t="s">
        <v>472</v>
      </c>
      <c r="B38">
        <v>38</v>
      </c>
      <c r="C38" t="s">
        <v>322</v>
      </c>
      <c r="D38">
        <v>3</v>
      </c>
      <c r="E38">
        <v>2</v>
      </c>
      <c r="F38">
        <v>1</v>
      </c>
      <c r="Y38">
        <v>4</v>
      </c>
    </row>
    <row r="39" spans="1:25">
      <c r="A39" t="s">
        <v>473</v>
      </c>
      <c r="B39">
        <v>40</v>
      </c>
      <c r="C39" t="s">
        <v>426</v>
      </c>
      <c r="D39">
        <v>4</v>
      </c>
      <c r="H39">
        <v>3</v>
      </c>
    </row>
    <row r="40" spans="1:25">
      <c r="A40" t="s">
        <v>474</v>
      </c>
      <c r="B40">
        <v>40</v>
      </c>
      <c r="C40" t="s">
        <v>322</v>
      </c>
      <c r="D40">
        <v>3</v>
      </c>
      <c r="L40">
        <v>-5</v>
      </c>
    </row>
    <row r="41" spans="1:25">
      <c r="A41" t="s">
        <v>475</v>
      </c>
      <c r="B41">
        <v>42</v>
      </c>
      <c r="C41" t="s">
        <v>426</v>
      </c>
      <c r="D41">
        <v>3</v>
      </c>
      <c r="J41">
        <v>2</v>
      </c>
    </row>
    <row r="42" spans="1:25">
      <c r="A42" t="s">
        <v>476</v>
      </c>
      <c r="B42">
        <v>42</v>
      </c>
      <c r="C42" t="s">
        <v>426</v>
      </c>
      <c r="D42">
        <v>4</v>
      </c>
    </row>
    <row r="43" spans="1:25">
      <c r="A43" t="s">
        <v>477</v>
      </c>
      <c r="B43">
        <v>44</v>
      </c>
      <c r="C43" t="s">
        <v>426</v>
      </c>
      <c r="D43">
        <v>4</v>
      </c>
      <c r="F43">
        <v>3</v>
      </c>
    </row>
    <row r="44" spans="1:25">
      <c r="A44" t="s">
        <v>478</v>
      </c>
      <c r="B44">
        <v>44</v>
      </c>
      <c r="C44" t="s">
        <v>426</v>
      </c>
      <c r="D44">
        <v>2</v>
      </c>
      <c r="H44">
        <v>1</v>
      </c>
    </row>
    <row r="45" spans="1:25">
      <c r="A45" t="s">
        <v>479</v>
      </c>
      <c r="B45">
        <v>44</v>
      </c>
      <c r="C45" t="s">
        <v>427</v>
      </c>
      <c r="D45">
        <v>2</v>
      </c>
      <c r="I45">
        <v>1</v>
      </c>
    </row>
    <row r="46" spans="1:25">
      <c r="A46" t="s">
        <v>480</v>
      </c>
      <c r="B46">
        <v>46</v>
      </c>
      <c r="C46" t="s">
        <v>426</v>
      </c>
      <c r="D46">
        <v>3</v>
      </c>
      <c r="G46">
        <v>2</v>
      </c>
    </row>
    <row r="47" spans="1:25">
      <c r="A47" t="s">
        <v>481</v>
      </c>
      <c r="B47">
        <v>46</v>
      </c>
      <c r="C47" t="s">
        <v>426</v>
      </c>
      <c r="D47">
        <v>3</v>
      </c>
      <c r="L47">
        <v>-5</v>
      </c>
    </row>
    <row r="48" spans="1:25">
      <c r="A48" t="s">
        <v>482</v>
      </c>
      <c r="B48">
        <v>46</v>
      </c>
      <c r="C48" t="s">
        <v>426</v>
      </c>
      <c r="D48">
        <v>2</v>
      </c>
      <c r="J48">
        <v>1</v>
      </c>
    </row>
    <row r="49" spans="1:30">
      <c r="A49" t="s">
        <v>483</v>
      </c>
      <c r="B49">
        <v>48</v>
      </c>
      <c r="C49" t="s">
        <v>426</v>
      </c>
      <c r="D49">
        <v>4</v>
      </c>
      <c r="H49">
        <v>2</v>
      </c>
    </row>
    <row r="50" spans="1:30">
      <c r="A50" t="s">
        <v>484</v>
      </c>
      <c r="B50">
        <v>48</v>
      </c>
      <c r="C50" t="s">
        <v>426</v>
      </c>
      <c r="D50">
        <v>2</v>
      </c>
      <c r="L50">
        <v>-5</v>
      </c>
    </row>
    <row r="51" spans="1:30">
      <c r="A51" t="s">
        <v>485</v>
      </c>
      <c r="B51">
        <v>48</v>
      </c>
      <c r="C51" t="s">
        <v>322</v>
      </c>
      <c r="D51">
        <v>4</v>
      </c>
      <c r="L51">
        <v>-5</v>
      </c>
      <c r="AD51">
        <v>4</v>
      </c>
    </row>
    <row r="52" spans="1:30">
      <c r="A52" t="s">
        <v>486</v>
      </c>
      <c r="B52">
        <v>48</v>
      </c>
      <c r="C52" t="s">
        <v>426</v>
      </c>
      <c r="D52">
        <v>4</v>
      </c>
    </row>
    <row r="53" spans="1:30">
      <c r="A53" t="s">
        <v>487</v>
      </c>
      <c r="B53">
        <v>50</v>
      </c>
      <c r="C53" t="s">
        <v>426</v>
      </c>
      <c r="D53">
        <v>3</v>
      </c>
      <c r="I53">
        <v>1</v>
      </c>
    </row>
    <row r="54" spans="1:30">
      <c r="A54" t="s">
        <v>488</v>
      </c>
      <c r="B54">
        <v>50</v>
      </c>
      <c r="C54" t="s">
        <v>426</v>
      </c>
      <c r="D54">
        <v>3</v>
      </c>
      <c r="E54">
        <v>2</v>
      </c>
    </row>
    <row r="55" spans="1:30">
      <c r="A55" t="s">
        <v>489</v>
      </c>
      <c r="B55">
        <v>50</v>
      </c>
      <c r="C55" t="s">
        <v>426</v>
      </c>
      <c r="D55">
        <v>3</v>
      </c>
      <c r="H55">
        <v>2</v>
      </c>
    </row>
    <row r="56" spans="1:30">
      <c r="A56" t="s">
        <v>490</v>
      </c>
      <c r="B56">
        <v>52</v>
      </c>
      <c r="C56" t="s">
        <v>426</v>
      </c>
      <c r="D56">
        <v>1</v>
      </c>
      <c r="I56">
        <v>-1</v>
      </c>
    </row>
    <row r="57" spans="1:30">
      <c r="A57" t="s">
        <v>491</v>
      </c>
      <c r="B57">
        <v>52</v>
      </c>
      <c r="C57" t="s">
        <v>426</v>
      </c>
      <c r="D57">
        <v>3</v>
      </c>
      <c r="G57">
        <v>1</v>
      </c>
    </row>
    <row r="58" spans="1:30">
      <c r="A58" t="s">
        <v>492</v>
      </c>
      <c r="B58">
        <v>54</v>
      </c>
      <c r="C58" t="s">
        <v>426</v>
      </c>
      <c r="D58">
        <v>3</v>
      </c>
      <c r="H58">
        <v>1</v>
      </c>
    </row>
    <row r="59" spans="1:30">
      <c r="A59" t="s">
        <v>493</v>
      </c>
      <c r="B59">
        <v>54</v>
      </c>
      <c r="C59" t="s">
        <v>426</v>
      </c>
      <c r="D59">
        <v>4</v>
      </c>
      <c r="K59">
        <v>1</v>
      </c>
      <c r="L59">
        <v>5</v>
      </c>
    </row>
    <row r="60" spans="1:30">
      <c r="A60" t="s">
        <v>494</v>
      </c>
      <c r="B60">
        <v>56</v>
      </c>
      <c r="C60" t="s">
        <v>426</v>
      </c>
      <c r="D60">
        <v>2</v>
      </c>
    </row>
    <row r="61" spans="1:30">
      <c r="A61" t="s">
        <v>495</v>
      </c>
      <c r="B61">
        <v>58</v>
      </c>
      <c r="C61" t="s">
        <v>426</v>
      </c>
      <c r="D61">
        <v>3</v>
      </c>
      <c r="K61">
        <v>1</v>
      </c>
      <c r="L61">
        <v>5</v>
      </c>
    </row>
    <row r="62" spans="1:30">
      <c r="A62" t="s">
        <v>496</v>
      </c>
      <c r="B62">
        <v>58</v>
      </c>
      <c r="C62" t="s">
        <v>426</v>
      </c>
      <c r="D62">
        <v>3</v>
      </c>
      <c r="H62">
        <v>1</v>
      </c>
    </row>
    <row r="63" spans="1:30">
      <c r="A63" t="s">
        <v>497</v>
      </c>
      <c r="B63">
        <v>58</v>
      </c>
      <c r="C63" t="s">
        <v>426</v>
      </c>
      <c r="D63">
        <v>5</v>
      </c>
      <c r="K63">
        <v>1</v>
      </c>
      <c r="L63">
        <v>15</v>
      </c>
    </row>
    <row r="64" spans="1:30">
      <c r="A64" t="s">
        <v>498</v>
      </c>
      <c r="B64">
        <v>60</v>
      </c>
      <c r="C64" t="s">
        <v>427</v>
      </c>
      <c r="D64">
        <v>5</v>
      </c>
      <c r="J64">
        <v>2</v>
      </c>
      <c r="K64">
        <v>2</v>
      </c>
      <c r="L64">
        <v>5</v>
      </c>
      <c r="Y64">
        <v>4</v>
      </c>
    </row>
    <row r="65" spans="1:26">
      <c r="A65" t="s">
        <v>499</v>
      </c>
      <c r="B65">
        <v>60</v>
      </c>
      <c r="C65" t="s">
        <v>322</v>
      </c>
      <c r="D65">
        <v>5</v>
      </c>
      <c r="F65">
        <v>1</v>
      </c>
      <c r="K65">
        <v>1</v>
      </c>
      <c r="L65">
        <v>5</v>
      </c>
      <c r="Z65">
        <v>4</v>
      </c>
    </row>
    <row r="66" spans="1:26">
      <c r="A66" t="s">
        <v>500</v>
      </c>
      <c r="B66">
        <v>60</v>
      </c>
      <c r="C66" t="s">
        <v>427</v>
      </c>
      <c r="D66">
        <v>3</v>
      </c>
      <c r="E66">
        <v>1</v>
      </c>
      <c r="L66">
        <v>5</v>
      </c>
    </row>
    <row r="67" spans="1:26">
      <c r="A67" t="s">
        <v>501</v>
      </c>
      <c r="B67">
        <v>61</v>
      </c>
      <c r="C67" t="s">
        <v>426</v>
      </c>
      <c r="D67">
        <v>5</v>
      </c>
      <c r="J67">
        <v>2</v>
      </c>
    </row>
    <row r="68" spans="1:26">
      <c r="A68" t="s">
        <v>502</v>
      </c>
      <c r="B68">
        <v>61</v>
      </c>
      <c r="C68" t="s">
        <v>426</v>
      </c>
      <c r="D68">
        <v>4</v>
      </c>
      <c r="L68">
        <v>-5</v>
      </c>
    </row>
    <row r="69" spans="1:26">
      <c r="A69" t="s">
        <v>503</v>
      </c>
      <c r="B69">
        <v>61</v>
      </c>
      <c r="C69" t="s">
        <v>427</v>
      </c>
      <c r="D69">
        <v>2</v>
      </c>
      <c r="G69">
        <v>1</v>
      </c>
    </row>
    <row r="70" spans="1:26">
      <c r="A70" t="s">
        <v>504</v>
      </c>
      <c r="B70">
        <v>61</v>
      </c>
      <c r="C70" t="s">
        <v>426</v>
      </c>
      <c r="D70">
        <v>5</v>
      </c>
      <c r="I70">
        <v>2</v>
      </c>
      <c r="J70">
        <v>2</v>
      </c>
    </row>
    <row r="71" spans="1:26">
      <c r="A71" t="s">
        <v>505</v>
      </c>
      <c r="B71">
        <v>62</v>
      </c>
      <c r="C71" t="s">
        <v>426</v>
      </c>
      <c r="D71">
        <v>4</v>
      </c>
      <c r="I71">
        <v>1</v>
      </c>
    </row>
    <row r="72" spans="1:26">
      <c r="A72" t="s">
        <v>506</v>
      </c>
      <c r="B72">
        <v>62</v>
      </c>
      <c r="C72" t="s">
        <v>322</v>
      </c>
      <c r="D72">
        <v>4</v>
      </c>
      <c r="G72">
        <v>1</v>
      </c>
    </row>
    <row r="73" spans="1:26">
      <c r="A73" t="s">
        <v>507</v>
      </c>
      <c r="B73">
        <v>62</v>
      </c>
      <c r="C73" t="s">
        <v>426</v>
      </c>
      <c r="D73">
        <v>5</v>
      </c>
      <c r="G73">
        <v>3</v>
      </c>
      <c r="H73">
        <v>3</v>
      </c>
    </row>
    <row r="74" spans="1:26">
      <c r="A74" t="s">
        <v>508</v>
      </c>
      <c r="B74">
        <v>63</v>
      </c>
      <c r="C74" t="s">
        <v>427</v>
      </c>
      <c r="D74">
        <v>4</v>
      </c>
      <c r="G74">
        <v>2</v>
      </c>
      <c r="I74">
        <v>1</v>
      </c>
      <c r="J74">
        <v>1</v>
      </c>
      <c r="Y74">
        <v>4</v>
      </c>
    </row>
    <row r="75" spans="1:26">
      <c r="A75" t="s">
        <v>509</v>
      </c>
      <c r="B75">
        <v>63</v>
      </c>
      <c r="C75" t="s">
        <v>322</v>
      </c>
      <c r="D75">
        <v>3</v>
      </c>
      <c r="I75">
        <v>1</v>
      </c>
      <c r="M75" s="2">
        <v>0.2</v>
      </c>
      <c r="N75" s="2">
        <v>0.2</v>
      </c>
      <c r="U75">
        <v>3.63</v>
      </c>
      <c r="Z75">
        <v>4</v>
      </c>
    </row>
    <row r="76" spans="1:26">
      <c r="A76" t="s">
        <v>510</v>
      </c>
      <c r="B76">
        <v>63</v>
      </c>
      <c r="C76" t="s">
        <v>322</v>
      </c>
      <c r="D76">
        <v>3</v>
      </c>
      <c r="F76">
        <v>2</v>
      </c>
    </row>
    <row r="77" spans="1:26">
      <c r="A77" t="s">
        <v>511</v>
      </c>
      <c r="B77">
        <v>63</v>
      </c>
      <c r="C77" t="s">
        <v>322</v>
      </c>
      <c r="D77">
        <v>3</v>
      </c>
      <c r="J77">
        <v>2</v>
      </c>
    </row>
    <row r="78" spans="1:26">
      <c r="A78" t="s">
        <v>512</v>
      </c>
      <c r="B78">
        <v>64</v>
      </c>
      <c r="C78" t="s">
        <v>426</v>
      </c>
      <c r="D78">
        <v>3</v>
      </c>
      <c r="H78">
        <v>1</v>
      </c>
    </row>
    <row r="79" spans="1:26">
      <c r="A79" t="s">
        <v>513</v>
      </c>
      <c r="B79">
        <v>64</v>
      </c>
      <c r="C79" t="s">
        <v>426</v>
      </c>
      <c r="D79">
        <v>3</v>
      </c>
      <c r="K79">
        <v>1</v>
      </c>
      <c r="L79">
        <v>5</v>
      </c>
    </row>
    <row r="80" spans="1:26">
      <c r="A80" t="s">
        <v>514</v>
      </c>
      <c r="B80">
        <v>64</v>
      </c>
      <c r="C80" t="s">
        <v>426</v>
      </c>
      <c r="D80">
        <v>4</v>
      </c>
      <c r="H80">
        <v>2</v>
      </c>
    </row>
    <row r="81" spans="1:30">
      <c r="A81" t="s">
        <v>515</v>
      </c>
      <c r="B81">
        <v>65</v>
      </c>
      <c r="C81" t="s">
        <v>426</v>
      </c>
      <c r="D81">
        <v>4</v>
      </c>
      <c r="I81">
        <v>1</v>
      </c>
    </row>
    <row r="82" spans="1:30">
      <c r="A82" t="s">
        <v>516</v>
      </c>
      <c r="B82">
        <v>65</v>
      </c>
      <c r="C82" t="s">
        <v>426</v>
      </c>
      <c r="D82">
        <v>2</v>
      </c>
      <c r="H82">
        <v>2</v>
      </c>
    </row>
    <row r="83" spans="1:30">
      <c r="A83" t="s">
        <v>517</v>
      </c>
      <c r="B83">
        <v>66</v>
      </c>
      <c r="C83" t="s">
        <v>426</v>
      </c>
      <c r="D83">
        <v>3</v>
      </c>
      <c r="I83">
        <v>-2</v>
      </c>
    </row>
    <row r="84" spans="1:30">
      <c r="A84" t="s">
        <v>518</v>
      </c>
      <c r="B84">
        <v>66</v>
      </c>
      <c r="C84" t="s">
        <v>426</v>
      </c>
      <c r="D84">
        <v>2</v>
      </c>
      <c r="G84">
        <v>1</v>
      </c>
    </row>
    <row r="85" spans="1:30">
      <c r="A85" t="s">
        <v>519</v>
      </c>
      <c r="B85">
        <v>66</v>
      </c>
      <c r="C85" t="s">
        <v>426</v>
      </c>
      <c r="D85">
        <v>4</v>
      </c>
      <c r="L85">
        <v>-10</v>
      </c>
    </row>
    <row r="86" spans="1:30">
      <c r="A86" t="s">
        <v>520</v>
      </c>
      <c r="B86">
        <v>67</v>
      </c>
      <c r="C86" t="s">
        <v>426</v>
      </c>
      <c r="D86">
        <v>3</v>
      </c>
      <c r="G86">
        <v>1</v>
      </c>
    </row>
    <row r="87" spans="1:30">
      <c r="A87" t="s">
        <v>521</v>
      </c>
      <c r="B87">
        <v>67</v>
      </c>
      <c r="C87" t="s">
        <v>426</v>
      </c>
      <c r="D87">
        <v>5</v>
      </c>
      <c r="L87">
        <v>-5</v>
      </c>
    </row>
    <row r="88" spans="1:30">
      <c r="A88" t="s">
        <v>522</v>
      </c>
      <c r="B88">
        <v>68</v>
      </c>
      <c r="C88" t="s">
        <v>426</v>
      </c>
      <c r="D88">
        <v>4</v>
      </c>
      <c r="G88">
        <v>1</v>
      </c>
    </row>
    <row r="89" spans="1:30">
      <c r="A89" t="s">
        <v>523</v>
      </c>
      <c r="B89">
        <v>68</v>
      </c>
      <c r="C89" t="s">
        <v>426</v>
      </c>
      <c r="D89">
        <v>5</v>
      </c>
      <c r="E89">
        <v>3</v>
      </c>
    </row>
    <row r="90" spans="1:30">
      <c r="A90" t="s">
        <v>524</v>
      </c>
      <c r="B90">
        <v>69</v>
      </c>
      <c r="C90" t="s">
        <v>322</v>
      </c>
      <c r="D90">
        <v>4</v>
      </c>
      <c r="J90">
        <v>2</v>
      </c>
      <c r="AD90">
        <v>4</v>
      </c>
    </row>
    <row r="91" spans="1:30">
      <c r="A91" t="s">
        <v>525</v>
      </c>
      <c r="B91">
        <v>69</v>
      </c>
      <c r="C91" t="s">
        <v>322</v>
      </c>
      <c r="D91">
        <v>5</v>
      </c>
      <c r="F91">
        <v>2</v>
      </c>
      <c r="H91">
        <v>1</v>
      </c>
      <c r="N91" s="2">
        <v>0.3</v>
      </c>
    </row>
    <row r="92" spans="1:30">
      <c r="A92" t="s">
        <v>526</v>
      </c>
      <c r="B92">
        <v>69</v>
      </c>
      <c r="C92" t="s">
        <v>426</v>
      </c>
      <c r="D92">
        <v>1</v>
      </c>
      <c r="I92">
        <v>1</v>
      </c>
      <c r="J92">
        <v>1</v>
      </c>
    </row>
    <row r="93" spans="1:30">
      <c r="A93" t="s">
        <v>527</v>
      </c>
      <c r="B93">
        <v>70</v>
      </c>
      <c r="C93" t="s">
        <v>426</v>
      </c>
      <c r="D93">
        <v>3</v>
      </c>
      <c r="L93">
        <v>-5</v>
      </c>
    </row>
    <row r="94" spans="1:30">
      <c r="A94" t="s">
        <v>528</v>
      </c>
      <c r="B94">
        <v>70</v>
      </c>
      <c r="C94" t="s">
        <v>322</v>
      </c>
      <c r="D94">
        <v>3</v>
      </c>
      <c r="E94">
        <v>1</v>
      </c>
      <c r="F94">
        <v>1</v>
      </c>
    </row>
    <row r="95" spans="1:30">
      <c r="A95" t="s">
        <v>529</v>
      </c>
      <c r="B95">
        <v>70</v>
      </c>
      <c r="C95" t="s">
        <v>322</v>
      </c>
      <c r="D95">
        <v>2</v>
      </c>
      <c r="H95">
        <v>3</v>
      </c>
    </row>
    <row r="96" spans="1:30">
      <c r="A96" t="s">
        <v>530</v>
      </c>
      <c r="B96">
        <v>71</v>
      </c>
      <c r="C96" t="s">
        <v>426</v>
      </c>
      <c r="D96">
        <v>2</v>
      </c>
      <c r="L96">
        <v>-5</v>
      </c>
    </row>
    <row r="97" spans="1:29">
      <c r="A97" t="s">
        <v>531</v>
      </c>
      <c r="B97">
        <v>71</v>
      </c>
      <c r="C97" t="s">
        <v>426</v>
      </c>
      <c r="D97">
        <v>4</v>
      </c>
      <c r="E97">
        <v>3</v>
      </c>
    </row>
    <row r="98" spans="1:29">
      <c r="A98" t="s">
        <v>532</v>
      </c>
      <c r="B98">
        <v>71</v>
      </c>
      <c r="C98" t="s">
        <v>426</v>
      </c>
      <c r="D98">
        <v>3</v>
      </c>
      <c r="E98">
        <v>3</v>
      </c>
    </row>
    <row r="99" spans="1:29">
      <c r="A99" t="s">
        <v>533</v>
      </c>
      <c r="B99">
        <v>72</v>
      </c>
      <c r="C99" t="s">
        <v>322</v>
      </c>
      <c r="D99">
        <v>4</v>
      </c>
      <c r="G99">
        <v>3</v>
      </c>
      <c r="L99">
        <v>10</v>
      </c>
    </row>
    <row r="100" spans="1:29">
      <c r="A100" t="s">
        <v>534</v>
      </c>
      <c r="B100">
        <v>72</v>
      </c>
      <c r="C100" t="s">
        <v>428</v>
      </c>
      <c r="D100">
        <v>5</v>
      </c>
      <c r="I100">
        <v>1</v>
      </c>
      <c r="J100">
        <v>-1</v>
      </c>
      <c r="Z100">
        <v>4</v>
      </c>
    </row>
    <row r="101" spans="1:29">
      <c r="A101" t="s">
        <v>535</v>
      </c>
      <c r="B101">
        <v>72</v>
      </c>
      <c r="C101" t="s">
        <v>426</v>
      </c>
      <c r="D101">
        <v>3</v>
      </c>
      <c r="G101">
        <v>2</v>
      </c>
      <c r="H101">
        <v>2</v>
      </c>
    </row>
    <row r="102" spans="1:29">
      <c r="A102" t="s">
        <v>536</v>
      </c>
      <c r="B102">
        <v>73</v>
      </c>
      <c r="C102" t="s">
        <v>322</v>
      </c>
      <c r="D102">
        <v>4</v>
      </c>
      <c r="L102">
        <v>5</v>
      </c>
    </row>
    <row r="103" spans="1:29">
      <c r="A103" t="s">
        <v>537</v>
      </c>
      <c r="B103">
        <v>73</v>
      </c>
      <c r="C103" t="s">
        <v>426</v>
      </c>
      <c r="D103">
        <v>4</v>
      </c>
      <c r="J103">
        <v>1</v>
      </c>
    </row>
    <row r="104" spans="1:29">
      <c r="A104" t="s">
        <v>538</v>
      </c>
      <c r="B104">
        <v>73</v>
      </c>
      <c r="C104" t="s">
        <v>426</v>
      </c>
      <c r="D104">
        <v>5</v>
      </c>
      <c r="L104">
        <v>10</v>
      </c>
      <c r="Y104">
        <v>4</v>
      </c>
    </row>
    <row r="105" spans="1:29">
      <c r="A105" t="s">
        <v>539</v>
      </c>
      <c r="B105">
        <v>74</v>
      </c>
      <c r="C105" t="s">
        <v>426</v>
      </c>
      <c r="D105">
        <v>4</v>
      </c>
      <c r="K105">
        <v>2</v>
      </c>
      <c r="L105">
        <v>20</v>
      </c>
    </row>
    <row r="106" spans="1:29">
      <c r="A106" t="s">
        <v>540</v>
      </c>
      <c r="B106">
        <v>74</v>
      </c>
      <c r="C106" t="s">
        <v>426</v>
      </c>
      <c r="D106">
        <v>4</v>
      </c>
      <c r="J106">
        <v>2</v>
      </c>
    </row>
    <row r="107" spans="1:29">
      <c r="A107" t="s">
        <v>541</v>
      </c>
      <c r="B107">
        <v>74</v>
      </c>
      <c r="C107" t="s">
        <v>426</v>
      </c>
      <c r="D107">
        <v>5</v>
      </c>
      <c r="I107">
        <v>3</v>
      </c>
      <c r="J107">
        <v>3</v>
      </c>
    </row>
    <row r="108" spans="1:29">
      <c r="A108" t="s">
        <v>542</v>
      </c>
      <c r="B108">
        <v>75</v>
      </c>
      <c r="C108" t="s">
        <v>426</v>
      </c>
      <c r="D108">
        <v>4</v>
      </c>
      <c r="K108">
        <v>1</v>
      </c>
      <c r="L108">
        <v>5</v>
      </c>
    </row>
    <row r="109" spans="1:29">
      <c r="A109" t="s">
        <v>543</v>
      </c>
      <c r="B109">
        <v>75</v>
      </c>
      <c r="C109" t="s">
        <v>426</v>
      </c>
      <c r="D109">
        <v>5</v>
      </c>
      <c r="E109">
        <v>3</v>
      </c>
      <c r="F109">
        <v>3</v>
      </c>
    </row>
    <row r="110" spans="1:29">
      <c r="A110" t="s">
        <v>544</v>
      </c>
      <c r="B110">
        <v>75</v>
      </c>
      <c r="C110" t="s">
        <v>427</v>
      </c>
      <c r="D110">
        <v>3</v>
      </c>
      <c r="G110">
        <v>1</v>
      </c>
      <c r="L110">
        <v>-5</v>
      </c>
    </row>
    <row r="111" spans="1:29">
      <c r="A111" t="s">
        <v>545</v>
      </c>
      <c r="B111">
        <v>76</v>
      </c>
      <c r="C111" t="s">
        <v>426</v>
      </c>
      <c r="D111">
        <v>4</v>
      </c>
      <c r="E111">
        <v>2</v>
      </c>
    </row>
    <row r="112" spans="1:29">
      <c r="A112" t="s">
        <v>546</v>
      </c>
      <c r="B112">
        <v>77</v>
      </c>
      <c r="C112" t="s">
        <v>426</v>
      </c>
      <c r="D112">
        <v>3</v>
      </c>
      <c r="F112">
        <v>2</v>
      </c>
      <c r="J112">
        <v>2</v>
      </c>
      <c r="AC112">
        <v>4</v>
      </c>
    </row>
    <row r="113" spans="1:29">
      <c r="A113" t="s">
        <v>547</v>
      </c>
      <c r="B113">
        <v>77</v>
      </c>
      <c r="C113" t="s">
        <v>426</v>
      </c>
      <c r="D113">
        <v>4</v>
      </c>
      <c r="J113">
        <v>1</v>
      </c>
      <c r="K113">
        <v>1</v>
      </c>
    </row>
    <row r="114" spans="1:29">
      <c r="A114" t="s">
        <v>548</v>
      </c>
      <c r="B114">
        <v>78</v>
      </c>
      <c r="C114" t="s">
        <v>426</v>
      </c>
      <c r="D114">
        <v>3</v>
      </c>
      <c r="F114">
        <v>1</v>
      </c>
      <c r="H114">
        <v>2</v>
      </c>
    </row>
    <row r="115" spans="1:29">
      <c r="A115" t="s">
        <v>549</v>
      </c>
      <c r="B115">
        <v>78</v>
      </c>
      <c r="C115" t="s">
        <v>426</v>
      </c>
      <c r="D115">
        <v>2</v>
      </c>
      <c r="J115">
        <v>2</v>
      </c>
    </row>
    <row r="116" spans="1:29">
      <c r="A116" t="s">
        <v>550</v>
      </c>
      <c r="B116">
        <v>79</v>
      </c>
      <c r="C116" t="s">
        <v>426</v>
      </c>
      <c r="D116">
        <v>5</v>
      </c>
      <c r="L116">
        <v>20</v>
      </c>
      <c r="AB116">
        <v>4</v>
      </c>
    </row>
    <row r="117" spans="1:29">
      <c r="A117" t="s">
        <v>551</v>
      </c>
      <c r="B117">
        <v>79</v>
      </c>
      <c r="C117" t="s">
        <v>426</v>
      </c>
      <c r="D117">
        <v>3</v>
      </c>
      <c r="J117">
        <v>1</v>
      </c>
    </row>
    <row r="118" spans="1:29">
      <c r="A118" t="s">
        <v>552</v>
      </c>
      <c r="B118">
        <v>80</v>
      </c>
      <c r="C118" t="s">
        <v>426</v>
      </c>
      <c r="D118">
        <v>3</v>
      </c>
      <c r="G118">
        <v>2</v>
      </c>
      <c r="H118">
        <v>1</v>
      </c>
      <c r="AB118">
        <v>4</v>
      </c>
    </row>
    <row r="119" spans="1:29">
      <c r="A119" t="s">
        <v>553</v>
      </c>
      <c r="B119">
        <v>80</v>
      </c>
      <c r="C119" t="s">
        <v>426</v>
      </c>
      <c r="D119">
        <v>4</v>
      </c>
      <c r="E119">
        <v>-2</v>
      </c>
      <c r="G119">
        <v>3</v>
      </c>
      <c r="AC119">
        <v>4</v>
      </c>
    </row>
    <row r="120" spans="1:29">
      <c r="A120" t="s">
        <v>554</v>
      </c>
      <c r="B120">
        <v>81</v>
      </c>
      <c r="C120" t="s">
        <v>427</v>
      </c>
      <c r="D120">
        <v>1</v>
      </c>
      <c r="H120">
        <v>5</v>
      </c>
      <c r="L120">
        <v>-20</v>
      </c>
    </row>
    <row r="121" spans="1:29">
      <c r="A121" t="s">
        <v>555</v>
      </c>
      <c r="B121">
        <v>81</v>
      </c>
      <c r="C121" t="s">
        <v>322</v>
      </c>
      <c r="D121">
        <v>3</v>
      </c>
      <c r="F121">
        <v>2</v>
      </c>
      <c r="J121">
        <v>-3</v>
      </c>
      <c r="L121">
        <v>10</v>
      </c>
    </row>
    <row r="122" spans="1:29">
      <c r="A122" t="s">
        <v>556</v>
      </c>
      <c r="B122">
        <v>82</v>
      </c>
      <c r="C122" t="s">
        <v>427</v>
      </c>
      <c r="D122">
        <v>2</v>
      </c>
      <c r="H122">
        <v>3</v>
      </c>
      <c r="K122">
        <v>-2</v>
      </c>
      <c r="Z122">
        <v>4</v>
      </c>
    </row>
    <row r="123" spans="1:29">
      <c r="A123" t="s">
        <v>557</v>
      </c>
      <c r="B123">
        <v>82</v>
      </c>
      <c r="C123" t="s">
        <v>426</v>
      </c>
      <c r="D123">
        <v>3</v>
      </c>
      <c r="I123">
        <v>2</v>
      </c>
    </row>
    <row r="124" spans="1:29">
      <c r="A124" t="s">
        <v>558</v>
      </c>
      <c r="B124">
        <v>83</v>
      </c>
      <c r="C124" t="s">
        <v>427</v>
      </c>
      <c r="D124">
        <v>2</v>
      </c>
      <c r="E124">
        <v>2</v>
      </c>
      <c r="F124">
        <v>2</v>
      </c>
    </row>
    <row r="125" spans="1:29">
      <c r="A125" t="s">
        <v>559</v>
      </c>
      <c r="B125">
        <v>83</v>
      </c>
      <c r="C125" t="s">
        <v>428</v>
      </c>
      <c r="D125">
        <v>4</v>
      </c>
      <c r="E125">
        <v>2</v>
      </c>
      <c r="F125">
        <v>-1</v>
      </c>
      <c r="G125">
        <v>2</v>
      </c>
      <c r="H125">
        <v>-1</v>
      </c>
    </row>
    <row r="126" spans="1:29">
      <c r="A126" t="s">
        <v>560</v>
      </c>
      <c r="B126">
        <v>84</v>
      </c>
      <c r="C126" t="s">
        <v>426</v>
      </c>
      <c r="D126">
        <v>4</v>
      </c>
      <c r="I126">
        <v>3</v>
      </c>
      <c r="K126">
        <v>-2</v>
      </c>
    </row>
    <row r="127" spans="1:29">
      <c r="A127" t="s">
        <v>561</v>
      </c>
      <c r="B127">
        <v>84</v>
      </c>
      <c r="C127" t="s">
        <v>426</v>
      </c>
      <c r="D127">
        <v>5</v>
      </c>
      <c r="J127">
        <v>3</v>
      </c>
      <c r="K127">
        <v>-2</v>
      </c>
    </row>
    <row r="128" spans="1:29">
      <c r="A128" t="s">
        <v>562</v>
      </c>
      <c r="B128">
        <v>85</v>
      </c>
      <c r="C128" t="s">
        <v>428</v>
      </c>
      <c r="D128">
        <v>4</v>
      </c>
      <c r="F128">
        <v>3</v>
      </c>
      <c r="K128">
        <v>-2</v>
      </c>
      <c r="AB128">
        <v>4</v>
      </c>
    </row>
    <row r="129" spans="1:30">
      <c r="A129" t="s">
        <v>563</v>
      </c>
      <c r="B129">
        <v>85</v>
      </c>
      <c r="C129" t="s">
        <v>426</v>
      </c>
      <c r="D129">
        <v>1</v>
      </c>
      <c r="F129">
        <v>2</v>
      </c>
      <c r="H129">
        <v>2</v>
      </c>
      <c r="L129">
        <v>-10</v>
      </c>
      <c r="AD129">
        <v>4</v>
      </c>
    </row>
    <row r="130" spans="1:30">
      <c r="A130" t="s">
        <v>564</v>
      </c>
      <c r="B130">
        <v>86</v>
      </c>
      <c r="C130" t="s">
        <v>426</v>
      </c>
      <c r="D130">
        <v>3</v>
      </c>
      <c r="G130">
        <v>2</v>
      </c>
      <c r="Y130">
        <v>4</v>
      </c>
    </row>
    <row r="131" spans="1:30">
      <c r="A131" t="s">
        <v>565</v>
      </c>
      <c r="B131">
        <v>87</v>
      </c>
      <c r="C131" t="s">
        <v>427</v>
      </c>
      <c r="D131">
        <v>3</v>
      </c>
      <c r="E131">
        <v>3</v>
      </c>
      <c r="K131">
        <v>-2</v>
      </c>
      <c r="AC131">
        <v>4</v>
      </c>
    </row>
    <row r="132" spans="1:30">
      <c r="A132" t="s">
        <v>566</v>
      </c>
      <c r="B132">
        <v>87</v>
      </c>
      <c r="C132" t="s">
        <v>426</v>
      </c>
      <c r="D132">
        <v>3</v>
      </c>
      <c r="K132">
        <v>2</v>
      </c>
      <c r="L132">
        <v>5</v>
      </c>
    </row>
    <row r="133" spans="1:30">
      <c r="A133" t="s">
        <v>567</v>
      </c>
      <c r="B133">
        <v>88</v>
      </c>
      <c r="C133" t="s">
        <v>426</v>
      </c>
      <c r="D133">
        <v>3</v>
      </c>
      <c r="G133">
        <v>3</v>
      </c>
      <c r="K133">
        <v>-2</v>
      </c>
    </row>
    <row r="134" spans="1:30">
      <c r="A134" t="s">
        <v>568</v>
      </c>
      <c r="B134">
        <v>88</v>
      </c>
      <c r="C134" t="s">
        <v>426</v>
      </c>
      <c r="D134">
        <v>4</v>
      </c>
      <c r="F134">
        <v>2</v>
      </c>
      <c r="I134">
        <v>2</v>
      </c>
      <c r="L134">
        <v>-10</v>
      </c>
    </row>
    <row r="135" spans="1:30">
      <c r="A135" t="s">
        <v>569</v>
      </c>
      <c r="B135">
        <v>89</v>
      </c>
      <c r="C135" t="s">
        <v>426</v>
      </c>
      <c r="D135">
        <v>5</v>
      </c>
      <c r="J135">
        <v>3</v>
      </c>
      <c r="K135">
        <v>-2</v>
      </c>
    </row>
    <row r="136" spans="1:30">
      <c r="A136" t="s">
        <v>570</v>
      </c>
      <c r="B136">
        <v>89</v>
      </c>
      <c r="C136" t="s">
        <v>427</v>
      </c>
      <c r="D136">
        <v>2</v>
      </c>
      <c r="I136">
        <v>-1</v>
      </c>
      <c r="L136">
        <v>15</v>
      </c>
      <c r="M136" s="2">
        <v>0.2</v>
      </c>
      <c r="O136" s="2">
        <v>0.5</v>
      </c>
      <c r="AB136">
        <v>4</v>
      </c>
    </row>
    <row r="137" spans="1:30">
      <c r="A137" t="s">
        <v>571</v>
      </c>
      <c r="B137">
        <v>90</v>
      </c>
      <c r="C137" t="s">
        <v>426</v>
      </c>
      <c r="D137">
        <v>4</v>
      </c>
      <c r="E137">
        <v>-1</v>
      </c>
      <c r="G137">
        <v>-1</v>
      </c>
      <c r="I137">
        <v>2</v>
      </c>
      <c r="J137">
        <v>2</v>
      </c>
      <c r="R137" s="2">
        <v>0.4</v>
      </c>
    </row>
    <row r="138" spans="1:30">
      <c r="A138" t="s">
        <v>572</v>
      </c>
      <c r="B138">
        <v>90</v>
      </c>
      <c r="C138" t="s">
        <v>426</v>
      </c>
      <c r="D138">
        <v>4</v>
      </c>
      <c r="E138">
        <v>2</v>
      </c>
      <c r="H138">
        <v>2</v>
      </c>
    </row>
    <row r="139" spans="1:30">
      <c r="A139" t="s">
        <v>573</v>
      </c>
      <c r="B139">
        <v>91</v>
      </c>
      <c r="C139" t="s">
        <v>426</v>
      </c>
      <c r="D139">
        <v>3</v>
      </c>
      <c r="G139">
        <v>3</v>
      </c>
      <c r="L139">
        <v>15</v>
      </c>
    </row>
    <row r="140" spans="1:30">
      <c r="A140" t="s">
        <v>574</v>
      </c>
      <c r="B140">
        <v>91</v>
      </c>
      <c r="C140" t="s">
        <v>426</v>
      </c>
      <c r="D140">
        <v>4</v>
      </c>
      <c r="E140">
        <v>2</v>
      </c>
      <c r="J140">
        <v>2</v>
      </c>
      <c r="AB140">
        <v>4</v>
      </c>
    </row>
    <row r="141" spans="1:30">
      <c r="A141" t="s">
        <v>575</v>
      </c>
      <c r="B141">
        <v>92</v>
      </c>
      <c r="C141" t="s">
        <v>322</v>
      </c>
      <c r="D141">
        <v>2</v>
      </c>
      <c r="E141">
        <v>2</v>
      </c>
      <c r="M141" s="2">
        <v>0.75</v>
      </c>
      <c r="U141">
        <v>2.25</v>
      </c>
      <c r="V141">
        <v>3.5</v>
      </c>
      <c r="W141">
        <v>4.75</v>
      </c>
      <c r="X141">
        <v>-60</v>
      </c>
      <c r="AC141">
        <v>4</v>
      </c>
    </row>
    <row r="142" spans="1:30">
      <c r="A142" t="s">
        <v>576</v>
      </c>
      <c r="B142">
        <v>92</v>
      </c>
      <c r="C142" t="s">
        <v>426</v>
      </c>
      <c r="D142">
        <v>2</v>
      </c>
      <c r="E142">
        <v>-3</v>
      </c>
      <c r="G142">
        <v>-3</v>
      </c>
      <c r="I142">
        <v>4</v>
      </c>
      <c r="J142">
        <v>2</v>
      </c>
      <c r="Q142" s="2">
        <v>0.2</v>
      </c>
      <c r="R142" s="2">
        <v>0.1</v>
      </c>
    </row>
    <row r="143" spans="1:30">
      <c r="A143" t="s">
        <v>577</v>
      </c>
      <c r="B143">
        <v>93</v>
      </c>
      <c r="C143" t="s">
        <v>426</v>
      </c>
      <c r="D143">
        <v>3</v>
      </c>
      <c r="H143">
        <v>2</v>
      </c>
      <c r="J143">
        <v>2</v>
      </c>
    </row>
    <row r="144" spans="1:30">
      <c r="A144" t="s">
        <v>578</v>
      </c>
      <c r="B144">
        <v>94</v>
      </c>
      <c r="C144" t="s">
        <v>426</v>
      </c>
      <c r="D144">
        <v>5</v>
      </c>
      <c r="H144">
        <v>1</v>
      </c>
      <c r="L144">
        <v>5</v>
      </c>
    </row>
    <row r="145" spans="1:31">
      <c r="A145" t="s">
        <v>579</v>
      </c>
      <c r="B145">
        <v>95</v>
      </c>
      <c r="C145" t="s">
        <v>322</v>
      </c>
      <c r="D145">
        <v>4</v>
      </c>
      <c r="F145">
        <v>1</v>
      </c>
      <c r="H145">
        <v>1</v>
      </c>
      <c r="L145">
        <v>-5</v>
      </c>
      <c r="P145" s="2">
        <v>0.4</v>
      </c>
      <c r="T145">
        <v>3</v>
      </c>
      <c r="U145">
        <v>1</v>
      </c>
      <c r="V145">
        <v>1</v>
      </c>
      <c r="W145">
        <v>1</v>
      </c>
      <c r="AD145">
        <v>4</v>
      </c>
    </row>
    <row r="146" spans="1:31">
      <c r="A146" t="s">
        <v>580</v>
      </c>
      <c r="B146">
        <v>96</v>
      </c>
      <c r="C146" t="s">
        <v>427</v>
      </c>
      <c r="D146">
        <v>5</v>
      </c>
      <c r="E146">
        <v>3</v>
      </c>
      <c r="K146">
        <v>3</v>
      </c>
      <c r="T146">
        <v>4</v>
      </c>
    </row>
    <row r="147" spans="1:31">
      <c r="A147" t="s">
        <v>581</v>
      </c>
      <c r="B147">
        <v>96</v>
      </c>
      <c r="C147" t="s">
        <v>426</v>
      </c>
      <c r="D147">
        <v>3</v>
      </c>
      <c r="G147">
        <v>4</v>
      </c>
      <c r="L147">
        <v>15</v>
      </c>
    </row>
    <row r="148" spans="1:31">
      <c r="A148" t="s">
        <v>582</v>
      </c>
      <c r="B148">
        <v>97</v>
      </c>
      <c r="C148" t="s">
        <v>426</v>
      </c>
      <c r="D148">
        <v>4</v>
      </c>
      <c r="E148">
        <v>2</v>
      </c>
      <c r="F148">
        <v>2</v>
      </c>
    </row>
    <row r="149" spans="1:31">
      <c r="A149" t="s">
        <v>583</v>
      </c>
      <c r="B149">
        <v>98</v>
      </c>
      <c r="C149" t="s">
        <v>426</v>
      </c>
      <c r="D149">
        <v>5</v>
      </c>
      <c r="E149">
        <v>3</v>
      </c>
      <c r="F149">
        <v>-2</v>
      </c>
      <c r="G149">
        <v>3</v>
      </c>
      <c r="H149">
        <v>-2</v>
      </c>
      <c r="L149">
        <v>10</v>
      </c>
    </row>
    <row r="150" spans="1:31">
      <c r="A150" t="s">
        <v>584</v>
      </c>
      <c r="B150">
        <v>98</v>
      </c>
      <c r="C150" t="s">
        <v>428</v>
      </c>
      <c r="D150">
        <v>4</v>
      </c>
      <c r="I150">
        <v>5</v>
      </c>
      <c r="J150">
        <v>2</v>
      </c>
    </row>
    <row r="151" spans="1:31">
      <c r="A151" t="s">
        <v>586</v>
      </c>
      <c r="B151">
        <v>99</v>
      </c>
      <c r="C151" t="s">
        <v>427</v>
      </c>
      <c r="D151">
        <v>2</v>
      </c>
      <c r="E151">
        <v>-3</v>
      </c>
      <c r="F151">
        <v>4</v>
      </c>
      <c r="AB151">
        <v>4</v>
      </c>
    </row>
    <row r="152" spans="1:31">
      <c r="A152" s="31" t="s">
        <v>1038</v>
      </c>
      <c r="B152">
        <v>99</v>
      </c>
      <c r="C152" s="31" t="s">
        <v>426</v>
      </c>
      <c r="D152">
        <v>6</v>
      </c>
      <c r="E152">
        <v>5</v>
      </c>
      <c r="G152">
        <v>7</v>
      </c>
      <c r="AD152">
        <v>8</v>
      </c>
    </row>
    <row r="153" spans="1:31">
      <c r="A153" t="s">
        <v>958</v>
      </c>
      <c r="B153">
        <v>99</v>
      </c>
      <c r="C153" t="s">
        <v>426</v>
      </c>
      <c r="D153">
        <v>6</v>
      </c>
      <c r="E153">
        <v>6</v>
      </c>
      <c r="Y153">
        <v>8</v>
      </c>
    </row>
    <row r="154" spans="1:31">
      <c r="A154" s="31" t="s">
        <v>976</v>
      </c>
      <c r="B154">
        <v>99</v>
      </c>
      <c r="C154" t="s">
        <v>426</v>
      </c>
      <c r="D154">
        <v>6</v>
      </c>
      <c r="H154">
        <v>5</v>
      </c>
      <c r="K154">
        <v>5</v>
      </c>
      <c r="L154">
        <v>15</v>
      </c>
    </row>
    <row r="155" spans="1:31">
      <c r="A155" t="s">
        <v>959</v>
      </c>
      <c r="B155">
        <v>99</v>
      </c>
      <c r="C155" t="s">
        <v>426</v>
      </c>
      <c r="D155">
        <v>4</v>
      </c>
      <c r="G155">
        <v>4</v>
      </c>
      <c r="L155">
        <v>10</v>
      </c>
    </row>
    <row r="156" spans="1:31">
      <c r="A156" t="s">
        <v>960</v>
      </c>
      <c r="B156">
        <v>99</v>
      </c>
      <c r="C156" t="s">
        <v>428</v>
      </c>
      <c r="D156">
        <v>2</v>
      </c>
      <c r="E156">
        <v>3</v>
      </c>
      <c r="F156">
        <v>3</v>
      </c>
      <c r="I156">
        <v>-3</v>
      </c>
      <c r="L156">
        <v>15</v>
      </c>
      <c r="AE156">
        <v>4</v>
      </c>
    </row>
    <row r="157" spans="1:31">
      <c r="A157" t="s">
        <v>961</v>
      </c>
      <c r="B157">
        <v>99</v>
      </c>
      <c r="C157" t="s">
        <v>426</v>
      </c>
      <c r="D157">
        <v>6</v>
      </c>
      <c r="F157">
        <v>6</v>
      </c>
      <c r="Z157">
        <v>8</v>
      </c>
    </row>
    <row r="158" spans="1:31">
      <c r="A158" t="s">
        <v>962</v>
      </c>
      <c r="B158">
        <v>99</v>
      </c>
      <c r="C158" t="s">
        <v>427</v>
      </c>
      <c r="D158">
        <v>6</v>
      </c>
      <c r="E158">
        <v>4</v>
      </c>
      <c r="F158">
        <v>4</v>
      </c>
      <c r="L158">
        <v>-10</v>
      </c>
    </row>
    <row r="159" spans="1:31">
      <c r="A159" s="31" t="s">
        <v>1037</v>
      </c>
      <c r="B159">
        <v>99</v>
      </c>
      <c r="C159" s="31" t="s">
        <v>426</v>
      </c>
      <c r="D159">
        <v>6</v>
      </c>
      <c r="I159">
        <v>6</v>
      </c>
      <c r="J159">
        <v>6</v>
      </c>
    </row>
    <row r="160" spans="1:31">
      <c r="A160" t="s">
        <v>963</v>
      </c>
      <c r="B160">
        <v>99</v>
      </c>
      <c r="C160" t="s">
        <v>426</v>
      </c>
      <c r="D160">
        <v>6</v>
      </c>
      <c r="G160">
        <v>6</v>
      </c>
    </row>
    <row r="161" spans="1:31">
      <c r="A161" s="31" t="s">
        <v>1036</v>
      </c>
      <c r="B161">
        <v>99</v>
      </c>
      <c r="C161" s="31" t="s">
        <v>426</v>
      </c>
      <c r="D161">
        <v>7</v>
      </c>
      <c r="L161">
        <v>15</v>
      </c>
      <c r="AE161">
        <v>8</v>
      </c>
    </row>
    <row r="162" spans="1:31">
      <c r="A162" t="s">
        <v>964</v>
      </c>
      <c r="B162">
        <v>99</v>
      </c>
      <c r="C162" t="s">
        <v>426</v>
      </c>
      <c r="D162">
        <v>5</v>
      </c>
      <c r="I162">
        <v>3</v>
      </c>
    </row>
    <row r="163" spans="1:31">
      <c r="A163" s="31" t="s">
        <v>1035</v>
      </c>
      <c r="B163">
        <v>99</v>
      </c>
      <c r="C163" s="31" t="s">
        <v>428</v>
      </c>
      <c r="D163">
        <v>6</v>
      </c>
      <c r="E163">
        <v>4</v>
      </c>
      <c r="F163">
        <v>4</v>
      </c>
      <c r="G163">
        <v>4</v>
      </c>
      <c r="M163" s="2">
        <v>0.25</v>
      </c>
      <c r="N163" s="2"/>
      <c r="O163" s="2">
        <v>0.15</v>
      </c>
      <c r="AA163">
        <v>8</v>
      </c>
    </row>
    <row r="164" spans="1:31">
      <c r="A164" s="31" t="s">
        <v>977</v>
      </c>
      <c r="B164">
        <v>99</v>
      </c>
      <c r="C164" s="31" t="s">
        <v>426</v>
      </c>
      <c r="D164">
        <v>6</v>
      </c>
      <c r="G164">
        <v>6</v>
      </c>
      <c r="I164">
        <v>6</v>
      </c>
      <c r="M164" s="2">
        <v>0.12</v>
      </c>
      <c r="O164" s="2">
        <v>0.12</v>
      </c>
    </row>
    <row r="165" spans="1:31">
      <c r="A165" s="31" t="s">
        <v>1073</v>
      </c>
      <c r="B165">
        <v>99</v>
      </c>
      <c r="C165" s="31" t="s">
        <v>428</v>
      </c>
      <c r="D165">
        <v>6</v>
      </c>
      <c r="G165">
        <v>5</v>
      </c>
      <c r="L165">
        <v>25</v>
      </c>
    </row>
    <row r="166" spans="1:31">
      <c r="A166" t="s">
        <v>965</v>
      </c>
      <c r="B166">
        <v>99</v>
      </c>
      <c r="C166" t="s">
        <v>426</v>
      </c>
      <c r="D166">
        <v>6</v>
      </c>
      <c r="H166">
        <v>6</v>
      </c>
    </row>
    <row r="167" spans="1:31">
      <c r="A167" s="31" t="s">
        <v>975</v>
      </c>
      <c r="B167">
        <v>99</v>
      </c>
      <c r="C167" s="31" t="s">
        <v>427</v>
      </c>
      <c r="D167">
        <v>7</v>
      </c>
      <c r="F167">
        <v>8</v>
      </c>
      <c r="L167">
        <v>20</v>
      </c>
      <c r="M167" s="2">
        <v>0.32</v>
      </c>
      <c r="N167" s="2">
        <v>0.32</v>
      </c>
      <c r="O167" s="2"/>
      <c r="AC167">
        <v>8</v>
      </c>
    </row>
    <row r="168" spans="1:31">
      <c r="A168" t="s">
        <v>585</v>
      </c>
      <c r="B168">
        <v>99</v>
      </c>
      <c r="C168" t="s">
        <v>426</v>
      </c>
      <c r="D168">
        <v>2</v>
      </c>
      <c r="E168">
        <v>2</v>
      </c>
      <c r="H168">
        <v>2</v>
      </c>
    </row>
    <row r="169" spans="1:31">
      <c r="A169" t="s">
        <v>1072</v>
      </c>
      <c r="B169">
        <v>99</v>
      </c>
      <c r="C169" t="s">
        <v>426</v>
      </c>
      <c r="D169">
        <v>6</v>
      </c>
      <c r="H169">
        <v>8</v>
      </c>
      <c r="AB169">
        <v>8</v>
      </c>
    </row>
    <row r="170" spans="1:31">
      <c r="A170" t="s">
        <v>1061</v>
      </c>
      <c r="B170">
        <v>99</v>
      </c>
      <c r="C170" t="s">
        <v>426</v>
      </c>
      <c r="D170">
        <v>8</v>
      </c>
      <c r="F170">
        <v>8</v>
      </c>
      <c r="Z170">
        <v>8</v>
      </c>
    </row>
    <row r="171" spans="1:31">
      <c r="A171" t="s">
        <v>1062</v>
      </c>
      <c r="B171">
        <v>99</v>
      </c>
      <c r="C171" t="s">
        <v>426</v>
      </c>
      <c r="D171">
        <v>8</v>
      </c>
      <c r="G171">
        <v>4</v>
      </c>
      <c r="I171">
        <v>4</v>
      </c>
      <c r="J171">
        <v>4</v>
      </c>
    </row>
    <row r="172" spans="1:31">
      <c r="A172" t="s">
        <v>1063</v>
      </c>
      <c r="B172">
        <v>99</v>
      </c>
      <c r="C172" t="s">
        <v>426</v>
      </c>
      <c r="D172">
        <v>8</v>
      </c>
      <c r="G172">
        <v>8</v>
      </c>
    </row>
    <row r="173" spans="1:31">
      <c r="A173" t="s">
        <v>1064</v>
      </c>
      <c r="B173">
        <v>99</v>
      </c>
      <c r="C173" t="s">
        <v>426</v>
      </c>
      <c r="D173">
        <v>8</v>
      </c>
      <c r="I173">
        <v>8</v>
      </c>
    </row>
    <row r="174" spans="1:31">
      <c r="A174" t="s">
        <v>1065</v>
      </c>
      <c r="B174">
        <v>99</v>
      </c>
      <c r="C174" t="s">
        <v>426</v>
      </c>
      <c r="D174">
        <v>8</v>
      </c>
      <c r="E174">
        <v>8</v>
      </c>
      <c r="Y174">
        <v>8</v>
      </c>
    </row>
    <row r="175" spans="1:31">
      <c r="A175" t="s">
        <v>1066</v>
      </c>
      <c r="B175">
        <v>99</v>
      </c>
      <c r="C175" t="s">
        <v>426</v>
      </c>
      <c r="D175">
        <v>8</v>
      </c>
      <c r="E175">
        <v>4</v>
      </c>
      <c r="H175">
        <v>4</v>
      </c>
      <c r="L175">
        <v>40</v>
      </c>
    </row>
    <row r="176" spans="1:31">
      <c r="A176" t="s">
        <v>1067</v>
      </c>
      <c r="B176">
        <v>99</v>
      </c>
      <c r="C176" t="s">
        <v>428</v>
      </c>
      <c r="D176">
        <v>7</v>
      </c>
      <c r="G176">
        <v>6</v>
      </c>
      <c r="I176">
        <v>-3</v>
      </c>
      <c r="L176">
        <v>50</v>
      </c>
    </row>
    <row r="177" spans="1:8">
      <c r="A177" t="s">
        <v>1068</v>
      </c>
      <c r="B177">
        <v>99</v>
      </c>
      <c r="C177" t="s">
        <v>426</v>
      </c>
      <c r="D177">
        <v>7</v>
      </c>
      <c r="F177">
        <v>6</v>
      </c>
      <c r="H177">
        <v>6</v>
      </c>
    </row>
    <row r="183" spans="1:8">
      <c r="A183" s="14" t="s">
        <v>599</v>
      </c>
    </row>
    <row r="184" spans="1:8">
      <c r="A184" t="s">
        <v>54</v>
      </c>
    </row>
    <row r="185" spans="1:8">
      <c r="A185" t="s">
        <v>507</v>
      </c>
    </row>
    <row r="186" spans="1:8">
      <c r="A186" t="s">
        <v>546</v>
      </c>
    </row>
    <row r="187" spans="1:8">
      <c r="A187" t="s">
        <v>539</v>
      </c>
    </row>
    <row r="188" spans="1:8">
      <c r="A188" t="s">
        <v>584</v>
      </c>
    </row>
    <row r="189" spans="1:8">
      <c r="A189" t="s">
        <v>527</v>
      </c>
    </row>
    <row r="190" spans="1:8">
      <c r="A190" t="s">
        <v>550</v>
      </c>
    </row>
    <row r="191" spans="1:8">
      <c r="A191" t="s">
        <v>1061</v>
      </c>
    </row>
    <row r="192" spans="1:8">
      <c r="A192" t="s">
        <v>529</v>
      </c>
    </row>
    <row r="193" spans="1:1">
      <c r="A193" t="s">
        <v>560</v>
      </c>
    </row>
    <row r="194" spans="1:1">
      <c r="A194" t="s">
        <v>482</v>
      </c>
    </row>
    <row r="195" spans="1:1">
      <c r="A195" t="s">
        <v>504</v>
      </c>
    </row>
    <row r="196" spans="1:1">
      <c r="A196" t="s">
        <v>586</v>
      </c>
    </row>
    <row r="197" spans="1:1">
      <c r="A197" t="s">
        <v>573</v>
      </c>
    </row>
    <row r="198" spans="1:1">
      <c r="A198" t="s">
        <v>551</v>
      </c>
    </row>
    <row r="199" spans="1:1">
      <c r="A199" t="s">
        <v>447</v>
      </c>
    </row>
    <row r="200" spans="1:1">
      <c r="A200" t="s">
        <v>559</v>
      </c>
    </row>
    <row r="201" spans="1:1">
      <c r="A201" t="s">
        <v>470</v>
      </c>
    </row>
    <row r="202" spans="1:1">
      <c r="A202" t="s">
        <v>455</v>
      </c>
    </row>
    <row r="203" spans="1:1">
      <c r="A203" t="s">
        <v>552</v>
      </c>
    </row>
    <row r="204" spans="1:1">
      <c r="A204" t="s">
        <v>1066</v>
      </c>
    </row>
    <row r="205" spans="1:1">
      <c r="A205" t="s">
        <v>477</v>
      </c>
    </row>
    <row r="206" spans="1:1">
      <c r="A206" t="s">
        <v>456</v>
      </c>
    </row>
    <row r="207" spans="1:1">
      <c r="A207" t="s">
        <v>484</v>
      </c>
    </row>
    <row r="208" spans="1:1">
      <c r="A208" t="s">
        <v>453</v>
      </c>
    </row>
    <row r="209" spans="1:1">
      <c r="A209" t="s">
        <v>506</v>
      </c>
    </row>
    <row r="210" spans="1:1">
      <c r="A210" t="s">
        <v>461</v>
      </c>
    </row>
    <row r="211" spans="1:1">
      <c r="A211" t="s">
        <v>528</v>
      </c>
    </row>
    <row r="212" spans="1:1">
      <c r="A212" t="s">
        <v>465</v>
      </c>
    </row>
    <row r="213" spans="1:1">
      <c r="A213" t="s">
        <v>568</v>
      </c>
    </row>
    <row r="214" spans="1:1">
      <c r="A214" t="s">
        <v>548</v>
      </c>
    </row>
    <row r="215" spans="1:1">
      <c r="A215" t="s">
        <v>457</v>
      </c>
    </row>
    <row r="216" spans="1:1">
      <c r="A216" t="s">
        <v>445</v>
      </c>
    </row>
    <row r="217" spans="1:1">
      <c r="A217" t="s">
        <v>490</v>
      </c>
    </row>
    <row r="218" spans="1:1">
      <c r="A218" t="s">
        <v>519</v>
      </c>
    </row>
    <row r="219" spans="1:1">
      <c r="A219" t="s">
        <v>454</v>
      </c>
    </row>
    <row r="220" spans="1:1">
      <c r="A220" t="s">
        <v>577</v>
      </c>
    </row>
    <row r="221" spans="1:1">
      <c r="A221" t="s">
        <v>466</v>
      </c>
    </row>
    <row r="222" spans="1:1">
      <c r="A222" t="s">
        <v>498</v>
      </c>
    </row>
    <row r="223" spans="1:1">
      <c r="A223" t="s">
        <v>570</v>
      </c>
    </row>
    <row r="224" spans="1:1">
      <c r="A224" t="s">
        <v>553</v>
      </c>
    </row>
    <row r="225" spans="1:1">
      <c r="A225" t="s">
        <v>520</v>
      </c>
    </row>
    <row r="226" spans="1:1">
      <c r="A226" t="s">
        <v>468</v>
      </c>
    </row>
    <row r="227" spans="1:1">
      <c r="A227" s="31" t="s">
        <v>1038</v>
      </c>
    </row>
    <row r="228" spans="1:1">
      <c r="A228" s="31" t="s">
        <v>499</v>
      </c>
    </row>
    <row r="229" spans="1:1">
      <c r="A229" t="s">
        <v>534</v>
      </c>
    </row>
    <row r="230" spans="1:1">
      <c r="A230" t="s">
        <v>566</v>
      </c>
    </row>
    <row r="231" spans="1:1">
      <c r="A231" t="s">
        <v>958</v>
      </c>
    </row>
    <row r="232" spans="1:1">
      <c r="A232" t="s">
        <v>565</v>
      </c>
    </row>
    <row r="233" spans="1:1">
      <c r="A233" t="s">
        <v>521</v>
      </c>
    </row>
    <row r="234" spans="1:1">
      <c r="A234" t="s">
        <v>1063</v>
      </c>
    </row>
    <row r="235" spans="1:1">
      <c r="A235" s="31" t="s">
        <v>976</v>
      </c>
    </row>
    <row r="236" spans="1:1">
      <c r="A236" t="s">
        <v>571</v>
      </c>
    </row>
    <row r="237" spans="1:1">
      <c r="A237" t="s">
        <v>542</v>
      </c>
    </row>
    <row r="238" spans="1:1">
      <c r="A238" t="s">
        <v>502</v>
      </c>
    </row>
    <row r="239" spans="1:1">
      <c r="A239" t="s">
        <v>563</v>
      </c>
    </row>
    <row r="240" spans="1:1">
      <c r="A240" t="s">
        <v>494</v>
      </c>
    </row>
    <row r="241" spans="1:1">
      <c r="A241" t="s">
        <v>449</v>
      </c>
    </row>
    <row r="242" spans="1:1">
      <c r="A242" t="s">
        <v>512</v>
      </c>
    </row>
    <row r="243" spans="1:1">
      <c r="A243" t="s">
        <v>491</v>
      </c>
    </row>
    <row r="244" spans="1:1">
      <c r="A244" t="s">
        <v>554</v>
      </c>
    </row>
    <row r="245" spans="1:1">
      <c r="A245" t="s">
        <v>523</v>
      </c>
    </row>
    <row r="246" spans="1:1">
      <c r="A246" t="s">
        <v>496</v>
      </c>
    </row>
    <row r="247" spans="1:1">
      <c r="A247" t="s">
        <v>441</v>
      </c>
    </row>
    <row r="248" spans="1:1">
      <c r="A248" t="s">
        <v>959</v>
      </c>
    </row>
    <row r="249" spans="1:1">
      <c r="A249" t="s">
        <v>509</v>
      </c>
    </row>
    <row r="250" spans="1:1">
      <c r="A250" t="s">
        <v>489</v>
      </c>
    </row>
    <row r="251" spans="1:1">
      <c r="A251" t="s">
        <v>517</v>
      </c>
    </row>
    <row r="252" spans="1:1">
      <c r="A252" t="s">
        <v>510</v>
      </c>
    </row>
    <row r="253" spans="1:1">
      <c r="A253" t="s">
        <v>481</v>
      </c>
    </row>
    <row r="254" spans="1:1">
      <c r="A254" t="s">
        <v>960</v>
      </c>
    </row>
    <row r="255" spans="1:1">
      <c r="A255" t="s">
        <v>555</v>
      </c>
    </row>
    <row r="256" spans="1:1">
      <c r="A256" t="s">
        <v>463</v>
      </c>
    </row>
    <row r="257" spans="1:1">
      <c r="A257" t="s">
        <v>448</v>
      </c>
    </row>
    <row r="258" spans="1:1">
      <c r="A258" t="s">
        <v>451</v>
      </c>
    </row>
    <row r="259" spans="1:1">
      <c r="A259" t="s">
        <v>531</v>
      </c>
    </row>
    <row r="260" spans="1:1">
      <c r="A260" t="s">
        <v>575</v>
      </c>
    </row>
    <row r="261" spans="1:1">
      <c r="A261" t="s">
        <v>492</v>
      </c>
    </row>
    <row r="262" spans="1:1">
      <c r="A262" t="s">
        <v>450</v>
      </c>
    </row>
    <row r="263" spans="1:1">
      <c r="A263" t="s">
        <v>511</v>
      </c>
    </row>
    <row r="264" spans="1:1">
      <c r="A264" t="s">
        <v>525</v>
      </c>
    </row>
    <row r="265" spans="1:1">
      <c r="A265" t="s">
        <v>487</v>
      </c>
    </row>
    <row r="266" spans="1:1">
      <c r="A266" t="s">
        <v>515</v>
      </c>
    </row>
    <row r="267" spans="1:1">
      <c r="A267" t="s">
        <v>471</v>
      </c>
    </row>
    <row r="268" spans="1:1">
      <c r="A268" t="s">
        <v>486</v>
      </c>
    </row>
    <row r="269" spans="1:1">
      <c r="A269" t="s">
        <v>547</v>
      </c>
    </row>
    <row r="270" spans="1:1">
      <c r="A270" t="s">
        <v>497</v>
      </c>
    </row>
    <row r="271" spans="1:1">
      <c r="A271" t="s">
        <v>530</v>
      </c>
    </row>
    <row r="272" spans="1:1">
      <c r="A272" t="s">
        <v>501</v>
      </c>
    </row>
    <row r="273" spans="1:1">
      <c r="A273" t="s">
        <v>557</v>
      </c>
    </row>
    <row r="274" spans="1:1">
      <c r="A274" t="s">
        <v>495</v>
      </c>
    </row>
    <row r="275" spans="1:1">
      <c r="A275" t="s">
        <v>540</v>
      </c>
    </row>
    <row r="276" spans="1:1">
      <c r="A276" t="s">
        <v>480</v>
      </c>
    </row>
    <row r="277" spans="1:1">
      <c r="A277" t="s">
        <v>479</v>
      </c>
    </row>
    <row r="278" spans="1:1">
      <c r="A278" t="s">
        <v>505</v>
      </c>
    </row>
    <row r="279" spans="1:1">
      <c r="A279" t="s">
        <v>444</v>
      </c>
    </row>
    <row r="280" spans="1:1">
      <c r="A280" t="s">
        <v>537</v>
      </c>
    </row>
    <row r="281" spans="1:1">
      <c r="A281" t="s">
        <v>1072</v>
      </c>
    </row>
    <row r="282" spans="1:1">
      <c r="A282" t="s">
        <v>574</v>
      </c>
    </row>
    <row r="283" spans="1:1">
      <c r="A283" t="s">
        <v>476</v>
      </c>
    </row>
    <row r="284" spans="1:1">
      <c r="A284" t="s">
        <v>473</v>
      </c>
    </row>
    <row r="285" spans="1:1">
      <c r="A285" t="s">
        <v>961</v>
      </c>
    </row>
    <row r="286" spans="1:1">
      <c r="A286" t="s">
        <v>567</v>
      </c>
    </row>
    <row r="287" spans="1:1">
      <c r="A287" t="s">
        <v>583</v>
      </c>
    </row>
    <row r="288" spans="1:1">
      <c r="A288" t="s">
        <v>561</v>
      </c>
    </row>
    <row r="289" spans="1:1">
      <c r="A289" t="s">
        <v>1068</v>
      </c>
    </row>
    <row r="290" spans="1:1">
      <c r="A290" t="s">
        <v>962</v>
      </c>
    </row>
    <row r="291" spans="1:1">
      <c r="A291" t="s">
        <v>469</v>
      </c>
    </row>
    <row r="292" spans="1:1">
      <c r="A292" t="s">
        <v>543</v>
      </c>
    </row>
    <row r="293" spans="1:1">
      <c r="A293" t="s">
        <v>545</v>
      </c>
    </row>
    <row r="294" spans="1:1">
      <c r="A294" t="s">
        <v>458</v>
      </c>
    </row>
    <row r="295" spans="1:1">
      <c r="A295" t="s">
        <v>440</v>
      </c>
    </row>
    <row r="296" spans="1:1">
      <c r="A296" t="s">
        <v>442</v>
      </c>
    </row>
    <row r="297" spans="1:1">
      <c r="A297" t="s">
        <v>580</v>
      </c>
    </row>
    <row r="298" spans="1:1">
      <c r="A298" t="s">
        <v>562</v>
      </c>
    </row>
    <row r="299" spans="1:1">
      <c r="A299" t="s">
        <v>446</v>
      </c>
    </row>
    <row r="300" spans="1:1">
      <c r="A300" t="s">
        <v>493</v>
      </c>
    </row>
    <row r="301" spans="1:1">
      <c r="A301" s="31" t="s">
        <v>1037</v>
      </c>
    </row>
    <row r="302" spans="1:1">
      <c r="A302" t="s">
        <v>536</v>
      </c>
    </row>
    <row r="303" spans="1:1">
      <c r="A303" t="s">
        <v>541</v>
      </c>
    </row>
    <row r="304" spans="1:1">
      <c r="A304" t="s">
        <v>572</v>
      </c>
    </row>
    <row r="305" spans="1:1">
      <c r="A305" t="s">
        <v>483</v>
      </c>
    </row>
    <row r="306" spans="1:1">
      <c r="A306" t="s">
        <v>549</v>
      </c>
    </row>
    <row r="307" spans="1:1">
      <c r="A307" t="s">
        <v>526</v>
      </c>
    </row>
    <row r="308" spans="1:1">
      <c r="A308" t="s">
        <v>963</v>
      </c>
    </row>
    <row r="309" spans="1:1">
      <c r="A309" s="31" t="s">
        <v>1036</v>
      </c>
    </row>
    <row r="310" spans="1:1">
      <c r="A310" t="s">
        <v>964</v>
      </c>
    </row>
    <row r="311" spans="1:1">
      <c r="A311" t="s">
        <v>535</v>
      </c>
    </row>
    <row r="312" spans="1:1">
      <c r="A312" t="s">
        <v>439</v>
      </c>
    </row>
    <row r="313" spans="1:1">
      <c r="A313" t="s">
        <v>518</v>
      </c>
    </row>
    <row r="314" spans="1:1">
      <c r="A314" t="s">
        <v>1067</v>
      </c>
    </row>
    <row r="315" spans="1:1">
      <c r="A315" t="s">
        <v>460</v>
      </c>
    </row>
    <row r="316" spans="1:1">
      <c r="A316" t="s">
        <v>1065</v>
      </c>
    </row>
    <row r="317" spans="1:1">
      <c r="A317" t="s">
        <v>503</v>
      </c>
    </row>
    <row r="318" spans="1:1">
      <c r="A318" t="s">
        <v>488</v>
      </c>
    </row>
    <row r="319" spans="1:1">
      <c r="A319" t="s">
        <v>452</v>
      </c>
    </row>
    <row r="320" spans="1:1">
      <c r="A320" t="s">
        <v>485</v>
      </c>
    </row>
    <row r="321" spans="1:1">
      <c r="A321" s="31" t="s">
        <v>1035</v>
      </c>
    </row>
    <row r="322" spans="1:1">
      <c r="A322" t="s">
        <v>467</v>
      </c>
    </row>
    <row r="323" spans="1:1">
      <c r="A323" t="s">
        <v>459</v>
      </c>
    </row>
    <row r="324" spans="1:1">
      <c r="A324" t="s">
        <v>464</v>
      </c>
    </row>
    <row r="325" spans="1:1">
      <c r="A325" t="s">
        <v>1064</v>
      </c>
    </row>
    <row r="326" spans="1:1">
      <c r="A326" t="s">
        <v>508</v>
      </c>
    </row>
    <row r="327" spans="1:1">
      <c r="A327" t="s">
        <v>500</v>
      </c>
    </row>
    <row r="328" spans="1:1">
      <c r="A328" t="s">
        <v>443</v>
      </c>
    </row>
    <row r="329" spans="1:1">
      <c r="A329" t="s">
        <v>478</v>
      </c>
    </row>
    <row r="330" spans="1:1">
      <c r="A330" s="31" t="s">
        <v>977</v>
      </c>
    </row>
    <row r="331" spans="1:1">
      <c r="A331" t="s">
        <v>533</v>
      </c>
    </row>
    <row r="332" spans="1:1">
      <c r="A332" t="s">
        <v>579</v>
      </c>
    </row>
    <row r="333" spans="1:1">
      <c r="A333" t="s">
        <v>1073</v>
      </c>
    </row>
    <row r="334" spans="1:1">
      <c r="A334" t="s">
        <v>524</v>
      </c>
    </row>
    <row r="335" spans="1:1">
      <c r="A335" t="s">
        <v>965</v>
      </c>
    </row>
    <row r="336" spans="1:1">
      <c r="A336" t="s">
        <v>538</v>
      </c>
    </row>
    <row r="337" spans="1:1">
      <c r="A337" t="s">
        <v>1062</v>
      </c>
    </row>
    <row r="338" spans="1:1">
      <c r="A338" t="s">
        <v>474</v>
      </c>
    </row>
    <row r="339" spans="1:1">
      <c r="A339" t="s">
        <v>564</v>
      </c>
    </row>
    <row r="340" spans="1:1">
      <c r="A340" s="31" t="s">
        <v>975</v>
      </c>
    </row>
    <row r="341" spans="1:1">
      <c r="A341" t="s">
        <v>582</v>
      </c>
    </row>
    <row r="342" spans="1:1">
      <c r="A342" t="s">
        <v>532</v>
      </c>
    </row>
    <row r="343" spans="1:1">
      <c r="A343" t="s">
        <v>472</v>
      </c>
    </row>
    <row r="344" spans="1:1">
      <c r="A344" t="s">
        <v>556</v>
      </c>
    </row>
    <row r="345" spans="1:1">
      <c r="A345" t="s">
        <v>581</v>
      </c>
    </row>
    <row r="346" spans="1:1">
      <c r="A346" t="s">
        <v>475</v>
      </c>
    </row>
    <row r="347" spans="1:1">
      <c r="A347" t="s">
        <v>544</v>
      </c>
    </row>
    <row r="348" spans="1:1">
      <c r="A348" t="s">
        <v>514</v>
      </c>
    </row>
    <row r="349" spans="1:1">
      <c r="A349" t="s">
        <v>522</v>
      </c>
    </row>
    <row r="350" spans="1:1">
      <c r="A350" t="s">
        <v>576</v>
      </c>
    </row>
    <row r="351" spans="1:1">
      <c r="A351" t="s">
        <v>558</v>
      </c>
    </row>
    <row r="352" spans="1:1">
      <c r="A352" t="s">
        <v>578</v>
      </c>
    </row>
    <row r="353" spans="1:1">
      <c r="A353" t="s">
        <v>462</v>
      </c>
    </row>
    <row r="354" spans="1:1">
      <c r="A354" t="s">
        <v>438</v>
      </c>
    </row>
    <row r="355" spans="1:1">
      <c r="A355" t="s">
        <v>585</v>
      </c>
    </row>
    <row r="356" spans="1:1">
      <c r="A356" t="s">
        <v>569</v>
      </c>
    </row>
    <row r="357" spans="1:1">
      <c r="A357" t="s">
        <v>513</v>
      </c>
    </row>
    <row r="358" spans="1:1">
      <c r="A358" t="s">
        <v>516</v>
      </c>
    </row>
  </sheetData>
  <sortState ref="A151:AE167">
    <sortCondition ref="A151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150</vt:i4>
      </vt:variant>
    </vt:vector>
  </HeadingPairs>
  <TitlesOfParts>
    <vt:vector size="162" baseType="lpstr">
      <vt:lpstr>Setup</vt:lpstr>
      <vt:lpstr>Gear</vt:lpstr>
      <vt:lpstr>Spells</vt:lpstr>
      <vt:lpstr>Spell Gear</vt:lpstr>
      <vt:lpstr>Data</vt:lpstr>
      <vt:lpstr>Weaponskill</vt:lpstr>
      <vt:lpstr>Melee</vt:lpstr>
      <vt:lpstr>Gear Lists</vt:lpstr>
      <vt:lpstr>Spell Lists</vt:lpstr>
      <vt:lpstr>Other Lists</vt:lpstr>
      <vt:lpstr>Stats</vt:lpstr>
      <vt:lpstr>Sets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AvgHitsPerHand1Set2</vt:lpstr>
      <vt:lpstr>AvgHitsPerHand2Set1</vt:lpstr>
      <vt:lpstr>AvgHitsPerHand2Set2</vt:lpstr>
      <vt:lpstr>AvgHitsPerRound1</vt:lpstr>
      <vt:lpstr>AvgHitsPerRound2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Club</vt:lpstr>
      <vt:lpstr>ClubList</vt:lpstr>
      <vt:lpstr>ClubWeaponskills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Legs</vt:lpstr>
      <vt:lpstr>LegsList</vt:lpstr>
      <vt:lpstr>Main1HSlots</vt:lpstr>
      <vt:lpstr>MasterListColumns</vt:lpstr>
      <vt:lpstr>MasterSpellList</vt:lpstr>
      <vt:lpstr>MobHeader</vt:lpstr>
      <vt:lpstr>MobNames</vt:lpstr>
      <vt:lpstr>Mobs</vt:lpstr>
      <vt:lpstr>Neck</vt:lpstr>
      <vt:lpstr>NeckList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Set1CRatio</vt:lpstr>
      <vt:lpstr>Set1CritDmg</vt:lpstr>
      <vt:lpstr>Set1CritMain</vt:lpstr>
      <vt:lpstr>Set1CritOff</vt:lpstr>
      <vt:lpstr>Set1DA</vt:lpstr>
      <vt:lpstr>Set1FTP</vt:lpstr>
      <vt:lpstr>Set1MainDmg</vt:lpstr>
      <vt:lpstr>Set1MeleeTP</vt:lpstr>
      <vt:lpstr>Set1MinTP</vt:lpstr>
      <vt:lpstr>Set1OffDmg</vt:lpstr>
      <vt:lpstr>Set1OverTP</vt:lpstr>
      <vt:lpstr>Set1QA</vt:lpstr>
      <vt:lpstr>Set1Regain</vt:lpstr>
      <vt:lpstr>Set1SaveTP</vt:lpstr>
      <vt:lpstr>Set1TA</vt:lpstr>
      <vt:lpstr>Set1TPBonus</vt:lpstr>
      <vt:lpstr>Set1WSDex</vt:lpstr>
      <vt:lpstr>Set1WSDmg</vt:lpstr>
      <vt:lpstr>Set1WSHitRate</vt:lpstr>
      <vt:lpstr>Set1WSInt</vt:lpstr>
      <vt:lpstr>Set1WSMnd</vt:lpstr>
      <vt:lpstr>Set1WSStoreTP</vt:lpstr>
      <vt:lpstr>Set1WSStr</vt:lpstr>
      <vt:lpstr>Set1WSTP</vt:lpstr>
      <vt:lpstr>Set1WSVit</vt:lpstr>
      <vt:lpstr>Set2AM3</vt:lpstr>
      <vt:lpstr>Set2AM32</vt:lpstr>
      <vt:lpstr>Set2AM33</vt:lpstr>
      <vt:lpstr>Set2ConserveTP</vt:lpstr>
      <vt:lpstr>Set2CRatio</vt:lpstr>
      <vt:lpstr>Set2CritDmg</vt:lpstr>
      <vt:lpstr>Set2CritMain</vt:lpstr>
      <vt:lpstr>Set2CritOff</vt:lpstr>
      <vt:lpstr>Set2DA</vt:lpstr>
      <vt:lpstr>Set2FTP</vt:lpstr>
      <vt:lpstr>Set2MainDmg</vt:lpstr>
      <vt:lpstr>Set2MeleeTP</vt:lpstr>
      <vt:lpstr>Set2MinTP</vt:lpstr>
      <vt:lpstr>Set2OffDmg</vt:lpstr>
      <vt:lpstr>Set2OverTP</vt:lpstr>
      <vt:lpstr>Set2QA</vt:lpstr>
      <vt:lpstr>Set2Regain</vt:lpstr>
      <vt:lpstr>Set2SaveTP</vt:lpstr>
      <vt:lpstr>Set2TA</vt:lpstr>
      <vt:lpstr>Set2TPBonus</vt:lpstr>
      <vt:lpstr>Set2WSDex</vt:lpstr>
      <vt:lpstr>Set2WSDmg</vt:lpstr>
      <vt:lpstr>Set2WSHitRate</vt:lpstr>
      <vt:lpstr>Set2WSInt</vt:lpstr>
      <vt:lpstr>Set2WSMnd</vt:lpstr>
      <vt:lpstr>Set2WSStoreTP</vt:lpstr>
      <vt:lpstr>Set2WSStr</vt:lpstr>
      <vt:lpstr>Set2WSTP</vt:lpstr>
      <vt:lpstr>Set2WSVit</vt:lpstr>
      <vt:lpstr>SetBonusLookup</vt:lpstr>
      <vt:lpstr>Shield</vt:lpstr>
      <vt:lpstr>ShieldList</vt:lpstr>
      <vt:lpstr>Skills</vt:lpstr>
      <vt:lpstr>Slots</vt:lpstr>
      <vt:lpstr>Spell1A</vt:lpstr>
      <vt:lpstr>Spell1B</vt:lpstr>
      <vt:lpstr>Spell2A</vt:lpstr>
      <vt:lpstr>Spell2B</vt:lpstr>
      <vt:lpstr>SpellList</vt:lpstr>
      <vt:lpstr>SpellsSet1</vt:lpstr>
      <vt:lpstr>SpellsSet2</vt:lpstr>
      <vt:lpstr>StatHeader</vt:lpstr>
      <vt:lpstr>Stats</vt:lpstr>
      <vt:lpstr>Sub1HSlots</vt:lpstr>
      <vt:lpstr>Subjobs</vt:lpstr>
      <vt:lpstr>Sword</vt:lpstr>
      <vt:lpstr>SwordList</vt:lpstr>
      <vt:lpstr>SwordWeaponskills</vt:lpstr>
      <vt:lpstr>Toggle</vt:lpstr>
      <vt:lpstr>TPSet1</vt:lpstr>
      <vt:lpstr>TPSet1Gear</vt:lpstr>
      <vt:lpstr>TPSet2</vt:lpstr>
      <vt:lpstr>TPSet2Gear</vt:lpstr>
      <vt:lpstr>TraitValueCols</vt:lpstr>
      <vt:lpstr>TraitValues</vt:lpstr>
      <vt:lpstr>Waist</vt:lpstr>
      <vt:lpstr>WaistList</vt:lpstr>
      <vt:lpstr>Weapon</vt:lpstr>
      <vt:lpstr>WeaponList</vt:lpstr>
      <vt:lpstr>WeaponMerits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B Frank</cp:lastModifiedBy>
  <dcterms:created xsi:type="dcterms:W3CDTF">2010-08-09T19:31:43Z</dcterms:created>
  <dcterms:modified xsi:type="dcterms:W3CDTF">2017-08-09T03:33:15Z</dcterms:modified>
</cp:coreProperties>
</file>